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3"/>
    <sheet state="visible" name="Changelog" sheetId="2" r:id="rId4"/>
    <sheet state="visible" name="Combat RatingsNotes" sheetId="3" r:id="rId5"/>
    <sheet state="visible" name="Pawn Weights" sheetId="4" r:id="rId6"/>
    <sheet state="visible" name="Fury T6 + Sunwell" sheetId="5" r:id="rId7"/>
    <sheet state="visible" name="Arms T6 + Sunwell" sheetId="6" r:id="rId8"/>
    <sheet state="visible" name="Combat T6 + Sunwell" sheetId="7" r:id="rId9"/>
    <sheet state="visible" name="Enhancement T6 + Sunwell" sheetId="8" r:id="rId10"/>
    <sheet state="visible" name="Fury T6 + ZA" sheetId="9" r:id="rId11"/>
    <sheet state="visible" name="Arms T6 + ZA" sheetId="10" r:id="rId12"/>
    <sheet state="visible" name="Combat T6 + ZA" sheetId="11" r:id="rId13"/>
    <sheet state="visible" name="Enhancement T6 + ZA" sheetId="12" r:id="rId14"/>
    <sheet state="visible" name="Fury T6" sheetId="13" r:id="rId15"/>
    <sheet state="visible" name="Fury T4T5" sheetId="14" r:id="rId16"/>
    <sheet state="visible" name="Arms T6" sheetId="15" r:id="rId17"/>
    <sheet state="visible" name="Arms T4T5" sheetId="16" r:id="rId18"/>
    <sheet state="visible" name="Combat T4T5" sheetId="17" r:id="rId19"/>
    <sheet state="visible" name="Enhancement T4T5" sheetId="18" r:id="rId20"/>
    <sheet state="visible" name="Arms Set Builder" sheetId="19" r:id="rId21"/>
    <sheet state="visible" name="Fury Set Builder" sheetId="20" r:id="rId22"/>
  </sheets>
  <definedNames>
    <definedName localSheetId="18" name="NeckARP">'Arms Set Builder'!$AO$2:$AO$5</definedName>
    <definedName localSheetId="18" name="HelmArP">'Arms Set Builder'!$AO$16:$AO$30</definedName>
    <definedName localSheetId="18" name="ShoulderPawn">'Arms Set Builder'!$AQ$11</definedName>
    <definedName localSheetId="18" name="ShoulderArP">'Arms Set Builder'!$AO$11:$AO$14</definedName>
    <definedName localSheetId="19" name="HelmArP">'Fury Set Builder'!$AX$16:$AX$30</definedName>
    <definedName localSheetId="19" name="ShoulderArP">'Fury Set Builder'!$AX$11:$AX$14</definedName>
    <definedName localSheetId="19" name="NeckARP">'Fury Set Builder'!$AX$2:$AX$5</definedName>
    <definedName localSheetId="19" name="ShoulderPawn">'Fury Set Builder'!$AZ$11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X2">
      <text>
        <t xml:space="preserve">PvP / Heroic Gems will be obsolete once T6 is out.</t>
      </text>
    </comment>
  </commentList>
</comments>
</file>

<file path=xl/comments2.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3.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4.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5.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6.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7.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8.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9.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10.xml><?xml version="1.0" encoding="utf-8"?>
<comments xmlns:r="http://schemas.openxmlformats.org/officeDocument/2006/relationships" xmlns="http://schemas.openxmlformats.org/spreadsheetml/2006/main">
  <authors>
    <author/>
  </authors>
  <commentList>
    <comment authorId="0" ref="D4">
      <text>
        <t xml:space="preserve">Note: EP Values do not take into account socket bonuses, or whether you are hit capped or not. </t>
      </text>
    </comment>
  </commentList>
</comments>
</file>

<file path=xl/comments11.xml><?xml version="1.0" encoding="utf-8"?>
<comments xmlns:r="http://schemas.openxmlformats.org/officeDocument/2006/relationships" xmlns="http://schemas.openxmlformats.org/spreadsheetml/2006/main">
  <authors>
    <author/>
  </authors>
  <commentList>
    <comment authorId="0" ref="AB21">
      <text>
        <t xml:space="preserve">Note: This number is also the theoretical ArP cap</t>
      </text>
    </comment>
  </commentList>
</comments>
</file>

<file path=xl/sharedStrings.xml><?xml version="1.0" encoding="utf-8"?>
<sst xmlns="http://schemas.openxmlformats.org/spreadsheetml/2006/main" count="23088" uniqueCount="2549">
  <si>
    <t>This sheet was created by Quattro (H) and is now being worked on by both Quattro himself as well as Lulleh (H). For improvements / error reporting etc, feel free to contact us in-game. All credit to Quattro for starting this project.</t>
  </si>
  <si>
    <t>Special thanks to Kiszh, Quimby and a few other players along the way. It focuses primarily on aiding with gearing decisions for raiding Warriors, Rogues and Enhancements in World of Warcraft patch 2.4.3, Warmane - Outland</t>
  </si>
  <si>
    <t>When you use the sheet, keep in mind that stat weights changes over the course of your gearing. This means you should use the tab labels(names) in accordence to your</t>
  </si>
  <si>
    <t xml:space="preserve">currently equipped gear. To clarify, if you have T4/5 gear, use the T4/5 tab, if you have almost full T6 BiS, you can use the T6 + ZA sheet and so on. </t>
  </si>
  <si>
    <t>The SWP weights assume you have around 50% SWP gear so if you're reading this and SWP haven't been released yet (but you have T6 + ZA BiS), it's a bit early to use.</t>
  </si>
  <si>
    <t>Contact</t>
  </si>
  <si>
    <t>It is a stat counting sheet (SEP or Pawn sheet) using stat weights catered to specific gear levels to create content relevant gear lists to help with gearing.</t>
  </si>
  <si>
    <t>If you have any questions, tips for improvements or perhaps spot an error or last</t>
  </si>
  <si>
    <t>Stat weights used are derived from the Landsoul Fury spreadsheet with information and considerations taken from Elitist Jerks and many other discussions,</t>
  </si>
  <si>
    <t>but not least, want to report a missing item, don't hesitate to contact us.</t>
  </si>
  <si>
    <t>theorycrafting posts and guides from past/present, in addition to a fair ammount of live testing and calculations done in the present to confirm as much data</t>
  </si>
  <si>
    <t xml:space="preserve">as possible. The goal is to as closely as possible replicate the generally accepted best item ranking from the perspective of the 2.4 Sunwell era, and to as </t>
  </si>
  <si>
    <t>Name: Lulleh</t>
  </si>
  <si>
    <t>Name: Quattro</t>
  </si>
  <si>
    <t>closely as possible, replicate the gear value as represented in the Landsoul sheet</t>
  </si>
  <si>
    <t>Guild: &lt;Panacea&gt;</t>
  </si>
  <si>
    <t>Guild: &lt;Feenix Headquarters&gt;</t>
  </si>
  <si>
    <t>Faction: Horde</t>
  </si>
  <si>
    <t>While these lists give a good approximation of the best gear it is not a hard and absolute list, the value of each piece of gear slightly changes each time you</t>
  </si>
  <si>
    <t>Server: Outland</t>
  </si>
  <si>
    <t>change a piece of gear, and so the value of stats (and the way we'd ideally weight them) also change naturally and organically in this way, as different stats</t>
  </si>
  <si>
    <t>scale with each other. A lot of time has been spent to ensure the stats are accurate to each gear level, but being perfect is not possible.</t>
  </si>
  <si>
    <t>It is expected you will use common sense when assessing hit rating items (to maintain the 9% hit cap) and expertise items to account for wasted rating and doing</t>
  </si>
  <si>
    <t xml:space="preserve">stat counting yourself, at the Sunwell level the same considerations must be taken for meeting the Ignore Armor caps on a boss to boss basis when considering. </t>
  </si>
  <si>
    <t xml:space="preserve">the items you want to use. Tier set bonuses are not included in the weights so as to not create misleading results. if single item procs are not counted it will be </t>
  </si>
  <si>
    <t>noted in the sheet, otherwise you can consider them as being accounted for. Weapon racial bonuses are also not included, axes have notes with values to add for orcs.</t>
  </si>
  <si>
    <r>
      <rPr>
        <b/>
      </rPr>
      <t>Enhancement/Rogue</t>
    </r>
    <r>
      <t xml:space="preserve"> : These sheets use stat weights from the front page Elitist Jerks compendium numbers for the respective classes/gear levels</t>
    </r>
  </si>
  <si>
    <t xml:space="preserve">the weapon weights are at best a rough approximation by comparison with the Warrior.  These were mostly added to help give an idea of how items </t>
  </si>
  <si>
    <t>weigh up between the 3 classes. It's possible that Combat Rogue Fist/Sword will be added at some point. Paladin/Hunter may come in future depending on available</t>
  </si>
  <si>
    <t>information and working models but I will not be putting in the full effort as I have with the Warrior sheets, nor is it a short term priority of mine to get them done.</t>
  </si>
  <si>
    <t>Warrior sheet weights are normalised around 1 STR, where as Enh/Combat sheets are normalised around 1 AP, so the numbers are not directly comparable 1 to 1.</t>
  </si>
  <si>
    <r>
      <rPr>
        <b/>
      </rPr>
      <t>Disclaimer</t>
    </r>
    <r>
      <t xml:space="preserve"> : While the sheet is mostly finished for Warriors, it is still a work in progress and if new information comes to light you may see some minor changes occur in the</t>
    </r>
  </si>
  <si>
    <t>ranking, this is especially the case with items that require considerable testing to confirm data/uptimes/proc-rates relevant to gear/content level.</t>
  </si>
  <si>
    <t>Changelog</t>
  </si>
  <si>
    <t>Version</t>
  </si>
  <si>
    <t>Date</t>
  </si>
  <si>
    <t>Changes</t>
  </si>
  <si>
    <t>1- Added Changelog tab (Lulleh)</t>
  </si>
  <si>
    <t>1- Added 'Pawn Weights' hidden tab, for items to quary against, instead of the old method (Lulleh)</t>
  </si>
  <si>
    <r>
      <t xml:space="preserve">2- Updated </t>
    </r>
    <r>
      <rPr>
        <b/>
        <color rgb="FF9900FF"/>
      </rPr>
      <t>Madness of the Betrayer</t>
    </r>
    <r>
      <t xml:space="preserve"> proc to reflect the 85% uptime on Outland (Lulleh)</t>
    </r>
  </si>
  <si>
    <t>To Do List</t>
  </si>
  <si>
    <t>3- Finished converting Fury T4/T5 Sheet (Lulleh)</t>
  </si>
  <si>
    <t>Sheet Label</t>
  </si>
  <si>
    <t>Task</t>
  </si>
  <si>
    <t>Additional Notes</t>
  </si>
  <si>
    <r>
      <t xml:space="preserve">4- Updated </t>
    </r>
    <r>
      <rPr>
        <b/>
        <color rgb="FF9900FF"/>
      </rPr>
      <t>Dragonstrike</t>
    </r>
    <r>
      <t xml:space="preserve"> &amp; </t>
    </r>
    <r>
      <rPr>
        <b/>
        <color rgb="FF9900FF"/>
      </rPr>
      <t>Dragonspine Trophy</t>
    </r>
    <r>
      <t xml:space="preserve"> uptimes (Fury) (Lulleh)</t>
    </r>
  </si>
  <si>
    <t>Pawn Weights</t>
  </si>
  <si>
    <t>Optimise Arms pawn weight scaling for T4/5 and Sunwell relative to T6</t>
  </si>
  <si>
    <t>Mostly concerns haste scaling/headaches</t>
  </si>
  <si>
    <t>5- Finished converting Fury T6 Sheet (Lulleh)</t>
  </si>
  <si>
    <t>Fury/Arms set builders</t>
  </si>
  <si>
    <t>Add additional items to cater to lower gear level set building - Particularly weapons</t>
  </si>
  <si>
    <t>Could also move pawn weight query to new system</t>
  </si>
  <si>
    <t>1- Finished converting Fury T6 + ZA Sheet (Lulleh)</t>
  </si>
  <si>
    <t>Arms sheets</t>
  </si>
  <si>
    <t>Add PVP Axes, possibly add mace options for reference.</t>
  </si>
  <si>
    <t>2- Finished converting Fury T6 + Sunwell Sheet (Lulleh)</t>
  </si>
  <si>
    <t>Arms Set Builder</t>
  </si>
  <si>
    <t>Add ignore armor damage calculator + damage projections tool (Fury is done).</t>
  </si>
  <si>
    <t>1- Correct Gem values in all Fury sheets (Lulleh)</t>
  </si>
  <si>
    <t>All T4/5 Sheets</t>
  </si>
  <si>
    <t>To aid with pre-raid gearing it's possibly time to add Za patch items to the T4/5 lists.</t>
  </si>
  <si>
    <t>2- Fixed all spelling mistakes in the Fury sheets - all Fury sheets are now updated! (Lulleh)</t>
  </si>
  <si>
    <t>Enhancement T6/ZA/SWP</t>
  </si>
  <si>
    <t>Calc Pawn for Stonebreaker's Totem + Syphon proc</t>
  </si>
  <si>
    <r>
      <t xml:space="preserve">3- Finalized the </t>
    </r>
    <r>
      <rPr>
        <b/>
        <color rgb="FF9900FF"/>
      </rPr>
      <t>Dragonstrike</t>
    </r>
    <r>
      <t xml:space="preserve"> proc (the uptime changes as gear gets better) (Lulleh)</t>
    </r>
  </si>
  <si>
    <t>All SWP Sheets</t>
  </si>
  <si>
    <t>Calc Pawn for the Scryer Neck (SWP) - Will be an approximaton based on retail numbers, can adjust to Outland numbers when Sunwell releases and testing is done.</t>
  </si>
  <si>
    <t>3.1- Added a second version of the BS Hammers where you don't have one in the MH (Lulleh)</t>
  </si>
  <si>
    <t>Notes tab</t>
  </si>
  <si>
    <t>Add weapon enchant values and comparisons for Fury Warrior.</t>
  </si>
  <si>
    <t>1- Finished converting Arms T6 Sheet (Lulleh)</t>
  </si>
  <si>
    <t>Set Builders</t>
  </si>
  <si>
    <t>Finish Whirlwind vs Execute vs Bloodthirst damage calculators - Currently WIP</t>
  </si>
  <si>
    <t>2- Created Arms T4/5, Arms T6 + ZA and Arms T6 + Sunwell Sheets (Lulleh)</t>
  </si>
  <si>
    <t>2.1- These three sheets have currently no Pawn rating since I need to find the correct stat weights first (Lulleh)</t>
  </si>
  <si>
    <t>1- Revisited and corrected some errors in the Pawn calculation of the Fury Sheets (Lulleh)</t>
  </si>
  <si>
    <t>2- Revisited and corrected some errors in the Pawn calculation of the Arms Sheets (Lulleh)</t>
  </si>
  <si>
    <t>3- Revisited and corrected some errors in the Pawn calculation of the Rogue (Gems still need to be added) (Lulleh)</t>
  </si>
  <si>
    <t>4- Finished converting Combat T4/5 Sheet (gem bonuses still missing) (Lulleh)</t>
  </si>
  <si>
    <t>5- Finished converting Combat T6 + ZA Sheet (gem bonuses still missing) (Lulleh)</t>
  </si>
  <si>
    <t>6- Finished converting Enhancement T4/5 Sheet (Lulleh)</t>
  </si>
  <si>
    <t>7- Finished converting Enhancement T6 + ZA Sheet (Lulleh)</t>
  </si>
  <si>
    <t>1- Sorted Enhancement T4/5 and T6 + ZA items correctly &amp; added Socket bonuses (Lulleh)</t>
  </si>
  <si>
    <r>
      <t xml:space="preserve">2- Corrected </t>
    </r>
    <r>
      <rPr>
        <b/>
        <color rgb="FF9900FF"/>
      </rPr>
      <t>Dragonstrike</t>
    </r>
    <r>
      <t xml:space="preserve"> &amp; DST/Madness on the Enhancement sheets (Lulleh)</t>
    </r>
  </si>
  <si>
    <r>
      <t xml:space="preserve">1- Updated </t>
    </r>
    <r>
      <rPr>
        <b/>
        <color rgb="FF9900FF"/>
      </rPr>
      <t>Rod of the Sun King</t>
    </r>
    <r>
      <t xml:space="preserve"> in the Fury sheets (Lulleh)</t>
    </r>
  </si>
  <si>
    <t>1- Edited notes page, added Veteran's (S2) ring/neck to T4/T5 Fury list. (Quattro)</t>
  </si>
  <si>
    <t>1- Added placeholder stat weights for T4/5, T6+ZA and Sunwell Arms. added "To Do List" (Quattro)</t>
  </si>
  <si>
    <r>
      <t>1- Finished Arms T4/5 sheet, corrected/added items</t>
    </r>
    <r>
      <rPr>
        <color rgb="FF003025"/>
      </rPr>
      <t>, fixed</t>
    </r>
    <r>
      <t xml:space="preserve"> gems/bonuses. Also fixed some weapons having expertise instead of hit in Arms T6 sheet (Quattro)</t>
    </r>
  </si>
  <si>
    <r>
      <t xml:space="preserve">2- Updated Arms T6 sheet to use the Warmane 85% uptime numbers for </t>
    </r>
    <r>
      <rPr>
        <b/>
        <color rgb="FF9900FF"/>
      </rPr>
      <t xml:space="preserve">Madness of the Betrayer </t>
    </r>
    <r>
      <t>(Quattro)</t>
    </r>
  </si>
  <si>
    <t>3- Converted Arms T6 + ZA sheet to new Pawn query system, added relevant Zul'Aman patch items (Quattro)</t>
  </si>
  <si>
    <t>1- Updated Arms T6 + Sunwell sheet. Added items, pawn moved to Sunwell numbers. Still needs gems/sockets (Quattro)</t>
  </si>
  <si>
    <t>1- Added all socket bonuses to Arms ZA + Sunwell (Lulleh)</t>
  </si>
  <si>
    <t>2- Added Terrorweave Tunic (missing) to Fury T6 + ZA (Lulleh)</t>
  </si>
  <si>
    <t>3- Corrected weapon Pawn calculation in Arms T6 + Sunwell (Quattro)</t>
  </si>
  <si>
    <t>1- Updated BIS lists in notes page to coincide with ZA release - Added S3 shoulder option to T6 + ZA Fury Sheet (Quattro)</t>
  </si>
  <si>
    <r>
      <t xml:space="preserve">1- Added </t>
    </r>
    <r>
      <rPr>
        <b/>
        <color rgb="FF9900FF"/>
      </rPr>
      <t>Steadying Bracers</t>
    </r>
    <r>
      <t xml:space="preserve"> to the Arms and Fury (ZA + SWP) sheets (Lulleh)</t>
    </r>
  </si>
  <si>
    <t>1- Added information and comparisons for Warrior races (Fury) in the Combat Ratings/Notes page + evaluating Berserking cooldown functionality specific to Warmane, Lulleh providing numbers from his faction change to Horde/Troll (Quattro)</t>
  </si>
  <si>
    <r>
      <t xml:space="preserve">1- Added </t>
    </r>
    <r>
      <rPr>
        <b/>
        <color rgb="FF9900FF"/>
      </rPr>
      <t>Brooch of Deftness</t>
    </r>
    <r>
      <t xml:space="preserve"> to the Arms (ZA + SWP), Fury (ZA + SWP), Rogue (ZA) and Enhancement (ZA) sheets (Lulleh)</t>
    </r>
  </si>
  <si>
    <t>2- Rearranged the order of tabs, now showing the relevant tabs (ZA) first, following the highest to lowest "tier", per spec/class (Lulleh)</t>
  </si>
  <si>
    <t>1- Added all SWP items to Enhancement + Sunwell Sheet and sorted them (Lulleh)</t>
  </si>
  <si>
    <t>2- Added gem bonuses to Enhancement + Sunwell Sheet (Lulleh)</t>
  </si>
  <si>
    <r>
      <t xml:space="preserve">3- Added </t>
    </r>
    <r>
      <rPr>
        <b/>
        <color rgb="FF9900FF"/>
      </rPr>
      <t>Fury</t>
    </r>
    <r>
      <t xml:space="preserve"> to the Enhancement Sheets (Lulleh)</t>
    </r>
  </si>
  <si>
    <t>1- Added comparisons for consumables (Flasks/Elixirs/Food/Potions) for Fury spec in the Combat Ratings/Notes tab, see cell G72. (Quattro)</t>
  </si>
  <si>
    <t>1- Added pawn value figure to Syphon and updated weapon notes in Fury Sheets to reflect Rod/Syphon being accounted for in Pawn, corrected some weapons that were listed incorrectly in the rank list for their pawn value. (Quattro)</t>
  </si>
  <si>
    <t>1- Increased weapon speed contribution to Enhancement pawn values, initial numbers to account for the fact that EJ numbers were centered specifically around 2.6 speed weapons were a little cautious, expect some further iteration but only minor movement of overall values should result (Quattro)</t>
  </si>
  <si>
    <r>
      <t xml:space="preserve">1- Changed the uptime of </t>
    </r>
    <r>
      <rPr>
        <b/>
        <color rgb="FF9900FF"/>
      </rPr>
      <t>Warp-Spring Coil</t>
    </r>
    <r>
      <t xml:space="preserve"> slightly (47% up from 44%) (thanks Trust) (Lulleh)</t>
    </r>
  </si>
  <si>
    <t>2- Added socket bonuses to the Combat T6 + ZA sheet (much like Fury/Arms/Enh but with Yellow gems being favored as +10 Hit gems (Lulleh)</t>
  </si>
  <si>
    <t>3- Created the Combat T6 + Sunwell and added all relevant items (Lulleh)</t>
  </si>
  <si>
    <t>4- Added Socket bonuses to Combat T6 + Sunwell sheet (Lulleh)</t>
  </si>
  <si>
    <t>5- Added Warrior (Fury) Pawn values for Tier setbonuses (Combat Ratings/Notes Cell: C8) (Lulleh/Quattro)</t>
  </si>
  <si>
    <t>6- Added Script to check current Crit cap (this is based on currently equipped gear, most likely this will never be relevant due to us not reaching that high ever. Combat Ratings/Notes Cell: C16 (Lulleh)</t>
  </si>
  <si>
    <t>7- Added Pawn values for all gems in the game so that you can compare the BoP HC gems to the crafted ones. Keep in mind that T5 stat Weights are used. If you have T6 or better you most likely have access to Epic gems rendering the HC gems useless. Combat Ratings/Notes Cell: X2 (Lulleh)</t>
  </si>
  <si>
    <t>8- Removed irrelevant items from the ZA &amp; SWP lists to make the lists cleaner (Lulleh)</t>
  </si>
  <si>
    <r>
      <t xml:space="preserve">9- Added </t>
    </r>
    <r>
      <rPr>
        <b/>
        <color rgb="FF9900FF"/>
      </rPr>
      <t>Shoulders of Lightning Reflexes</t>
    </r>
    <r>
      <t xml:space="preserve"> to Enhancement T6 + ZA &amp; Enhancement T6 + Sunwell (Lulleh)</t>
    </r>
  </si>
  <si>
    <t>10- Added a 'Sunmote' to the items that requires it. Not super happy with clarity, might change how it's displayed in the future (Lulleh)</t>
  </si>
  <si>
    <r>
      <t xml:space="preserve">1 - Concluded some testing with Lulleh around </t>
    </r>
    <r>
      <rPr>
        <b/>
        <color rgb="FF9900FF"/>
      </rPr>
      <t>Syphon of the Nathrezim</t>
    </r>
    <r>
      <t xml:space="preserve"> for Warriors, offhand pawn value for the weapon has been corrected in all Fury sheets (main hand was correct), notes have been added for the weapon in the combat ratings/notes tab (Quattro)</t>
    </r>
  </si>
  <si>
    <t>1- Improved offhand weapon speed calculation for Fury. Improved a minor discrepancy between WW offhand damage calculation (dps) and related pawn value, very slightly increasing the value of slower weapons in relation to faster ones. The difference is fractional and so the ranking remains almost entirely unchanged. Also corrected some notes throughout the Fury sheets regarding Rod/Syphon, which as above have been tested and updated. (Quattro)</t>
  </si>
  <si>
    <t>1- Added a calculator for Bloodthirst/Whirlwind/Execute damage comparison in the Fury set builder. Cell:A69 - (Quattro)</t>
  </si>
  <si>
    <t>1- Added T4 bosses (armor values) to the ArP calculator in Fury Set Builder. Cell:AC1 - (Lulleh)</t>
  </si>
  <si>
    <t xml:space="preserve">1- Added Mortal Strike/Whirlwind/Slam/Execute damage comparison in the Arms set builder. Cell:A76 (Quattro) </t>
  </si>
  <si>
    <t>1- Made some general improvements to the Fury set builder, cleaned up some clutter and added some further customisation. In addition I added daggers for comparison to the Execute vs Bloodthirst/Whirlwind calculator (Quattro).</t>
  </si>
  <si>
    <r>
      <t xml:space="preserve">1- Added </t>
    </r>
    <r>
      <rPr>
        <b/>
        <color rgb="FF0000FF"/>
      </rPr>
      <t>Nightstrike</t>
    </r>
    <r>
      <t xml:space="preserve"> to the Arms/Fury T6 + Sunwell sheet. (Lulleh)</t>
    </r>
  </si>
  <si>
    <r>
      <t xml:space="preserve">2- Added </t>
    </r>
    <r>
      <rPr>
        <b/>
        <color rgb="FF9900FF"/>
      </rPr>
      <t>Figurine - Shadowsong Panther</t>
    </r>
    <r>
      <t xml:space="preserve"> to all 4 T6 + SWP sheets. (Lulleh)</t>
    </r>
  </si>
  <si>
    <t>1- Added option to the Fury set builder to edit talent points in Weapon Mastery, which is reflected in the overall dodge % reduction value. Mostly to help with gear building around Shard of Contempt + expertise racials (Quattro)</t>
  </si>
  <si>
    <r>
      <t xml:space="preserve">1- Changed the uptime of </t>
    </r>
    <r>
      <rPr>
        <b/>
        <color rgb="FF9900FF"/>
      </rPr>
      <t>Warp-Spring Coil</t>
    </r>
    <r>
      <t xml:space="preserve"> (39% down from 44%) based on new tests done by Trust (H) (Lulleh)</t>
    </r>
  </si>
  <si>
    <r>
      <t xml:space="preserve">1- Corrected the socket bonus of </t>
    </r>
    <r>
      <rPr>
        <b/>
        <color rgb="FF9900FF"/>
      </rPr>
      <t>Scaled Drakeskin Chestguard</t>
    </r>
    <r>
      <t xml:space="preserve"> in the Fury sheets (Lulleh)</t>
    </r>
  </si>
  <si>
    <t>These</t>
  </si>
  <si>
    <t>2- Added all BoE crafted items, MGT items, PvP items from all seasons as well as BoJ items to all Fury sheets (Lulleh)</t>
  </si>
  <si>
    <t>changes</t>
  </si>
  <si>
    <t>3- Added correct labels (S4 PvP etc) to PvP weapons (melee / ranged) to the Fury sheets (Lulleh)</t>
  </si>
  <si>
    <t>means</t>
  </si>
  <si>
    <t>1- Added correct gem bonuses and sorted the 2.4 items correctly in the Arms + ZA sheet (WIP from last weekend) (Lulleh)</t>
  </si>
  <si>
    <t>you'll</t>
  </si>
  <si>
    <t>2- Added all BoE crafted items, MGT items, PvP items from all seasons as well as BoJ items to all Arms sheets (Lulleh)</t>
  </si>
  <si>
    <t>use the</t>
  </si>
  <si>
    <t>3- Added all BoE crafted items, MGT items, PvP items from all seasons as well as BoJ items to all Enhancement sheets (Lulleh)</t>
  </si>
  <si>
    <t>sheet</t>
  </si>
  <si>
    <t>1- Added all BoE crafted items, MGT items, PvP items from all seasons as well as BoJ items to all Combat sheets (Lulleh)</t>
  </si>
  <si>
    <t>labels</t>
  </si>
  <si>
    <t>2- Added a bunch of missing items to the Combat sheets (Thanks 'Trust' for spotting this) (Lulleh)</t>
  </si>
  <si>
    <t>in accordence</t>
  </si>
  <si>
    <t>3- Added fast PvP off-hand weapons to all Fury sheet for comparison purposes (the difference is smaller than people may think) (Lulleh)</t>
  </si>
  <si>
    <t>to your current equipped gear.</t>
  </si>
  <si>
    <t>See Intro for more info.</t>
  </si>
  <si>
    <r>
      <t xml:space="preserve">1- Changed the uptime of </t>
    </r>
    <r>
      <rPr>
        <b/>
        <color rgb="FF9900FF"/>
      </rPr>
      <t>Madness of the Betrayer</t>
    </r>
    <r>
      <t xml:space="preserve"> (50% down from 85%) based on recent changes on Warmane (Lulleh)</t>
    </r>
  </si>
  <si>
    <r>
      <t xml:space="preserve">1- Added </t>
    </r>
    <r>
      <rPr>
        <b/>
        <color rgb="FF9900FF"/>
      </rPr>
      <t>Brutal Gladiator's Leather Gloves</t>
    </r>
    <r>
      <t xml:space="preserve"> to the Rogue sheets (Lulleh)</t>
    </r>
  </si>
  <si>
    <r>
      <rPr>
        <color rgb="FF000000"/>
      </rPr>
      <t xml:space="preserve">1- Added </t>
    </r>
    <r>
      <t xml:space="preserve">Blade of Life's Inevitability </t>
    </r>
    <r>
      <rPr>
        <color rgb="FF000000"/>
      </rPr>
      <t>to the Rogue SWP sheet (Lulleh)</t>
    </r>
  </si>
  <si>
    <r>
      <rPr>
        <color rgb="FF000000"/>
      </rPr>
      <t xml:space="preserve">1- Corrected </t>
    </r>
    <r>
      <t xml:space="preserve">Muramasa </t>
    </r>
    <r>
      <rPr>
        <color rgb="FF000000"/>
      </rPr>
      <t>stats to the Rogue SWP sheet (Lulleh)</t>
    </r>
  </si>
  <si>
    <t>Notice! - The majority of notes/pawn values/gear lists and comparisons etc. here on this page are referencing Fury Warrior specifically.</t>
  </si>
  <si>
    <t>Combat Ratings : These are for Warrior list references, not related to weights used for sheet calculation. - Testing is being done on Warmane - Outland 2.4.3 Server</t>
  </si>
  <si>
    <t>Warrior Tier set bonuses - Use these only as rough approximations for item comparison, on single target situations.</t>
  </si>
  <si>
    <t>Gems (T5 Weights) | (U) = Unique</t>
  </si>
  <si>
    <t>1 STR = 2 Attack Power. (2.2 with Kings)</t>
  </si>
  <si>
    <r>
      <t xml:space="preserve">T4 - 2set = 9 </t>
    </r>
    <r>
      <rPr>
        <i/>
        <color rgb="FF4A86E8"/>
      </rPr>
      <t>Value varies considerably based on rage income, number of targets. It drops considerably on fights like Void Reaver for example, where it is almost useless.</t>
    </r>
  </si>
  <si>
    <t>33 Agility = 1% Crit (30 = 1% with Kings)</t>
  </si>
  <si>
    <r>
      <t xml:space="preserve">T5 - 4set = 14 </t>
    </r>
    <r>
      <rPr>
        <i/>
        <color rgb="FF4A86E8"/>
      </rPr>
      <t>Value varies considerably based on rage income, number of targets. It drops considerably on fights like Void Reaver for example, where it is almost useless.</t>
    </r>
  </si>
  <si>
    <t xml:space="preserve"> [Name/Quality] - Color</t>
  </si>
  <si>
    <t>Location</t>
  </si>
  <si>
    <t>22.08 Crit Rating = 1% Crit</t>
  </si>
  <si>
    <r>
      <t xml:space="preserve">T6 - 2 set = 8 </t>
    </r>
    <r>
      <rPr>
        <i/>
        <color rgb="FF4A86E8"/>
      </rPr>
      <t>Of course how you should value it is more dependant on the importance of the execute phase on the specific fight, and the level of optimisation centered around it (Recklessness, Bloodlust, Haste pots etc).</t>
    </r>
  </si>
  <si>
    <t>Red Gem Slot</t>
  </si>
  <si>
    <t>15.77 Hit Rating = 1% Hit</t>
  </si>
  <si>
    <r>
      <t xml:space="preserve">T6 - 4 set = 16 </t>
    </r>
    <r>
      <rPr>
        <i/>
        <color rgb="FF4A86E8"/>
      </rPr>
      <t>A decent bonus if you never delay Bloodthirst and it's a single target encounter, though the overall practical gains from Sunwell shoulder options in terms of stat increases makes it worthwhile to drop the T6 - 4 set, given the chance. Pre Sunwell, only Shoulders + Chest are worthwhile.</t>
    </r>
  </si>
  <si>
    <r>
      <t xml:space="preserve"> [Crimson Sun] </t>
    </r>
    <r>
      <rPr>
        <color rgb="FFCCCCCC"/>
      </rPr>
      <t xml:space="preserve">- </t>
    </r>
    <r>
      <rPr>
        <color rgb="FFFF0000"/>
      </rPr>
      <t>10.908</t>
    </r>
    <r>
      <t xml:space="preserve"> </t>
    </r>
    <r>
      <rPr>
        <color rgb="FFCCCCCC"/>
      </rPr>
      <t>(U)</t>
    </r>
  </si>
  <si>
    <t>Jewelcrafting BoP</t>
  </si>
  <si>
    <t>15.77 Haste Rating = 1% Haste</t>
  </si>
  <si>
    <r>
      <t xml:space="preserve"> [Bold Crimson Spinel] </t>
    </r>
    <r>
      <rPr>
        <color rgb="FFCCCCCC"/>
      </rPr>
      <t>-</t>
    </r>
    <r>
      <t xml:space="preserve"> </t>
    </r>
    <r>
      <rPr>
        <color rgb="FFFF0000"/>
      </rPr>
      <t>10</t>
    </r>
  </si>
  <si>
    <t>T6</t>
  </si>
  <si>
    <t>3.9423 Expertise Rating = 1 Expertise = 0.25% Dodge/Parry reduction - It always rounds down, any EXP rating that doesn't equal an exact 1 extra Expertise is wasted.</t>
  </si>
  <si>
    <t>Expertise combos in T5</t>
  </si>
  <si>
    <t>Warrior (Fury) Tier set bonuses*</t>
  </si>
  <si>
    <r>
      <t xml:space="preserve"> [Bold Ornate Ruby] </t>
    </r>
    <r>
      <rPr>
        <color rgb="FFCCCCCC"/>
      </rPr>
      <t>-</t>
    </r>
    <r>
      <t xml:space="preserve"> </t>
    </r>
    <r>
      <rPr>
        <color rgb="FFFF0000"/>
      </rPr>
      <t>9.09</t>
    </r>
    <r>
      <t xml:space="preserve"> </t>
    </r>
    <r>
      <rPr>
        <color rgb="FFCCCCCC"/>
      </rPr>
      <t>(U)</t>
    </r>
  </si>
  <si>
    <t>6885 Honor</t>
  </si>
  <si>
    <t>Vashj belt = 25 = 6.34</t>
  </si>
  <si>
    <t>T4 - 2set = 9</t>
  </si>
  <si>
    <t>Value varies considerably based on rage income, number of targets. It drops considerably on fights like Void Reaver for example, where it is almost useless.</t>
  </si>
  <si>
    <r>
      <t xml:space="preserve"> [Bold Living Ruby] </t>
    </r>
    <r>
      <rPr>
        <color rgb="FFCCCCCC"/>
      </rPr>
      <t>-</t>
    </r>
    <r>
      <t xml:space="preserve"> </t>
    </r>
    <r>
      <rPr>
        <color rgb="FFFF0000"/>
      </rPr>
      <t>8</t>
    </r>
  </si>
  <si>
    <t>BoE</t>
  </si>
  <si>
    <t>Elitist Jerks Warrior DPS compendium - https://web.archive.org/web/20130810120034/http://elitistjerks.com/f81/t22705-dps_compendium//</t>
  </si>
  <si>
    <t>Hydross shoulders = 10 = 2.54</t>
  </si>
  <si>
    <t>T5 - 4set = 14</t>
  </si>
  <si>
    <t>Yellow Gem Slot</t>
  </si>
  <si>
    <t>Elitist Jerks Enhancement compendium - http://web.archive.org/web/20080811071236/http://elitistjerks.com/f47/t20765-shaman_enhancement/</t>
  </si>
  <si>
    <t>A'lar gloves = 18 = 4.57</t>
  </si>
  <si>
    <t>T6 - 2 set = 8</t>
  </si>
  <si>
    <t>Of course how you should value it is more dependant on the importance of the execute phase on the specific fight, and the level of optimisation centered around it (Recklessness, Bloodlust, Haste pots etc).</t>
  </si>
  <si>
    <r>
      <t xml:space="preserve"> [Stone of Blades] </t>
    </r>
    <r>
      <rPr>
        <color rgb="FFCCCCCC"/>
      </rPr>
      <t>-</t>
    </r>
    <r>
      <t xml:space="preserve"> </t>
    </r>
    <r>
      <rPr>
        <color rgb="FFFFFF00"/>
      </rPr>
      <t>11.04</t>
    </r>
    <r>
      <t xml:space="preserve"> </t>
    </r>
    <r>
      <rPr>
        <color rgb="FFCCCCCC"/>
      </rPr>
      <t>(U)</t>
    </r>
  </si>
  <si>
    <t>Elitist Jerks Roguecraft 101 - http://web.archive.org/web/20080914123352/http://elitistjerks.com/f31/t16940-roguecraft_101_a/</t>
  </si>
  <si>
    <t>T6 - 4 set = 16</t>
  </si>
  <si>
    <t xml:space="preserve">A decent bonus if you never delay Bloodthirst and it's a single target encounter, though the overall practical gains from Sunwell shoulder options in terms of stat increases makes it worthwhile to drop the </t>
  </si>
  <si>
    <r>
      <t xml:space="preserve"> [Inscribed Pyrestone] </t>
    </r>
    <r>
      <rPr>
        <color rgb="FFCCCCCC"/>
      </rPr>
      <t>-</t>
    </r>
    <r>
      <t xml:space="preserve"> </t>
    </r>
    <r>
      <rPr>
        <color rgb="FFFF9900"/>
      </rPr>
      <t>9.55</t>
    </r>
  </si>
  <si>
    <t>Attack power/weapon speed normalisation - http://wowwiki.wikia.com/wiki/Normalization</t>
  </si>
  <si>
    <t>Belt + Gloves = 10.91 = 10</t>
  </si>
  <si>
    <t>T6 - 4 set, given the chance. Pre Sunwell, only Shoulders + Chest are worthwhile.</t>
  </si>
  <si>
    <r>
      <t xml:space="preserve"> [Smooth Lionseye] </t>
    </r>
    <r>
      <rPr>
        <color rgb="FFCCCCCC"/>
      </rPr>
      <t>-</t>
    </r>
    <r>
      <t xml:space="preserve"> </t>
    </r>
    <r>
      <rPr>
        <color rgb="FFFFFF00"/>
      </rPr>
      <t>9.2</t>
    </r>
  </si>
  <si>
    <t>Attack speed formulas/calculation - http://wowwiki.wikia.com/wiki/Attack_speed</t>
  </si>
  <si>
    <t>Shoulders + Belt = 8.8 = 8</t>
  </si>
  <si>
    <t>* Value is split between the items used in place of better off-pieces.</t>
  </si>
  <si>
    <r>
      <t xml:space="preserve"> [Smooth Ornate Dawnstone] </t>
    </r>
    <r>
      <rPr>
        <color rgb="FFCCCCCC"/>
      </rPr>
      <t>-</t>
    </r>
    <r>
      <t xml:space="preserve"> </t>
    </r>
    <r>
      <rPr>
        <color rgb="FFFFFF00"/>
      </rPr>
      <t>9.2</t>
    </r>
    <r>
      <rPr>
        <color rgb="FFCCCCCC"/>
      </rPr>
      <t xml:space="preserve"> (U)</t>
    </r>
  </si>
  <si>
    <t>Armor Formulas/Calculation - http://wowwiki.wikia.com/wiki/Armor</t>
  </si>
  <si>
    <t>Shoulders + Gloves = 7.11 = 7</t>
  </si>
  <si>
    <r>
      <t xml:space="preserve"> [Inscribed Ornate Topaz] </t>
    </r>
    <r>
      <rPr>
        <color rgb="FFCCCCCC"/>
      </rPr>
      <t>-</t>
    </r>
    <r>
      <t xml:space="preserve"> </t>
    </r>
    <r>
      <rPr>
        <color rgb="FFFF9900"/>
      </rPr>
      <t>9.145</t>
    </r>
    <r>
      <t xml:space="preserve"> </t>
    </r>
    <r>
      <rPr>
        <color rgb="FFCCCCCC"/>
      </rPr>
      <t>(U)</t>
    </r>
  </si>
  <si>
    <t>8500 Honor</t>
  </si>
  <si>
    <t>Belt + Gloves + Shoulders = 13.45 = 13</t>
  </si>
  <si>
    <t>Script to check current Crit Cap.</t>
  </si>
  <si>
    <r>
      <t xml:space="preserve"> [Enscribed Fire Opal] </t>
    </r>
    <r>
      <rPr>
        <color rgb="FFCCCCCC"/>
      </rPr>
      <t>-</t>
    </r>
    <r>
      <t xml:space="preserve"> </t>
    </r>
    <r>
      <rPr>
        <color rgb="FFFF9900"/>
      </rPr>
      <t>8.68</t>
    </r>
    <r>
      <t xml:space="preserve"> </t>
    </r>
    <r>
      <rPr>
        <color rgb="FFCCCCCC"/>
      </rPr>
      <t>(U)</t>
    </r>
  </si>
  <si>
    <t>Mana-Tombs (Heroic)</t>
  </si>
  <si>
    <r>
      <rPr>
        <b/>
      </rPr>
      <t xml:space="preserve">Dragonstrike Note (T4/T5) </t>
    </r>
    <r>
      <t>: Dragonstrike (+ variants) are calculated at 35% main hand, 18% offhand for total of 53% uptime when dual-wielded (already accounting for overlap)</t>
    </r>
  </si>
  <si>
    <t>/script local u = (100 - (9 - 0 - GetCombatRatingBonus(6)) + (6.5 - GetCombatRatingBonus(24)) )/2; DEFAULT_CHAT_FRAME:AddMessage("Crit Cap: "..u.." %.");</t>
  </si>
  <si>
    <r>
      <t xml:space="preserve"> [Deadly Fire Opal] </t>
    </r>
    <r>
      <rPr>
        <color rgb="FFCCCCCC"/>
      </rPr>
      <t>-</t>
    </r>
    <r>
      <t xml:space="preserve"> </t>
    </r>
    <r>
      <rPr>
        <color rgb="FFFF9900"/>
      </rPr>
      <t>8.236</t>
    </r>
    <r>
      <t xml:space="preserve"> </t>
    </r>
    <r>
      <rPr>
        <color rgb="FFCCCCCC"/>
      </rPr>
      <t>(U)</t>
    </r>
  </si>
  <si>
    <t>The Arcatraz (Heroic)</t>
  </si>
  <si>
    <t>However that is airing on the side of caution and as much as 60% + can be possible while dual-wielding, depending on the fight, on the level of min-maxing</t>
  </si>
  <si>
    <t>Aldor Vs. Scryer Shoulder Enchants</t>
  </si>
  <si>
    <r>
      <t xml:space="preserve"> [Inscribed Noble Topaz] </t>
    </r>
    <r>
      <rPr>
        <color rgb="FFCCCCCC"/>
      </rPr>
      <t>-</t>
    </r>
    <r>
      <t xml:space="preserve"> </t>
    </r>
    <r>
      <rPr>
        <color rgb="FFFF9900"/>
      </rPr>
      <t>7.68</t>
    </r>
  </si>
  <si>
    <t>(Group Setup, LW Drums, Haste pots) taking place, and trinkets like Dragonspine Trophy, all which effect uptime. With that in mind it should be noted that dual-wielding</t>
  </si>
  <si>
    <r>
      <rPr>
        <b/>
      </rPr>
      <t>Fury T4/T5:</t>
    </r>
    <r>
      <t xml:space="preserve"> [Scryer - 22.89] &gt; [Aldor - 22.835]</t>
    </r>
  </si>
  <si>
    <t>Blue Gem Slot</t>
  </si>
  <si>
    <t>Dragonstrike is a highly effective setup that you would not need to replace prior to Warglaives or Vengeful Gladiator (Season 3) weapons. But also note that Dragonstrike Main Hand + a non crafted</t>
  </si>
  <si>
    <r>
      <rPr>
        <b/>
      </rPr>
      <t>Fury T6:</t>
    </r>
    <r>
      <t xml:space="preserve"> [Scryer - 22.74] &gt; [Aldor - 22.735]</t>
    </r>
  </si>
  <si>
    <r>
      <t xml:space="preserve"> [Sovereign Shadowsong Amethyst] </t>
    </r>
    <r>
      <rPr>
        <color rgb="FFCCCCCC"/>
      </rPr>
      <t>-</t>
    </r>
    <r>
      <t xml:space="preserve"> 5</t>
    </r>
  </si>
  <si>
    <t>offhand such as Talon of Azshara or better still Rod off the Sun King / T6 weapons can be equally effective, or slightly superior.</t>
  </si>
  <si>
    <r>
      <rPr>
        <b/>
      </rPr>
      <t>Fury T6 + ZA:</t>
    </r>
    <r>
      <t xml:space="preserve"> [Scryer - 22.74] &gt; [Aldor - 22.735]</t>
    </r>
  </si>
  <si>
    <r>
      <t xml:space="preserve"> [Sovereign Tanzanite] </t>
    </r>
    <r>
      <rPr>
        <color rgb="FFCCCCCC"/>
      </rPr>
      <t>-</t>
    </r>
    <r>
      <t xml:space="preserve"> 5 </t>
    </r>
    <r>
      <rPr>
        <color rgb="FFCCCCCC"/>
      </rPr>
      <t>(U)</t>
    </r>
  </si>
  <si>
    <t>The Shattered Halls (Heroic)</t>
  </si>
  <si>
    <r>
      <rPr>
        <b/>
      </rPr>
      <t>Fury T6 + Sunwell:</t>
    </r>
    <r>
      <t xml:space="preserve"> [Scryer - 22.725] - [Aldor - 22.725]</t>
    </r>
  </si>
  <si>
    <r>
      <t xml:space="preserve"> [Pulsing Amethyst] </t>
    </r>
    <r>
      <rPr>
        <color rgb="FFCCCCCC"/>
      </rPr>
      <t>-</t>
    </r>
    <r>
      <t xml:space="preserve"> 4.545 </t>
    </r>
    <r>
      <rPr>
        <color rgb="FFCCCCCC"/>
      </rPr>
      <t>(1 time only)</t>
    </r>
  </si>
  <si>
    <t>Nightbane - Quest</t>
  </si>
  <si>
    <r>
      <rPr>
        <b/>
      </rPr>
      <t xml:space="preserve">Dragonstrike (T6) </t>
    </r>
    <r>
      <t>: Calculated at 40% + 20% accounting for overlap (60% overall uptime), offhand ranking for DS assumes you have one in the MH, but not the opposite.</t>
    </r>
  </si>
  <si>
    <r>
      <rPr>
        <b/>
      </rPr>
      <t>Arms T6:</t>
    </r>
    <r>
      <t xml:space="preserve"> [Scryer - 22.89] &gt; [Aldor - 22.835]</t>
    </r>
  </si>
  <si>
    <r>
      <t xml:space="preserve"> [Brutal Tanzanite] </t>
    </r>
    <r>
      <rPr>
        <color rgb="FFCCCCCC"/>
      </rPr>
      <t>-</t>
    </r>
    <r>
      <t xml:space="preserve"> 4.545 </t>
    </r>
    <r>
      <rPr>
        <color rgb="FFCCCCCC"/>
      </rPr>
      <t>(U)</t>
    </r>
  </si>
  <si>
    <t>The Botanica (Heroic)</t>
  </si>
  <si>
    <r>
      <rPr>
        <b/>
      </rPr>
      <t>Dragonstrike (Sunwell)</t>
    </r>
    <r>
      <t xml:space="preserve"> : Calculated at 42% + 21% (not tested) as per above for 63% overall uptime, also consider the value of haste increases noticeably at Sunwell gear levels due to scaling with Arp/Crit/AP.</t>
    </r>
  </si>
  <si>
    <r>
      <rPr>
        <b/>
      </rPr>
      <t>Combat T4/T5:</t>
    </r>
    <r>
      <t xml:space="preserve"> [Aldor - 47.2] &gt; [Scryer - 45.8]</t>
    </r>
  </si>
  <si>
    <r>
      <t xml:space="preserve"> [Jagged Chrysoprase] </t>
    </r>
    <r>
      <rPr>
        <color rgb="FFCCCCCC"/>
      </rPr>
      <t>-</t>
    </r>
    <r>
      <t xml:space="preserve"> 4.232 </t>
    </r>
    <r>
      <rPr>
        <color rgb="FFCCCCCC"/>
      </rPr>
      <t>(U)</t>
    </r>
  </si>
  <si>
    <t>The Blood Furnace (Heroic)</t>
  </si>
  <si>
    <r>
      <rPr>
        <b/>
      </rPr>
      <t>Combat T6 + ZA:</t>
    </r>
    <r>
      <t xml:space="preserve"> [Aldor: 47.6] &gt; [Scryer - 46.4]</t>
    </r>
  </si>
  <si>
    <r>
      <t xml:space="preserve"> [Sovereign Nightseye] </t>
    </r>
    <r>
      <rPr>
        <color rgb="FFCCCCCC"/>
      </rPr>
      <t xml:space="preserve">- </t>
    </r>
    <r>
      <rPr>
        <color rgb="FFB048F8"/>
      </rPr>
      <t>4</t>
    </r>
  </si>
  <si>
    <r>
      <rPr>
        <b/>
      </rPr>
      <t>Dragonstrike Dual Wield vs other offhands</t>
    </r>
    <r>
      <t xml:space="preserve"> </t>
    </r>
    <r>
      <rPr>
        <b/>
      </rPr>
      <t xml:space="preserve">(Tier 5) </t>
    </r>
    <r>
      <t>- Dragonstrike offhand uptime needs to be approximately 24% (after overlap) in order for it to match Talon of Azshara or Merciless Gladiator weapons.</t>
    </r>
  </si>
  <si>
    <r>
      <rPr>
        <b/>
      </rPr>
      <t>Enhancement T4/5:</t>
    </r>
    <r>
      <t xml:space="preserve"> [Aldor - 49.7] &gt; [Scryer - 49.55]</t>
    </r>
  </si>
  <si>
    <t xml:space="preserve">That means to reach a combined weapon uptime of around 59-60% over a fight (vs MH DS at 35% + Talon offhand), and approximately 64-65% uptime to match Rod of the Sun King as an offhand. </t>
  </si>
  <si>
    <r>
      <rPr>
        <b/>
      </rPr>
      <t>Enhancement T6 + ZA:</t>
    </r>
    <r>
      <t xml:space="preserve"> [Aldor - 47.4] + [Aldor - 46.1]</t>
    </r>
  </si>
  <si>
    <t>Though Rod loses effective value on fights with high incoming damage, as the rage proc becomes considerably devalued bringing the value down closer to Talon of Azshara. At Sunwell levels it would</t>
  </si>
  <si>
    <t>Note: Might of the Scourge is better than both Aldor and Scryer for all classes above.</t>
  </si>
  <si>
    <t xml:space="preserve">require you to reach approximately 74% uptime combined with Dragonstrike x2 to match Dragonstrike MH (at 37% uptime) + Vengeful offhand. For Dual Dragonstrike to match Dual Vengeful (no racial bonus) </t>
  </si>
  <si>
    <t>However, the item is unavailable on Outland at the moment.</t>
  </si>
  <si>
    <t>it would require you to reach a combined uptime of appoximately 78% on Dragonstrike.</t>
  </si>
  <si>
    <r>
      <rPr>
        <b/>
      </rPr>
      <t>Final note on Dragonstrike</t>
    </r>
    <r>
      <t xml:space="preserve"> : Pawn values are based on averages, having procs during trinket cooldowns and such generally provides a much more powerful overall benefit during</t>
    </r>
  </si>
  <si>
    <t>Warrior Race Base Stats + Racials (Fury T6 + ZA pawn values)</t>
  </si>
  <si>
    <t>Base STR</t>
  </si>
  <si>
    <t>Base Agi</t>
  </si>
  <si>
    <t>Total Stats</t>
  </si>
  <si>
    <t>Base Stat Pawn (T6+ZA level)</t>
  </si>
  <si>
    <t>Bonus Racial</t>
  </si>
  <si>
    <t>Bonus Racial Pawn</t>
  </si>
  <si>
    <t>Expertise MH (65%)</t>
  </si>
  <si>
    <t>Expertise OH (35%)</t>
  </si>
  <si>
    <t>that short period than the averaged sum would over an entire fight. Though similarly, having no proc during important moments can devalue the strength of the weapon. With these factors considered</t>
  </si>
  <si>
    <t xml:space="preserve">Orc </t>
  </si>
  <si>
    <t>282 AP - 15s/2min CD = 12.5% uptime</t>
  </si>
  <si>
    <t>take into account that Dragonstrike's Haste average contribution in pawn may be slightly undervaluing the proc at times, but situational factors could both favour or work against it in overall contribution.</t>
  </si>
  <si>
    <t>Human</t>
  </si>
  <si>
    <t>Tauren</t>
  </si>
  <si>
    <t>Troll 10%</t>
  </si>
  <si>
    <t>Troll 20%</t>
  </si>
  <si>
    <t>Troll 30%</t>
  </si>
  <si>
    <r>
      <rPr>
        <b/>
      </rPr>
      <t>2018 Update on Dragonstrike</t>
    </r>
    <r>
      <t xml:space="preserve"> : After further testing by me (Lulleh), the MH had 40% uptime, and the off-hand 34% (no DS in MH). MH was tested for 20min with full rotation, offhand for 1h15min using Whirlwind on Cooldown. </t>
    </r>
  </si>
  <si>
    <t>Troll</t>
  </si>
  <si>
    <t>10-30% IAS - 10s/3min CD = 5.5555% uptime</t>
  </si>
  <si>
    <t>6.83 - 20.5</t>
  </si>
  <si>
    <t xml:space="preserve">This was all done in T6 level gear. Adjustments have been made. </t>
  </si>
  <si>
    <t>Dwarf</t>
  </si>
  <si>
    <r>
      <t>Syphon Weapon :</t>
    </r>
    <r>
      <rPr/>
      <t xml:space="preserve"> Weapon has a 25% chance to proc, applies a shadow damage dot that ticks 3x for a total of 60 damage (20 per tick), scales with spell/shadow damage buffs and proc rate is increased considerably when</t>
    </r>
  </si>
  <si>
    <t>Gnome</t>
  </si>
  <si>
    <t>raid buffs, haste pots and bloodlust are taken into account (increased frequency of attacks results in more procs). Take a raid buffed Warrior (+ consumes) the proc will deliver around 9-10dps in main hand, pawn value falling</t>
  </si>
  <si>
    <t>Undead</t>
  </si>
  <si>
    <t>in the 10-11 range. More data collection could still be used to tune down the numbers closer, but we've had it pretty close all along.</t>
  </si>
  <si>
    <t>Draenei</t>
  </si>
  <si>
    <t>1% Hit - Party wide group buff (30y range)</t>
  </si>
  <si>
    <r>
      <rPr>
        <b/>
      </rPr>
      <t>Rod of the Sun King</t>
    </r>
    <r>
      <t xml:space="preserve"> : Has a 20-21% chance (from multiple testing sources on Warmane - Outland) to proc on all successful melee abilities, Rogues get around 13-16PPM (main hand, sword spec). </t>
    </r>
  </si>
  <si>
    <t>Night Elf</t>
  </si>
  <si>
    <t xml:space="preserve">Works out about 6.5-7 PPM in the offhand of a Fury Warrior. Slightly higher with Bloodlust and Haste pots, I'll want to do testing to get realistic averages across a number of bosses but current ranking </t>
  </si>
  <si>
    <t>falls in line with these numbers. Main Hand ranking is subject to change slightly, and a pawn value will be attributed to the weapon when solid conclusive data and testing with a Fury Warrior is completed.</t>
  </si>
  <si>
    <t>Warrior Race Ranking w/ Racial Abilities - (Fury T6 + ZA pawn values)</t>
  </si>
  <si>
    <t>Pawn Score</t>
  </si>
  <si>
    <t>Misc Notes</t>
  </si>
  <si>
    <t>Edit : Changes on Warmane corrected the proc chance to approx 13%, considerably reducing the items strength.</t>
  </si>
  <si>
    <t>Orc (With Axes)</t>
  </si>
  <si>
    <r>
      <rPr>
        <b/>
      </rPr>
      <t>Update 2018 (Lulleh)</t>
    </r>
    <r>
      <t>: After more testing, I've made a new test in T6 gear. The result was (after Rage convertion) 56 Heroic Strikes for MH and 35 for OH. Using these figures and checking the increased damage</t>
    </r>
  </si>
  <si>
    <t>Human (With Swords/Maces)</t>
  </si>
  <si>
    <t xml:space="preserve">(Heroic Strike Vs. White Hit), then taking the T4 4p Pawn into account and converting it all using AP as a scaler, we concluded the Rod proc is worth approx 11 Pawn for MH and 6 for OH. </t>
  </si>
  <si>
    <t>Orc (No Axes)</t>
  </si>
  <si>
    <t>Exact figures is impossible to calculate due to the nature of how Rage works, we'd need a proper SimCraft. Although this give a rough estimate. Also, do note that testing has been done with T5 gear as well</t>
  </si>
  <si>
    <t>and the Pawn chosen is a middle ground. The worse gear you have, the less procs you get due to fewer hits etc, on the other hand, in T6 gear (and content with some bosses having less armor), much of the rage</t>
  </si>
  <si>
    <t>will be lost due to overcapping and such. As you understand, there's a lot of things to factor in here but 11 and 6 will do for now.</t>
  </si>
  <si>
    <t>Human (No Swords/Maces)</t>
  </si>
  <si>
    <r>
      <rPr>
        <b/>
        <color rgb="FF9900FF"/>
      </rPr>
      <t xml:space="preserve">The Bladefist </t>
    </r>
    <r>
      <t>: Set to 42% average uptime - Could use some more extensive testing, if anyone is willing to help contact Lulleh.</t>
    </r>
  </si>
  <si>
    <t>Heroic Presence</t>
  </si>
  <si>
    <r>
      <rPr>
        <b/>
        <color rgb="FF9900FF"/>
      </rPr>
      <t>Dragonspine Trophy</t>
    </r>
    <r>
      <rPr>
        <b/>
      </rPr>
      <t xml:space="preserve"> : </t>
    </r>
    <r>
      <t>Testing shows approx 27-31% uptime, but more data is being collected to confirm proc mechanics + uptime averages per boss (Enhancement user). These numbers appear to be roughly</t>
    </r>
  </si>
  <si>
    <t>between pre-nerf and post nerf uptimes. With pre-nerf numbers prior to 2.2 claimed up to 40% while post nerf between 20-26%. As a result more testing is still needed to determine server specific item strength.</t>
  </si>
  <si>
    <t>In the sheets it is calculated at 29% uptime, which may be slightly optimistic as an average. The trinket is incredible either way, even down at 20% uptime it would score 67.58 at Tier 5 gear, or 72.78</t>
  </si>
  <si>
    <t>at Sunwell gear levels for Fury.</t>
  </si>
  <si>
    <r>
      <t xml:space="preserve">Troll Berserking buff tests - </t>
    </r>
    <r>
      <rPr>
        <color rgb="FF000000"/>
      </rPr>
      <t>Warmane - Outland specific notes : Berserking appears to give a random speed buff that varies between 10-30% even at 100% health. The average yeild increases as HP % lowers and can also surpass 30%, reaching 45% in tests shown below.</t>
    </r>
  </si>
  <si>
    <t>We're assuming at the moment that this is a server specific bug and a bit more testing/data would help in understanding exactly how it is working. The data below (provided by Lulleh) shows a few tests at different health % levels and the amount of attack speed provided by Berserking</t>
  </si>
  <si>
    <r>
      <rPr>
        <color rgb="FFFF8000"/>
      </rPr>
      <t xml:space="preserve">Warglaives </t>
    </r>
    <r>
      <t xml:space="preserve">: </t>
    </r>
    <r>
      <rPr/>
      <t>Warglaives are weighted as individual weapons and their value/ranking is shown as such, the 2set for these weapons is unbelievably strong (vs demons at least), but I will not add to pawn value without</t>
    </r>
  </si>
  <si>
    <t>Test number</t>
  </si>
  <si>
    <t>Character HP %</t>
  </si>
  <si>
    <t>2.70 MH</t>
  </si>
  <si>
    <t>2.60 OH</t>
  </si>
  <si>
    <t>Increased Attack Speed %</t>
  </si>
  <si>
    <t xml:space="preserve">considerable testing data from 2.4.3 servers. Old information has it stated as a 45s ICD (patch 2.3 change) with 100% proc chance (spell information on WoWhead confirms) however live retail testing showed less </t>
  </si>
  <si>
    <t>than 1ppm over 16mins testing, with proc not being 100% chance. The best guess is to consider it 45s ICD with 100% proc chance until 2.4.3 testing can confirm, it's likely that Legion's new proc mechanics were</t>
  </si>
  <si>
    <t>interfering with the proc rate. - http://www.wowhead.com/spell=41434/the-twin-blades-of-azzinoth#used-by-item-set</t>
  </si>
  <si>
    <r>
      <rPr>
        <b/>
        <color rgb="FFFF8000"/>
      </rPr>
      <t xml:space="preserve">Glaive 2-Set </t>
    </r>
    <r>
      <rPr>
        <b/>
      </rPr>
      <t xml:space="preserve">Theoretical Pawn Value (Fury) </t>
    </r>
    <r>
      <t>: Considering 100% proc chance, 10s duration and 45s ICD we get 22.222% (repeating) uptime. At Sunwell levels the value of the 2-Set is listed below;</t>
    </r>
  </si>
  <si>
    <r>
      <rPr>
        <b/>
      </rPr>
      <t xml:space="preserve">Haste: </t>
    </r>
    <r>
      <t>84.4 (42,2 Per Weapon)</t>
    </r>
  </si>
  <si>
    <r>
      <rPr>
        <b/>
      </rPr>
      <t>AP (v/ Demons):</t>
    </r>
    <r>
      <t xml:space="preserve"> 90.9 (45,45 Per Weapon)</t>
    </r>
  </si>
  <si>
    <r>
      <rPr>
        <b/>
      </rPr>
      <t>Combined (v/Demons):</t>
    </r>
    <r>
      <t xml:space="preserve"> 175.3 (87,65 Per Weapon)</t>
    </r>
  </si>
  <si>
    <t>This would put glaives with 2-set bonus ahead of Sunwell fists even on non demons.</t>
  </si>
  <si>
    <r>
      <rPr>
        <b/>
      </rPr>
      <t>Weapon Speed/Weapon DPS</t>
    </r>
    <r>
      <t xml:space="preserve"> : Pawn values for these are still a WIP, (accurate SEP numbers from Landsoul sheet were not able to be found). While the lists currently give a fairly close ranking </t>
    </r>
  </si>
  <si>
    <t>by weighing up stats vs dps/speed, it could be closer and at least minor changes should be expected across the board. I don't expect this to change the Fury Warrior ranking/values by any signifcant margin.</t>
  </si>
  <si>
    <t>The weapon speed/dps ranking for Rogue is a very rough approximation and should not be taken as concrete, but only as a rough guideline, use one of the available Rogue dps spreadsheets if you main a Rogue</t>
  </si>
  <si>
    <r>
      <rPr>
        <b/>
        <color rgb="FF9900FF"/>
      </rPr>
      <t xml:space="preserve">Warp-Spring Coil </t>
    </r>
    <r>
      <t xml:space="preserve">: Initially set to 44% average uptime - </t>
    </r>
    <r>
      <rPr>
        <strike/>
      </rPr>
      <t>further info says the uptime lies between 45-50% in T6 level gear (thanks to 'Trust' for this info).</t>
    </r>
    <r>
      <t xml:space="preserve"> The uptime has been set to 39% thanks to new more thorough testing done by Trust (H). </t>
    </r>
  </si>
  <si>
    <r>
      <t xml:space="preserve">A separate version of the trinket will be added to the sheets when I gain further info in regards to the proc chance when used together with </t>
    </r>
    <r>
      <rPr>
        <b/>
        <color rgb="FF9900FF"/>
      </rPr>
      <t>Rod of the Sun King</t>
    </r>
    <r>
      <t>, as that would allow for more specials (and theoretically higher uptime).</t>
    </r>
  </si>
  <si>
    <t>Elixir/Flask SEP - (Fury)</t>
  </si>
  <si>
    <t>T4/5</t>
  </si>
  <si>
    <t>T6+ZA</t>
  </si>
  <si>
    <t>T6 + Sunwell</t>
  </si>
  <si>
    <t>Attack Power</t>
  </si>
  <si>
    <t>Strength</t>
  </si>
  <si>
    <t>Agility</t>
  </si>
  <si>
    <t>Crit</t>
  </si>
  <si>
    <r>
      <rPr>
        <b/>
        <color rgb="FF9900FF"/>
      </rPr>
      <t>Madness of the Betrayer</t>
    </r>
    <r>
      <rPr>
        <b/>
      </rPr>
      <t xml:space="preserve"> on Warmane-Outland</t>
    </r>
    <r>
      <t xml:space="preserve"> (Lulleh) - </t>
    </r>
    <r>
      <rPr>
        <strike/>
      </rPr>
      <t>New numbers have come to my attention thanks to Realamerican on Outland. After some testing, I've put the number to 85% uptime (it may be higher though), making</t>
    </r>
  </si>
  <si>
    <t>Elixir of Demonslaying</t>
  </si>
  <si>
    <t>the trinket a lot stronger on this server than retail numbers would suggest. At 85% uptime it would give the trinket an average ARP (proc/uptime) of 255 ARP when used in the pawn value, as apposed to the (40% uptime) 120 ARP</t>
  </si>
  <si>
    <t>Flast of Relentless Assault</t>
  </si>
  <si>
    <r>
      <rPr>
        <strike/>
      </rPr>
      <t>based on retail numbers. A considerable difference.</t>
    </r>
    <r>
      <t xml:space="preserve"> Warmane has now nerfed the trinket to approximately 50% uptime down from the previous 85%. This means the avg ArP is "only" 150, closer to retail numbers.</t>
    </r>
  </si>
  <si>
    <t>Elixir of the Mongoose</t>
  </si>
  <si>
    <t>Elixir of Major Agility</t>
  </si>
  <si>
    <r>
      <rPr>
        <b/>
        <color rgb="FF783F04"/>
      </rPr>
      <t>Warrior</t>
    </r>
    <r>
      <rPr>
        <b/>
      </rPr>
      <t xml:space="preserve"> trinket</t>
    </r>
    <r>
      <t xml:space="preserve"> </t>
    </r>
    <r>
      <rPr>
        <b/>
        <i/>
      </rPr>
      <t xml:space="preserve">averages. - </t>
    </r>
    <r>
      <rPr>
        <i/>
        <color rgb="FF4A86E8"/>
      </rPr>
      <t xml:space="preserve">Trinket ranking now simply follows this list based on averages which has changed the rankings slightly, but is still calculated individually to each tier within the sheets. </t>
    </r>
  </si>
  <si>
    <t>Elixir of Major Strength</t>
  </si>
  <si>
    <t xml:space="preserve">Some critical thinking is required on your part to gauge cooldown synergy, trinket situational value and varying uptime % or contribution. AP average numbers in sheet are rounded, so may vary </t>
  </si>
  <si>
    <t>Onslaught Elixir</t>
  </si>
  <si>
    <t>slightly to these manual calculations, example Berserker's Call = 149.9976 average AP = 150 in the sheet.</t>
  </si>
  <si>
    <t>Buff Food SEP - (Fury)</t>
  </si>
  <si>
    <t>Hit</t>
  </si>
  <si>
    <r>
      <rPr>
        <color rgb="FF9900FF"/>
      </rPr>
      <t xml:space="preserve">Solarian's Sapphire - </t>
    </r>
    <r>
      <t>One person in a 5man melee group with this is optimal, ideally an Arms Warrior. In a full melee group this trinket surpasses all, for raid dps contribution.</t>
    </r>
  </si>
  <si>
    <t>Roasted Clefthoof (20 Strength)</t>
  </si>
  <si>
    <r>
      <t xml:space="preserve">T6.5 </t>
    </r>
    <r>
      <rPr>
        <color rgb="FF9900FF"/>
      </rPr>
      <t xml:space="preserve">Blackened Naaru Sliver </t>
    </r>
    <r>
      <t xml:space="preserve">= 45.36 + 59.994 = 105.35 (@ 40% uptime, averaging 220AP over first 10s and 440 for final 10s) </t>
    </r>
  </si>
  <si>
    <t>Ravager Dog (40 AP)</t>
  </si>
  <si>
    <r>
      <t xml:space="preserve">T6.5 </t>
    </r>
    <r>
      <rPr>
        <color rgb="FF9900FF"/>
      </rPr>
      <t>Shard of Contempt</t>
    </r>
    <r>
      <t xml:space="preserve"> = 57.2 + 41.8 = 99 (at 40% uptime)</t>
    </r>
  </si>
  <si>
    <t>Warp Burger (20 Agility)</t>
  </si>
  <si>
    <r>
      <t xml:space="preserve">T5 </t>
    </r>
    <r>
      <rPr>
        <color rgb="FF9900FF"/>
      </rPr>
      <t>Dragonspine Trophy</t>
    </r>
    <r>
      <t xml:space="preserve"> = 18.18 + 71.63 = 89.81 (at 29% uptime)</t>
    </r>
  </si>
  <si>
    <t>Spicy Hot Talbuk (20 Hit)</t>
  </si>
  <si>
    <r>
      <t xml:space="preserve">T6 (pre ZA) </t>
    </r>
    <r>
      <rPr>
        <color rgb="FF9900FF"/>
      </rPr>
      <t>Madness of the Betrayer</t>
    </r>
    <r>
      <t xml:space="preserve"> = 38.178 + 12.8 + 20.52 = 71.49 (at 40% uptime) - Naturally gains more value with Za + Sunwell ignore armor items, but its placement in the list does not change -</t>
    </r>
    <r>
      <rPr>
        <i/>
        <color rgb="FFFF0000"/>
      </rPr>
      <t xml:space="preserve"> Edit - Outland uptime = 85%</t>
    </r>
  </si>
  <si>
    <r>
      <t>T6.5</t>
    </r>
    <r>
      <rPr>
        <color rgb="FF9900FF"/>
      </rPr>
      <t xml:space="preserve"> Steely Naaru Sliver </t>
    </r>
    <r>
      <t>- Accounting for waste this is worth 51 EXP rating = 66.3. However it should be mentioned that the combination of T6 belt and Shard of Contempt would be used to reach the cap, making this trinket un-necessary for non tanks.</t>
    </r>
  </si>
  <si>
    <t>Power Potion SEP - (Fury)</t>
  </si>
  <si>
    <t>Haste</t>
  </si>
  <si>
    <t>Uptime %</t>
  </si>
  <si>
    <t>Avg. Rage/Minute</t>
  </si>
  <si>
    <t>Calc T4</t>
  </si>
  <si>
    <t>Calc T6</t>
  </si>
  <si>
    <t>Calc T6+ZA</t>
  </si>
  <si>
    <t>Calc T6+Sunwell</t>
  </si>
  <si>
    <r>
      <rPr>
        <color rgb="FF9900FF"/>
      </rPr>
      <t>Mark of the Champion</t>
    </r>
    <r>
      <t xml:space="preserve"> (vs Demon/Undead) = 68.175 - Does not have the same synergy as popping an on use trinket or gaining a powerful proc during Bloodlust/Recklessness.. Consider Berserkers Call superior.</t>
    </r>
  </si>
  <si>
    <t>Haste Potion (400 Haste - 15s)</t>
  </si>
  <si>
    <r>
      <t xml:space="preserve">T6 </t>
    </r>
    <r>
      <rPr>
        <color rgb="FF9900FF"/>
      </rPr>
      <t>Berserkers Call</t>
    </r>
    <r>
      <t xml:space="preserve"> = 149.9976 AVG AP x0.4545 = 68.173 (at 16.666% uptime)</t>
    </r>
  </si>
  <si>
    <t>Mighty Rage Potion (60 STR - 20s + 45-75 Rage)</t>
  </si>
  <si>
    <r>
      <t xml:space="preserve">T5 </t>
    </r>
    <r>
      <rPr>
        <color rgb="FF9900FF"/>
      </rPr>
      <t>Tsunami Talisman</t>
    </r>
    <r>
      <t xml:space="preserve">  = 34.96 + 6.5 + 20.08 = 61.54 (at 13% uptime in sheet) - Uptime will typically vary between 12-16% depending on multiple factors. @16% uptime = 66.18 value.</t>
    </r>
  </si>
  <si>
    <t>Insane Strength Potion (120 Strength - 15s)</t>
  </si>
  <si>
    <r>
      <rPr>
        <color rgb="FF9900FF"/>
      </rPr>
      <t>Blessings Deck</t>
    </r>
    <r>
      <t xml:space="preserve"> = 54.54 (assuming 100% uptime). - Consider this a slight overvalue, since you will not always get 100% uptime, nor does it have the same synergy as popping an on use trinket or getting a powerful proc during Bloodlust/Recklessness</t>
    </r>
  </si>
  <si>
    <t>Potion of Heroes (70 Strength - 15s)</t>
  </si>
  <si>
    <r>
      <t xml:space="preserve">T5 </t>
    </r>
    <r>
      <rPr>
        <color rgb="FF9900FF"/>
      </rPr>
      <t>Bloodlust Brooch</t>
    </r>
    <r>
      <t xml:space="preserve"> = 32.724 + 21.05 = 53.77 (at 16.666% uptime)</t>
    </r>
  </si>
  <si>
    <t>Take note that during high rage scenarios the Insane Strength Potion would surpass Mighty Rage considerably, where as for initiating burst dps from a low rage situation Mighty Rage is stronger than the pawn weight</t>
  </si>
  <si>
    <r>
      <rPr>
        <color rgb="FF9900FF"/>
      </rPr>
      <t>Slayers Crest</t>
    </r>
    <r>
      <t xml:space="preserve"> = 29.088 + 19.68 = 48.77 (at 16.666% uptime)</t>
    </r>
  </si>
  <si>
    <t xml:space="preserve">shows here. It really all depends on the situational factors with potions and this doesn't take into account intelligent use of synergy, only averages. In any case Haste Potions are always by far the strongest option. </t>
  </si>
  <si>
    <r>
      <t xml:space="preserve">T5 </t>
    </r>
    <r>
      <rPr>
        <color rgb="FF0000FF"/>
      </rPr>
      <t xml:space="preserve">Hourglass of the Unraveller </t>
    </r>
    <r>
      <t>= 29.44 + 17.7255 = 47 (at 13% uptime in sheet) - Uptime will typically vary between 12-16% depending on multiple factors. @16% uptime = 51.2 value.</t>
    </r>
  </si>
  <si>
    <r>
      <t xml:space="preserve">T5 </t>
    </r>
    <r>
      <rPr>
        <color rgb="FF0000FF"/>
      </rPr>
      <t>Abacus of Violent Odds</t>
    </r>
    <r>
      <t xml:space="preserve"> = 29.088 + 16.4 = 45.48 (at 8.33% uptime)</t>
    </r>
  </si>
  <si>
    <r>
      <t xml:space="preserve">T5 </t>
    </r>
    <r>
      <rPr>
        <color rgb="FF0000FF"/>
      </rPr>
      <t>Bladefist's Breadth</t>
    </r>
    <r>
      <t xml:space="preserve"> = 23.92 + 15.14 = 39.06 (at 16.666% uptime)</t>
    </r>
  </si>
  <si>
    <r>
      <rPr>
        <color rgb="FF00AA00"/>
      </rPr>
      <t>Core of Ar'kelos</t>
    </r>
    <r>
      <t xml:space="preserve"> = 23.634 + 15.14 = 38.77 (at 16.666% uptime)</t>
    </r>
  </si>
  <si>
    <t>T5 - 4set options with blue (+8) gems</t>
  </si>
  <si>
    <r>
      <t xml:space="preserve">T5 </t>
    </r>
    <r>
      <rPr>
        <color rgb="FF9900FF"/>
      </rPr>
      <t>Kiss of the Spider</t>
    </r>
    <r>
      <t xml:space="preserve"> = 12.88 + 6.5 + 19 = 38.38 (at 12.5% uptime)</t>
    </r>
  </si>
  <si>
    <t>T5 x 5 = 504.44</t>
  </si>
  <si>
    <r>
      <t xml:space="preserve">T5 </t>
    </r>
    <r>
      <rPr>
        <color rgb="FF0000FF"/>
      </rPr>
      <t>Icon of Unyielding Courage</t>
    </r>
    <r>
      <t xml:space="preserve"> = 19.5 + 14.99 = 34.49 (at 16.666% uptime)</t>
    </r>
  </si>
  <si>
    <t>KT leather legs + T5x4 = 505.18</t>
  </si>
  <si>
    <t>Martial gloves + T5 x4 = 506</t>
  </si>
  <si>
    <r>
      <t xml:space="preserve">Rogue </t>
    </r>
    <r>
      <rPr>
        <color rgb="FF000000"/>
      </rPr>
      <t xml:space="preserve">trinket information - </t>
    </r>
    <r>
      <rPr>
        <color rgb="FF4A86E8"/>
      </rPr>
      <t>Rogue trinket rankings are just a rough guideline, mostly using warrior uptimes/procrates.</t>
    </r>
  </si>
  <si>
    <t>Bloodsea chest + T5 x4 = 507.34</t>
  </si>
  <si>
    <r>
      <rPr>
        <color rgb="FF9900FF"/>
      </rPr>
      <t xml:space="preserve">Warp Spring Coil </t>
    </r>
    <r>
      <t>- Procs on energy using specials with 25% chance to proc and a 30s ICD, 1000 ARP for 15s. Calculated at 44% uptime, need more in game data to get reliable averages.</t>
    </r>
  </si>
  <si>
    <t>Ripfiend shoulders + T5 x 4 = 508.39</t>
  </si>
  <si>
    <r>
      <rPr>
        <color rgb="FF9900FF"/>
      </rPr>
      <t xml:space="preserve">Romulo's Poison Vial </t>
    </r>
    <r>
      <t>- Need to figure out reliable procrates for this and then convert it into statweight value, not top of my priority. DPS Warriors should never roll on this anyway.</t>
    </r>
  </si>
  <si>
    <r>
      <t>Ashtongue Talisman of Lethality</t>
    </r>
    <r>
      <rPr>
        <color rgb="FF000000"/>
      </rPr>
      <t xml:space="preserve"> - Calculated at 75% uptime = 108.75 (rounded to 109 in sheet) - Still need some data to assess how high average uptime can be, 75% is being cautious.</t>
    </r>
  </si>
  <si>
    <t>T5 - 4set options with epic (+10) gems.</t>
  </si>
  <si>
    <t>KT leather legs + T5x4 = 517.18</t>
  </si>
  <si>
    <t xml:space="preserve"> </t>
  </si>
  <si>
    <t>T5 x 5 = 518.44</t>
  </si>
  <si>
    <t>Bloodsea chest + T5x4 = 520.81</t>
  </si>
  <si>
    <t>Ripfiend shoulders + T5x4 = 522.23</t>
  </si>
  <si>
    <t>Martial gloves + T5x4 = 524</t>
  </si>
  <si>
    <r>
      <t xml:space="preserve">Personal notes (Quattro) - These content labelled </t>
    </r>
    <r>
      <rPr>
        <b/>
      </rPr>
      <t>Fury</t>
    </r>
    <r>
      <t xml:space="preserve"> gearset lists are not necessarily absolute BIS. Make your own lists from the sheets around the drops you have available.</t>
    </r>
  </si>
  <si>
    <t>Warmane guideline for pre-raid gearing. PVE + PVP (Battlegrounds) sources. Relevant and current as of July 2018 (Sunwell Isle open, no Sunwell raid).</t>
  </si>
  <si>
    <t>Pre-Raid Realistic Set - Mostly crafted or quests (No PVP) - Pre Za</t>
  </si>
  <si>
    <r>
      <t xml:space="preserve">Helm - </t>
    </r>
    <r>
      <rPr>
        <color rgb="FF9900FF"/>
      </rPr>
      <t>Furious Gizmatic Goggles</t>
    </r>
    <r>
      <t xml:space="preserve"> </t>
    </r>
    <r>
      <rPr>
        <i/>
        <color rgb="FF000000"/>
      </rPr>
      <t>(If Engi)</t>
    </r>
    <r>
      <rPr>
        <color rgb="FF000000"/>
      </rPr>
      <t>,</t>
    </r>
    <r>
      <t xml:space="preserve"> </t>
    </r>
    <r>
      <rPr>
        <color rgb="FF9900FF"/>
      </rPr>
      <t>Merciless Gladiator's Plate Helm</t>
    </r>
    <r>
      <rPr>
        <i/>
        <color rgb="FF000000"/>
      </rPr>
      <t xml:space="preserve"> (If not Engi).</t>
    </r>
  </si>
  <si>
    <r>
      <rPr>
        <b/>
        <color rgb="FF4A86E8"/>
      </rPr>
      <t>Helm</t>
    </r>
    <r>
      <t xml:space="preserve"> - </t>
    </r>
    <r>
      <rPr>
        <b/>
        <color rgb="FF9900FF"/>
      </rPr>
      <t>Furious Gizmatic Goggles</t>
    </r>
    <r>
      <t xml:space="preserve"> </t>
    </r>
    <r>
      <rPr>
        <i/>
      </rPr>
      <t>(If Engi)</t>
    </r>
    <r>
      <t xml:space="preserve">, </t>
    </r>
    <r>
      <rPr>
        <b/>
        <color rgb="FF0000FF"/>
      </rPr>
      <t>Helm of the Claw</t>
    </r>
    <r>
      <t xml:space="preserve"> </t>
    </r>
    <r>
      <rPr>
        <i/>
      </rPr>
      <t>(If not Engi)</t>
    </r>
    <r>
      <t>.</t>
    </r>
  </si>
  <si>
    <r>
      <t xml:space="preserve">Neck - </t>
    </r>
    <r>
      <rPr>
        <color rgb="FF9900FF"/>
      </rPr>
      <t>Shattered Sun Pendant of Might</t>
    </r>
    <r>
      <rPr>
        <i/>
        <color rgb="FF000000"/>
      </rPr>
      <t xml:space="preserve"> (Requires Exalted with SS + Aldor/Scryer for the proc)</t>
    </r>
    <r>
      <t xml:space="preserve"> </t>
    </r>
    <r>
      <rPr>
        <color rgb="FF000000"/>
      </rPr>
      <t>/</t>
    </r>
    <r>
      <t xml:space="preserve"> </t>
    </r>
    <r>
      <rPr>
        <color rgb="FF9900FF"/>
      </rPr>
      <t>Choker of Vile Intent</t>
    </r>
    <r>
      <t xml:space="preserve"> - </t>
    </r>
    <r>
      <rPr>
        <i/>
        <color rgb="FF000000"/>
      </rPr>
      <t>Better to save badges for other pieces and work towards Shattered Sun neck.</t>
    </r>
  </si>
  <si>
    <r>
      <rPr>
        <b/>
        <color rgb="FF4A86E8"/>
      </rPr>
      <t>Neck</t>
    </r>
    <r>
      <t xml:space="preserve"> - </t>
    </r>
    <r>
      <rPr>
        <b/>
        <color rgb="FF0000FF"/>
      </rPr>
      <t>Natasha's Choker</t>
    </r>
  </si>
  <si>
    <r>
      <t xml:space="preserve">Shoulders - </t>
    </r>
    <r>
      <rPr>
        <color rgb="FF9900FF"/>
      </rPr>
      <t>Swiftsteel Shoulders</t>
    </r>
    <r>
      <t xml:space="preserve"> </t>
    </r>
    <r>
      <rPr>
        <i/>
        <color rgb="FF000000"/>
      </rPr>
      <t>(if BS) &gt;</t>
    </r>
    <r>
      <t xml:space="preserve"> </t>
    </r>
    <r>
      <rPr>
        <color rgb="FF9900FF"/>
      </rPr>
      <t>Pauldrons of Gruesome Fate</t>
    </r>
    <r>
      <t xml:space="preserve"> </t>
    </r>
    <r>
      <rPr>
        <i/>
        <color rgb="FF000000"/>
      </rPr>
      <t>(60 Badges) - I would save your badges here, get S2 or Ragesteel if you're not a Blacksmith, will last until you get a raid drop.</t>
    </r>
  </si>
  <si>
    <r>
      <rPr>
        <b/>
        <color rgb="FF4A86E8"/>
      </rPr>
      <t>Shoulders</t>
    </r>
    <r>
      <t xml:space="preserve"> - </t>
    </r>
    <r>
      <rPr>
        <b/>
        <color rgb="FF0000FF"/>
      </rPr>
      <t>Ragesteel Shoulders</t>
    </r>
  </si>
  <si>
    <r>
      <t xml:space="preserve">Back - </t>
    </r>
    <r>
      <rPr>
        <color rgb="FF9900FF"/>
      </rPr>
      <t>Dory's Embrace</t>
    </r>
    <r>
      <t xml:space="preserve"> </t>
    </r>
    <r>
      <rPr>
        <i/>
        <color rgb="FF000000"/>
      </rPr>
      <t>(60 badges) - Crafted LW/Tailor cloaks are great quick options while you farm badges.</t>
    </r>
  </si>
  <si>
    <r>
      <rPr>
        <b/>
        <color rgb="FF4A86E8"/>
      </rPr>
      <t xml:space="preserve">Back </t>
    </r>
    <r>
      <t xml:space="preserve">- </t>
    </r>
    <r>
      <rPr>
        <b/>
        <color rgb="FF9900FF"/>
      </rPr>
      <t xml:space="preserve">Vengeance Wrap </t>
    </r>
    <r>
      <rPr>
        <b/>
      </rPr>
      <t>/</t>
    </r>
    <r>
      <rPr>
        <b/>
        <color rgb="FF9900FF"/>
      </rPr>
      <t xml:space="preserve"> Cloak of Darkness</t>
    </r>
  </si>
  <si>
    <r>
      <t xml:space="preserve">Chest - </t>
    </r>
    <r>
      <rPr>
        <color rgb="FF9900FF"/>
      </rPr>
      <t>Netherforce Chestplate</t>
    </r>
  </si>
  <si>
    <r>
      <rPr>
        <b/>
        <color rgb="FF4A86E8"/>
      </rPr>
      <t>Chest</t>
    </r>
    <r>
      <t xml:space="preserve"> - </t>
    </r>
    <r>
      <rPr>
        <b/>
        <color rgb="FF9900FF"/>
      </rPr>
      <t>Shadowprowler's Chestguard</t>
    </r>
  </si>
  <si>
    <r>
      <t xml:space="preserve">Bracer - </t>
    </r>
    <r>
      <rPr>
        <color rgb="FF9900FF"/>
      </rPr>
      <t>Master Assassin Wristwraps</t>
    </r>
    <r>
      <t xml:space="preserve"> </t>
    </r>
    <r>
      <rPr>
        <i/>
        <color rgb="FF000000"/>
      </rPr>
      <t>(35 badges)</t>
    </r>
    <r>
      <t xml:space="preserve"> </t>
    </r>
    <r>
      <rPr>
        <color rgb="FF000000"/>
      </rPr>
      <t>&gt;</t>
    </r>
    <r>
      <rPr>
        <color rgb="FF9900FF"/>
      </rPr>
      <t xml:space="preserve"> Bindings of Lightning Reflexes</t>
    </r>
    <r>
      <t xml:space="preserve"> </t>
    </r>
    <r>
      <rPr>
        <i/>
        <color rgb="FF000000"/>
      </rPr>
      <t>(Crafted BOE)</t>
    </r>
  </si>
  <si>
    <r>
      <rPr>
        <b/>
        <color rgb="FF4A86E8"/>
      </rPr>
      <t>Bracer</t>
    </r>
    <r>
      <t xml:space="preserve"> - </t>
    </r>
    <r>
      <rPr>
        <b/>
        <color rgb="FF9900FF"/>
      </rPr>
      <t>Black Felsteel Bracers</t>
    </r>
  </si>
  <si>
    <r>
      <t xml:space="preserve">Hands - </t>
    </r>
    <r>
      <rPr>
        <color rgb="FF9900FF"/>
      </rPr>
      <t>Gauntlets of Rapidity</t>
    </r>
    <r>
      <t xml:space="preserve"> </t>
    </r>
    <r>
      <rPr>
        <i/>
        <color rgb="FF000000"/>
      </rPr>
      <t>(75 badges)</t>
    </r>
    <r>
      <rPr>
        <color rgb="FF000000"/>
      </rPr>
      <t xml:space="preserve"> </t>
    </r>
    <r>
      <rPr>
        <i/>
        <color rgb="FF000000"/>
      </rPr>
      <t>&gt;</t>
    </r>
    <r>
      <rPr>
        <color rgb="FF0000FF"/>
      </rPr>
      <t xml:space="preserve"> Fel Leather Gloves</t>
    </r>
    <r>
      <rPr>
        <i/>
        <color rgb="FF000000"/>
      </rPr>
      <t xml:space="preserve"> (crafted BOE) - (if you expect to get better from raids soon, just get Fel and save badges)</t>
    </r>
  </si>
  <si>
    <r>
      <rPr>
        <b/>
        <color rgb="FF4A86E8"/>
      </rPr>
      <t>Hands</t>
    </r>
    <r>
      <t xml:space="preserve"> - </t>
    </r>
    <r>
      <rPr>
        <b/>
        <color rgb="FF0000FF"/>
      </rPr>
      <t>Ragesteel Gloves</t>
    </r>
    <r>
      <t xml:space="preserve"> </t>
    </r>
    <r>
      <rPr>
        <i/>
      </rPr>
      <t>(If Blacksmith)</t>
    </r>
    <r>
      <t xml:space="preserve"> - </t>
    </r>
    <r>
      <rPr>
        <b/>
        <color rgb="FF0000FF"/>
      </rPr>
      <t>Fel Leather Gloves</t>
    </r>
    <r>
      <t xml:space="preserve"> </t>
    </r>
    <r>
      <rPr>
        <i/>
      </rPr>
      <t>(If not BS)</t>
    </r>
  </si>
  <si>
    <r>
      <t xml:space="preserve">Belt - </t>
    </r>
    <r>
      <rPr>
        <color rgb="FF9900FF"/>
      </rPr>
      <t>Red Belt of Battle</t>
    </r>
    <r>
      <t xml:space="preserve"> </t>
    </r>
    <r>
      <rPr>
        <color rgb="FF000000"/>
      </rPr>
      <t>=&gt;</t>
    </r>
    <r>
      <t xml:space="preserve"> </t>
    </r>
    <r>
      <rPr>
        <color rgb="FF9900FF"/>
      </rPr>
      <t>Chain of Unleashed Rage</t>
    </r>
    <r>
      <t xml:space="preserve"> </t>
    </r>
    <r>
      <rPr>
        <i/>
        <color rgb="FF000000"/>
      </rPr>
      <t>(60 badges)</t>
    </r>
  </si>
  <si>
    <r>
      <rPr>
        <b/>
        <color rgb="FF4A86E8"/>
      </rPr>
      <t>Belt</t>
    </r>
    <r>
      <t xml:space="preserve"> - </t>
    </r>
    <r>
      <rPr>
        <b/>
        <color rgb="FF0000FF"/>
      </rPr>
      <t>Deathforge Girdle</t>
    </r>
  </si>
  <si>
    <r>
      <t xml:space="preserve">Legs - </t>
    </r>
    <r>
      <rPr>
        <color rgb="FF9900FF"/>
      </rPr>
      <t>Legplates of Unending Fury</t>
    </r>
    <r>
      <rPr>
        <i/>
        <color rgb="FF000000"/>
      </rPr>
      <t xml:space="preserve"> (75 Badges) -</t>
    </r>
    <r>
      <t xml:space="preserve"> </t>
    </r>
    <r>
      <rPr>
        <i/>
        <color rgb="FF000000"/>
      </rPr>
      <t>Strong piece but not a priority to spend badges on, given they will get replaced in T6 content ideally.</t>
    </r>
  </si>
  <si>
    <r>
      <rPr>
        <b/>
        <color rgb="FF4A86E8"/>
      </rPr>
      <t>Legs</t>
    </r>
    <r>
      <t xml:space="preserve"> - </t>
    </r>
    <r>
      <rPr>
        <b/>
        <color rgb="FF0000FF"/>
      </rPr>
      <t>Fel Leather Leggings</t>
    </r>
  </si>
  <si>
    <r>
      <t>Boots -</t>
    </r>
    <r>
      <rPr>
        <color rgb="FF9900FF"/>
      </rPr>
      <t xml:space="preserve"> Nyn'jah's Tabi Boots</t>
    </r>
    <r>
      <rPr>
        <i/>
        <color rgb="FF000000"/>
      </rPr>
      <t xml:space="preserve"> (60 badges)</t>
    </r>
    <r>
      <rPr>
        <color rgb="FF000000"/>
      </rPr>
      <t xml:space="preserve"> / </t>
    </r>
    <r>
      <rPr>
        <color rgb="FF9900FF"/>
      </rPr>
      <t>Sunrage Treads</t>
    </r>
    <r>
      <rPr>
        <i/>
        <color rgb="FF000000"/>
      </rPr>
      <t xml:space="preserve"> - (Sunrage are effectively about as good as Nynjah's and a lot less effort, fairly obvious choice)</t>
    </r>
  </si>
  <si>
    <r>
      <rPr>
        <b/>
        <color rgb="FF4A86E8"/>
      </rPr>
      <t>Boots</t>
    </r>
    <r>
      <t xml:space="preserve"> - </t>
    </r>
    <r>
      <rPr>
        <b/>
        <color rgb="FF0000FF"/>
      </rPr>
      <t>Fel Leather Boots</t>
    </r>
  </si>
  <si>
    <r>
      <t xml:space="preserve">Rings - </t>
    </r>
    <r>
      <rPr>
        <color rgb="FF9900FF"/>
      </rPr>
      <t>Angelisa's Revenge</t>
    </r>
    <r>
      <t xml:space="preserve"> </t>
    </r>
    <r>
      <rPr>
        <i/>
        <color rgb="FF000000"/>
      </rPr>
      <t>(60 badges)</t>
    </r>
    <r>
      <t xml:space="preserve"> </t>
    </r>
    <r>
      <rPr>
        <color rgb="FF000000"/>
      </rPr>
      <t>+</t>
    </r>
    <r>
      <rPr>
        <color rgb="FF0000FF"/>
      </rPr>
      <t xml:space="preserve"> Overseer's Signet</t>
    </r>
    <r>
      <rPr>
        <i/>
        <color rgb="FF000000"/>
      </rPr>
      <t xml:space="preserve"> (From quests) - Angelista's is a high priority item from badges, Overseers is similar to other preraid options but easy to pick up from a quest.</t>
    </r>
  </si>
  <si>
    <r>
      <rPr>
        <b/>
        <color rgb="FF4A86E8"/>
      </rPr>
      <t>Rings</t>
    </r>
    <r>
      <t xml:space="preserve"> - </t>
    </r>
    <r>
      <rPr>
        <b/>
        <color rgb="FF0000FF"/>
      </rPr>
      <t>Overseer's Signet</t>
    </r>
    <r>
      <t xml:space="preserve"> + </t>
    </r>
    <r>
      <rPr>
        <b/>
        <color rgb="FF0000FF"/>
      </rPr>
      <t>Kaylaan's Signet</t>
    </r>
  </si>
  <si>
    <r>
      <t xml:space="preserve">Trinkets - </t>
    </r>
    <r>
      <rPr>
        <color rgb="FF9900FF"/>
      </rPr>
      <t>Shard of Contempt</t>
    </r>
    <r>
      <t xml:space="preserve"> </t>
    </r>
    <r>
      <rPr>
        <color rgb="FF000000"/>
      </rPr>
      <t>+</t>
    </r>
    <r>
      <rPr>
        <color rgb="FF9900FF"/>
      </rPr>
      <t xml:space="preserve"> Bloodlust Brooch </t>
    </r>
    <r>
      <rPr>
        <i/>
        <color rgb="FF000000"/>
      </rPr>
      <t>(41 badges) - Shard is the second best trinket in the game and drops from a dungeon, you need it.</t>
    </r>
  </si>
  <si>
    <r>
      <rPr>
        <b/>
        <color rgb="FF4A86E8"/>
      </rPr>
      <t>Trinkets</t>
    </r>
    <r>
      <t xml:space="preserve"> - </t>
    </r>
    <r>
      <rPr>
        <b/>
        <color rgb="FF0000FF"/>
      </rPr>
      <t>Hourglass of the Unraveller</t>
    </r>
    <r>
      <t xml:space="preserve"> + </t>
    </r>
    <r>
      <rPr>
        <b/>
        <color rgb="FF9900FF"/>
      </rPr>
      <t>Bloodlust Brooch</t>
    </r>
  </si>
  <si>
    <r>
      <t xml:space="preserve">Ranged - </t>
    </r>
    <r>
      <rPr>
        <color rgb="FF9900FF"/>
      </rPr>
      <t>Distracting Blades</t>
    </r>
    <r>
      <rPr>
        <color rgb="FF000000"/>
      </rPr>
      <t xml:space="preserve"> &gt;&gt;</t>
    </r>
    <r>
      <rPr>
        <color rgb="FF00FF00"/>
      </rPr>
      <t xml:space="preserve"> </t>
    </r>
    <r>
      <rPr>
        <color rgb="FF00AA00"/>
      </rPr>
      <t>Mama's Insurance</t>
    </r>
    <r>
      <t xml:space="preserve"> </t>
    </r>
    <r>
      <rPr>
        <color rgb="FF000000"/>
      </rPr>
      <t>-</t>
    </r>
    <r>
      <rPr>
        <i/>
        <color rgb="FF000000"/>
      </rPr>
      <t xml:space="preserve"> (Blades from MGT is an obvious choice, but in the meantime the quest for Mama's in Netherstorm takes no time.)</t>
    </r>
  </si>
  <si>
    <r>
      <rPr>
        <b/>
        <color rgb="FF4A86E8"/>
      </rPr>
      <t>Ranged</t>
    </r>
    <r>
      <t xml:space="preserve"> - </t>
    </r>
    <r>
      <rPr>
        <b/>
        <color rgb="FF00AA00"/>
      </rPr>
      <t>Mama's Insurance</t>
    </r>
  </si>
  <si>
    <r>
      <t xml:space="preserve">Weapons  - </t>
    </r>
    <r>
      <rPr>
        <color rgb="FF9900FF"/>
      </rPr>
      <t>Vanir's Right Fist of Brutality</t>
    </r>
    <r>
      <t xml:space="preserve"> </t>
    </r>
    <r>
      <rPr>
        <i/>
        <color rgb="FF000000"/>
      </rPr>
      <t>(105 badges) +</t>
    </r>
    <r>
      <t xml:space="preserve"> </t>
    </r>
    <r>
      <rPr>
        <color rgb="FF9900FF"/>
      </rPr>
      <t>Vanir's Left Fist of Brutality</t>
    </r>
    <r>
      <rPr>
        <i/>
        <color rgb="FF000000"/>
      </rPr>
      <t xml:space="preserve"> (45 badges)</t>
    </r>
  </si>
  <si>
    <r>
      <rPr>
        <b/>
        <color rgb="FF4A86E8"/>
      </rPr>
      <t>Weapons</t>
    </r>
    <r>
      <t xml:space="preserve"> </t>
    </r>
    <r>
      <rPr>
        <i/>
      </rPr>
      <t>(if BS)</t>
    </r>
    <r>
      <t xml:space="preserve"> -</t>
    </r>
    <r>
      <rPr>
        <b/>
        <color rgb="FF9900FF"/>
      </rPr>
      <t xml:space="preserve"> Drakefist Hammer</t>
    </r>
    <r>
      <t xml:space="preserve"> +</t>
    </r>
    <r>
      <rPr>
        <b/>
        <color rgb="FF9900FF"/>
      </rPr>
      <t xml:space="preserve"> Drakefist Hammer</t>
    </r>
  </si>
  <si>
    <r>
      <rPr>
        <b/>
        <color rgb="FF4A86E8"/>
      </rPr>
      <t>Weapons</t>
    </r>
    <r>
      <t xml:space="preserve"> </t>
    </r>
    <r>
      <rPr>
        <i/>
      </rPr>
      <t>(Non BS)</t>
    </r>
    <r>
      <t xml:space="preserve"> - </t>
    </r>
    <r>
      <rPr>
        <b/>
        <color rgb="FF9900FF"/>
      </rPr>
      <t>Blinkstrike</t>
    </r>
    <r>
      <t xml:space="preserve"> + </t>
    </r>
    <r>
      <rPr>
        <b/>
        <color rgb="FF9900FF"/>
      </rPr>
      <t>Vindicator's Brand</t>
    </r>
  </si>
  <si>
    <t>The Ragesteel shoulder + glove option are fantastic for a low cost route as Blacksmith (for the 2 set). Blacksmithing is still an attractive option but not really worthwhile purely for the weapons with the badge fists available.</t>
  </si>
  <si>
    <t>This set does require a lot of badges, so you might find the "Pre-Raid Realistic" set slightly more realistic as an early gearing route pre-raids. Badge priority = weapons &gt; ring &gt; depends.</t>
  </si>
  <si>
    <r>
      <t xml:space="preserve">T6 + Zul'Aman - Epic (+10) gems - </t>
    </r>
    <r>
      <rPr>
        <i/>
        <color rgb="FF000000"/>
      </rPr>
      <t>BIS at current server progression (July 2018) - Sunwell isle open, but raid not yet available</t>
    </r>
  </si>
  <si>
    <t>Hyjal + T4/T5 (no BT loot) - Epic (+10) gems. - Pre Za</t>
  </si>
  <si>
    <r>
      <rPr>
        <b/>
        <color rgb="FF4A86E8"/>
      </rPr>
      <t xml:space="preserve">Helm </t>
    </r>
    <r>
      <t xml:space="preserve">- </t>
    </r>
    <r>
      <rPr>
        <b/>
        <color rgb="FF9900FF"/>
      </rPr>
      <t>Cursed Vision of Sargeras</t>
    </r>
  </si>
  <si>
    <r>
      <rPr>
        <b/>
        <color rgb="FF4A86E8"/>
      </rPr>
      <t>Neck</t>
    </r>
    <r>
      <t xml:space="preserve"> - </t>
    </r>
    <r>
      <rPr>
        <b/>
        <color rgb="FF9900FF"/>
      </rPr>
      <t>Choker of Endless Nightmares</t>
    </r>
  </si>
  <si>
    <r>
      <rPr>
        <b/>
        <color rgb="FF4A86E8"/>
      </rPr>
      <t>Helm</t>
    </r>
    <r>
      <t xml:space="preserve"> - </t>
    </r>
    <r>
      <rPr>
        <b/>
        <color rgb="FF9900FF"/>
      </rPr>
      <t xml:space="preserve">Onslaught Battle-Helm </t>
    </r>
    <r>
      <rPr>
        <i/>
      </rPr>
      <t>(T6)</t>
    </r>
  </si>
  <si>
    <r>
      <rPr>
        <b/>
        <color rgb="FF4A86E8"/>
      </rPr>
      <t>Shoulders</t>
    </r>
    <r>
      <t xml:space="preserve"> - </t>
    </r>
    <r>
      <rPr>
        <b/>
        <color rgb="FF9900FF"/>
      </rPr>
      <t xml:space="preserve">Onslaught Shoulderblades </t>
    </r>
    <r>
      <rPr>
        <i/>
      </rPr>
      <t>(T6)</t>
    </r>
  </si>
  <si>
    <r>
      <rPr>
        <b/>
        <color rgb="FF4A86E8"/>
      </rPr>
      <t>Neck</t>
    </r>
    <r>
      <rPr>
        <color rgb="FF0000FF"/>
      </rPr>
      <t xml:space="preserve"> </t>
    </r>
    <r>
      <t xml:space="preserve">- </t>
    </r>
    <r>
      <rPr>
        <b/>
        <color rgb="FF9900FF"/>
      </rPr>
      <t>Choker of Serrated Blades</t>
    </r>
  </si>
  <si>
    <r>
      <t xml:space="preserve">Cloak </t>
    </r>
    <r>
      <rPr>
        <color rgb="FF000000"/>
      </rPr>
      <t>-</t>
    </r>
    <r>
      <t xml:space="preserve"> </t>
    </r>
    <r>
      <rPr>
        <color rgb="FF9900FF"/>
      </rPr>
      <t>Shadowmoon Destroyer's Drape</t>
    </r>
  </si>
  <si>
    <r>
      <rPr>
        <b/>
        <color rgb="FF4A86E8"/>
      </rPr>
      <t>Shoulders</t>
    </r>
    <r>
      <t xml:space="preserve"> - </t>
    </r>
    <r>
      <rPr>
        <b/>
        <color rgb="FF9900FF"/>
      </rPr>
      <t>Blood Stained Pauldrons</t>
    </r>
  </si>
  <si>
    <r>
      <t xml:space="preserve">Chest </t>
    </r>
    <r>
      <rPr>
        <color rgb="FF000000"/>
      </rPr>
      <t>-</t>
    </r>
    <r>
      <t xml:space="preserve"> </t>
    </r>
    <r>
      <rPr>
        <color rgb="FF9900FF"/>
      </rPr>
      <t xml:space="preserve">Onslaught Breastplate </t>
    </r>
    <r>
      <rPr>
        <i/>
        <color rgb="FF000000"/>
      </rPr>
      <t>(T6)</t>
    </r>
  </si>
  <si>
    <r>
      <rPr>
        <b/>
        <color rgb="FF4A86E8"/>
      </rPr>
      <t xml:space="preserve">Back </t>
    </r>
    <r>
      <t xml:space="preserve">- </t>
    </r>
    <r>
      <rPr>
        <b/>
        <color rgb="FF9900FF"/>
      </rPr>
      <t>Vengeance Wrap</t>
    </r>
  </si>
  <si>
    <r>
      <rPr>
        <b/>
        <color rgb="FF4A86E8"/>
      </rPr>
      <t>Bracer</t>
    </r>
    <r>
      <t xml:space="preserve"> - </t>
    </r>
    <r>
      <rPr>
        <b/>
        <color rgb="FF9900FF"/>
      </rPr>
      <t>Deadly Cuffs</t>
    </r>
  </si>
  <si>
    <r>
      <rPr>
        <b/>
        <color rgb="FF4A86E8"/>
      </rPr>
      <t>Chest</t>
    </r>
    <r>
      <t xml:space="preserve"> - </t>
    </r>
    <r>
      <rPr>
        <b/>
        <color rgb="FF9900FF"/>
      </rPr>
      <t>Midnight Chestguard</t>
    </r>
  </si>
  <si>
    <r>
      <t xml:space="preserve">Hands </t>
    </r>
    <r>
      <rPr>
        <color rgb="FF000000"/>
      </rPr>
      <t>-</t>
    </r>
    <r>
      <t xml:space="preserve"> </t>
    </r>
    <r>
      <rPr>
        <color rgb="FF9900FF"/>
      </rPr>
      <t>Grips of Silent Justice</t>
    </r>
  </si>
  <si>
    <r>
      <rPr>
        <b/>
        <color rgb="FF4A86E8"/>
      </rPr>
      <t>Bracer</t>
    </r>
    <r>
      <t xml:space="preserve"> - </t>
    </r>
    <r>
      <rPr>
        <b/>
        <color rgb="FF9900FF"/>
      </rPr>
      <t>Deadly Cuffs</t>
    </r>
  </si>
  <si>
    <r>
      <rPr>
        <b/>
        <color rgb="FF4A86E8"/>
      </rPr>
      <t>Belt</t>
    </r>
    <r>
      <t xml:space="preserve"> - </t>
    </r>
    <r>
      <rPr>
        <b/>
        <color rgb="FF9900FF"/>
      </rPr>
      <t>Belt of One-Hundred Deaths</t>
    </r>
  </si>
  <si>
    <r>
      <rPr>
        <b/>
        <color rgb="FF4A86E8"/>
      </rPr>
      <t>Hands</t>
    </r>
    <r>
      <t xml:space="preserve"> - </t>
    </r>
    <r>
      <rPr>
        <b/>
        <color rgb="FF9900FF"/>
      </rPr>
      <t xml:space="preserve">Onslaught Gauntlets </t>
    </r>
    <r>
      <rPr>
        <i/>
      </rPr>
      <t>(T6)</t>
    </r>
  </si>
  <si>
    <r>
      <t xml:space="preserve">Legs </t>
    </r>
    <r>
      <rPr>
        <color rgb="FF000000"/>
      </rPr>
      <t>-</t>
    </r>
    <r>
      <t xml:space="preserve"> </t>
    </r>
    <r>
      <rPr>
        <color rgb="FF9900FF"/>
      </rPr>
      <t>Leggings of Divine Retribution</t>
    </r>
  </si>
  <si>
    <r>
      <rPr>
        <b/>
        <color rgb="FF4A86E8"/>
      </rPr>
      <t>Belt</t>
    </r>
    <r>
      <t xml:space="preserve"> - </t>
    </r>
    <r>
      <rPr>
        <b/>
        <color rgb="FF9900FF"/>
      </rPr>
      <t>Belt of One-Hundred Deaths</t>
    </r>
  </si>
  <si>
    <r>
      <t xml:space="preserve">Boots </t>
    </r>
    <r>
      <rPr>
        <color rgb="FF000000"/>
      </rPr>
      <t xml:space="preserve">- </t>
    </r>
    <r>
      <rPr>
        <color rgb="FF9900FF"/>
      </rPr>
      <t>Dreadboots of the Legion</t>
    </r>
  </si>
  <si>
    <r>
      <rPr>
        <b/>
        <color rgb="FF4A86E8"/>
      </rPr>
      <t>Legs</t>
    </r>
    <r>
      <t xml:space="preserve"> - </t>
    </r>
    <r>
      <rPr>
        <b/>
        <color rgb="FF9900FF"/>
      </rPr>
      <t>Legguards of Endless Rage</t>
    </r>
  </si>
  <si>
    <r>
      <t xml:space="preserve">Rings </t>
    </r>
    <r>
      <rPr>
        <color rgb="FF000000"/>
      </rPr>
      <t>-</t>
    </r>
    <r>
      <t xml:space="preserve"> </t>
    </r>
    <r>
      <rPr>
        <color rgb="FF9900FF"/>
      </rPr>
      <t xml:space="preserve">Angelisa's Revenge </t>
    </r>
    <r>
      <rPr>
        <color rgb="FF000000"/>
      </rPr>
      <t>+</t>
    </r>
    <r>
      <t xml:space="preserve"> </t>
    </r>
    <r>
      <rPr>
        <color rgb="FF9900FF"/>
      </rPr>
      <t>Stormrage Signet Ring</t>
    </r>
  </si>
  <si>
    <r>
      <rPr>
        <b/>
        <color rgb="FF4A86E8"/>
      </rPr>
      <t>Boots</t>
    </r>
    <r>
      <t xml:space="preserve"> - </t>
    </r>
    <r>
      <rPr>
        <b/>
        <color rgb="FF9900FF"/>
      </rPr>
      <t>Quickstrider Moccasins</t>
    </r>
  </si>
  <si>
    <r>
      <rPr>
        <b/>
        <color rgb="FF4A86E8"/>
      </rPr>
      <t>Trinkets</t>
    </r>
    <r>
      <t xml:space="preserve"> - </t>
    </r>
    <r>
      <rPr>
        <b/>
        <color rgb="FF9900FF"/>
      </rPr>
      <t>Dragonspine Trophy</t>
    </r>
    <r>
      <t xml:space="preserve"> + </t>
    </r>
    <r>
      <rPr>
        <b/>
        <color rgb="FF9900FF"/>
      </rPr>
      <t>Shard of Contempt</t>
    </r>
  </si>
  <si>
    <r>
      <rPr>
        <b/>
        <color rgb="FF4A86E8"/>
      </rPr>
      <t>Rings</t>
    </r>
    <r>
      <t xml:space="preserve"> - </t>
    </r>
    <r>
      <rPr>
        <b/>
        <color rgb="FF9900FF"/>
      </rPr>
      <t>Band of the Ranger-General</t>
    </r>
    <r>
      <t xml:space="preserve"> + </t>
    </r>
    <r>
      <rPr>
        <b/>
        <color rgb="FF9900FF"/>
      </rPr>
      <t>Band of the Eternal Champion</t>
    </r>
    <r>
      <t xml:space="preserve"> / </t>
    </r>
    <r>
      <rPr>
        <b/>
        <color rgb="FF9900FF"/>
      </rPr>
      <t>Ring of Reciprocity</t>
    </r>
  </si>
  <si>
    <r>
      <t xml:space="preserve">Weapons </t>
    </r>
    <r>
      <rPr>
        <color rgb="FF000000"/>
      </rPr>
      <t>-</t>
    </r>
    <r>
      <t xml:space="preserve"> </t>
    </r>
    <r>
      <rPr>
        <color rgb="FFFF8000"/>
      </rPr>
      <t>Warglaives of Azzinoth</t>
    </r>
  </si>
  <si>
    <r>
      <rPr>
        <b/>
        <color rgb="FF4A86E8"/>
      </rPr>
      <t>Trinkets</t>
    </r>
    <r>
      <t xml:space="preserve"> - </t>
    </r>
    <r>
      <rPr>
        <b/>
        <color rgb="FF9900FF"/>
      </rPr>
      <t>Dragonspine Trophy</t>
    </r>
    <r>
      <t xml:space="preserve"> + </t>
    </r>
    <r>
      <rPr>
        <b/>
        <color rgb="FF9900FF"/>
      </rPr>
      <t>Tsunami Talisman</t>
    </r>
  </si>
  <si>
    <r>
      <rPr>
        <b/>
        <color rgb="FF4A86E8"/>
      </rPr>
      <t>Weapons</t>
    </r>
    <r>
      <t xml:space="preserve"> </t>
    </r>
    <r>
      <rPr>
        <i/>
      </rPr>
      <t>(non glaive)</t>
    </r>
    <r>
      <t xml:space="preserve"> - </t>
    </r>
    <r>
      <rPr>
        <b/>
        <color rgb="FF9900FF"/>
      </rPr>
      <t>Brutal Gladiator's Slicer/Cleaver x2</t>
    </r>
  </si>
  <si>
    <r>
      <rPr>
        <b/>
        <color rgb="FF4A86E8"/>
      </rPr>
      <t>Ranged</t>
    </r>
    <r>
      <t xml:space="preserve"> - </t>
    </r>
    <r>
      <rPr>
        <b/>
        <color rgb="FF9900FF"/>
      </rPr>
      <t>Barrel-Blade Longrifle</t>
    </r>
  </si>
  <si>
    <r>
      <rPr>
        <b/>
      </rPr>
      <t>Weapons</t>
    </r>
    <r>
      <t xml:space="preserve"> </t>
    </r>
    <r>
      <rPr>
        <i/>
        <color rgb="FF000000"/>
      </rPr>
      <t xml:space="preserve">(No PVP) - </t>
    </r>
    <r>
      <rPr>
        <b/>
        <color rgb="FF9900FF"/>
      </rPr>
      <t>Vanir's Right Fist of Brutality</t>
    </r>
    <r>
      <rPr>
        <i/>
        <color rgb="FF000000"/>
      </rPr>
      <t xml:space="preserve"> + </t>
    </r>
    <r>
      <rPr>
        <b/>
        <color rgb="FF9900FF"/>
      </rPr>
      <t>Vanir's Left Fist of Brutality</t>
    </r>
  </si>
  <si>
    <r>
      <rPr>
        <b/>
        <color rgb="FF4A86E8"/>
      </rPr>
      <t>Weapons</t>
    </r>
    <r>
      <t xml:space="preserve"> - </t>
    </r>
    <r>
      <rPr>
        <b/>
        <color rgb="FF9900FF"/>
      </rPr>
      <t>Dragonstrike</t>
    </r>
    <r>
      <t xml:space="preserve"> + </t>
    </r>
    <r>
      <rPr>
        <b/>
        <color rgb="FF9900FF"/>
      </rPr>
      <t>Blade of Infamy</t>
    </r>
    <r>
      <t xml:space="preserve"> / </t>
    </r>
    <r>
      <rPr>
        <b/>
        <color rgb="FF9900FF"/>
      </rPr>
      <t>Rod of the Sun King</t>
    </r>
  </si>
  <si>
    <r>
      <t xml:space="preserve">Ranged </t>
    </r>
    <r>
      <rPr>
        <color rgb="FF000000"/>
      </rPr>
      <t>-</t>
    </r>
    <r>
      <t xml:space="preserve"> </t>
    </r>
    <r>
      <rPr>
        <color rgb="FF9900FF"/>
      </rPr>
      <t>Ancient Amani Longbow</t>
    </r>
  </si>
  <si>
    <t>T4 set (Blacksmith/Leatherworking) - No world boss or PVP loot - Pre ZA</t>
  </si>
  <si>
    <t>T5 set with blue (+8) gems - (personal, since I have Gruul gloves + BS/LW). - Pre Za</t>
  </si>
  <si>
    <r>
      <rPr>
        <b/>
        <color rgb="FF4A86E8"/>
      </rPr>
      <t>Helm</t>
    </r>
    <r>
      <t xml:space="preserve"> - </t>
    </r>
    <r>
      <rPr>
        <b/>
        <color rgb="FF9900FF"/>
      </rPr>
      <t xml:space="preserve">Warbringer Battle-Helm </t>
    </r>
    <r>
      <rPr>
        <i/>
      </rPr>
      <t>(T4)</t>
    </r>
  </si>
  <si>
    <r>
      <rPr>
        <b/>
        <color rgb="FF4A86E8"/>
      </rPr>
      <t>Helm</t>
    </r>
    <r>
      <t xml:space="preserve"> - </t>
    </r>
    <r>
      <rPr>
        <b/>
        <color rgb="FF9900FF"/>
      </rPr>
      <t xml:space="preserve">Destroyer Battle-Helm </t>
    </r>
    <r>
      <rPr>
        <i/>
      </rPr>
      <t>(T5)</t>
    </r>
  </si>
  <si>
    <r>
      <rPr>
        <b/>
        <color rgb="FF4A86E8"/>
      </rPr>
      <t>Neck</t>
    </r>
    <r>
      <t xml:space="preserve"> - </t>
    </r>
    <r>
      <rPr>
        <b/>
        <color rgb="FF9900FF"/>
      </rPr>
      <t>Choker of Vile Intent</t>
    </r>
  </si>
  <si>
    <r>
      <rPr>
        <b/>
        <color rgb="FF4A86E8"/>
      </rPr>
      <t>Neck</t>
    </r>
    <r>
      <t xml:space="preserve"> - </t>
    </r>
    <r>
      <rPr>
        <b/>
        <color rgb="FF9900FF"/>
      </rPr>
      <t>Pendant of the Perilous</t>
    </r>
  </si>
  <si>
    <r>
      <rPr>
        <b/>
        <color rgb="FF4A86E8"/>
      </rPr>
      <t>Shoulders</t>
    </r>
    <r>
      <t xml:space="preserve"> - </t>
    </r>
    <r>
      <rPr>
        <b/>
        <color rgb="FF0000FF"/>
      </rPr>
      <t>Ragesteel Shoulders</t>
    </r>
  </si>
  <si>
    <r>
      <rPr>
        <b/>
        <color rgb="FF4A86E8"/>
      </rPr>
      <t>Shoulders</t>
    </r>
    <r>
      <t xml:space="preserve"> - </t>
    </r>
    <r>
      <rPr>
        <b/>
        <color rgb="FF9900FF"/>
      </rPr>
      <t xml:space="preserve">Destroyer Shoulderblades </t>
    </r>
    <r>
      <rPr>
        <i/>
      </rPr>
      <t>(T5)</t>
    </r>
  </si>
  <si>
    <r>
      <rPr>
        <b/>
        <color rgb="FF4A86E8"/>
      </rPr>
      <t xml:space="preserve">Back </t>
    </r>
    <r>
      <t xml:space="preserve">- </t>
    </r>
    <r>
      <rPr>
        <b/>
        <color rgb="FF9900FF"/>
      </rPr>
      <t>Vengeance Wrap</t>
    </r>
  </si>
  <si>
    <r>
      <rPr>
        <b/>
        <color rgb="FF4A86E8"/>
      </rPr>
      <t>Cloak</t>
    </r>
    <r>
      <t xml:space="preserve"> - </t>
    </r>
    <r>
      <rPr>
        <b/>
        <color rgb="FF9900FF"/>
      </rPr>
      <t>Vengeance Wrap</t>
    </r>
  </si>
  <si>
    <r>
      <rPr>
        <b/>
        <color rgb="FF4A86E8"/>
      </rPr>
      <t>Chest</t>
    </r>
    <r>
      <t xml:space="preserve"> - </t>
    </r>
    <r>
      <rPr>
        <b/>
        <color rgb="FF9900FF"/>
      </rPr>
      <t xml:space="preserve">Warbringer Breastplate </t>
    </r>
    <r>
      <rPr>
        <i/>
      </rPr>
      <t>(T4)</t>
    </r>
  </si>
  <si>
    <r>
      <rPr>
        <b/>
        <color rgb="FF4A86E8"/>
      </rPr>
      <t>Chest</t>
    </r>
    <r>
      <t xml:space="preserve"> - </t>
    </r>
    <r>
      <rPr>
        <b/>
        <color rgb="FF9900FF"/>
      </rPr>
      <t xml:space="preserve">Destroyer Breastplate </t>
    </r>
    <r>
      <rPr>
        <i/>
      </rPr>
      <t>(T5)</t>
    </r>
  </si>
  <si>
    <r>
      <rPr>
        <b/>
        <color rgb="FF4A86E8"/>
      </rPr>
      <t>Bracer</t>
    </r>
    <r>
      <t xml:space="preserve"> - </t>
    </r>
    <r>
      <rPr>
        <b/>
        <color rgb="FF9900FF"/>
      </rPr>
      <t>Bladespire Warbands</t>
    </r>
  </si>
  <si>
    <r>
      <rPr>
        <b/>
        <color rgb="FF4A86E8"/>
      </rPr>
      <t>Bracers</t>
    </r>
    <r>
      <t xml:space="preserve"> - </t>
    </r>
    <r>
      <rPr>
        <b/>
        <color rgb="FF9900FF"/>
      </rPr>
      <t>Bracers of Eradication</t>
    </r>
  </si>
  <si>
    <r>
      <rPr>
        <b/>
        <color rgb="FF4A86E8"/>
      </rPr>
      <t>Hands</t>
    </r>
    <r>
      <t xml:space="preserve"> - </t>
    </r>
    <r>
      <rPr>
        <b/>
        <color rgb="FF9900FF"/>
      </rPr>
      <t>Gauntlets of Martial Perfection</t>
    </r>
  </si>
  <si>
    <r>
      <rPr>
        <b/>
        <color rgb="FF4A86E8"/>
      </rPr>
      <t>Hands</t>
    </r>
    <r>
      <t xml:space="preserve"> - </t>
    </r>
    <r>
      <rPr>
        <b/>
        <color rgb="FF9900FF"/>
      </rPr>
      <t>Gauntlets of Martial Perfection</t>
    </r>
  </si>
  <si>
    <r>
      <rPr>
        <b/>
        <color rgb="FF4A86E8"/>
      </rPr>
      <t>Belt</t>
    </r>
    <r>
      <t xml:space="preserve"> - </t>
    </r>
    <r>
      <rPr>
        <b/>
        <color rgb="FF9900FF"/>
      </rPr>
      <t>Girdle of the Endless Pit</t>
    </r>
  </si>
  <si>
    <r>
      <rPr>
        <b/>
        <color rgb="FF4A86E8"/>
      </rPr>
      <t>Belt</t>
    </r>
    <r>
      <t xml:space="preserve"> - </t>
    </r>
    <r>
      <rPr>
        <b/>
        <color rgb="FF9900FF"/>
      </rPr>
      <t>Belt of One-Hundred Deaths</t>
    </r>
  </si>
  <si>
    <r>
      <rPr>
        <b/>
        <color rgb="FF4A86E8"/>
      </rPr>
      <t xml:space="preserve">Legs </t>
    </r>
    <r>
      <t xml:space="preserve">- </t>
    </r>
    <r>
      <rPr>
        <b/>
        <color rgb="FF9900FF"/>
      </rPr>
      <t>Skulker's Greaves</t>
    </r>
  </si>
  <si>
    <r>
      <rPr>
        <b/>
        <color rgb="FF4A86E8"/>
      </rPr>
      <t>Legs</t>
    </r>
    <r>
      <t xml:space="preserve"> - </t>
    </r>
    <r>
      <rPr>
        <b/>
        <color rgb="FF9900FF"/>
      </rPr>
      <t xml:space="preserve">Destroyer Greaves </t>
    </r>
    <r>
      <rPr>
        <i/>
      </rPr>
      <t>(T5)</t>
    </r>
  </si>
  <si>
    <r>
      <rPr>
        <b/>
        <color rgb="FF4A86E8"/>
      </rPr>
      <t>Boots</t>
    </r>
    <r>
      <t xml:space="preserve"> - </t>
    </r>
    <r>
      <rPr>
        <b/>
        <color rgb="FF0000FF"/>
      </rPr>
      <t>Fel Leather Boots</t>
    </r>
  </si>
  <si>
    <r>
      <rPr>
        <b/>
        <color rgb="FF4A86E8"/>
      </rPr>
      <t>Boots</t>
    </r>
    <r>
      <t xml:space="preserve"> - </t>
    </r>
    <r>
      <rPr>
        <b/>
        <color rgb="FF9900FF"/>
      </rPr>
      <t>Boots of Utter Darkness</t>
    </r>
  </si>
  <si>
    <r>
      <rPr>
        <b/>
        <color rgb="FF4A86E8"/>
      </rPr>
      <t>Rings</t>
    </r>
    <r>
      <t xml:space="preserve"> - </t>
    </r>
    <r>
      <rPr>
        <b/>
        <color rgb="FF9900FF"/>
      </rPr>
      <t>Ring of a Thousand Marks</t>
    </r>
    <r>
      <t xml:space="preserve"> + </t>
    </r>
    <r>
      <rPr>
        <b/>
        <color rgb="FF9900FF"/>
      </rPr>
      <t>Shaffar's Band of Brutality</t>
    </r>
  </si>
  <si>
    <r>
      <rPr>
        <b/>
        <color rgb="FF4A86E8"/>
      </rPr>
      <t>Rings</t>
    </r>
    <r>
      <t xml:space="preserve"> - </t>
    </r>
    <r>
      <rPr>
        <b/>
        <color rgb="FF9900FF"/>
      </rPr>
      <t>Band of the Ranger-General</t>
    </r>
    <r>
      <t xml:space="preserve"> + </t>
    </r>
    <r>
      <rPr>
        <b/>
        <color rgb="FF9900FF"/>
      </rPr>
      <t xml:space="preserve">Ring of Reciprocity </t>
    </r>
    <r>
      <t>&gt;</t>
    </r>
    <r>
      <rPr>
        <b/>
        <color rgb="FF9900FF"/>
      </rPr>
      <t xml:space="preserve"> Ring of a Thousand Marks</t>
    </r>
  </si>
  <si>
    <r>
      <rPr>
        <b/>
        <color rgb="FF4A86E8"/>
      </rPr>
      <t>Trinkets</t>
    </r>
    <r>
      <t xml:space="preserve"> - </t>
    </r>
    <r>
      <rPr>
        <b/>
        <color rgb="FF9900FF"/>
      </rPr>
      <t>Dragonspine Trophy</t>
    </r>
    <r>
      <t xml:space="preserve"> + </t>
    </r>
    <r>
      <rPr>
        <b/>
        <color rgb="FF9900FF"/>
      </rPr>
      <t>Bloodlust Brooch</t>
    </r>
  </si>
  <si>
    <r>
      <rPr>
        <b/>
        <color rgb="FF4A86E8"/>
      </rPr>
      <t>Trinkets</t>
    </r>
    <r>
      <t xml:space="preserve"> - </t>
    </r>
    <r>
      <rPr>
        <b/>
        <color rgb="FF9900FF"/>
      </rPr>
      <t>Dragonspine Trophy</t>
    </r>
    <r>
      <t xml:space="preserve"> + </t>
    </r>
    <r>
      <rPr>
        <b/>
        <color rgb="FF9900FF"/>
      </rPr>
      <t>Tsunami Talisman</t>
    </r>
  </si>
  <si>
    <r>
      <rPr>
        <b/>
        <color rgb="FF4A86E8"/>
      </rPr>
      <t>Weapons</t>
    </r>
    <r>
      <t xml:space="preserve"> - </t>
    </r>
    <r>
      <rPr>
        <b/>
        <color rgb="FF9900FF"/>
      </rPr>
      <t>Dragonmaw</t>
    </r>
    <r>
      <t xml:space="preserve"> + </t>
    </r>
    <r>
      <rPr>
        <b/>
        <color rgb="FF9900FF"/>
      </rPr>
      <t xml:space="preserve">Dragonmaw </t>
    </r>
    <r>
      <t>/</t>
    </r>
    <r>
      <rPr>
        <b/>
        <color rgb="FF9900FF"/>
      </rPr>
      <t xml:space="preserve"> Fool's Bane</t>
    </r>
  </si>
  <si>
    <r>
      <rPr>
        <b/>
        <color rgb="FF4A86E8"/>
      </rPr>
      <t>Weapons</t>
    </r>
    <r>
      <t xml:space="preserve"> - </t>
    </r>
    <r>
      <rPr>
        <b/>
        <color rgb="FF9900FF"/>
      </rPr>
      <t>Dragonstrike</t>
    </r>
    <r>
      <t xml:space="preserve"> + </t>
    </r>
    <r>
      <rPr>
        <b/>
        <color rgb="FF9900FF"/>
      </rPr>
      <t>Rod of the Sun King</t>
    </r>
  </si>
  <si>
    <r>
      <rPr>
        <b/>
        <color rgb="FF4A86E8"/>
      </rPr>
      <t>Ranged</t>
    </r>
    <r>
      <t xml:space="preserve"> - </t>
    </r>
    <r>
      <rPr>
        <b/>
        <color rgb="FF9900FF"/>
      </rPr>
      <t>Sunfury Bow of the Phoenix</t>
    </r>
  </si>
  <si>
    <r>
      <rPr>
        <b/>
        <color rgb="FF4A86E8"/>
      </rPr>
      <t>Ranged</t>
    </r>
    <r>
      <t xml:space="preserve"> - </t>
    </r>
    <r>
      <rPr>
        <b/>
        <color rgb="FF9900FF"/>
      </rPr>
      <t>Barrel-Blade Longrifle / Serpent Spine Longbow</t>
    </r>
  </si>
  <si>
    <t>If engineer, replace Ragesteel Shoulders with T4 to keep 2set.</t>
  </si>
  <si>
    <t>T6 + S3 (Pre ZA) Epic (+10) gems.</t>
  </si>
  <si>
    <t>Possible Sunwell set (BS/LW)</t>
  </si>
  <si>
    <r>
      <rPr>
        <b/>
        <color rgb="FF4A86E8"/>
      </rPr>
      <t xml:space="preserve">Helm </t>
    </r>
    <r>
      <t xml:space="preserve">- </t>
    </r>
    <r>
      <rPr>
        <b/>
        <color rgb="FF9900FF"/>
      </rPr>
      <t>Cursed Vision of Sargeras</t>
    </r>
  </si>
  <si>
    <r>
      <rPr>
        <b/>
        <color rgb="FF4A86E8"/>
      </rPr>
      <t xml:space="preserve">Helm </t>
    </r>
    <r>
      <t xml:space="preserve">- </t>
    </r>
    <r>
      <rPr>
        <b/>
        <color rgb="FF9900FF"/>
      </rPr>
      <t>Coif of Alleria</t>
    </r>
  </si>
  <si>
    <r>
      <rPr>
        <b/>
        <color rgb="FF4A86E8"/>
      </rPr>
      <t>Neck</t>
    </r>
    <r>
      <t xml:space="preserve"> - </t>
    </r>
    <r>
      <rPr>
        <b/>
        <color rgb="FF9900FF"/>
      </rPr>
      <t>Choker of Endless Nightmares</t>
    </r>
  </si>
  <si>
    <r>
      <rPr>
        <b/>
        <color rgb="FF4A86E8"/>
      </rPr>
      <t>Neck</t>
    </r>
    <r>
      <t xml:space="preserve"> - </t>
    </r>
    <r>
      <rPr>
        <b/>
        <color rgb="FF9900FF"/>
      </rPr>
      <t>Clutch of Demise</t>
    </r>
  </si>
  <si>
    <r>
      <rPr>
        <b/>
        <color rgb="FF4A86E8"/>
      </rPr>
      <t>Shoulders</t>
    </r>
    <r>
      <t xml:space="preserve"> - </t>
    </r>
    <r>
      <rPr>
        <b/>
        <color rgb="FF9900FF"/>
      </rPr>
      <t xml:space="preserve">Onslaught Shoulderblades </t>
    </r>
    <r>
      <rPr>
        <i/>
      </rPr>
      <t>(T6)</t>
    </r>
  </si>
  <si>
    <r>
      <t>Shoulders</t>
    </r>
    <r>
      <rPr>
        <color rgb="FF000000"/>
      </rPr>
      <t xml:space="preserve"> -</t>
    </r>
    <r>
      <rPr/>
      <t xml:space="preserve"> </t>
    </r>
    <r>
      <rPr>
        <color rgb="FF9900FF"/>
      </rPr>
      <t>Demontooth Shoulderpads</t>
    </r>
  </si>
  <si>
    <r>
      <t xml:space="preserve">Cloak </t>
    </r>
    <r>
      <rPr>
        <color rgb="FF000000"/>
      </rPr>
      <t>-</t>
    </r>
    <r>
      <t xml:space="preserve"> </t>
    </r>
    <r>
      <rPr>
        <color rgb="FF9900FF"/>
      </rPr>
      <t>Shadowmoon Destroyer's Drape</t>
    </r>
  </si>
  <si>
    <r>
      <t xml:space="preserve">Cloak </t>
    </r>
    <r>
      <rPr>
        <color rgb="FF000000"/>
      </rPr>
      <t>-</t>
    </r>
    <r>
      <t xml:space="preserve"> </t>
    </r>
    <r>
      <rPr>
        <color rgb="FF9900FF"/>
      </rPr>
      <t>Cloak of Unforgivable Sin</t>
    </r>
  </si>
  <si>
    <r>
      <t xml:space="preserve">Chest </t>
    </r>
    <r>
      <rPr>
        <color rgb="FF000000"/>
      </rPr>
      <t>-</t>
    </r>
    <r>
      <t xml:space="preserve"> </t>
    </r>
    <r>
      <rPr>
        <color rgb="FF9900FF"/>
      </rPr>
      <t xml:space="preserve">Onslaught Breastplate </t>
    </r>
    <r>
      <rPr>
        <i/>
        <color rgb="FF000000"/>
      </rPr>
      <t>(T6)</t>
    </r>
  </si>
  <si>
    <r>
      <t xml:space="preserve">Chest </t>
    </r>
    <r>
      <rPr>
        <color rgb="FF000000"/>
      </rPr>
      <t>-</t>
    </r>
    <r>
      <t xml:space="preserve"> </t>
    </r>
    <r>
      <rPr>
        <color rgb="FF9900FF"/>
      </rPr>
      <t>Bladed Chaos Tunic</t>
    </r>
  </si>
  <si>
    <r>
      <rPr>
        <b/>
        <color rgb="FF4A86E8"/>
      </rPr>
      <t>Bracer</t>
    </r>
    <r>
      <t xml:space="preserve"> - </t>
    </r>
    <r>
      <rPr>
        <b/>
        <color rgb="FF9900FF"/>
      </rPr>
      <t>Deadly Cuffs</t>
    </r>
  </si>
  <si>
    <r>
      <t xml:space="preserve">Bracer </t>
    </r>
    <r>
      <rPr>
        <color rgb="FF000000"/>
      </rPr>
      <t>-</t>
    </r>
    <r>
      <t xml:space="preserve"> </t>
    </r>
    <r>
      <rPr>
        <color rgb="FF9900FF"/>
      </rPr>
      <t xml:space="preserve">Onslaught Bracers </t>
    </r>
    <r>
      <rPr>
        <i/>
        <color rgb="FF000000"/>
      </rPr>
      <t>(T6)</t>
    </r>
  </si>
  <si>
    <r>
      <t xml:space="preserve">Hands </t>
    </r>
    <r>
      <rPr>
        <color rgb="FF000000"/>
      </rPr>
      <t>-</t>
    </r>
    <r>
      <t xml:space="preserve"> </t>
    </r>
    <r>
      <rPr>
        <color rgb="FF9900FF"/>
      </rPr>
      <t>Grips of Silent Justice</t>
    </r>
  </si>
  <si>
    <r>
      <t xml:space="preserve">Hands </t>
    </r>
    <r>
      <rPr>
        <color rgb="FF000000"/>
      </rPr>
      <t>-</t>
    </r>
    <r>
      <t xml:space="preserve"> </t>
    </r>
    <r>
      <rPr>
        <color rgb="FF9900FF"/>
      </rPr>
      <t>Gloves of Immortal Dusk</t>
    </r>
  </si>
  <si>
    <r>
      <rPr>
        <b/>
        <color rgb="FF4A86E8"/>
      </rPr>
      <t>Belt</t>
    </r>
    <r>
      <t xml:space="preserve"> - </t>
    </r>
    <r>
      <rPr>
        <b/>
        <color rgb="FF9900FF"/>
      </rPr>
      <t>Belt of One-Hundred Deaths</t>
    </r>
  </si>
  <si>
    <r>
      <t xml:space="preserve">Belt </t>
    </r>
    <r>
      <rPr>
        <color rgb="FF000000"/>
      </rPr>
      <t>-</t>
    </r>
    <r>
      <t xml:space="preserve"> </t>
    </r>
    <r>
      <rPr>
        <color rgb="FF9900FF"/>
      </rPr>
      <t xml:space="preserve">Onslaught Belt </t>
    </r>
    <r>
      <rPr>
        <i/>
        <color rgb="FF000000"/>
      </rPr>
      <t>(T6)</t>
    </r>
  </si>
  <si>
    <r>
      <t xml:space="preserve">Legs </t>
    </r>
    <r>
      <rPr>
        <color rgb="FF000000"/>
      </rPr>
      <t>-</t>
    </r>
    <r>
      <t xml:space="preserve"> </t>
    </r>
    <r>
      <rPr>
        <color rgb="FF9900FF"/>
      </rPr>
      <t>Leggings of Divine Retribution</t>
    </r>
  </si>
  <si>
    <r>
      <t xml:space="preserve">Legs </t>
    </r>
    <r>
      <rPr>
        <color rgb="FF000000"/>
      </rPr>
      <t>-</t>
    </r>
    <r>
      <t xml:space="preserve"> </t>
    </r>
    <r>
      <rPr>
        <color rgb="FF9900FF"/>
      </rPr>
      <t>Leggings of the Immortal Night</t>
    </r>
  </si>
  <si>
    <r>
      <t xml:space="preserve">Boots </t>
    </r>
    <r>
      <rPr>
        <color rgb="FF000000"/>
      </rPr>
      <t xml:space="preserve">- </t>
    </r>
    <r>
      <rPr>
        <color rgb="FF9900FF"/>
      </rPr>
      <t>Dreadboots of the Legion</t>
    </r>
  </si>
  <si>
    <r>
      <t xml:space="preserve">Boots </t>
    </r>
    <r>
      <rPr>
        <color rgb="FF000000"/>
      </rPr>
      <t xml:space="preserve">- </t>
    </r>
    <r>
      <rPr>
        <color rgb="FF9900FF"/>
      </rPr>
      <t xml:space="preserve">Onslaught Treads </t>
    </r>
    <r>
      <rPr>
        <i/>
        <color rgb="FF000000"/>
      </rPr>
      <t>(T6)</t>
    </r>
  </si>
  <si>
    <r>
      <t xml:space="preserve">Rings </t>
    </r>
    <r>
      <rPr>
        <color rgb="FF000000"/>
      </rPr>
      <t>-</t>
    </r>
    <r>
      <t xml:space="preserve"> </t>
    </r>
    <r>
      <rPr>
        <color rgb="FF9900FF"/>
      </rPr>
      <t xml:space="preserve">Unstoppable Aggressor's Ring </t>
    </r>
    <r>
      <rPr>
        <color rgb="FF000000"/>
      </rPr>
      <t>+</t>
    </r>
    <r>
      <t xml:space="preserve"> </t>
    </r>
    <r>
      <rPr>
        <color rgb="FF9900FF"/>
      </rPr>
      <t>Stormrage Signet Ring</t>
    </r>
  </si>
  <si>
    <r>
      <t xml:space="preserve">Rings </t>
    </r>
    <r>
      <rPr>
        <color rgb="FF000000"/>
      </rPr>
      <t>-</t>
    </r>
    <r>
      <t xml:space="preserve"> </t>
    </r>
    <r>
      <rPr>
        <color rgb="FF9900FF"/>
      </rPr>
      <t xml:space="preserve">Band of Ruinous Delight </t>
    </r>
    <r>
      <rPr>
        <color rgb="FF000000"/>
      </rPr>
      <t>+</t>
    </r>
    <r>
      <rPr/>
      <t xml:space="preserve"> </t>
    </r>
    <r>
      <rPr>
        <color rgb="FF9900FF"/>
      </rPr>
      <t>Stormrage Signet Ring</t>
    </r>
  </si>
  <si>
    <r>
      <rPr>
        <b/>
        <color rgb="FF4A86E8"/>
      </rPr>
      <t>Trinkets</t>
    </r>
    <r>
      <t xml:space="preserve"> - </t>
    </r>
    <r>
      <rPr>
        <b/>
        <color rgb="FF9900FF"/>
      </rPr>
      <t>Dragonspine Trophy</t>
    </r>
    <r>
      <t xml:space="preserve"> + </t>
    </r>
    <r>
      <rPr>
        <b/>
        <color rgb="FF9900FF"/>
      </rPr>
      <t>Madness of the Betrayer</t>
    </r>
  </si>
  <si>
    <r>
      <t xml:space="preserve">Trinkets </t>
    </r>
    <r>
      <rPr>
        <color rgb="FF000000"/>
      </rPr>
      <t>-</t>
    </r>
    <r>
      <t xml:space="preserve"> </t>
    </r>
    <r>
      <rPr>
        <color rgb="FF9900FF"/>
      </rPr>
      <t>Blackened Naaru Sliver</t>
    </r>
    <r>
      <t xml:space="preserve"> </t>
    </r>
    <r>
      <rPr>
        <color rgb="FF000000"/>
      </rPr>
      <t>+</t>
    </r>
    <r>
      <t xml:space="preserve"> </t>
    </r>
    <r>
      <rPr>
        <color rgb="FF9900FF"/>
      </rPr>
      <t>Shard of Contempt</t>
    </r>
  </si>
  <si>
    <r>
      <t xml:space="preserve">Weapons </t>
    </r>
    <r>
      <rPr>
        <color rgb="FF000000"/>
      </rPr>
      <t>-</t>
    </r>
    <r>
      <t xml:space="preserve"> </t>
    </r>
    <r>
      <rPr>
        <color rgb="FFFF8000"/>
      </rPr>
      <t>Warglaives of Azzinoth</t>
    </r>
  </si>
  <si>
    <r>
      <t xml:space="preserve">Weapons </t>
    </r>
    <r>
      <rPr>
        <color rgb="FF000000"/>
      </rPr>
      <t>-</t>
    </r>
    <r>
      <t xml:space="preserve"> </t>
    </r>
    <r>
      <rPr>
        <color rgb="FFFF8000"/>
      </rPr>
      <t>Warglaives of Azzinoth</t>
    </r>
  </si>
  <si>
    <r>
      <rPr>
        <b/>
        <color rgb="FF4A86E8"/>
      </rPr>
      <t>Weapons</t>
    </r>
    <r>
      <t xml:space="preserve"> </t>
    </r>
    <r>
      <rPr>
        <i/>
      </rPr>
      <t>(non glaive)</t>
    </r>
    <r>
      <t xml:space="preserve"> - </t>
    </r>
    <r>
      <rPr>
        <b/>
        <color rgb="FF9900FF"/>
      </rPr>
      <t>Vengeful Gladiator's Slicer</t>
    </r>
    <r>
      <t xml:space="preserve"> / </t>
    </r>
    <r>
      <rPr>
        <b/>
        <color rgb="FF9900FF"/>
      </rPr>
      <t>Vengeful Gladiator's Slicer</t>
    </r>
    <r>
      <rPr>
        <color rgb="FF9900FF"/>
      </rPr>
      <t xml:space="preserve"> </t>
    </r>
  </si>
  <si>
    <r>
      <rPr>
        <b/>
        <color rgb="FF4A86E8"/>
      </rPr>
      <t>Weapons</t>
    </r>
    <r>
      <t xml:space="preserve"> </t>
    </r>
    <r>
      <rPr>
        <i/>
      </rPr>
      <t>(non glaive)</t>
    </r>
    <r>
      <t xml:space="preserve"> - </t>
    </r>
    <r>
      <rPr>
        <b/>
        <color rgb="FF9900FF"/>
      </rPr>
      <t xml:space="preserve">Hand of the Deciever </t>
    </r>
    <r>
      <t>+</t>
    </r>
    <r>
      <rPr>
        <b/>
        <color rgb="FF9900FF"/>
      </rPr>
      <t xml:space="preserve"> Mounting Vengeance</t>
    </r>
  </si>
  <si>
    <r>
      <t xml:space="preserve">Ranged </t>
    </r>
    <r>
      <rPr>
        <color rgb="FF000000"/>
      </rPr>
      <t>-</t>
    </r>
    <r>
      <t xml:space="preserve"> </t>
    </r>
    <r>
      <rPr>
        <color rgb="FF9900FF"/>
      </rPr>
      <t>Barrel-Blade Longrifle</t>
    </r>
  </si>
  <si>
    <r>
      <t xml:space="preserve">Ranged </t>
    </r>
    <r>
      <rPr>
        <color rgb="FF000000"/>
      </rPr>
      <t>-</t>
    </r>
    <r>
      <t xml:space="preserve"> </t>
    </r>
    <r>
      <rPr>
        <color rgb="FF9900FF"/>
      </rPr>
      <t>Golden Bow of Quel'Thalas</t>
    </r>
  </si>
  <si>
    <t>Random shite.</t>
  </si>
  <si>
    <t>Sunwell set</t>
  </si>
  <si>
    <t>Sunwell set with fists</t>
  </si>
  <si>
    <t>Vashj belt, Alar gloves, Hydross leather shoulders  - (expertise) 25 + 18 + 10 = 13.44</t>
  </si>
  <si>
    <t>Belt = 97.27 ........ 25 exp  = 6.34 = 6x 3.9423 = 23.6538.  25 - 23.6538 = 1.3462 x 1.12 = 1.507 = 97.27 - 1.507 = 95.763</t>
  </si>
  <si>
    <t>2118 AP</t>
  </si>
  <si>
    <t>2186 AP</t>
  </si>
  <si>
    <t>Gloves = 72.5 ....... 18 exp = 4.565 = 4x 3.9423 = 15.7692. 18 - 15.7692 = 2.2308 x 1.12 = 2.4984. 72.5 - 2.4984 = 70.0016</t>
  </si>
  <si>
    <t>140 Hit</t>
  </si>
  <si>
    <t>119 Hit</t>
  </si>
  <si>
    <t>Shoulders = 84.88 ...... 10 exp = 2.536 = 2x 3.9423 = 7.8846. 10 - 7.8846 = 2.1154 x 1.12 = 2.3692. 84.88 - 2.3692 = 82.5108</t>
  </si>
  <si>
    <t>356 Crit</t>
  </si>
  <si>
    <t>346 Crit</t>
  </si>
  <si>
    <t>Single piece score combo = 248.2754</t>
  </si>
  <si>
    <t>472 STR</t>
  </si>
  <si>
    <t>502 STR</t>
  </si>
  <si>
    <t>Expertise combination score glove/shoulder = 157.38 . 28 / 3.9423 = 7.1. 7x 3.9439 = 27.5961.  28 - 27.5961 = 0.4039 x 1.12 = 0.4523. 157.38 - 0.4523 = 156.9277 + 95.763 = 252.69</t>
  </si>
  <si>
    <t>447 Agi</t>
  </si>
  <si>
    <t>404 Agi</t>
  </si>
  <si>
    <t>70 EXP</t>
  </si>
  <si>
    <t>Vashj belt, Gruul gloves, T5 shoulders</t>
  </si>
  <si>
    <t>1477 ArP</t>
  </si>
  <si>
    <t>1813 ArP</t>
  </si>
  <si>
    <t>Belt = 97.27 = 95.763 (with waste)</t>
  </si>
  <si>
    <t>172 Haste</t>
  </si>
  <si>
    <t>Gloves = 73.16</t>
  </si>
  <si>
    <t>Shoulders = 82.1</t>
  </si>
  <si>
    <t>Vashj belt, Gruul gloves, hydross leather shoulders</t>
  </si>
  <si>
    <t>Shoulders = 82.51</t>
  </si>
  <si>
    <t>With blue (+8) gems, T5 content shoulder/glove combos (assuming no T5 - 4 set) = Hydross leather + A'lar leather &gt; Hydross Leather + Gruul Martial &gt; T5 + Gruul Martial &gt; T5 + A'lar leather</t>
  </si>
  <si>
    <t>Warrior - Fury</t>
  </si>
  <si>
    <t>T4/T5</t>
  </si>
  <si>
    <t>T6 + ZA</t>
  </si>
  <si>
    <t>STR</t>
  </si>
  <si>
    <t>Agi</t>
  </si>
  <si>
    <t>AP</t>
  </si>
  <si>
    <t>Expertise</t>
  </si>
  <si>
    <t>Ignore Armor</t>
  </si>
  <si>
    <t>Meta Socket</t>
  </si>
  <si>
    <t>Red Socket</t>
  </si>
  <si>
    <t>Yellow Socket</t>
  </si>
  <si>
    <t>Orange = 7.68</t>
  </si>
  <si>
    <t>Orange = 9.55</t>
  </si>
  <si>
    <t>Orange = 9.545</t>
  </si>
  <si>
    <t>Blue Socket</t>
  </si>
  <si>
    <t>Purple = 4</t>
  </si>
  <si>
    <t>Purple = 5</t>
  </si>
  <si>
    <t>Weapon DPS</t>
  </si>
  <si>
    <t>Weapon Speed</t>
  </si>
  <si>
    <t>Offhand DPS</t>
  </si>
  <si>
    <t>Offhand Dps</t>
  </si>
  <si>
    <t>Offhand WSpeed</t>
  </si>
  <si>
    <t>Offhand Speed</t>
  </si>
  <si>
    <t>Warrior - Arms</t>
  </si>
  <si>
    <t>(WIP) - Based on Sword Spec.  Arms weights vary depending on weapon specialisation. With Axes crit value would drop in relation to other stats, expect many changes as these weights get optimised.</t>
  </si>
  <si>
    <t>Orange = 9.6</t>
  </si>
  <si>
    <t>Sword</t>
  </si>
  <si>
    <t>Rogue</t>
  </si>
  <si>
    <t>Weights based on Elitist Jerks numbers, you can find a link to the guide/compendium in the notes tab</t>
  </si>
  <si>
    <t>Orange = 18.44</t>
  </si>
  <si>
    <t xml:space="preserve">Orange = </t>
  </si>
  <si>
    <t>Orange = 23.25</t>
  </si>
  <si>
    <t>Orange = 25.1</t>
  </si>
  <si>
    <t>Purple = 8.76</t>
  </si>
  <si>
    <t>Purple =</t>
  </si>
  <si>
    <t>Purple = 11.05</t>
  </si>
  <si>
    <t>Purple = 11.55</t>
  </si>
  <si>
    <t>OH Weapon DPS</t>
  </si>
  <si>
    <t>OH Weapon Speed</t>
  </si>
  <si>
    <t>OH offset value</t>
  </si>
  <si>
    <t>Enhancement</t>
  </si>
  <si>
    <t>Orange = 16.68</t>
  </si>
  <si>
    <t>Orange = 19.7</t>
  </si>
  <si>
    <t>Orange = 20.7</t>
  </si>
  <si>
    <t>Purple = 8.8</t>
  </si>
  <si>
    <t>Purple = 11</t>
  </si>
  <si>
    <t>Slot</t>
  </si>
  <si>
    <t>Name</t>
  </si>
  <si>
    <t>Location / Information</t>
  </si>
  <si>
    <t>Pawn</t>
  </si>
  <si>
    <t>Stam</t>
  </si>
  <si>
    <t>Str</t>
  </si>
  <si>
    <t>Meta</t>
  </si>
  <si>
    <t>Red</t>
  </si>
  <si>
    <t>Yellow</t>
  </si>
  <si>
    <t>Blue</t>
  </si>
  <si>
    <t>Socket Bonus</t>
  </si>
  <si>
    <t>Misc</t>
  </si>
  <si>
    <t>Additional Information / Notes</t>
  </si>
  <si>
    <t>All sockets calculated with +10 (T6 epic quality) gems. Your mileage will vary somewhat based on gemming choices.</t>
  </si>
  <si>
    <t>Stat weights are a work in progress, specifically WDPS and WSpeed. Also keep in mind the stat weights are balanced around the T6/Sunwell content, the value on individual pieces is reliant on the assumption of a T6/Sunwell geared char in terms of stat scaling.</t>
  </si>
  <si>
    <t>At Sunwell level the value of Hit drops with more HS use, the importance of Expertise increases (think of it as a % multiplyer almost in how it works) and we see Haste increase in value considerably. Keep in mind your stat weights effectively change slightly with every piece of gear.</t>
  </si>
  <si>
    <t>Helm</t>
  </si>
  <si>
    <t>Coif of Alleria</t>
  </si>
  <si>
    <t>Sunwell Plateau - Kil'Jaeden</t>
  </si>
  <si>
    <t>4 agi</t>
  </si>
  <si>
    <t>Crown of Anasterian</t>
  </si>
  <si>
    <t>4 crit</t>
  </si>
  <si>
    <t>Duplicitous Guise</t>
  </si>
  <si>
    <t>4 hit</t>
  </si>
  <si>
    <t>Crafted</t>
  </si>
  <si>
    <t>Mayhem Projection Goggles</t>
  </si>
  <si>
    <t>Sunwell Plateau - BOE Pattern - Engi</t>
  </si>
  <si>
    <t>Pattern is BOE but item is BOP and requires 350 Engi to craft</t>
  </si>
  <si>
    <t>Cursed Vision of Sargeras</t>
  </si>
  <si>
    <t>Black Temple - Illidan Stormrage</t>
  </si>
  <si>
    <t>6 Stam</t>
  </si>
  <si>
    <t>Allows tracking of Demons</t>
  </si>
  <si>
    <t>S4 Set</t>
  </si>
  <si>
    <t>Brutal Gladiator's Plate Helm</t>
  </si>
  <si>
    <t>PvP Arena - Season 4</t>
  </si>
  <si>
    <t>Helm of the Illidari Shatterer</t>
  </si>
  <si>
    <t>Black Temple - Illidari Council</t>
  </si>
  <si>
    <t>T6 Set</t>
  </si>
  <si>
    <t>Onslaught Battle-Helm</t>
  </si>
  <si>
    <t>Hyjal Summit - Archimonde</t>
  </si>
  <si>
    <t>4 str</t>
  </si>
  <si>
    <t>S3 Set</t>
  </si>
  <si>
    <t>Vengeful Gladiator's Plate Helm</t>
  </si>
  <si>
    <t>PvP Arena - Season 3</t>
  </si>
  <si>
    <t>T5 Set</t>
  </si>
  <si>
    <t>Destroyer Battle-Helm</t>
  </si>
  <si>
    <t>Serpentshrine Caverns - Lady Vashj</t>
  </si>
  <si>
    <t>Forest Prowler's Helm</t>
  </si>
  <si>
    <t>2 Mp5</t>
  </si>
  <si>
    <t>Furious Gizmatic Goggles</t>
  </si>
  <si>
    <t>Engineering (350)</t>
  </si>
  <si>
    <t>T4 Set</t>
  </si>
  <si>
    <t>Warbringer Battle-Helm</t>
  </si>
  <si>
    <t>Karazhan - Prince Malchezaar</t>
  </si>
  <si>
    <t>Neck</t>
  </si>
  <si>
    <t>Hard Khorium Choker</t>
  </si>
  <si>
    <t>Sunwell Plateau - Trash/Boss (JC BoE Pattern)</t>
  </si>
  <si>
    <t>4 ap</t>
  </si>
  <si>
    <t>BOE Pattern but BOP item, requires 365 JC to make</t>
  </si>
  <si>
    <t>Clutch of Demise</t>
  </si>
  <si>
    <t>Sunwell Plateau - Brutallus</t>
  </si>
  <si>
    <t>Choker of Endless Nightmares</t>
  </si>
  <si>
    <t>Black Temple - Supremus</t>
  </si>
  <si>
    <t>Choker of Serrated Blades</t>
  </si>
  <si>
    <t>Black Tempe/Hyjal Summit - Trash Loot</t>
  </si>
  <si>
    <t>Sin'dorei Pendant of Triumph</t>
  </si>
  <si>
    <t>Sunwell Plateau - The Eredar Twins</t>
  </si>
  <si>
    <t>19 reslience</t>
  </si>
  <si>
    <t>S4 PvP</t>
  </si>
  <si>
    <t>Guardian's Pendant of Triumph</t>
  </si>
  <si>
    <t>PvP Battlegrounds - 10 EOTS + Honor</t>
  </si>
  <si>
    <t>3 Stam</t>
  </si>
  <si>
    <t>18 resilience</t>
  </si>
  <si>
    <t>See notes</t>
  </si>
  <si>
    <t>Shattered Sun Pendant of Might (Aldor)</t>
  </si>
  <si>
    <t>Shattered Sun Offensive - Exalted</t>
  </si>
  <si>
    <t>If Aldor = 200AP for 10s, 45s ICD. Assuming average 1 proc per 51s = Average 39.2 AP (much stronger if proc during BL/Reck), consider pawn a very rough estimate.</t>
  </si>
  <si>
    <t>Pendant of the Perilous</t>
  </si>
  <si>
    <t>Serpentshrine Caverns - Trash loot</t>
  </si>
  <si>
    <t>Choker of Animalistic Fury</t>
  </si>
  <si>
    <t>Serpentshrine Caverns - The Lurker Below</t>
  </si>
  <si>
    <t>Telonicus's Pendant of Mayhem</t>
  </si>
  <si>
    <t>The Eye - Kael'thas Sunstrider (Quest)</t>
  </si>
  <si>
    <t>Choker of Vile Intent</t>
  </si>
  <si>
    <t xml:space="preserve">Badge of Justice (25) </t>
  </si>
  <si>
    <t>Shattered Sun Pendant of Might (Scryer)</t>
  </si>
  <si>
    <t xml:space="preserve">If Scryer = procs for 350-400 arcane damage (can crit) - 45s ICD. not included in pawn weight. </t>
  </si>
  <si>
    <t>Brooch of Deftness</t>
  </si>
  <si>
    <t>Badge of Justice (35) ZA patch item</t>
  </si>
  <si>
    <t>Shoulder</t>
  </si>
  <si>
    <t>Sunmote</t>
  </si>
  <si>
    <t>Demontooth Shoulderpads</t>
  </si>
  <si>
    <t>3 agi</t>
  </si>
  <si>
    <t>Mantle of the Golden Forest</t>
  </si>
  <si>
    <t>Pauldrons of Berserking</t>
  </si>
  <si>
    <t>3 str</t>
  </si>
  <si>
    <t>Shoulderpads of Vehemence</t>
  </si>
  <si>
    <t>Onslaught Shoulderblades</t>
  </si>
  <si>
    <t>Black Temple - Mother Shahraz</t>
  </si>
  <si>
    <t>3 crit</t>
  </si>
  <si>
    <t>Brutal Gladiator's Plate Shoulders</t>
  </si>
  <si>
    <t>20 resilience</t>
  </si>
  <si>
    <t>Blood-stained Pauldrons</t>
  </si>
  <si>
    <t>Hyjal Summit - Rage Winterchill</t>
  </si>
  <si>
    <t>Ripfiend Shoulderplates</t>
  </si>
  <si>
    <t>Doom Lord Kazzak (World Boss) BOE</t>
  </si>
  <si>
    <t>Shoulderpads of the Stranger</t>
  </si>
  <si>
    <t>Serpentshrine Caverns - Hydross the Unstable</t>
  </si>
  <si>
    <t>2 agi</t>
  </si>
  <si>
    <t>Be weary of how EXP rating converts to Expertise when considering these</t>
  </si>
  <si>
    <t>Swiftsteel Shoulders</t>
  </si>
  <si>
    <t>Blacksmithing BOP (Black Temple Trash Pattern)</t>
  </si>
  <si>
    <t>Mantle of Darkness</t>
  </si>
  <si>
    <t>Black Temple - High Warlord Naj'entus</t>
  </si>
  <si>
    <t>Pauldrons of Gruesome Fate</t>
  </si>
  <si>
    <t>Badge of Justice (60) ZA patch item</t>
  </si>
  <si>
    <t>Destroyer Shoulderblades</t>
  </si>
  <si>
    <t xml:space="preserve">The Eye - Void Reaver </t>
  </si>
  <si>
    <t>Pauldrons of the Wardancer</t>
  </si>
  <si>
    <t>Shoulders of the Hidden Predator</t>
  </si>
  <si>
    <t>Black Temple - Shade of Akama</t>
  </si>
  <si>
    <t>Back</t>
  </si>
  <si>
    <t>Cloak of Unforgivable Sin</t>
  </si>
  <si>
    <t>Shadowmoon Destroyer's Drape</t>
  </si>
  <si>
    <t>Black Temple - Teron Gorefiend</t>
  </si>
  <si>
    <t>Dory's Embrace</t>
  </si>
  <si>
    <t>Vengeance Wrap</t>
  </si>
  <si>
    <t>Tailoring BOE</t>
  </si>
  <si>
    <t>2 hit</t>
  </si>
  <si>
    <t>Cloak of Fiends</t>
  </si>
  <si>
    <t>Zul Aman - Timed Reward Chest 1</t>
  </si>
  <si>
    <t>Cloak of Darkness</t>
  </si>
  <si>
    <t>Leatherworking BOE (Exalted - The Violet Eye)</t>
  </si>
  <si>
    <t>2 crit</t>
  </si>
  <si>
    <t>Melee crit strike rating (rather than crit strike rating) means Pawn calculates values wrong in game</t>
  </si>
  <si>
    <t>Black-Iron Battlecloak</t>
  </si>
  <si>
    <t>Doomwalker (World Boss) BOE</t>
  </si>
  <si>
    <t>Thalassian Wildercloak</t>
  </si>
  <si>
    <t>The Eye - Kael'thas Sunstrider</t>
  </si>
  <si>
    <t>Chest</t>
  </si>
  <si>
    <t>Bladed Chaos Tunic</t>
  </si>
  <si>
    <t>Sunwell Plateau - M'uru</t>
  </si>
  <si>
    <t>8 ap</t>
  </si>
  <si>
    <t>Hard Khorium Battleplate</t>
  </si>
  <si>
    <t>Sunwell Plateau - Trash loot (BS BOE Pattern)</t>
  </si>
  <si>
    <t>Pattern is BOE but the item is BOP</t>
  </si>
  <si>
    <t>Carapace of Sun and Shadow</t>
  </si>
  <si>
    <t>Sunwell Plateau - Trash loot (LW BOE Pattern)</t>
  </si>
  <si>
    <t>Warharness of Reckless Fury</t>
  </si>
  <si>
    <t>Harness of Carnal Instinct</t>
  </si>
  <si>
    <t>Embrace of the Phoenix</t>
  </si>
  <si>
    <t>Brutal Gladiator's Plate Chestpiece</t>
  </si>
  <si>
    <t>24 resilience</t>
  </si>
  <si>
    <t>Vicious Hawkstrider Hauberk</t>
  </si>
  <si>
    <t>Onslaught Breastplate</t>
  </si>
  <si>
    <t>Midnight Chestguard</t>
  </si>
  <si>
    <t>Vengeful Gladiator's Plate Chestpiece</t>
  </si>
  <si>
    <t>Bulwark of Ancient Kings</t>
  </si>
  <si>
    <t>Armorsmithing Specialisation (375 BS) - Stage 3</t>
  </si>
  <si>
    <t>150 STR + 1500 Health for 15 seconds (On use - 30min CD)</t>
  </si>
  <si>
    <t>Heartshatter Breastplate</t>
  </si>
  <si>
    <t>Bloodsea Brigand's Vest</t>
  </si>
  <si>
    <t>Serpentshrine Caverns - Fathom-Lord Karathress</t>
  </si>
  <si>
    <t>Destroyer Breasplate</t>
  </si>
  <si>
    <t>Nether Shadow Tunic</t>
  </si>
  <si>
    <t>Shadowtooth Trollskin Cuirass</t>
  </si>
  <si>
    <t>Zul'Aman - Jan'alai</t>
  </si>
  <si>
    <t>Bulwark of Kings</t>
  </si>
  <si>
    <t>Armorsmithing Specialisation (375 BS) - Stage 2</t>
  </si>
  <si>
    <t>Netherforce Chestplate</t>
  </si>
  <si>
    <t>Magisters' Terrace - Kael'thas Sunstrider</t>
  </si>
  <si>
    <t>Scaled Drakeskin Chestguard</t>
  </si>
  <si>
    <t>Badge of Justice (100) - Sunwell patch item</t>
  </si>
  <si>
    <t>Terrorweave Tunic</t>
  </si>
  <si>
    <t>Tunic of the Dark Hour</t>
  </si>
  <si>
    <t>Breastplate of Ire</t>
  </si>
  <si>
    <t>Bracer</t>
  </si>
  <si>
    <t>Onslaught Bracers</t>
  </si>
  <si>
    <t>Sunwell Plateau - Kalecgos</t>
  </si>
  <si>
    <t>Deadly Cuffs</t>
  </si>
  <si>
    <t>Bracers of Eradication</t>
  </si>
  <si>
    <t>2 str</t>
  </si>
  <si>
    <t>Insidious Bands</t>
  </si>
  <si>
    <t>Furious Shackles</t>
  </si>
  <si>
    <t>Bindings of Lightning Reflexes</t>
  </si>
  <si>
    <t>Leatherworkering BOE (Black Temple Pattern)</t>
  </si>
  <si>
    <t>Bladespire Warbands</t>
  </si>
  <si>
    <t>Gruul's Lair - High King Maulgar</t>
  </si>
  <si>
    <t>Guardian's Plate Bracers</t>
  </si>
  <si>
    <t>PvP Battlegrounds - WSG20 + Honor</t>
  </si>
  <si>
    <t>17 resilience</t>
  </si>
  <si>
    <t>Eternium Rage-shackles</t>
  </si>
  <si>
    <t>Master Assassin Wristwraps</t>
  </si>
  <si>
    <t>Swiftstrike Bracers</t>
  </si>
  <si>
    <t>Swiftsteel Bracers</t>
  </si>
  <si>
    <t>Blacksmithing BOE (Black Temple Pattern)</t>
  </si>
  <si>
    <t>Steadying Bracers</t>
  </si>
  <si>
    <t>Hands</t>
  </si>
  <si>
    <t>Gloves of Immortal Dusk</t>
  </si>
  <si>
    <t>Sunwell Plateau - Leatherworking BOE</t>
  </si>
  <si>
    <t>Thalassian Ranger Gauntlets</t>
  </si>
  <si>
    <t>Borderland Paingrips</t>
  </si>
  <si>
    <t>Hard Khorium Battlefists</t>
  </si>
  <si>
    <t>Sunwell Plateau - Blacksmithing BOE</t>
  </si>
  <si>
    <t>Shadowed Gauntlets of Paroxysm</t>
  </si>
  <si>
    <t>Fletcher's Gloves of the Phoenix</t>
  </si>
  <si>
    <t>6 ap</t>
  </si>
  <si>
    <t>Gloves of the Forest Drifter</t>
  </si>
  <si>
    <t>Grips of Silent Justice</t>
  </si>
  <si>
    <t>4 Stam</t>
  </si>
  <si>
    <t>Onslaught Gauntlets</t>
  </si>
  <si>
    <t>Hyjal Summit - Azgalor</t>
  </si>
  <si>
    <t>Grips of Damnation</t>
  </si>
  <si>
    <t>Black Temple - Reliquary of Souls</t>
  </si>
  <si>
    <t>Gauntlets of Rapidity</t>
  </si>
  <si>
    <t>Badge of Justice (75) - Sunwell patch item</t>
  </si>
  <si>
    <t>Fists of Mukoa</t>
  </si>
  <si>
    <t>Pillager's Gauntlets</t>
  </si>
  <si>
    <t>Black Temple - Trash loot</t>
  </si>
  <si>
    <t>Gauntlets of Martial Perfection</t>
  </si>
  <si>
    <t>Gruul's Lair - Gruul the Dragonkiller</t>
  </si>
  <si>
    <t>Liar's Tongue Gloves</t>
  </si>
  <si>
    <t>Magtheridons Lair</t>
  </si>
  <si>
    <t>Brutal Gladiator's Plate Gauntlets</t>
  </si>
  <si>
    <t>24 resilience and reduces hamstring rage cost by 3</t>
  </si>
  <si>
    <t>Belt</t>
  </si>
  <si>
    <t>Onslaught Belt</t>
  </si>
  <si>
    <t>Belt of One-Hundred Deaths</t>
  </si>
  <si>
    <t>Chain of Unleashed Rage</t>
  </si>
  <si>
    <t>3 hit</t>
  </si>
  <si>
    <t>Boneweave Girdle</t>
  </si>
  <si>
    <t>Don Alejandro's Money Belt</t>
  </si>
  <si>
    <t>Hyjal Summit - Anetheron</t>
  </si>
  <si>
    <t>Red Belt of Battle</t>
  </si>
  <si>
    <t>Blacksmithing BOE (SSC Trash Pattern)</t>
  </si>
  <si>
    <t>Bladeangel's Money Belt</t>
  </si>
  <si>
    <t>Zul Aman - Nalorakk</t>
  </si>
  <si>
    <t>Shadow-walker's Cord</t>
  </si>
  <si>
    <t>Valestalker Girdle</t>
  </si>
  <si>
    <t>Hyjal Summit - Kaz'rogal</t>
  </si>
  <si>
    <t>Belt of the Silent Path</t>
  </si>
  <si>
    <t>Badge of Justice (75) Sunwell patch item</t>
  </si>
  <si>
    <t>Belt of Deep Shadow</t>
  </si>
  <si>
    <t>Leatherworking BOE (SSC Trash Pattern)</t>
  </si>
  <si>
    <t>Girdle of the Endless Pit</t>
  </si>
  <si>
    <t>Guardian's Plate Belt</t>
  </si>
  <si>
    <t>PvP Battlegrounds - 40 AB + Honor</t>
  </si>
  <si>
    <t>30 resilience</t>
  </si>
  <si>
    <t>Girdle of Seething Rage</t>
  </si>
  <si>
    <t>Legs</t>
  </si>
  <si>
    <t>Leggings of the Immortal Night</t>
  </si>
  <si>
    <t>Sunwell Plateau - Felmyst</t>
  </si>
  <si>
    <t>Felfury Legplates</t>
  </si>
  <si>
    <t>Leggings of Divine Retribution</t>
  </si>
  <si>
    <t>Black Temple - Gurtogg Bloodboil</t>
  </si>
  <si>
    <t>Leggings of the Immortal Beast</t>
  </si>
  <si>
    <t>Starstalker Legguards</t>
  </si>
  <si>
    <t>Brutal Gladiator's Plate Legguards</t>
  </si>
  <si>
    <t>22 resilience</t>
  </si>
  <si>
    <t>Onslaught Greaves</t>
  </si>
  <si>
    <t>Legguards of Endless Rage</t>
  </si>
  <si>
    <t>Legplates of Unending Fury</t>
  </si>
  <si>
    <t>Badge of Justice (100) Sunwell patch item</t>
  </si>
  <si>
    <t>Bow-Stitched Leggings</t>
  </si>
  <si>
    <t>Vengeful Gladiator's Plate Legguards</t>
  </si>
  <si>
    <t>Shady Dealer's Pantaloons</t>
  </si>
  <si>
    <t>Trousers of the Scryers' Retainer</t>
  </si>
  <si>
    <t>Greaves of the Bloodwarder</t>
  </si>
  <si>
    <t>The Eye - High Astromancer Solarian</t>
  </si>
  <si>
    <t>Destroyer Greaves</t>
  </si>
  <si>
    <t>Serpentshrine Caverns - Fathom Lord Karathress</t>
  </si>
  <si>
    <t>Leggings of Murderous Intent</t>
  </si>
  <si>
    <t>Leggings of the Pursuit</t>
  </si>
  <si>
    <t>Tameless Breeches</t>
  </si>
  <si>
    <t>Scaled Greaves of the Marksman</t>
  </si>
  <si>
    <t>Bloodthirster's Wargreaves</t>
  </si>
  <si>
    <t>Badge of Justice (75) ZA patch item</t>
  </si>
  <si>
    <t>Skulker's Greaves</t>
  </si>
  <si>
    <t>Karazhan - Netherspite</t>
  </si>
  <si>
    <t>4 dodge</t>
  </si>
  <si>
    <t>Boots</t>
  </si>
  <si>
    <t>Onslaught Treads</t>
  </si>
  <si>
    <t>Dreadboots of the Legion</t>
  </si>
  <si>
    <t>Shadowmasters's Boots</t>
  </si>
  <si>
    <t>Softstep Boots of Tracking</t>
  </si>
  <si>
    <t>Nyn'jah's Tabi Boots</t>
  </si>
  <si>
    <t>Badge of Justice (60) - ZA patch item</t>
  </si>
  <si>
    <t>Sunrage Treads</t>
  </si>
  <si>
    <t>Guardian's Plate Greaves</t>
  </si>
  <si>
    <t>PvP Battlegrounds - 40 EOTS + Honor</t>
  </si>
  <si>
    <t>Skullshatter Warboots</t>
  </si>
  <si>
    <t>Zul Aman - Halazzi</t>
  </si>
  <si>
    <t>Sunstrider Warboots</t>
  </si>
  <si>
    <t>Quickstrider Moccasins</t>
  </si>
  <si>
    <t>Boots of Utter Darkness</t>
  </si>
  <si>
    <t>Leatherworking (T5 trash pattern BOP - 375 skill req)</t>
  </si>
  <si>
    <t>Warboots of Obliteration</t>
  </si>
  <si>
    <t>Serpentshrine Caverns - Morogrim Tidewalker</t>
  </si>
  <si>
    <t>Cobra-Lash Boots</t>
  </si>
  <si>
    <t>Star-Strider Boots</t>
  </si>
  <si>
    <t>Fel Leather Boots</t>
  </si>
  <si>
    <t>Leatherworking BOE</t>
  </si>
  <si>
    <t>Rings</t>
  </si>
  <si>
    <t>Band of Ruinous Delight</t>
  </si>
  <si>
    <t>Stormrage Signet Ring</t>
  </si>
  <si>
    <t>Angelista's Revenge</t>
  </si>
  <si>
    <t>Badge of Justice (60) - Sunwell patch item</t>
  </si>
  <si>
    <t>Hard Khorium Band</t>
  </si>
  <si>
    <t>Sunwell Plateau - Jewelcrafting BOE</t>
  </si>
  <si>
    <t>Signet of Primal Wrath</t>
  </si>
  <si>
    <t>Zul Aman - Time Reward Chest 3</t>
  </si>
  <si>
    <t>Unstoppable Aggressor's Ring</t>
  </si>
  <si>
    <t>Guardian's Band of Triumph</t>
  </si>
  <si>
    <t>PvP Battlegrounds - AV + Honor</t>
  </si>
  <si>
    <t>Band of the Ranger-General</t>
  </si>
  <si>
    <t>Band of the Eternal Champion</t>
  </si>
  <si>
    <t>Scale of the Sands - Exalted</t>
  </si>
  <si>
    <t>Rough calc assuming 1ppm 160/6 = 26.6 (Clearly worth much more if proc during BL/Recklessness)</t>
  </si>
  <si>
    <t>Band of Devastation</t>
  </si>
  <si>
    <t>Ring of Reciprocity</t>
  </si>
  <si>
    <t>Ring of a Thousand Marks</t>
  </si>
  <si>
    <t>Sin'dorei Band of Triumph</t>
  </si>
  <si>
    <t>19 resilience</t>
  </si>
  <si>
    <t>Ring of Deceitful Intent</t>
  </si>
  <si>
    <t>Ring of Lethality</t>
  </si>
  <si>
    <t>Trinkets</t>
  </si>
  <si>
    <t>See notes/ratings tab for information about trinket procs/uptimes</t>
  </si>
  <si>
    <t>AP/AVG</t>
  </si>
  <si>
    <t>Group Buff</t>
  </si>
  <si>
    <t>Solarian's Sapphire</t>
  </si>
  <si>
    <t>Battle Shout grants an additional 70 AP (350 AP (437.5 w/ Talent) max group benefit, at the cost of users trinket slot)</t>
  </si>
  <si>
    <t>Blackened Naaru Sliver</t>
  </si>
  <si>
    <t>Chance on hit : 44 AP stacking 10x, 20s duration, 45s ICD</t>
  </si>
  <si>
    <t>Dragonspine Trophy</t>
  </si>
  <si>
    <t>Your melee and ranged attacks have a chance to increase haste rating by 325 (20.61%) for 10 sec</t>
  </si>
  <si>
    <t>Shard of Contempt</t>
  </si>
  <si>
    <t>Magisters' Terrace - Priestess Delrissa</t>
  </si>
  <si>
    <t>Chance on hit : 230 AP for 20s, 45s ICD</t>
  </si>
  <si>
    <t>Madness of the Betrayer</t>
  </si>
  <si>
    <t>Melee and Ranged attacks have a chance to allow you to ignore 300 armor for 10 seconds</t>
  </si>
  <si>
    <t>See note</t>
  </si>
  <si>
    <t>Steely Naaru Sliver</t>
  </si>
  <si>
    <t>As a standalone EXP item the wasted value would bring it down just below Berserker's Call</t>
  </si>
  <si>
    <t>Berserker's Call</t>
  </si>
  <si>
    <t>Zul Aman - Zul'jin</t>
  </si>
  <si>
    <t>Use: 360 AP for 20s - 2min cooldown</t>
  </si>
  <si>
    <t>Lvl 60 (see notes)</t>
  </si>
  <si>
    <t>Mark of the Champion</t>
  </si>
  <si>
    <t>Naxxramas (40man) - Kel'Thuzad (Quest)</t>
  </si>
  <si>
    <t>150 AP when fighting Demons or Undead</t>
  </si>
  <si>
    <t>Figurine - Shadowsong Panther</t>
  </si>
  <si>
    <t>Shattered Sun (Revered) - BOP Pattern - JC</t>
  </si>
  <si>
    <t>Use: 320 AP for 15s - 1.5min cooldown</t>
  </si>
  <si>
    <t>Tsunami Talisman</t>
  </si>
  <si>
    <t>Serpentshrine Caverns - Leotheras the Blind</t>
  </si>
  <si>
    <t>Chance on crit to proc: 340 AP for 10s - 45s ICD</t>
  </si>
  <si>
    <t>Darkmoon Card: Crusade</t>
  </si>
  <si>
    <t>Blessings Deck</t>
  </si>
  <si>
    <t>6 AP proc stacking 20 times (120Ap sustained)</t>
  </si>
  <si>
    <t>Bloodlust Brooch</t>
  </si>
  <si>
    <t>41 Badge of Justice - G'eras</t>
  </si>
  <si>
    <t>Use: 278 AP for 20s - 2min cooldown</t>
  </si>
  <si>
    <t>Lvl 60</t>
  </si>
  <si>
    <t>Slayer's Crest</t>
  </si>
  <si>
    <t>Naxxramas (40man) - Sapphiron</t>
  </si>
  <si>
    <t>Use : 260 AP for 20s - 2min cooldown</t>
  </si>
  <si>
    <t>Hourglass of the Unraveller</t>
  </si>
  <si>
    <t>Black Morass - Temporus</t>
  </si>
  <si>
    <t>Chance on crit to proc: 300 AP for 10s - 45s ICD</t>
  </si>
  <si>
    <t>Ranged</t>
  </si>
  <si>
    <t>Legendary</t>
  </si>
  <si>
    <t>Thori'dal, the Stars' Fury</t>
  </si>
  <si>
    <t>Golden Bow of Quel'Thalas</t>
  </si>
  <si>
    <t>Ancient Amani Longbow</t>
  </si>
  <si>
    <t>Blade of Life's Inevitability</t>
  </si>
  <si>
    <t>Sunwell Plateau - Trash loot</t>
  </si>
  <si>
    <t>Crossbow of Relentless Strikes</t>
  </si>
  <si>
    <t>Badge of Justice (150) - Sunwell patch item</t>
  </si>
  <si>
    <t>Barrel-Blade Longrifle</t>
  </si>
  <si>
    <t>Doomwalker BOE (World Boss)</t>
  </si>
  <si>
    <t>Tuskbreaker</t>
  </si>
  <si>
    <t>Zul'Aman - Timed Reward Chest 2</t>
  </si>
  <si>
    <t>Brutal Gladiator's War Edge</t>
  </si>
  <si>
    <t>12 resilience</t>
  </si>
  <si>
    <t>Serpent Spine Longbow</t>
  </si>
  <si>
    <t>Twisted Blades of Zarak</t>
  </si>
  <si>
    <t>Distracting Blades</t>
  </si>
  <si>
    <t>Magisters' Terrace - Selin Fireheart</t>
  </si>
  <si>
    <t>S3 PvP</t>
  </si>
  <si>
    <t>Vengeful Gladiator's War Edge</t>
  </si>
  <si>
    <t>Pvp Arena - Season 3</t>
  </si>
  <si>
    <t>Sunfury Bow of the Phoenix</t>
  </si>
  <si>
    <t>S2 PvP</t>
  </si>
  <si>
    <t>Merciless Gladiator's War Edge</t>
  </si>
  <si>
    <t>PvP Arena - Season 2</t>
  </si>
  <si>
    <t>Mama's Insurance</t>
  </si>
  <si>
    <t>Netherstorm Quest</t>
  </si>
  <si>
    <t>Nightstrike</t>
  </si>
  <si>
    <t>Magisters' Terrace - Priestess Delrissa (Normal)</t>
  </si>
  <si>
    <t>Main Hand</t>
  </si>
  <si>
    <t>DPS</t>
  </si>
  <si>
    <t>Speed</t>
  </si>
  <si>
    <t>EXP</t>
  </si>
  <si>
    <t>Str.</t>
  </si>
  <si>
    <t>Weapons listed roughly in order of strength. Pawn values on Dragonstrike (+variants) based on averages (see notes tab). Syphon/Rod procs are now accounted for.</t>
  </si>
  <si>
    <t>Hand of the Deceiver</t>
  </si>
  <si>
    <t>Warglaive of Azzinoth</t>
  </si>
  <si>
    <t>2set - Proc - increase your haste rating by 450 (28.54%) for 10 sec + 200 AP vs demons</t>
  </si>
  <si>
    <t>Brutal Gladiator's Slicer</t>
  </si>
  <si>
    <t>Muramasa</t>
  </si>
  <si>
    <t>Vanir's Right Fist of Brutality</t>
  </si>
  <si>
    <t>Badge of Justice (105) - Sunwell patch item</t>
  </si>
  <si>
    <t>Dragonstrike (Mainhand Only)</t>
  </si>
  <si>
    <t>Hammersmith Specialisation (375 BS) - Stage 3</t>
  </si>
  <si>
    <t>Proc: 212 haste for 10s  (42% Uptime) (Does not stack when dual-wielding, only refreshes to increase uptime)</t>
  </si>
  <si>
    <t>Vengeful Gladiator's Slicer</t>
  </si>
  <si>
    <t>Blade of Infamy</t>
  </si>
  <si>
    <t>Rod of the Sun King</t>
  </si>
  <si>
    <t>Chance on melee attack to gain 10 Energy or 5 Rage</t>
  </si>
  <si>
    <t>Syphon of the Nathrezim</t>
  </si>
  <si>
    <t>Chance on hit - Shadow Damage based life steal, scales with related spell debuffs</t>
  </si>
  <si>
    <t>Talon of the Phoenix</t>
  </si>
  <si>
    <t>The Eye - Al'ar</t>
  </si>
  <si>
    <t>Rising Tide</t>
  </si>
  <si>
    <t xml:space="preserve">If orc add 5 EXP main hand (at approx 65% contribution) = Add : 15.13 Pawn Value </t>
  </si>
  <si>
    <t>Claw of Molten Fury</t>
  </si>
  <si>
    <t>Hyjal Summit - Trash loot</t>
  </si>
  <si>
    <t>2-set : Chance to bathe your enemy in flame causing 100-150 Fire damage to your target</t>
  </si>
  <si>
    <t>Wicked Edge of the Planes</t>
  </si>
  <si>
    <t>Axesmithing Specialisation (375 BS) - Stage 3</t>
  </si>
  <si>
    <t>Merciless Gladiator's Slicer</t>
  </si>
  <si>
    <t>12 Resilience</t>
  </si>
  <si>
    <t>Talon of Azshara</t>
  </si>
  <si>
    <t>168 Armor</t>
  </si>
  <si>
    <t>Netherbane</t>
  </si>
  <si>
    <t>If orc add 5 EXP main hand (at approx 65% contribution) = Add : 15.13 Pawn Value</t>
  </si>
  <si>
    <t>Rage</t>
  </si>
  <si>
    <t>Offhand</t>
  </si>
  <si>
    <t>Mounting Vengeance</t>
  </si>
  <si>
    <t>Grip of Mannoroth</t>
  </si>
  <si>
    <t>Dragonscale-Encrusted Longblade</t>
  </si>
  <si>
    <t>Why take a tank weapon when you can have Warglaives, amiright?</t>
  </si>
  <si>
    <t>Brutal Gladiator's Quickblade</t>
  </si>
  <si>
    <t>Vanir's Left Fist of Brutality</t>
  </si>
  <si>
    <t>Badge of Justice (45) - Sunwell patch item</t>
  </si>
  <si>
    <t>Vanir's Left Fist of Savagery</t>
  </si>
  <si>
    <t>Dragonstrike (with no DS in MH)</t>
  </si>
  <si>
    <t>Proc: 212 haste for 10s  (34% Uptime) (Does not stack when dual-wielding, only refreshes to increase uptime)</t>
  </si>
  <si>
    <t>Vengeful Gladiator's Quickblade</t>
  </si>
  <si>
    <t>Swiftsteel Bludgeon</t>
  </si>
  <si>
    <t>Blade of Savagery</t>
  </si>
  <si>
    <t>If Orc add 5 EXP off hand (at approx 35% contribution) = Add : 8.14 Pawn Value</t>
  </si>
  <si>
    <t>Dragonstrike</t>
  </si>
  <si>
    <t>Fist of Molten Fury</t>
  </si>
  <si>
    <t>The Brutalizer</t>
  </si>
  <si>
    <t>Merciless Gladiator's Quickblade</t>
  </si>
  <si>
    <t>Fury</t>
  </si>
  <si>
    <t>Claw of the Phoenix</t>
  </si>
  <si>
    <t xml:space="preserve">Blazefury </t>
  </si>
  <si>
    <t xml:space="preserve">Swordsmith Specialisation (BS 375) - Stage 3 </t>
  </si>
  <si>
    <t>Looks cool but it's a tank weapon</t>
  </si>
  <si>
    <t>Note : Dragonstrike OH ranking assumes you also have one in the MH, due to the proc not stacking the offhand only serves to increase the uptime, leaving the weapon slightly devalued as an offhand choice. If you only have Dragonstrike in the offhand the value is much closer to the MH value.</t>
  </si>
  <si>
    <t>All sockets calculated with +10 (T6 epic quality) gems. Your mileage will vary somewhat based on gemming choices. Early working version of Arms Sheet, expect changes.</t>
  </si>
  <si>
    <t>Stat weights reflect a Sunwell gear level, but are a work in progress, specifically WDPS, WSpeed. Keep in mind your stat weights would effectively change with every piece of gear!</t>
  </si>
  <si>
    <t>Hit rating value is set to avoid causing hit rating items to explode in value in the ranking, since it is useless above the 9% cap, use some critical thinking when creating overall sets to meet the 142 hit requirement</t>
  </si>
  <si>
    <t>S2 Set</t>
  </si>
  <si>
    <t>Merciless Gladiator's Plate Helm</t>
  </si>
  <si>
    <t xml:space="preserve">PvP Arena - Season 2 </t>
  </si>
  <si>
    <t>25 resilience</t>
  </si>
  <si>
    <t>Coif of the Jungle Stalker</t>
  </si>
  <si>
    <t>Zul Aman - Hex Lord Malacrass</t>
  </si>
  <si>
    <t>Grimgrin Faceguard</t>
  </si>
  <si>
    <t>Vindicator's Pendant of Triumph</t>
  </si>
  <si>
    <t>3 stam</t>
  </si>
  <si>
    <t>Worgen Claw Necklace</t>
  </si>
  <si>
    <t>Karazhan - Attunmen the Huntsman</t>
  </si>
  <si>
    <t>Be weary of how EXP rating converts to Expertise (See Combat Ratings/Notes) when considering these</t>
  </si>
  <si>
    <t>Vengeful Gladiator's Plate Shoulders</t>
  </si>
  <si>
    <t>Merciless Gladiator's Plate Shoulders</t>
  </si>
  <si>
    <t>Badge of Justice (60) ZA patch item.</t>
  </si>
  <si>
    <t>If you're hit capped, Cloak of Darkness is marginally better than this cloak.</t>
  </si>
  <si>
    <t>Razor-Scale Battlecloak</t>
  </si>
  <si>
    <t>8ap</t>
  </si>
  <si>
    <t>Krakken-Heart Breastplate</t>
  </si>
  <si>
    <t>Merciless Gladiator's Plate Chestpiece</t>
  </si>
  <si>
    <t>2 agil</t>
  </si>
  <si>
    <t>Vindicator's Plate Bracers</t>
  </si>
  <si>
    <t>PvP Battlegrounds - 20 WSG + Honor</t>
  </si>
  <si>
    <t>Wraps of Precise Flight</t>
  </si>
  <si>
    <t>True-Aim Stalker Bands</t>
  </si>
  <si>
    <t>4 stam</t>
  </si>
  <si>
    <t>Gloves of the Searing Grip</t>
  </si>
  <si>
    <t>Gauntlets of Sniping</t>
  </si>
  <si>
    <t>Furious Deathgrips</t>
  </si>
  <si>
    <t>Fel Leather Gloves</t>
  </si>
  <si>
    <t>Destroyer Gauntlets</t>
  </si>
  <si>
    <t>Belt of the Black Eagle</t>
  </si>
  <si>
    <t>Gronn-Stitched Girdle</t>
  </si>
  <si>
    <t>Vindicator's Plate Belt</t>
  </si>
  <si>
    <t>PvP Battlegrounds - 20 AB + Honor</t>
  </si>
  <si>
    <t>Edgewalker Longboots</t>
  </si>
  <si>
    <t>Karazhan - Moroes</t>
  </si>
  <si>
    <t>Ironstriders of Urgency</t>
  </si>
  <si>
    <t>Karazhan - Nightbane</t>
  </si>
  <si>
    <t>Black Featherlight Boots</t>
  </si>
  <si>
    <t>Vindicator's Plate Greaves</t>
  </si>
  <si>
    <t>Vindicator's Band of Triumph</t>
  </si>
  <si>
    <t>PvP Battlegrounds - 10 AV + Honor</t>
  </si>
  <si>
    <t>Shaffar's Band of Brutality</t>
  </si>
  <si>
    <t>Mana-Tombs (Heroic) - Yor</t>
  </si>
  <si>
    <t>Mithril Band of the Unscarred</t>
  </si>
  <si>
    <t>Ancestral Ring of Conquest</t>
  </si>
  <si>
    <t>Garona's Signet Ring</t>
  </si>
  <si>
    <t>Karazhan - The Curator</t>
  </si>
  <si>
    <t>See notes/ratings tab for information about trinket procs/uptimes, see below about DST/Berserker's Call</t>
  </si>
  <si>
    <t>Battle Shout grants an additional 70 AP (350ap max group benefit, at the cost of users trinket slot)</t>
  </si>
  <si>
    <t>Melee and Ranged attacks have a chance to allow you to ignore 300 armor for 10 seconds (Calculated at 85% uptime as per the Warmane numbers) - Retail was 40%</t>
  </si>
  <si>
    <t>Sepentshrine Shuriken</t>
  </si>
  <si>
    <t>Xavian Stiletto</t>
  </si>
  <si>
    <t>Karazhan - Terestian Illhoof</t>
  </si>
  <si>
    <t>Arcanite Steam-Pistol</t>
  </si>
  <si>
    <t>2-Hand Weapon</t>
  </si>
  <si>
    <t>Axe/Sword spec + Lionheart procs are accounted for and weighted, this is an early version though and some tightening up of the numbers is needed regarding weapon dps + weapon speed, but the ranking is about right.</t>
  </si>
  <si>
    <t>Apolyon, the Soul-Render</t>
  </si>
  <si>
    <t>Brutal Gladiator's Greatsword</t>
  </si>
  <si>
    <t>Cataclysm's Edge</t>
  </si>
  <si>
    <t>Polearm</t>
  </si>
  <si>
    <t>Shivering Felspine</t>
  </si>
  <si>
    <t>Sunwell Plateau - Trash Drop</t>
  </si>
  <si>
    <t>Vengeful Gladiator's Greatsword</t>
  </si>
  <si>
    <t>Axe</t>
  </si>
  <si>
    <t>The Blade of Harbingers</t>
  </si>
  <si>
    <t>If Orc add 5 EXP = Add : 26.61 Pawn Value</t>
  </si>
  <si>
    <t>Soul Cleaver</t>
  </si>
  <si>
    <t>Twinblade of the Phoenix</t>
  </si>
  <si>
    <t>Sword (Crafted)</t>
  </si>
  <si>
    <t>Lionheart Executioner</t>
  </si>
  <si>
    <t>Swordsmithing - Stage 3</t>
  </si>
  <si>
    <t>Chance on hit : increases STR by 100 for 10s @ approx 43% uptime</t>
  </si>
  <si>
    <t>Halberd of Desolation</t>
  </si>
  <si>
    <t>Jin'rohk, The Great Apocalypse</t>
  </si>
  <si>
    <t>Zul'Aman - Zul'Jin</t>
  </si>
  <si>
    <t>Merciless Gladiator's Greatsword</t>
  </si>
  <si>
    <t>Axe (Crafted)</t>
  </si>
  <si>
    <t>Bloodmoon</t>
  </si>
  <si>
    <t>Axesmithing - Stage 3</t>
  </si>
  <si>
    <t>Trollbane</t>
  </si>
  <si>
    <t>Zul'Aman - Timed Chest 2</t>
  </si>
  <si>
    <t>Lionheart Champion</t>
  </si>
  <si>
    <t>Swordsmithing - Stage 2</t>
  </si>
  <si>
    <t>Ethereum Nexus-Reaver</t>
  </si>
  <si>
    <t>Doomwalker - World Boss BOE</t>
  </si>
  <si>
    <t>4 exp</t>
  </si>
  <si>
    <t>Mooncleaver</t>
  </si>
  <si>
    <t>Axesmithing - Stage 2</t>
  </si>
  <si>
    <t>Gladiator's Greatsword</t>
  </si>
  <si>
    <t>PvP Arena - Season 1</t>
  </si>
  <si>
    <t>Gorehowl</t>
  </si>
  <si>
    <t>Axe of the Gronn Lords</t>
  </si>
  <si>
    <t>Glaive of the Pit</t>
  </si>
  <si>
    <t>Magtheridon's Lair</t>
  </si>
  <si>
    <t>Chance on hit : Steals 285 to 315 life from target (not in Pawn).</t>
  </si>
  <si>
    <t>Lionheart Blade</t>
  </si>
  <si>
    <t>Swordsmithing - Stage 1</t>
  </si>
  <si>
    <t>Lunar Crescent</t>
  </si>
  <si>
    <t>Axesmithing - Stage 1</t>
  </si>
  <si>
    <t>Note : Only use weapon pawn value to compare with weapons, and not other pieces of gear.</t>
  </si>
  <si>
    <r>
      <t>When evaluating</t>
    </r>
    <r>
      <rPr>
        <color rgb="FF9900FF"/>
      </rPr>
      <t xml:space="preserve"> Dragonspine Trophy</t>
    </r>
    <r>
      <t xml:space="preserve"> for Arms you must take into consideration that Haste isn't static and its value can vary massively during a fight or depending on gear/consumables/bloodlust/movement (situational factors).</t>
    </r>
  </si>
  <si>
    <r>
      <t>Berserker's Call</t>
    </r>
    <r>
      <rPr>
        <b/>
        <color rgb="FF4A86E8"/>
      </rPr>
      <t xml:space="preserve"> </t>
    </r>
    <r>
      <rPr>
        <color rgb="FF4A86E8"/>
      </rPr>
      <t>is a considerably better choice than DST in the majority of cases and Arms Warriors should not be specifically aiming for DST as a primary choice (though it sure has some uses situationally depending).</t>
    </r>
  </si>
  <si>
    <t>So with all that said it should be clear that the ranking position of DST is somewhat misleading due to the way that haste interacts with Arms (and the nature of the pawn value being based on an average).</t>
  </si>
  <si>
    <t xml:space="preserve">Misc Values </t>
  </si>
  <si>
    <t>Stat weights reflect a T6 gear level as per Elitist Jerks numbers for a sword spec Combat Rogue, keep in mind your stat weights effectively change with every piece of gear!</t>
  </si>
  <si>
    <t>Socket bonuses not yet calculated (all coloured sockets currently = 10 hit gems) - Item set bonuses not considered</t>
  </si>
  <si>
    <t>Quad Deathblow X44 Goggles</t>
  </si>
  <si>
    <t>Slayer's Helm</t>
  </si>
  <si>
    <t>Brutal Gladiator's Leather Helm</t>
  </si>
  <si>
    <t>4 resil</t>
  </si>
  <si>
    <t>Vengeful Gladiator's Leather Helm</t>
  </si>
  <si>
    <t>Deathmantle Helm</t>
  </si>
  <si>
    <t>Deathblow X11 Goggles</t>
  </si>
  <si>
    <t>Zul'Aman - Zul'jin</t>
  </si>
  <si>
    <t>Mask of the Deceiver</t>
  </si>
  <si>
    <t>Badge of Justice (50)</t>
  </si>
  <si>
    <t>Netherblade Facemask</t>
  </si>
  <si>
    <t>Slayer's Shoulderpads</t>
  </si>
  <si>
    <t>Brutal Gladiator's Leather Spaulders</t>
  </si>
  <si>
    <t>3 resil</t>
  </si>
  <si>
    <t>Swiftstrike Shoulders</t>
  </si>
  <si>
    <t>Leatherworking BOP (Black Temple Trash Pattern)</t>
  </si>
  <si>
    <t>Be weary of how EXP rating converts to Expertise (it rounds down) when considering these</t>
  </si>
  <si>
    <t>Vengeful Gladiator's Leather Spaulders</t>
  </si>
  <si>
    <t>Deathmantle Shoulderpads</t>
  </si>
  <si>
    <t>The Eye - Void Reaver</t>
  </si>
  <si>
    <t>Merciless Gladiator's Leather Spaulders</t>
  </si>
  <si>
    <t>Shoulderpads of Dancing Blades</t>
  </si>
  <si>
    <t>Zul'Aman - Halazzi</t>
  </si>
  <si>
    <t>Razorfury Mantle</t>
  </si>
  <si>
    <t>Drape of the Dark Reavers</t>
  </si>
  <si>
    <t>Karazhan - Shade of Aran</t>
  </si>
  <si>
    <t>Slayer's Chestguard</t>
  </si>
  <si>
    <t>Brutal Gladiator's Leather Tunic</t>
  </si>
  <si>
    <t>Vengeful Gladiator's Leather Tunic</t>
  </si>
  <si>
    <t>Deathmantle Chestguard</t>
  </si>
  <si>
    <t>Slayer's Bracers</t>
  </si>
  <si>
    <t>Vambraces of Ending</t>
  </si>
  <si>
    <t>Shard-bound Bracers</t>
  </si>
  <si>
    <t>Orgr'la - Exalted</t>
  </si>
  <si>
    <t>Spymistress Wristguards</t>
  </si>
  <si>
    <t>The Soul Devices (Shadow Labs Quest)</t>
  </si>
  <si>
    <t>2 dodge</t>
  </si>
  <si>
    <t>Nightfall Wristguards</t>
  </si>
  <si>
    <t>Old Hillsbrad Foothills (Heroic) - Epoch Hunter</t>
  </si>
  <si>
    <t>Primalstrike Bracers</t>
  </si>
  <si>
    <t>Elemental Leatherworking (375 LW)</t>
  </si>
  <si>
    <t>Slayer's Handguards</t>
  </si>
  <si>
    <t>Deathmantle Handguards</t>
  </si>
  <si>
    <t>Tricker's Stickyfingers</t>
  </si>
  <si>
    <t>Brutal Gladiator's Leather Gloves</t>
  </si>
  <si>
    <t>Gloves of Dexterous Manipulation</t>
  </si>
  <si>
    <t>Karazhan - Attumen the Huntsman</t>
  </si>
  <si>
    <t>Grips of Deftness</t>
  </si>
  <si>
    <t>Karazhan - Trash loot</t>
  </si>
  <si>
    <t>Netherblade Gloves</t>
  </si>
  <si>
    <t>Vengeful Gladiator's Leather Gloves</t>
  </si>
  <si>
    <t>Slayer's Belt</t>
  </si>
  <si>
    <t>Girdle of the Deathdealer</t>
  </si>
  <si>
    <t>Black Morass (Heroic) - Aeonus</t>
  </si>
  <si>
    <t>Slayer's Legguards</t>
  </si>
  <si>
    <t>Brutal Gladiator's Leather Legguards</t>
  </si>
  <si>
    <t>Deathmantle Legguards</t>
  </si>
  <si>
    <t>Fathom-Lord Karathress</t>
  </si>
  <si>
    <t>Shallow-grave Trousers</t>
  </si>
  <si>
    <t>Fel Leather Leggings</t>
  </si>
  <si>
    <t>Netherblade Breeches</t>
  </si>
  <si>
    <t>Vengeful Gladiator's Leather Legguards</t>
  </si>
  <si>
    <t>Midnight Legguards</t>
  </si>
  <si>
    <t>Slave Pens (Heroic) - Quagmirran</t>
  </si>
  <si>
    <t>Slayer's Boots</t>
  </si>
  <si>
    <t>Boots of Effortless Striking</t>
  </si>
  <si>
    <t>Violet Signet of the Master Assassin</t>
  </si>
  <si>
    <t>The Violet Eye - Exalted</t>
  </si>
  <si>
    <t>Shapeshifter's Signet</t>
  </si>
  <si>
    <t>Lower City - Exalted</t>
  </si>
  <si>
    <t>Expertise is great, but this ring still sucks, added it to the list to show how it compares</t>
  </si>
  <si>
    <t>Ashtongue Talisman of Lethality</t>
  </si>
  <si>
    <t>Ashtongue Deathsworn - Exalted</t>
  </si>
  <si>
    <t>Warp-Spring Coil</t>
  </si>
  <si>
    <t xml:space="preserve">Your special attacks have a chance to give you 1000 armor penetration for 15 sec (25% chance, 30s ICD). </t>
  </si>
  <si>
    <t>Marksman's Bow</t>
  </si>
  <si>
    <t>Thrallmar - Exalted (+Alliance version)</t>
  </si>
  <si>
    <t>Steelhawk Crossbow</t>
  </si>
  <si>
    <t>Haste on weapon</t>
  </si>
  <si>
    <t>Weapon list is a rough approximation at best, take it with a pinch of salt.  Only use main hand weapon pawn value as a comparison with other main hand weapons</t>
  </si>
  <si>
    <t>Gladiator's Slicer</t>
  </si>
  <si>
    <t xml:space="preserve"> 10 Resil</t>
  </si>
  <si>
    <t>Heartless</t>
  </si>
  <si>
    <t>Zul'Aman - Hex Lord Malacrass</t>
  </si>
  <si>
    <t>Hope Ender</t>
  </si>
  <si>
    <t>Spiteblade</t>
  </si>
  <si>
    <t>Vindicator's Brand</t>
  </si>
  <si>
    <t>The Aldor - Exalted</t>
  </si>
  <si>
    <t>Blinkstrike</t>
  </si>
  <si>
    <t>BoE World Drop</t>
  </si>
  <si>
    <t>Proc: Extra attack on next swing  (approx 6% proc chance, not included in pawn value)</t>
  </si>
  <si>
    <t>Felsteel Longblade</t>
  </si>
  <si>
    <t>BoE Blacksmithing</t>
  </si>
  <si>
    <t>Weapon list is a rough approximation at best, take it with a pinch of salt. Only use offhand pawn value as a comparison with other offhand weapons</t>
  </si>
  <si>
    <t>Gladiator's Quickblade</t>
  </si>
  <si>
    <t>Latro's Shifting Sword</t>
  </si>
  <si>
    <t>The Black Morass - Aeonus</t>
  </si>
  <si>
    <t>Blazeguard</t>
  </si>
  <si>
    <t>Swordsmith Specialisation (BS 375) - Stage 2</t>
  </si>
  <si>
    <t>Fireguard</t>
  </si>
  <si>
    <t>Swordsmith Specialisation (BS 350) - Stage 1</t>
  </si>
  <si>
    <t>King's Defender</t>
  </si>
  <si>
    <t>Karazhan - Chess Event</t>
  </si>
  <si>
    <t>The Sun Eater</t>
  </si>
  <si>
    <t>The Mechanar (Heroic) - Pathaleon the Calculator</t>
  </si>
  <si>
    <t>Revenger</t>
  </si>
  <si>
    <t>The Botanica - Commander Sarannis</t>
  </si>
  <si>
    <t>Chance on hit : Steals 105 to 125 life from target enemy - Proc not included in pawn figure.</t>
  </si>
  <si>
    <t>To do list</t>
  </si>
  <si>
    <t>Ignore this stuff, it's just copy/paste shit leftover for later</t>
  </si>
  <si>
    <t>Crux of the Apocalypse</t>
  </si>
  <si>
    <t>Shiv of Exsanguination</t>
  </si>
  <si>
    <t>Sunwell Plateau - Eredar Twins</t>
  </si>
  <si>
    <t>Fool's Bane</t>
  </si>
  <si>
    <t>The Bladefist</t>
  </si>
  <si>
    <t>Shattered Halls (Heroic) - Warchief Kargath Bladefist</t>
  </si>
  <si>
    <t>Proc: 180 haste for 10s</t>
  </si>
  <si>
    <t>Big Bad Wolf's Paw</t>
  </si>
  <si>
    <t>Karazhan - Opera Event (Big Bad Wolf)</t>
  </si>
  <si>
    <t>Dragonmaw</t>
  </si>
  <si>
    <t>Hammersmith Specialisation (375 BS) - Stage 2</t>
  </si>
  <si>
    <t>Proc: 212 haste for 10s  (Does not stack when dual-wielding, only refreshes to increase uptime)</t>
  </si>
  <si>
    <t>Drakefist Hammer</t>
  </si>
  <si>
    <t>Hammersmith Specialisation (350 BS) - Stage 1</t>
  </si>
  <si>
    <t>Runic Hammer</t>
  </si>
  <si>
    <t>Reflex Blades</t>
  </si>
  <si>
    <t>The Arcatraz - Dalliah the Doomsayer</t>
  </si>
  <si>
    <t>Dagger (OH)</t>
  </si>
  <si>
    <t>Feltooth Eviscerator</t>
  </si>
  <si>
    <t>Hellfire Ramparts (HC) - Fel Iron Chest</t>
  </si>
  <si>
    <t>Warp Splinter's Thorn</t>
  </si>
  <si>
    <t>The Botanica - Warp Splinter</t>
  </si>
  <si>
    <t>Timeslicer</t>
  </si>
  <si>
    <t>Old Hillsbrad Foothills (HC) Epoch Hunter</t>
  </si>
  <si>
    <t>All sockets calculated with +10 (Epic quality) gems. Your mileage will vary somewhat based on gemming choices</t>
  </si>
  <si>
    <t>Stat weights reflect a T6 gear level as per Elitist Jerks numbers, keep in mind your stat weights effectively change with every piece of gear! I feel EJ are overvaluing Expertise, but I have no better means to generate reliable weights.</t>
  </si>
  <si>
    <t>Intellect and MP5 are not taken into account because of the very minor role they play, many low ranking epic mail items have both.</t>
  </si>
  <si>
    <t>Surestrike Goggles v3.0</t>
  </si>
  <si>
    <t>Brutal Gladiator's Linked Helm</t>
  </si>
  <si>
    <t>Skyshatter Cover</t>
  </si>
  <si>
    <t>T3 Set</t>
  </si>
  <si>
    <t>Vengeful Gladiator's Linked Helm</t>
  </si>
  <si>
    <t>PvP Arena Season 3</t>
  </si>
  <si>
    <t>Surestrike Goggles v2.0</t>
  </si>
  <si>
    <t>T5 set</t>
  </si>
  <si>
    <t>Cataclysm Helm</t>
  </si>
  <si>
    <t>Shoulders of Lightning Reflexes</t>
  </si>
  <si>
    <t>Skyshatter Pauldrons</t>
  </si>
  <si>
    <t>Brutal Gladiator's Linked Spaulders</t>
  </si>
  <si>
    <t>21 resilience</t>
  </si>
  <si>
    <t>Mantle of the Tireless Tracker</t>
  </si>
  <si>
    <t>Bladed Shoulderpads of the Merciless</t>
  </si>
  <si>
    <t>Cyclone Shoulderplates</t>
  </si>
  <si>
    <t>2 Set bonus +20 Hit = 13.4 Pawn value</t>
  </si>
  <si>
    <t>Melee critical strike rating, rather than just critical strike rating</t>
  </si>
  <si>
    <t>Brutal Gladiator's Linked Armor</t>
  </si>
  <si>
    <t>Cataclysm's Chestplate</t>
  </si>
  <si>
    <t>Ranger-General's Chestguard</t>
  </si>
  <si>
    <t>Skyshatter Tunic</t>
  </si>
  <si>
    <t>Vengeful Gladiator's Linked Armor</t>
  </si>
  <si>
    <t>Skyshatter Wristguards</t>
  </si>
  <si>
    <t>Bands of the Celestial Archer</t>
  </si>
  <si>
    <t>The Eye - Trash loot</t>
  </si>
  <si>
    <t>Guardian's Linked Bracers</t>
  </si>
  <si>
    <t>2 Resil</t>
  </si>
  <si>
    <t>Skyshatter Grips</t>
  </si>
  <si>
    <t>Cataclysm Gauntlets</t>
  </si>
  <si>
    <t>Brutal Gladiator's Linked Gauntlets</t>
  </si>
  <si>
    <t>Skyshatter Girdle</t>
  </si>
  <si>
    <t>3agi</t>
  </si>
  <si>
    <t>Guardian's Linked Girdle</t>
  </si>
  <si>
    <t>Brutal Gladiator's Linked Leggings</t>
  </si>
  <si>
    <t>Skyshatter Pants</t>
  </si>
  <si>
    <t>Void Reaver Greaves</t>
  </si>
  <si>
    <t>Skyshatter Greaves</t>
  </si>
  <si>
    <t>Guardian's Linked Sabatons</t>
  </si>
  <si>
    <t>Your melee and ranged attacks have a chance to increase haste rating by 325 (20.61%) for 10 sec - Shown at 31% uptime</t>
  </si>
  <si>
    <t>Melee and Ranged attacks have a chance to allow you to ignore 300 armor for 10 seconds - Shown at 85% uptime</t>
  </si>
  <si>
    <t>Ashtongue Talisman of Vision</t>
  </si>
  <si>
    <t>Ashtongue Deathsword - Exalted Reputation</t>
  </si>
  <si>
    <t>Stormstrike has a 50% chance to grant up to 275 AP for 10 sec.</t>
  </si>
  <si>
    <t>Abacus of Violent Odds</t>
  </si>
  <si>
    <t>The Mechanar - Pathaleon the Calculator</t>
  </si>
  <si>
    <t>Use: 260 haste (16.49%) for 10s - 2min cooldown</t>
  </si>
  <si>
    <t>Totem</t>
  </si>
  <si>
    <t>Listed in order of strength</t>
  </si>
  <si>
    <t>Stonebreaker's Totem</t>
  </si>
  <si>
    <t>Badge of Justice (20) - ZA patch item</t>
  </si>
  <si>
    <t>Your shock spells have a chance (50%) to grant 110 attack power for 10 sec. - Based on retail numbers, still need to confirm proc chance + average uptimes on Outland</t>
  </si>
  <si>
    <t>Totem of Astral Winds</t>
  </si>
  <si>
    <t>Mana-Tombs (Heroic) - Pandemonius</t>
  </si>
  <si>
    <t>Increases the AP bonus on Windfury Weapon Attacks by 80</t>
  </si>
  <si>
    <t>Totem of Impact</t>
  </si>
  <si>
    <t>Zangarmarsh - Twin Spire Ruins (15 Thrallmar Marks)</t>
  </si>
  <si>
    <t>Increases damage done by Earth/Flame/Frost Shock by up to 46</t>
  </si>
  <si>
    <t>Totem of Rage</t>
  </si>
  <si>
    <t>Blackrock Depths - Magmus</t>
  </si>
  <si>
    <t>Increases damage done by Earth/Flame/Frost Shock by up to 30</t>
  </si>
  <si>
    <t>Stormfury Totem</t>
  </si>
  <si>
    <t>News of Victory - SMV Quest</t>
  </si>
  <si>
    <t>Reduces the mana cost of Stormstrike by 22</t>
  </si>
  <si>
    <t>Totem of the Thunderhead</t>
  </si>
  <si>
    <t>The Underbog - Hungarfen</t>
  </si>
  <si>
    <t>Water Shield grands an additional 27 mana each time it triggers + passive 2 MP5</t>
  </si>
  <si>
    <t>W. Dmg Range</t>
  </si>
  <si>
    <t>Weapons listed roughly in order of strength, pawn values only give an approximation - Syphon proc not calculated in Pawn Value</t>
  </si>
  <si>
    <t>Brutal Gladiator's Cleaver</t>
  </si>
  <si>
    <t>Vengeful Gladiator's Cleaver</t>
  </si>
  <si>
    <t>If Orc add 5 EXP main hand (at approx 65% contribution) = Add : 14.09 Pawn Value</t>
  </si>
  <si>
    <t>Merciless Gladiator's Cleaver</t>
  </si>
  <si>
    <t>Chance on hit - Shadow Damage based life steal, scales with related spell debuffs - Proc not calculated in Pawn Value</t>
  </si>
  <si>
    <t>Brutal Gladiator's Chopper</t>
  </si>
  <si>
    <t>Vengeful Gladiator's Chopper</t>
  </si>
  <si>
    <t>Dragonmaw (with no Dmaw in MH)</t>
  </si>
  <si>
    <t>Drakefist Hammer (with no DfH in MH)</t>
  </si>
  <si>
    <t>If Orc add 5 EXP offhand (at approx 35% contribution) = Add : 7.58 Pawn Value</t>
  </si>
  <si>
    <t>Black Planar Edge</t>
  </si>
  <si>
    <t>Axesmithing Specialisation (375 BS) - Stage 2</t>
  </si>
  <si>
    <t>Gladiator's Cleaver</t>
  </si>
  <si>
    <t>Dragonstrike proc value seems to explode at Sunwell gear levels using the EJ pawn values, with the increase in haste scaling/value causing it to be especially strong as an offhand choice where weapon dps is less important</t>
  </si>
  <si>
    <t xml:space="preserve"> Stat weights are a work in progress, specifically WDPS and WSpeed. Gear is ranked based on a T6 level char with access to Zul Aman items and stat weights reflect that, keep in mind your stat weights effectively change with every piece of gear!</t>
  </si>
  <si>
    <t>Fel-Steel Warhelm</t>
  </si>
  <si>
    <t>Amani Mask of Death</t>
  </si>
  <si>
    <t>Badge of Justice (75) - ZA patch item</t>
  </si>
  <si>
    <t>Pretty terrible but added for reference</t>
  </si>
  <si>
    <t>Mail of Fevered Pursuit</t>
  </si>
  <si>
    <t>Bloodstained Elven Battlevest</t>
  </si>
  <si>
    <t>Zul'Aman - Akil'zon</t>
  </si>
  <si>
    <t>Vestments of Hibernation</t>
  </si>
  <si>
    <t>Trickster's Stickyfingers</t>
  </si>
  <si>
    <t>Vengeful Gladiators Plate Gauntlets</t>
  </si>
  <si>
    <t xml:space="preserve"> 3 agi</t>
  </si>
  <si>
    <t>Belt of Seething Fury</t>
  </si>
  <si>
    <t>Girdle of the Lightbearer</t>
  </si>
  <si>
    <t>Merciless Gladiator's Plate Legguards</t>
  </si>
  <si>
    <t>Proc: 212 haste for 10s  (40% Uptime) (Does not stack when dual-wielding, only refreshes to increase uptime)</t>
  </si>
  <si>
    <t>See Note</t>
  </si>
  <si>
    <t>If Orc add 5 EXP main hand (at approx 65% contribution) = Add : 14.48 Pawn Value</t>
  </si>
  <si>
    <t>If Orc add 5 EXP Offhand (at approx 35% contribution) = Add : 7.79 Pawn Value</t>
  </si>
  <si>
    <t>.</t>
  </si>
  <si>
    <t>Stat weights reflect a T6 gear level, but are a work in progress, specifically WDPS, WSpeed. Keep in mind your stat weights would effectively change with every piece of gear!</t>
  </si>
  <si>
    <t>6 stam</t>
  </si>
  <si>
    <t>Breastplate of Kings</t>
  </si>
  <si>
    <t>Armorsmithing Specialisation (350 BS) - Stage 1</t>
  </si>
  <si>
    <t>Warbringer Breastplate</t>
  </si>
  <si>
    <t>Decent set bonus, ideally paired with helm if not Engineer.</t>
  </si>
  <si>
    <t>Shadowprowler's Chestguard</t>
  </si>
  <si>
    <t>Leatherworking BOE (Revered - The Violet Eye)</t>
  </si>
  <si>
    <t>Vest of Mounting Assault</t>
  </si>
  <si>
    <t>Bracers of the Pathfinder</t>
  </si>
  <si>
    <t>Merciless Gladiator's Plate Gauntlets</t>
  </si>
  <si>
    <t>Band of Unnatural Forces</t>
  </si>
  <si>
    <t>Naxxramas (40man) - Loatheb</t>
  </si>
  <si>
    <t>Ring of Arathi Warlords</t>
  </si>
  <si>
    <t>Badge of Justice (25)</t>
  </si>
  <si>
    <t>If Orc add 5 EXP = Add : 25.42 Pawn Value</t>
  </si>
  <si>
    <r>
      <t>When evaluating</t>
    </r>
    <r>
      <rPr>
        <color rgb="FF9900FF"/>
      </rPr>
      <t xml:space="preserve"> Dragonspine Trophy</t>
    </r>
    <r>
      <t xml:space="preserve"> for Arms you must take into consideration that Haste isn't static and its value can vary massively during a fight or depending on gear/consumables/bloodlust/movement (situational factors).</t>
    </r>
  </si>
  <si>
    <r>
      <t>Berserker's Call</t>
    </r>
    <r>
      <rPr>
        <b/>
        <color rgb="FF4A86E8"/>
      </rPr>
      <t xml:space="preserve"> </t>
    </r>
    <r>
      <rPr>
        <color rgb="FF4A86E8"/>
      </rPr>
      <t>is a considerably better choice than DST in the majority of cases and Arms Warriors should not be specifically aiming for DST as a primary choice (though it sure has some uses situationally depending).</t>
    </r>
  </si>
  <si>
    <r>
      <t xml:space="preserve">TL;DR - If it's not clear, the best trinkets at this progression point are </t>
    </r>
    <r>
      <rPr>
        <color rgb="FF9900FF"/>
      </rPr>
      <t>Madness of the Betrayer</t>
    </r>
    <r>
      <t xml:space="preserve"> + </t>
    </r>
    <r>
      <rPr>
        <color rgb="FF9900FF"/>
      </rPr>
      <t>Berserker's Call</t>
    </r>
  </si>
  <si>
    <t>Merciless Gladiator's Leather Helm</t>
  </si>
  <si>
    <t>Bone Chain Necklace</t>
  </si>
  <si>
    <t>The Underbog (Heroic) - The Black Stalker</t>
  </si>
  <si>
    <t>The Savage's Choker</t>
  </si>
  <si>
    <t>D3 Set</t>
  </si>
  <si>
    <t>Wastewalker Shoulderpads</t>
  </si>
  <si>
    <t>HC Auch C - Avatar of the Martyred</t>
  </si>
  <si>
    <t>2 Set bonus +35 Hit = 23.45 Pawn value</t>
  </si>
  <si>
    <t>Netherblade Shoulderpads</t>
  </si>
  <si>
    <t>Netherblade Chestpiece</t>
  </si>
  <si>
    <t>Chestguard of the Conniver</t>
  </si>
  <si>
    <t>Merciless Gladiator's Leather Tunic</t>
  </si>
  <si>
    <t>Primalstrike Vest</t>
  </si>
  <si>
    <t>Elemental Leatherworking (375)</t>
  </si>
  <si>
    <t>S1 PvP</t>
  </si>
  <si>
    <t>Helm of the Claw</t>
  </si>
  <si>
    <t>Steamvaults Quest</t>
  </si>
  <si>
    <t>T4 set (see note)</t>
  </si>
  <si>
    <t>Cyclone Helm</t>
  </si>
  <si>
    <t xml:space="preserve">Karazhan - Prince Malchezaar </t>
  </si>
  <si>
    <t>Ideal slot for T4 - 2set if not Engineer (+12 str to strength totem)</t>
  </si>
  <si>
    <t>S2 set</t>
  </si>
  <si>
    <t>Merciless Gladiator's Linked Helm</t>
  </si>
  <si>
    <t>Cataclysm Shoulderplates</t>
  </si>
  <si>
    <t>Only worth to pick up 2 set</t>
  </si>
  <si>
    <t>Vengeful Gladiator's Linked Spaulders</t>
  </si>
  <si>
    <t>Embrace of the Twisting Nether</t>
  </si>
  <si>
    <t>Protected from all physical attacks for 6 seconds, but cannot attack during (30min CD)</t>
  </si>
  <si>
    <t>Ebon Netherscale Breastplate</t>
  </si>
  <si>
    <t>Dragonscale Leatherworking (375 LW)</t>
  </si>
  <si>
    <t>3 Set = 20 hit rating.</t>
  </si>
  <si>
    <t>Twisting Nether Chain Shirt</t>
  </si>
  <si>
    <t>Merciless Gladiator's Linked Armor</t>
  </si>
  <si>
    <t>Ebon Netherscale Bracers</t>
  </si>
  <si>
    <t>3 Set = 20 hit rating</t>
  </si>
  <si>
    <t>Felstalker Bracers</t>
  </si>
  <si>
    <t>Leatherworking BOE (3 set add 8.93)</t>
  </si>
  <si>
    <t xml:space="preserve"> 3 set (350LW req) = 20 hit</t>
  </si>
  <si>
    <t>Windstrike Gloves</t>
  </si>
  <si>
    <t>Vengeful Gladiator's Linked Gauntlets</t>
  </si>
  <si>
    <t>PvP Arenas - Season 3</t>
  </si>
  <si>
    <t>Improves the range of all Shock spells by 5 yards</t>
  </si>
  <si>
    <t>Cobrascale Gloves</t>
  </si>
  <si>
    <t>Cataclysm Legplates</t>
  </si>
  <si>
    <t>Clefthoof Hide Leggings</t>
  </si>
  <si>
    <t>Blades Edge Mountains Quest - Showdown</t>
  </si>
  <si>
    <t>Vengeful Gladiator's Linked Leggings</t>
  </si>
  <si>
    <t>Proc: 180 haste for 10s - @42% uptime</t>
  </si>
  <si>
    <t>Dragonstrike proc value increases considerably at higher gear levels using the EJ pawn values, with the increase in haste scaling/value causing it to be especially strong as an offhand choice where weapon dps is less important</t>
  </si>
  <si>
    <t>Stat weights reflect a T6 gear level, but are a work in progress, specifically WDPS, WSpeed. Keep in mind your stat weights effectively change with every piece of gear!</t>
  </si>
  <si>
    <t>Black Temple/Hyjal Summit - Trash Loot</t>
  </si>
  <si>
    <t>If Orc add 5 EXP main hand (at approx 65% contribution) = Add : 14.35 Pawn Value</t>
  </si>
  <si>
    <t>Dps Stat Pawn Value = 32.55, 10 Resil</t>
  </si>
  <si>
    <t>The Decapitator</t>
  </si>
  <si>
    <t>513 to 567 damage on use (ranged) 3min cooldown - If Orc add 5 EXP Main Hand = Add : 14.35 Pawn Value</t>
  </si>
  <si>
    <t>If Orc add 5 EXP Offhand (at approx 35% contribution) = Add : 7.72 Pawn Value</t>
  </si>
  <si>
    <t>513 to 567 damage on use (ranged) 3min cooldown - If Orc add 5 EXP Offhand = Add : 7.72 Pawn Value</t>
  </si>
  <si>
    <t>Note : Dragonstrike OH ranking assumes you also have one in the MH, due to the proc not stacking the offhand only serves to increase the uptime, leaving the weapon slightly devalued as an offhand choice, you only have Dragonstrike in the offhand the value is much closer to the MH value.</t>
  </si>
  <si>
    <t>Notes : See combat ratings/notes tab for more information on Dragonstrike and proc calculations</t>
  </si>
  <si>
    <t xml:space="preserve">Notes : Dragonstrike MH is most likely 2nd BiS only to the Warglaive according to tests. </t>
  </si>
  <si>
    <t>Attributes</t>
  </si>
  <si>
    <t>All sockets calculated with +8 (blue quality) gems. Your mileage will vary somewhat based on gemming choices</t>
  </si>
  <si>
    <t>Stat weights reflect a T5 gear level, keep in mind your stat weights effectively change with every piece of gear!</t>
  </si>
  <si>
    <t>Helm meta sockets assume you have the 12 agil + 3% Crit damage meta, high ranking blues are strong specfically due to this meta</t>
  </si>
  <si>
    <t>S1 Set</t>
  </si>
  <si>
    <t>Gladiator's Plate Helm</t>
  </si>
  <si>
    <t>Wastewalker Helm</t>
  </si>
  <si>
    <t>Old Hillsbrad Foothills (Heroic) (2set add 11.4)</t>
  </si>
  <si>
    <t>Malefic Mask of the Shadows</t>
  </si>
  <si>
    <t>Overlord's Helmet of Second Sight</t>
  </si>
  <si>
    <t>Teron Gorfiend, I am... - SMV Quest</t>
  </si>
  <si>
    <t>Popular pre-raid item for reference</t>
  </si>
  <si>
    <t>Ragesteel Helm</t>
  </si>
  <si>
    <t>Blacksmithing BOE (350 BS - 2set add 6.5)</t>
  </si>
  <si>
    <t>Veteran's Pendant of Triumph</t>
  </si>
  <si>
    <t xml:space="preserve">PvP - Season 2 </t>
  </si>
  <si>
    <t>Adamantine Chain of the Unbroken</t>
  </si>
  <si>
    <t>Slave Pens (Heroic)</t>
  </si>
  <si>
    <t xml:space="preserve">Natasha's Choker </t>
  </si>
  <si>
    <t>The Hound-Master - Blades Edge Mountain Quest</t>
  </si>
  <si>
    <t>Haramad's Bargain</t>
  </si>
  <si>
    <t>The Consortium - Exalted</t>
  </si>
  <si>
    <t>Mithril Chain of Heroism</t>
  </si>
  <si>
    <t xml:space="preserve">Traitor's Noose </t>
  </si>
  <si>
    <t>Necklace of Trophies</t>
  </si>
  <si>
    <t>BOE World Drop</t>
  </si>
  <si>
    <t>Be weary of how EXP rating converts to Expertise (it rounds down) when considering these (see notes tab)</t>
  </si>
  <si>
    <t>Ragesteel Shoulders</t>
  </si>
  <si>
    <t>Blacksmithing BOE (350BS for 2set add 6.5)</t>
  </si>
  <si>
    <t>2 Set bonus +20 Hit = 13</t>
  </si>
  <si>
    <t>Warbringer Shoulderplates</t>
  </si>
  <si>
    <t>Gladiator's Plate Shoulders</t>
  </si>
  <si>
    <t>HC Auch C - Avatar of the Martyred (2set add 11.4)</t>
  </si>
  <si>
    <t>2 Set bonus +35 Hit = 22.75</t>
  </si>
  <si>
    <t>Doomplate Shoulderguards</t>
  </si>
  <si>
    <t>The Underbog (Heroic) - 2set add 11.37</t>
  </si>
  <si>
    <t>3 parry</t>
  </si>
  <si>
    <t>2 Set Bonus +35 hit = 22.75</t>
  </si>
  <si>
    <t>Cloak of the Pit Stalker</t>
  </si>
  <si>
    <t xml:space="preserve">Magtheridon's Lair </t>
  </si>
  <si>
    <t>Cloak of the Inciter</t>
  </si>
  <si>
    <t>Shadow Labyrinth - Blackheart the Inciter</t>
  </si>
  <si>
    <t>Netherfury Cape</t>
  </si>
  <si>
    <t>Royal Cloak of Arathi Kings</t>
  </si>
  <si>
    <t>Added for reference, it's terrible</t>
  </si>
  <si>
    <t>Nomad's Woven Cloak</t>
  </si>
  <si>
    <t>Bring Me The Egg! - Nagrand Quest</t>
  </si>
  <si>
    <t>Popular easy to obtain pre-raid item</t>
  </si>
  <si>
    <t>Ideally paired with helm for 2-set if not Engineer</t>
  </si>
  <si>
    <t>Gladiator's Plate Chestpiece</t>
  </si>
  <si>
    <t>23 reslience</t>
  </si>
  <si>
    <t>Ele Leatherworking - For 3set add 6.06</t>
  </si>
  <si>
    <t>Chestguard of Exile</t>
  </si>
  <si>
    <t>Ragesteel Breastplate</t>
  </si>
  <si>
    <t>Blacksmithing BOE (350 BS for 2set - add 6.5)</t>
  </si>
  <si>
    <t>Chestplate of A'dal</t>
  </si>
  <si>
    <t>Special Delivery to Shattrath City - Quest</t>
  </si>
  <si>
    <t>Doomplate Chestguard</t>
  </si>
  <si>
    <t>The Arcatraz (Heroic) - 2set add 11.37</t>
  </si>
  <si>
    <t>2 Set bonus = 35 hit</t>
  </si>
  <si>
    <t>Crimsonforge Breastplate</t>
  </si>
  <si>
    <t>Hellfire Ramparts (Heroic) Omor the Unscarred</t>
  </si>
  <si>
    <t>Wastewalker Tunic</t>
  </si>
  <si>
    <t>The Blood Furnace (Heroic) - 2set add 11.37</t>
  </si>
  <si>
    <t xml:space="preserve">Crafted </t>
  </si>
  <si>
    <t>Black Felsteel Bracers</t>
  </si>
  <si>
    <t>Blacksmithing BOE</t>
  </si>
  <si>
    <t>Veteran's Plate Bracers</t>
  </si>
  <si>
    <t>PvP - Battlegrounds</t>
  </si>
  <si>
    <t>2 res</t>
  </si>
  <si>
    <t>Bracers of Maliciousness</t>
  </si>
  <si>
    <t>Karazhan - Maiden of Virtue</t>
  </si>
  <si>
    <t>General's Plate Bracers</t>
  </si>
  <si>
    <t>PvP - Battlegrounds (20 WSG Marks + Honor)</t>
  </si>
  <si>
    <t>2 resil</t>
  </si>
  <si>
    <t>14 resilience</t>
  </si>
  <si>
    <t>Nightstalker's Wristguards</t>
  </si>
  <si>
    <t>Down with Daellis - Netherstorm quest</t>
  </si>
  <si>
    <t>Added as a common pre-raid item</t>
  </si>
  <si>
    <t>Warbringer Gauntlets</t>
  </si>
  <si>
    <t>Ragesteel Gloves</t>
  </si>
  <si>
    <t>Blacksmithing BOE (350BS for 2set, add 6.5)</t>
  </si>
  <si>
    <t>With 2set included and attributing 10hit to each piece the gloves are worth 66.5, quite strong.</t>
  </si>
  <si>
    <t>Doomplate Gauntlets</t>
  </si>
  <si>
    <t>The Blood Furnace - 2set add 11.37</t>
  </si>
  <si>
    <t>2 Set = 35 hit</t>
  </si>
  <si>
    <t>Gauntlets of Annihilation</t>
  </si>
  <si>
    <t>Temple of Ahn'Qiraj (40man) - C'Thun</t>
  </si>
  <si>
    <t>Predatory Gloves</t>
  </si>
  <si>
    <t>Mana Tombs (Heroic)</t>
  </si>
  <si>
    <t>Gladiator's Plate Gauntlets</t>
  </si>
  <si>
    <t>21 resilience and reduces hamstring rage cost by 3</t>
  </si>
  <si>
    <t>Girdle of the Tidal Call</t>
  </si>
  <si>
    <t>Veteran's Plate Belt</t>
  </si>
  <si>
    <t>PvP Battlegrounds</t>
  </si>
  <si>
    <t>Girdle of Treachery</t>
  </si>
  <si>
    <t>Deathforge Girdle</t>
  </si>
  <si>
    <t>Sethekk Halls - Talon King Ikiss</t>
  </si>
  <si>
    <t>Girdle of the Mentor</t>
  </si>
  <si>
    <t>Naxxramas (40man) - Instructor Razuvious</t>
  </si>
  <si>
    <t>Dunewind Sash</t>
  </si>
  <si>
    <t>The Underbog (Heroic) - Ghaz'an</t>
  </si>
  <si>
    <t>Belt of the Raven Lord</t>
  </si>
  <si>
    <t>Sethekk Halls (Heroic) - Anzu</t>
  </si>
  <si>
    <t>Girdle of Gallantry</t>
  </si>
  <si>
    <t>General's Plate Belt</t>
  </si>
  <si>
    <t>PvP Battlegrounds (40 Arathi Basin + Honor)</t>
  </si>
  <si>
    <t>27 resilience</t>
  </si>
  <si>
    <t>Shattrath's Champion Belt</t>
  </si>
  <si>
    <t>How to break into the Arcatraz (Quest)</t>
  </si>
  <si>
    <t>Primalstrike Belt</t>
  </si>
  <si>
    <t>Ele Leatherworking - For 3set add 6.06 (each)</t>
  </si>
  <si>
    <t>Felstalker Belt</t>
  </si>
  <si>
    <t>Onslaught Girdle</t>
  </si>
  <si>
    <t>Molten Core (40man) Ragnaros</t>
  </si>
  <si>
    <t>Eva's Strap</t>
  </si>
  <si>
    <t>Cipher of Damnation (2nd fragment) SMV Quest</t>
  </si>
  <si>
    <t>Decent pre-raid quest item added for reference</t>
  </si>
  <si>
    <t>Warbringer Greaves</t>
  </si>
  <si>
    <t>Vanquisher's Legplates</t>
  </si>
  <si>
    <t>The Mechanar (Heroic) Pathaleon the Calculator</t>
  </si>
  <si>
    <t>Gladiator's Plate Legguards</t>
  </si>
  <si>
    <t>Shattrath Leggings</t>
  </si>
  <si>
    <t>Special Delivery to Shattrath - Quest</t>
  </si>
  <si>
    <t>I saw a BIS list use these because they have Expertise, just having Expertise does not make the item!</t>
  </si>
  <si>
    <t>Legguards of the Shattered Hand</t>
  </si>
  <si>
    <t>Included as they are a popular pre-raid choice for comparison.</t>
  </si>
  <si>
    <t>Bloodlord Legplates</t>
  </si>
  <si>
    <t>The Blood Furnace (Heroic) - The Maker</t>
  </si>
  <si>
    <t>Doomplate Legguards</t>
  </si>
  <si>
    <t>Auchenai Crypts - 2set add 11.37</t>
  </si>
  <si>
    <t>Wastewalker Leggings</t>
  </si>
  <si>
    <t>Mana Tombs (Heroic) 2set - add 11.37</t>
  </si>
  <si>
    <t>4 resi</t>
  </si>
  <si>
    <t>Vortex Walking Boots</t>
  </si>
  <si>
    <t>Ogri'la Exalted</t>
  </si>
  <si>
    <t>Veteran's Plate Greaves</t>
  </si>
  <si>
    <t>Sha'tari Wrought Greaves</t>
  </si>
  <si>
    <t>Shadow Labs Quest</t>
  </si>
  <si>
    <t>3 res</t>
  </si>
  <si>
    <t>Included for common pre-raid reference.</t>
  </si>
  <si>
    <t>General's Plate Greaves</t>
  </si>
  <si>
    <t>PvP Battlegrounds (40 EOTS + Honor)</t>
  </si>
  <si>
    <t>Overseer's Signet</t>
  </si>
  <si>
    <t>Shutting Down Manaforge Ara (Quest)</t>
  </si>
  <si>
    <t>Ring of the Recalcitrant</t>
  </si>
  <si>
    <t>Magtheridons Lair - Magtheridons Head (Quest)</t>
  </si>
  <si>
    <t>A'dal's Command</t>
  </si>
  <si>
    <t>The Sha'tar - Exalted</t>
  </si>
  <si>
    <t>Reavers's Ring</t>
  </si>
  <si>
    <t>Hellfire Ramparts (Heroic) - Fel Iron Chest</t>
  </si>
  <si>
    <t>Kaylaan's Signet</t>
  </si>
  <si>
    <t>Deathblow to the Legion (Quest)</t>
  </si>
  <si>
    <t>Veteran's Band of Triumph</t>
  </si>
  <si>
    <t>PvP - Season 2</t>
  </si>
  <si>
    <t>Band of the Exorcist</t>
  </si>
  <si>
    <t>Terrokar Forest Spirit Shards</t>
  </si>
  <si>
    <t>Bladefist's Breadth</t>
  </si>
  <si>
    <t>Cruel Intentions (Hellfire Peninsula Quest)</t>
  </si>
  <si>
    <t>Use : 200 AP for 15s - 1min 30s cooldown</t>
  </si>
  <si>
    <t>Core of Ar'kelos</t>
  </si>
  <si>
    <t>Ar'kelos the Guardian (Netherstorm Quest)</t>
  </si>
  <si>
    <t>Use : 200 AP for 20s - 2min cooldown</t>
  </si>
  <si>
    <t>Drake Fang Talisman</t>
  </si>
  <si>
    <t>Blackwing Lair (40man) Ebonroc</t>
  </si>
  <si>
    <t>12 dodge rating</t>
  </si>
  <si>
    <t>Kiss of the Spider</t>
  </si>
  <si>
    <t>Naxxramas (40man) - Maexxna</t>
  </si>
  <si>
    <t>Use: 200 haste (12.68%) for 15s - 2min cooldown</t>
  </si>
  <si>
    <t>Icon of Unyeilding Courage</t>
  </si>
  <si>
    <t>The Blood Furnace (Heroic) - Keli'dan the Breaker</t>
  </si>
  <si>
    <t>Use : Your attacks ignore 600 of your enemies' armor for 20sec - 2min cooldown</t>
  </si>
  <si>
    <t>Felsteel Whisper Knives</t>
  </si>
  <si>
    <t>Wolfslayer Sniper Rifle</t>
  </si>
  <si>
    <t>Nerubian Slavemaker</t>
  </si>
  <si>
    <t>Naxxramas (40man) - Kel'Thuzad</t>
  </si>
  <si>
    <t>Gladiator's War Edge</t>
  </si>
  <si>
    <t>More Weapon Notes</t>
  </si>
  <si>
    <t>Weapons listed roughly in order of strength. Pawn values on Dragonstrike (+variants) based on averages (see notes tab).</t>
  </si>
  <si>
    <t>513 to 567 damage on use (ranged) 3min cooldown - If Orc add 5 EXP Main Hand = Add : 14.09 Pawn Value</t>
  </si>
  <si>
    <t>The Planar Edge</t>
  </si>
  <si>
    <t>Axesmithing Specialisation (350 BS) - Stage 1</t>
  </si>
  <si>
    <t>Fel Edged Battleaxe</t>
  </si>
  <si>
    <t xml:space="preserve">                                                                                             </t>
  </si>
  <si>
    <t>Proc: Extra attack on next swing  (approx 6% proc chance claimed, unsure on overall value)</t>
  </si>
  <si>
    <t>Mallet of the Tides</t>
  </si>
  <si>
    <t>Why you using tank weapons?</t>
  </si>
  <si>
    <t>513 to 567 damage on use (ranged) 3min cooldown - If Orc add 5 EXP Offhand = Add : 7.58 Pawn Value</t>
  </si>
  <si>
    <t>PvP Arena - Season 1 (Much cheaper than slicer!)</t>
  </si>
  <si>
    <t>Note : Dragonstrike OH ranking assumes you also have one in the MH, due to the proc not stacking the offhand only serves to increase the uptime,</t>
  </si>
  <si>
    <t xml:space="preserve"> leaving the weapon slightly devalued as an offhand choice. Due to this, I've added two version of the weapons (1 where you have one in the MH and one where you don't).</t>
  </si>
  <si>
    <t>Note : See combat ratings/notes tab for more information on Dragonstrike and proc calculations</t>
  </si>
  <si>
    <t>Dragonstrike &gt; Rod / Talon of Phoenix &gt; Wicked Edge &gt; Talon Of Azshara / S2 &gt; Netherbane/Dragonmaw</t>
  </si>
  <si>
    <t>Rod &gt; Wicked Edge &gt; Talon of Azshara / S2 Slow &gt; S2 fast / Netherbane</t>
  </si>
  <si>
    <t>Badge of Justice (75) - ZA patch item.</t>
  </si>
  <si>
    <t>Badge of Justice (35) ZA patch item.</t>
  </si>
  <si>
    <t>Doom Lord Kazzak (World Boss) BOEA</t>
  </si>
  <si>
    <t>If Orc add 5 EXP = Add : 25.03 Pawn Value</t>
  </si>
  <si>
    <t>All sockets calculated with +8 (blue quality) gems. Your mileage will vary somewhat based on gemming choices. Early working version of Arms Sheet, expect changes.</t>
  </si>
  <si>
    <t>Stat weights reflect a T4/T5 gear level, but are a work in progress. Keep in mind your stat weights would effectively change with every piece of gear!</t>
  </si>
  <si>
    <t>Old Hillsbrad Foothills (Heroic)</t>
  </si>
  <si>
    <t>The Underbog (Heroic)</t>
  </si>
  <si>
    <t>Ele Leatherworking</t>
  </si>
  <si>
    <t>The Blood Furnace</t>
  </si>
  <si>
    <t>Auchenai Crypts</t>
  </si>
  <si>
    <t>Your melee and ranged attacks have a chance to increase haste rating by 325 (20.61%) for 10 sec - @ 29% uptime</t>
  </si>
  <si>
    <t>Merciless Gladiator's Decapitator</t>
  </si>
  <si>
    <t>Gladiator's Decapitator</t>
  </si>
  <si>
    <t>Khorium Champion</t>
  </si>
  <si>
    <t>Chance on hit : Heal self for 270 to 451 and increases Strength by 120 for 30sec. (Calculated @50% uptime) - Based on retail numbers</t>
  </si>
  <si>
    <t>Sword (See Note)</t>
  </si>
  <si>
    <t>Despair</t>
  </si>
  <si>
    <t>Opera Event - Karazhan</t>
  </si>
  <si>
    <t>Chance on hit : Attempts to impale the target, causing 600 damage (Not Calculated in Pawn)</t>
  </si>
  <si>
    <t>Legacy</t>
  </si>
  <si>
    <t>If Orc add 5 EXP = Add : 23.85 Pawn Value</t>
  </si>
  <si>
    <t>Quantum Blade</t>
  </si>
  <si>
    <t>The Black Morass (Heroic)</t>
  </si>
  <si>
    <t>Felsteel Reaper</t>
  </si>
  <si>
    <t>Trident of the Outcast Tribe</t>
  </si>
  <si>
    <t>Singing Crystal Axe</t>
  </si>
  <si>
    <t>If Orc add 5 EXP = Add : 23.85 Pawn Value | Chance on hit : Increases your haste rating by 400 for 10sec. (Calculated at 16.66% uptime)</t>
  </si>
  <si>
    <t>Endbringer</t>
  </si>
  <si>
    <t>The Black Stalker - The Underbog (Heroic)</t>
  </si>
  <si>
    <t>Blackened Spear</t>
  </si>
  <si>
    <t>Thrallmar - Revered</t>
  </si>
  <si>
    <t>Sonic Spear</t>
  </si>
  <si>
    <t>Murmur - Shadow Labyrinth</t>
  </si>
  <si>
    <t>Apexis Cleaver</t>
  </si>
  <si>
    <t>BOE - Created via Apexis Shards in Blade's Edge</t>
  </si>
  <si>
    <t>Hellscream's Will</t>
  </si>
  <si>
    <t>The Mag'har - Exalted</t>
  </si>
  <si>
    <t>Crow Wing Reaper</t>
  </si>
  <si>
    <t>Talon King Ikiss - Sethekk Halls</t>
  </si>
  <si>
    <t>Illidari-Bane Claymore</t>
  </si>
  <si>
    <t>Quenching the Blade - SMV Quest</t>
  </si>
  <si>
    <t>Increases attack power by 150 when fighting Demons. Against demons would rank just below Singing Axe.</t>
  </si>
  <si>
    <t>Reaver of the Infinites</t>
  </si>
  <si>
    <t>Epoch Hunter - Old Hillsbrad Foothills (Heroic)</t>
  </si>
  <si>
    <t>Crystalforged War Axe</t>
  </si>
  <si>
    <t>Terokk's Quill</t>
  </si>
  <si>
    <t>Terokk's Legacy - Sethekk Halls Quest</t>
  </si>
  <si>
    <t>Stat weights reflect a T5 gear level as per Elitist Jerks numbers for a sword spec Combat Rogue, keep in mind your stat weights effectively change with every piece of gear!</t>
  </si>
  <si>
    <t>Socket bonuses not yet calculated (all coloured sockets currently = 8 hit gems) - Item set bonuses not considered</t>
  </si>
  <si>
    <t>Cowl of Defiance</t>
  </si>
  <si>
    <t>Gladiator's Leather Helm</t>
  </si>
  <si>
    <t>Helm of Assassination</t>
  </si>
  <si>
    <t>The Arcatraz - Harbringer Skyriss</t>
  </si>
  <si>
    <t>Stealther's Helmet of Second Sight</t>
  </si>
  <si>
    <t>Teron Gorefiend, I am... - SMV Quest</t>
  </si>
  <si>
    <t>Cobrascale Hood</t>
  </si>
  <si>
    <t>Mask of Veiled Death</t>
  </si>
  <si>
    <t>BOE World Drop (lvl67)</t>
  </si>
  <si>
    <t>Savage Mask of the Lynx Lord</t>
  </si>
  <si>
    <t>The Night Watchman</t>
  </si>
  <si>
    <t>Increases stealth detection</t>
  </si>
  <si>
    <t>Earthen Mark of Razing</t>
  </si>
  <si>
    <t>Gurok the Usurper - Nagrand Quest</t>
  </si>
  <si>
    <t>Jagged Bark Pendant</t>
  </si>
  <si>
    <t>Blood Guard's Necklace of Ferocity</t>
  </si>
  <si>
    <t>The Shattered Halls - Blood Guard Porung</t>
  </si>
  <si>
    <t>Gladiator's Leather Spaulders</t>
  </si>
  <si>
    <t>Mantle of Perenolde</t>
  </si>
  <si>
    <t>Old Hillsbrad Foothills - Epoch Hunter</t>
  </si>
  <si>
    <t>3 dodge</t>
  </si>
  <si>
    <t>Pauldrons of Desolation</t>
  </si>
  <si>
    <t>The Slave Pens (Heroic) - Quagmirran</t>
  </si>
  <si>
    <t>Shoulderpads of Assassination</t>
  </si>
  <si>
    <t>Mantle of Shadowy Embrace</t>
  </si>
  <si>
    <t>Auchenai Death Shroud</t>
  </si>
  <si>
    <t>Auchenai Crypts (HC) - Avatar of the Martyred</t>
  </si>
  <si>
    <t>Cloak of the Craft</t>
  </si>
  <si>
    <t>Delicate Green Poncho</t>
  </si>
  <si>
    <t>Nagrand Quest</t>
  </si>
  <si>
    <t>Crystalweave Cape</t>
  </si>
  <si>
    <t>Depleted Cloak (Ogrila) - BOE</t>
  </si>
  <si>
    <t>Cloak of Malice</t>
  </si>
  <si>
    <t>The Shattered Halls - Grand Warlock Nethekurse</t>
  </si>
  <si>
    <t>Gladiator's Leather Tunic</t>
  </si>
  <si>
    <t>Chestguard of the Prowler</t>
  </si>
  <si>
    <t>Tunic of Assassination</t>
  </si>
  <si>
    <t>Protectorate Assassin's Tunic</t>
  </si>
  <si>
    <t>Chestguard of No Remorse</t>
  </si>
  <si>
    <t>The Steamvault - Hydromancer Thespia</t>
  </si>
  <si>
    <t>Shackles of Quagmirran</t>
  </si>
  <si>
    <t>Armwraps of Disdain</t>
  </si>
  <si>
    <t>The Underbog (Heroic) - Swamplord Musel'ek</t>
  </si>
  <si>
    <t>Gloves of the Unbound</t>
  </si>
  <si>
    <t>The Arcatraz - Wrath-Scryer Soccothrates</t>
  </si>
  <si>
    <t>3 resi</t>
  </si>
  <si>
    <t>Merciless Gladiator's Leather Gloves</t>
  </si>
  <si>
    <t>Wastewalker Gloves</t>
  </si>
  <si>
    <t>The Shattered Halls - Kargath Bladefist</t>
  </si>
  <si>
    <t>Gloves of the Nether-Stalker</t>
  </si>
  <si>
    <t>Dealing with the overmaster - Netherstorm quest</t>
  </si>
  <si>
    <t>Gladiator's Leather Gloves</t>
  </si>
  <si>
    <t>Epoch's Whispering Cinch</t>
  </si>
  <si>
    <t>Sash of Silent Blades</t>
  </si>
  <si>
    <t>BOE World Drop (lvl60)</t>
  </si>
  <si>
    <t>Liar's Cord</t>
  </si>
  <si>
    <t>The Slave Pens (HC) - Rokmai the Crackler</t>
  </si>
  <si>
    <t>Leggings of Assasination</t>
  </si>
  <si>
    <t>Shadow Labyrinth - Murmur</t>
  </si>
  <si>
    <t>Merciless Gladiator's Leather Legguards</t>
  </si>
  <si>
    <t>Warpscale Leggings</t>
  </si>
  <si>
    <t>Gladiator's Leather Legguards</t>
  </si>
  <si>
    <t>Mennu's Scaled Leggings</t>
  </si>
  <si>
    <t>The Slave Pens (Heroic) - Mennu the Betrayer</t>
  </si>
  <si>
    <t>Boots of the Unjust</t>
  </si>
  <si>
    <t>Auchenai Crypts (HC) - Exarch Maladaar</t>
  </si>
  <si>
    <t>Shadowstep Striders</t>
  </si>
  <si>
    <t>The Arcatraz (Heroic) - Harbinger Skyriss</t>
  </si>
  <si>
    <t>Boots of the Shifting Sands</t>
  </si>
  <si>
    <t>The Botanica - Laj</t>
  </si>
  <si>
    <t>Zierhut's Lost Treads</t>
  </si>
  <si>
    <t>Ravenclaw Band</t>
  </si>
  <si>
    <t>Band of Anguish</t>
  </si>
  <si>
    <t>Shadowmoon Valley Quest</t>
  </si>
  <si>
    <t>Ring of the Shadow Deeps</t>
  </si>
  <si>
    <t>Averinn's Ring of Slaying</t>
  </si>
  <si>
    <t>Icon of Unyielding Courage</t>
  </si>
  <si>
    <t>The Blood Furnace (HC) - Keli'dan the Breaker</t>
  </si>
  <si>
    <t>Use : 600 ignore armor for 20s - 2min cooldown</t>
  </si>
  <si>
    <t>Proc not calculated</t>
  </si>
  <si>
    <t>Romulo's Poison Vial</t>
  </si>
  <si>
    <t>Karazhan - Opera Event - Romulo &amp; Julianne</t>
  </si>
  <si>
    <t>Your melee and ranged attacks have a chance to inject poison into your target, dealing 222-332 nature damage</t>
  </si>
  <si>
    <t>Terokkar Tablet of Precision</t>
  </si>
  <si>
    <t>Terokkar Forest Quest</t>
  </si>
  <si>
    <t>Skyfire Hawk-Bow</t>
  </si>
  <si>
    <t>The Shattered Halls - Warbringer O'mrogg</t>
  </si>
  <si>
    <t>Wrathtide Longbow</t>
  </si>
  <si>
    <t>The Steamvaults (HC) - Warlord Kalithresh</t>
  </si>
  <si>
    <t>Adamantine Repeater</t>
  </si>
  <si>
    <t>Telescopic Sharprifle</t>
  </si>
  <si>
    <t>Sethekk Feather-Darts</t>
  </si>
  <si>
    <t>Sethekk Halls - Darkweaver Syth</t>
  </si>
  <si>
    <t>Edge of the Cosmos</t>
  </si>
  <si>
    <t>Phosphorescent Blade</t>
  </si>
  <si>
    <t>The Slave Pens (HC) - Quagmirran</t>
  </si>
  <si>
    <t>Stat weights reflect a T4 gear level as per Elitist Jerks numbers, keep in mind your stat weights effectively change with every piece of gear! I feel EJ are overvaluing Expertise slightly, but I have no better means to generate reliable weights.</t>
  </si>
  <si>
    <t>S1 set</t>
  </si>
  <si>
    <t>Gladiator's Linked Helm</t>
  </si>
  <si>
    <t>Helm of Desolation</t>
  </si>
  <si>
    <t xml:space="preserve">The Black Morass - Aeonus </t>
  </si>
  <si>
    <t>Beast Lord Helm</t>
  </si>
  <si>
    <t>2 mp5</t>
  </si>
  <si>
    <t>Maulgar's Warhelm</t>
  </si>
  <si>
    <t>Warpstalker Helm</t>
  </si>
  <si>
    <t>Storm Helm</t>
  </si>
  <si>
    <t>Mok'Nathal Beast-Mask</t>
  </si>
  <si>
    <t>Auchenai Crypts - Pandemonius</t>
  </si>
  <si>
    <t>Steelspine Faceguard</t>
  </si>
  <si>
    <t>Mok'Nathal Mask of Battle</t>
  </si>
  <si>
    <t>Old Hillsbrad Foothills (Heroic) - Lieutenant Drake</t>
  </si>
  <si>
    <t>Merciless Gladiator's Linked Spaulders</t>
  </si>
  <si>
    <t>Gladiator's Linked Spaulders</t>
  </si>
  <si>
    <t>Beast Lord Mantle</t>
  </si>
  <si>
    <t>Steamvaults - Warlord Kalithresh</t>
  </si>
  <si>
    <t>Wyrmfury Pauldrons</t>
  </si>
  <si>
    <t>Beastmaw Pauldrons</t>
  </si>
  <si>
    <t>Karahzan - Opera Event</t>
  </si>
  <si>
    <t>Capacitus Cloak of Calibration</t>
  </si>
  <si>
    <t>The Mechanar - Cache of the Legion</t>
  </si>
  <si>
    <t>T4 Set (see note)</t>
  </si>
  <si>
    <t>Cyclone Breastplate</t>
  </si>
  <si>
    <t>Ideal slot for T4 - 2set if not Armorsmith (+12 str to strength totem)</t>
  </si>
  <si>
    <t>Gladiator's Linked Armor</t>
  </si>
  <si>
    <t>Felstalker Breastplate</t>
  </si>
  <si>
    <t>Leatherworking BOE (3set add 8.93)</t>
  </si>
  <si>
    <t>Nether Chain Shirt</t>
  </si>
  <si>
    <t>Breastplate of Rapid Striking</t>
  </si>
  <si>
    <t>BOE World drop</t>
  </si>
  <si>
    <t>Laughing Skull Battle-Harness</t>
  </si>
  <si>
    <t>The Black Morass - Temporus</t>
  </si>
  <si>
    <t>Hauberk of Desolation</t>
  </si>
  <si>
    <t>Beast Lord Cuirass</t>
  </si>
  <si>
    <t>Scaled Breastplate of Carnage</t>
  </si>
  <si>
    <t>Shard Encrusted Breastplate</t>
  </si>
  <si>
    <t>Mana-Tombs (Heroic) - Tavarok</t>
  </si>
  <si>
    <t>Stalker's War bands</t>
  </si>
  <si>
    <t>Emerald Eye Bracer</t>
  </si>
  <si>
    <t>Forestheart Bracers</t>
  </si>
  <si>
    <t>The Shattered Halls (Heroic) - Kargath Bladefist</t>
  </si>
  <si>
    <t>Bracers of the Hunt</t>
  </si>
  <si>
    <t>Sethekk Halls (Heroic) - Talon King Ikiss</t>
  </si>
  <si>
    <t>Cyclone Gauntlets</t>
  </si>
  <si>
    <t>Merciless Gladiator's Linked Gauntlets</t>
  </si>
  <si>
    <t>Gloves of Quickening</t>
  </si>
  <si>
    <t>Beast Lord Handguards</t>
  </si>
  <si>
    <t>Gladiator's Linked Gauntlets</t>
  </si>
  <si>
    <t>Handguards of the Steady</t>
  </si>
  <si>
    <t>Gauntlets of Desolation</t>
  </si>
  <si>
    <t>Hungarhide Gauntlets</t>
  </si>
  <si>
    <t>The Underbog (Heroic) - Hungarfen</t>
  </si>
  <si>
    <t>Ebon Netherscale Belt</t>
  </si>
  <si>
    <t>Girdle of Ferocity</t>
  </si>
  <si>
    <t>Shadow Labyrinth (Heroic) - Murmur</t>
  </si>
  <si>
    <t>Tree-Mender's Belt</t>
  </si>
  <si>
    <t>Archery Belt of the Broken</t>
  </si>
  <si>
    <t>Girdle of the Blasted Reaches</t>
  </si>
  <si>
    <t>Hellfire Ramparts (Heroic) - Omor the Unscarred</t>
  </si>
  <si>
    <t>3 int</t>
  </si>
  <si>
    <t>Telaari Hunting Girdle</t>
  </si>
  <si>
    <t>Merciless Gladiator's Linked Leggings</t>
  </si>
  <si>
    <t>Barbaric Legstraps</t>
  </si>
  <si>
    <t>4 int</t>
  </si>
  <si>
    <t>Cyclone War-Kilt</t>
  </si>
  <si>
    <t>Gladiator's Linked Leggings</t>
  </si>
  <si>
    <t>Beast Lord Leggings</t>
  </si>
  <si>
    <t>The Steamvault - Warlord Kalithresh</t>
  </si>
  <si>
    <t>Barkchip Boots</t>
  </si>
  <si>
    <t>Boots of the Endless Hunt</t>
  </si>
  <si>
    <t>The Botanica (Heroic) - Warp Splinter</t>
  </si>
  <si>
    <t>Outland Striders</t>
  </si>
  <si>
    <t>The Arcatraz - Zereketh the Unbound</t>
  </si>
  <si>
    <t>Wild Stalker Boots</t>
  </si>
  <si>
    <t>Hellfire Ramparts (Heroic) - Watchkeeper Gargolmar</t>
  </si>
  <si>
    <t>Weathered Band of the Swamplord</t>
  </si>
  <si>
    <t>Eye of the Stalker</t>
  </si>
  <si>
    <t>Your melee and ranged attacks have a chance to increase haste rating by 325 (20.61%) for 10 sec - @31% uptime</t>
  </si>
  <si>
    <t>Weapons listed roughly in order of strength, pawn values only give an approximation</t>
  </si>
  <si>
    <t>Proc: 180 haste for 10s - @ 42% uptime</t>
  </si>
  <si>
    <t>Item set builder for Arms Warrior covering T5/T6/Sunwell in 2.4.3 - Early working version with many changes/additions to come. To use you must copy tab to your own sheet</t>
  </si>
  <si>
    <t>Neck Slot ArP</t>
  </si>
  <si>
    <t>ArP</t>
  </si>
  <si>
    <t>Neck Slot Pawn</t>
  </si>
  <si>
    <t>Pawn Value</t>
  </si>
  <si>
    <t>Neck Slot Hit</t>
  </si>
  <si>
    <t>Neck Hit Rating</t>
  </si>
  <si>
    <t>Neck Slot STR</t>
  </si>
  <si>
    <t>Neck STR</t>
  </si>
  <si>
    <t>Neck Slot Agi</t>
  </si>
  <si>
    <t>Neck Agi</t>
  </si>
  <si>
    <t>Neck Slot Crit</t>
  </si>
  <si>
    <t>Neck Crit Rating</t>
  </si>
  <si>
    <t>Neck Slot Haste</t>
  </si>
  <si>
    <t>Neck Haste</t>
  </si>
  <si>
    <t>Neck Slot Expertise</t>
  </si>
  <si>
    <t>Neck Expertise</t>
  </si>
  <si>
    <t>Neck Slot AP</t>
  </si>
  <si>
    <t>Neck AP</t>
  </si>
  <si>
    <t>Set 1</t>
  </si>
  <si>
    <t>Item Name</t>
  </si>
  <si>
    <t>AGI</t>
  </si>
  <si>
    <t>R</t>
  </si>
  <si>
    <t>Y</t>
  </si>
  <si>
    <t>B</t>
  </si>
  <si>
    <t>Bonus</t>
  </si>
  <si>
    <t>Bonus STR</t>
  </si>
  <si>
    <t>Bonus Agi</t>
  </si>
  <si>
    <t>Bonus Crit</t>
  </si>
  <si>
    <t>Bonus AP</t>
  </si>
  <si>
    <t>Bonus Hit</t>
  </si>
  <si>
    <t>Red Gem</t>
  </si>
  <si>
    <t>Yellow Gem</t>
  </si>
  <si>
    <t>Notes</t>
  </si>
  <si>
    <t>Shoulders</t>
  </si>
  <si>
    <t>Gloves</t>
  </si>
  <si>
    <t>Shoulder Slot</t>
  </si>
  <si>
    <t>Shoulder Hit Rating</t>
  </si>
  <si>
    <t>Shoulder STR</t>
  </si>
  <si>
    <t>Shoulder Agi</t>
  </si>
  <si>
    <t>Shoulder Slot Crit</t>
  </si>
  <si>
    <t>Shoulder Crit Rating</t>
  </si>
  <si>
    <t>Shoulder Slot Haste</t>
  </si>
  <si>
    <t>Shoulder Haste</t>
  </si>
  <si>
    <t>Shoulder Slot Expertise</t>
  </si>
  <si>
    <t>Shoulder Expertise</t>
  </si>
  <si>
    <t>Shoulder Slot AP</t>
  </si>
  <si>
    <t>Shoulder AP</t>
  </si>
  <si>
    <t>Ring 1</t>
  </si>
  <si>
    <t>Ring 2</t>
  </si>
  <si>
    <t>Trinket 1</t>
  </si>
  <si>
    <t>Blood-Stained Pauldrons</t>
  </si>
  <si>
    <t>Trinket 2</t>
  </si>
  <si>
    <t>Two Hand Weapon</t>
  </si>
  <si>
    <t>Enchants</t>
  </si>
  <si>
    <t>Gems</t>
  </si>
  <si>
    <t>Socket Bonuses</t>
  </si>
  <si>
    <t>Set Combined</t>
  </si>
  <si>
    <t>Total</t>
  </si>
  <si>
    <t>Class Stats</t>
  </si>
  <si>
    <t>Unbuffed Stats Battle Stance</t>
  </si>
  <si>
    <t>Berserker Stance</t>
  </si>
  <si>
    <t>Player base stats set to Tauren, race select will be added later</t>
  </si>
  <si>
    <t>Manual Stat Change</t>
  </si>
  <si>
    <t>Helm Slot</t>
  </si>
  <si>
    <t>Helm Hit Rating</t>
  </si>
  <si>
    <t>Helm STR</t>
  </si>
  <si>
    <t>Helm Agi</t>
  </si>
  <si>
    <t>Helm Crit Rating</t>
  </si>
  <si>
    <t>Helm Slot Haste</t>
  </si>
  <si>
    <t>Helm Haste</t>
  </si>
  <si>
    <t>Helm Slot Expertise</t>
  </si>
  <si>
    <t>Helm Expertise</t>
  </si>
  <si>
    <t>Helm Slot AP</t>
  </si>
  <si>
    <t>Helm AP</t>
  </si>
  <si>
    <t>Crit %</t>
  </si>
  <si>
    <t>Hit Rating</t>
  </si>
  <si>
    <t>Increased Hit Chance %</t>
  </si>
  <si>
    <t>Haste %</t>
  </si>
  <si>
    <t>Dodge/Parry Reduce %</t>
  </si>
  <si>
    <t>Gem Choices</t>
  </si>
  <si>
    <t>Quantity</t>
  </si>
  <si>
    <t>Stat Value</t>
  </si>
  <si>
    <t>Overide</t>
  </si>
  <si>
    <t>Items currently auto-socket the optimal gems in each socket, only taking socket bonuses when optimal.</t>
  </si>
  <si>
    <t>Bold Crimson Spinel</t>
  </si>
  <si>
    <t>10 STR</t>
  </si>
  <si>
    <t>Consideration is not yet made for activating the Meta socket with Blue (Purple) gems, but you can manually</t>
  </si>
  <si>
    <t>Inscribed Pyrestone</t>
  </si>
  <si>
    <t>5 STR + 5 Crit</t>
  </si>
  <si>
    <t>add/subtract the default Red/Orange gems with the overide and add other Purple/Orange/Yellow in the quantity box.</t>
  </si>
  <si>
    <t>Etched Fire Opal</t>
  </si>
  <si>
    <t>5 STR + 4 Hit</t>
  </si>
  <si>
    <t>When changing the pawn weight selection the calculations are always made with Epic quality gems in mind.</t>
  </si>
  <si>
    <t>Shadowsong Amethyst</t>
  </si>
  <si>
    <t>5 STR + 7 Stam</t>
  </si>
  <si>
    <t>Rigid Lionseye</t>
  </si>
  <si>
    <t>10 Hit</t>
  </si>
  <si>
    <t>Smooth Lionseye</t>
  </si>
  <si>
    <t>10 Crit</t>
  </si>
  <si>
    <t>Bosss Armor</t>
  </si>
  <si>
    <t>Boss Armor Remaining from Items</t>
  </si>
  <si>
    <t>Back Slot</t>
  </si>
  <si>
    <t>Back Slot Pawn</t>
  </si>
  <si>
    <t>Back Hit Rating</t>
  </si>
  <si>
    <t>Back STR</t>
  </si>
  <si>
    <t>Back Agi</t>
  </si>
  <si>
    <t>Back Crit Rating</t>
  </si>
  <si>
    <t>Back Haste</t>
  </si>
  <si>
    <t>Back Expertise</t>
  </si>
  <si>
    <t>Back AP</t>
  </si>
  <si>
    <t>6200 Boss</t>
  </si>
  <si>
    <t>7700 Boss</t>
  </si>
  <si>
    <t>Armor Ignore Value</t>
  </si>
  <si>
    <t>Faerie Fire (Feral)</t>
  </si>
  <si>
    <t>Curse of Recklessness</t>
  </si>
  <si>
    <t>Sunder Armor x5</t>
  </si>
  <si>
    <t>Sunder Armor + Executioner Enchant Active</t>
  </si>
  <si>
    <t>Chest Slot</t>
  </si>
  <si>
    <t>Chest Slot Pawn</t>
  </si>
  <si>
    <t>Chest Hit Rating</t>
  </si>
  <si>
    <t>Chest STR</t>
  </si>
  <si>
    <t>Chest Agi</t>
  </si>
  <si>
    <t>Chest Crit Rating</t>
  </si>
  <si>
    <t>Chest Haste</t>
  </si>
  <si>
    <t>Chest Expertise</t>
  </si>
  <si>
    <t>Chest AP</t>
  </si>
  <si>
    <t>Expose Armor 2/2</t>
  </si>
  <si>
    <t>Sunder Armor does not stack with Expose Armor, the values are shown as one or the other, with Expose Armor (2/2 talented) providing an additional 475 ArP.</t>
  </si>
  <si>
    <t>Expose Armor + Executioner Enchant Active</t>
  </si>
  <si>
    <t>Enabled</t>
  </si>
  <si>
    <t>Pawn Weight Selection</t>
  </si>
  <si>
    <t>Tier 6 + ZA</t>
  </si>
  <si>
    <t>Disabled</t>
  </si>
  <si>
    <t>T4 - 2 Set Bonus</t>
  </si>
  <si>
    <t>T5 - 4 Set Bonus</t>
  </si>
  <si>
    <t>Axe Specialisation 5% Crit</t>
  </si>
  <si>
    <t>T6 - 2 Set Bonus</t>
  </si>
  <si>
    <t>T6 - 4 Set Bonus</t>
  </si>
  <si>
    <t>Crystal Yield Consumable</t>
  </si>
  <si>
    <t>Annihilator Debuff</t>
  </si>
  <si>
    <t>Destroyer Breastplate</t>
  </si>
  <si>
    <t>Expertise Racial</t>
  </si>
  <si>
    <t>1 Stack</t>
  </si>
  <si>
    <t>Main Hand Weapon</t>
  </si>
  <si>
    <t>MH Weapon Pawn</t>
  </si>
  <si>
    <t>MH Hit Rating</t>
  </si>
  <si>
    <t>MH STR</t>
  </si>
  <si>
    <t>MH Agi</t>
  </si>
  <si>
    <t>MH Crit Rating</t>
  </si>
  <si>
    <t>MH Haste</t>
  </si>
  <si>
    <t>MH Expertise</t>
  </si>
  <si>
    <t>MH AP</t>
  </si>
  <si>
    <t>2 Stacks</t>
  </si>
  <si>
    <t>3 Stacks</t>
  </si>
  <si>
    <t>WORK IN PROGRESS!! AKA Unfinished - AKA may not be 100% accurate yet (though it works!)</t>
  </si>
  <si>
    <t>Whirlwind damage</t>
  </si>
  <si>
    <t>Weapon</t>
  </si>
  <si>
    <t>Average Damage</t>
  </si>
  <si>
    <t>Wpn dmg</t>
  </si>
  <si>
    <t>2hSp</t>
  </si>
  <si>
    <t>MH Weapon</t>
  </si>
  <si>
    <t>T4 - 2 Set Disabled</t>
  </si>
  <si>
    <t>Whirlwind Damage</t>
  </si>
  <si>
    <t>T4 - 2 Set Enabled</t>
  </si>
  <si>
    <t>Whirlwind dps (before crit/armor - 1 target, 4min duration)</t>
  </si>
  <si>
    <t>Offhand Weapon</t>
  </si>
  <si>
    <t>OH Weapon Pawn</t>
  </si>
  <si>
    <t>Offhand Hit Rating</t>
  </si>
  <si>
    <t>Offhand STR</t>
  </si>
  <si>
    <t>Offhand Agi</t>
  </si>
  <si>
    <t>Offhand Crit Rating</t>
  </si>
  <si>
    <t>Offhand Haste</t>
  </si>
  <si>
    <t>Offhand Expertise</t>
  </si>
  <si>
    <t>Offhand AP</t>
  </si>
  <si>
    <t>Damage per rage point</t>
  </si>
  <si>
    <t>T5 - 4 Set Enabled</t>
  </si>
  <si>
    <t>T6 - 4 Set Disabled</t>
  </si>
  <si>
    <t>Mortal Strike Damage</t>
  </si>
  <si>
    <t>T5 - 4 Set Disabled</t>
  </si>
  <si>
    <t>Mortal Strike dps (before crit/armor - 4min duration)</t>
  </si>
  <si>
    <t>T6 - 4 Set Enabled</t>
  </si>
  <si>
    <t>Slam Damage</t>
  </si>
  <si>
    <t>Execute Base Damage</t>
  </si>
  <si>
    <t>Additional Rage</t>
  </si>
  <si>
    <t>Bonus Damage</t>
  </si>
  <si>
    <t>DPR</t>
  </si>
  <si>
    <t>Improved Execute</t>
  </si>
  <si>
    <t>Base Rage Cost</t>
  </si>
  <si>
    <t>Total Rage Spent (Max 100)</t>
  </si>
  <si>
    <t>Rank 1</t>
  </si>
  <si>
    <t>Rank 2</t>
  </si>
  <si>
    <t>Two-Handed Weapon</t>
  </si>
  <si>
    <t>2h Weapon Pawn</t>
  </si>
  <si>
    <t>2h Hit Rating</t>
  </si>
  <si>
    <t>2h STR</t>
  </si>
  <si>
    <t>2h Agi</t>
  </si>
  <si>
    <t>2h Crit Rating</t>
  </si>
  <si>
    <t>2h Haste</t>
  </si>
  <si>
    <t>2h Expertise</t>
  </si>
  <si>
    <t>2h AP</t>
  </si>
  <si>
    <t>Pawn Values</t>
  </si>
  <si>
    <t>ExP</t>
  </si>
  <si>
    <t>2H Weapon DPS</t>
  </si>
  <si>
    <t>Bracer Slot</t>
  </si>
  <si>
    <t>Bracer Slot Pawn</t>
  </si>
  <si>
    <t>Bracer STR</t>
  </si>
  <si>
    <t>Bracer Agi</t>
  </si>
  <si>
    <t>Bracer Crit Rating</t>
  </si>
  <si>
    <t>Bracer Haste</t>
  </si>
  <si>
    <t>Bracer Expertise</t>
  </si>
  <si>
    <t>Bracer AP</t>
  </si>
  <si>
    <t>Hands Slot</t>
  </si>
  <si>
    <t>Hands Slot Pawn</t>
  </si>
  <si>
    <t>Hands STR</t>
  </si>
  <si>
    <t>Hands Agi</t>
  </si>
  <si>
    <t>Hands Crit</t>
  </si>
  <si>
    <t>Hands Haste</t>
  </si>
  <si>
    <t>Hands Expertise</t>
  </si>
  <si>
    <t>Hands AP</t>
  </si>
  <si>
    <t>Weapon DPS Ref + Pawn</t>
  </si>
  <si>
    <t>2-Hand Weapon DPS</t>
  </si>
  <si>
    <t>2-Hand Weapon Speed</t>
  </si>
  <si>
    <t>Offhand Weapon Speed</t>
  </si>
  <si>
    <t>Sword Spec Bonus</t>
  </si>
  <si>
    <t>Weapon Proc Bonus</t>
  </si>
  <si>
    <t>Belt Slot</t>
  </si>
  <si>
    <t>Belt Slot Pawn</t>
  </si>
  <si>
    <t>Belt STR</t>
  </si>
  <si>
    <t>Belt Agi</t>
  </si>
  <si>
    <t>Belt Crit</t>
  </si>
  <si>
    <t>Belt Haste</t>
  </si>
  <si>
    <t>Belt Expertise</t>
  </si>
  <si>
    <t>Belt AP</t>
  </si>
  <si>
    <t>Trinket AVG AP</t>
  </si>
  <si>
    <t>Trinket Proc Haste</t>
  </si>
  <si>
    <t>Trinket Proc ArP</t>
  </si>
  <si>
    <t>Ring AVG AP</t>
  </si>
  <si>
    <t>Pawn Setting</t>
  </si>
  <si>
    <t>2H weapon DPS</t>
  </si>
  <si>
    <t>Offhand weapon dps</t>
  </si>
  <si>
    <t>2H weap speed</t>
  </si>
  <si>
    <t>OH weap speed</t>
  </si>
  <si>
    <t>Tier 5</t>
  </si>
  <si>
    <t>Tier 6</t>
  </si>
  <si>
    <t>Leg Slot</t>
  </si>
  <si>
    <t>Leg Slot Pawn</t>
  </si>
  <si>
    <t>Leg STR</t>
  </si>
  <si>
    <t>Leg Agi</t>
  </si>
  <si>
    <t>Leg Crit</t>
  </si>
  <si>
    <t>Leg Haste</t>
  </si>
  <si>
    <t>Leg Expertise</t>
  </si>
  <si>
    <t>Leg AP</t>
  </si>
  <si>
    <t>Sunwell</t>
  </si>
  <si>
    <t>Boot Slot</t>
  </si>
  <si>
    <t>Boot Slot Pawn</t>
  </si>
  <si>
    <t>Boot STR</t>
  </si>
  <si>
    <t>Boot Agi</t>
  </si>
  <si>
    <t>Boot Crit</t>
  </si>
  <si>
    <t>Boot Haste</t>
  </si>
  <si>
    <t>Boot Expertise</t>
  </si>
  <si>
    <t>Boot AP</t>
  </si>
  <si>
    <t>Shadowmaster's Boots</t>
  </si>
  <si>
    <t>Nyn'jah Tabi Boots</t>
  </si>
  <si>
    <t>Ring Slot</t>
  </si>
  <si>
    <t>Ring Slot Pawn</t>
  </si>
  <si>
    <t>Ring STR</t>
  </si>
  <si>
    <t>Ring Agi</t>
  </si>
  <si>
    <t>Ring Crit</t>
  </si>
  <si>
    <t>Ring Haste</t>
  </si>
  <si>
    <t>Ring Expertise</t>
  </si>
  <si>
    <t>Ring AP</t>
  </si>
  <si>
    <t>2H Strength proc</t>
  </si>
  <si>
    <t>Ranged Slot</t>
  </si>
  <si>
    <t>Ranged Slot Pawn</t>
  </si>
  <si>
    <t>Ranged STR</t>
  </si>
  <si>
    <t>Ranged Agi</t>
  </si>
  <si>
    <t>Ranged Crit</t>
  </si>
  <si>
    <t>Ranged Haste</t>
  </si>
  <si>
    <t>Ranged Expertise</t>
  </si>
  <si>
    <t>Ranged AP</t>
  </si>
  <si>
    <t>Trinket Proc Averages</t>
  </si>
  <si>
    <t>Trinket Slot</t>
  </si>
  <si>
    <t>Trinket Slot Pawn</t>
  </si>
  <si>
    <t>Trinket STR</t>
  </si>
  <si>
    <t>Trinket Agi</t>
  </si>
  <si>
    <t>Trinket Crit</t>
  </si>
  <si>
    <t>Trinket Haste</t>
  </si>
  <si>
    <t>Trinket Expertise</t>
  </si>
  <si>
    <t>Trinket AP</t>
  </si>
  <si>
    <t>Darkmoon Card : Crusade</t>
  </si>
  <si>
    <t>Neck Slot Red Socket</t>
  </si>
  <si>
    <t>Neck Red Socket</t>
  </si>
  <si>
    <t>Neck Slot Yellow Socket</t>
  </si>
  <si>
    <t>Neck Y Socket</t>
  </si>
  <si>
    <t>Neck Slot Blue Socket</t>
  </si>
  <si>
    <t>Neck Blue Socket</t>
  </si>
  <si>
    <t>Neck Socket Bonus</t>
  </si>
  <si>
    <t>Neck Bonus</t>
  </si>
  <si>
    <t>Neck bonus ref STR</t>
  </si>
  <si>
    <t>Neck bonus ref AGI</t>
  </si>
  <si>
    <t>Neck bonus ref Crit</t>
  </si>
  <si>
    <t>Neck bonus ref AP</t>
  </si>
  <si>
    <t>Neck bonus ref Hit</t>
  </si>
  <si>
    <t>4 AP</t>
  </si>
  <si>
    <t>Main Hand Weapon Procs</t>
  </si>
  <si>
    <t>MH Weapon Haste Proc AVG</t>
  </si>
  <si>
    <t>4 Ap</t>
  </si>
  <si>
    <t>Shoulder Red Socket</t>
  </si>
  <si>
    <t>Shoulder Slot Yellow Socket</t>
  </si>
  <si>
    <t>Shoulder Y Socket</t>
  </si>
  <si>
    <t>Shoulder Blue Socket</t>
  </si>
  <si>
    <t>Shoulder Socket Bonus</t>
  </si>
  <si>
    <t>Shoulder bonus ref STR</t>
  </si>
  <si>
    <t>Shoulder bonus ref AGI</t>
  </si>
  <si>
    <t>Shoulder bonus ref Crit</t>
  </si>
  <si>
    <t>Shoulder bonus ref AP</t>
  </si>
  <si>
    <t>Shoulder bonus ref Hit</t>
  </si>
  <si>
    <t>3 Agi</t>
  </si>
  <si>
    <t>3 Str</t>
  </si>
  <si>
    <t>3 Crit</t>
  </si>
  <si>
    <t>2 Agi</t>
  </si>
  <si>
    <t>Offhand Weapon Procs</t>
  </si>
  <si>
    <t>OH Weapon Haste Proc AVG</t>
  </si>
  <si>
    <t>Helm Slot Red Socket</t>
  </si>
  <si>
    <t>Helm Red Socket</t>
  </si>
  <si>
    <t>Helm Slot Yellow Socket</t>
  </si>
  <si>
    <t>Helm Y Socket</t>
  </si>
  <si>
    <t>Helm Blue Socket</t>
  </si>
  <si>
    <t>Helm Socket Bonus</t>
  </si>
  <si>
    <t>Helm Bonus</t>
  </si>
  <si>
    <t>Helm bonus ref STR</t>
  </si>
  <si>
    <t>Helm bonus ref AGI</t>
  </si>
  <si>
    <t>Helm bonus ref Crit</t>
  </si>
  <si>
    <t>Helm bonus ref AP</t>
  </si>
  <si>
    <t>Helm bonus ref Hit</t>
  </si>
  <si>
    <t>4 Agi</t>
  </si>
  <si>
    <t>4 Crit</t>
  </si>
  <si>
    <t>4 Str</t>
  </si>
  <si>
    <t>4 Hit</t>
  </si>
  <si>
    <t>Back Red Socket</t>
  </si>
  <si>
    <t>Back Y Socket</t>
  </si>
  <si>
    <t>Back Blue Socket</t>
  </si>
  <si>
    <t>Back Bonus</t>
  </si>
  <si>
    <t>Back bonus ref STR</t>
  </si>
  <si>
    <t>Back bonus ref AGI</t>
  </si>
  <si>
    <t>Back bonus ref Crit</t>
  </si>
  <si>
    <t>Back bonus ref AP</t>
  </si>
  <si>
    <t>Back bonus ref Hit</t>
  </si>
  <si>
    <t>2 Hit</t>
  </si>
  <si>
    <t>2 Crit</t>
  </si>
  <si>
    <t>Ring Slot Proc</t>
  </si>
  <si>
    <t>Ring AP Proc AVG</t>
  </si>
  <si>
    <t>Chest Red Socket</t>
  </si>
  <si>
    <t>Chest Y Socket</t>
  </si>
  <si>
    <t>Chest Blue Socket</t>
  </si>
  <si>
    <t>Chest Bonus</t>
  </si>
  <si>
    <t>Chest bonus ref STR</t>
  </si>
  <si>
    <t>Chest bonus ref AGI</t>
  </si>
  <si>
    <t>Chest bonus ref Crit</t>
  </si>
  <si>
    <t>Chest bonus ref AP</t>
  </si>
  <si>
    <t>Chest bonus ref Hit</t>
  </si>
  <si>
    <t>8 AP</t>
  </si>
  <si>
    <t>MH Red Socket</t>
  </si>
  <si>
    <t>MH Y Socket</t>
  </si>
  <si>
    <t>MH Blue Socket</t>
  </si>
  <si>
    <t>MH Bonus</t>
  </si>
  <si>
    <t>MH bonus ref STR</t>
  </si>
  <si>
    <t>MH bonus ref AGI</t>
  </si>
  <si>
    <t>MH bonus ref Crit</t>
  </si>
  <si>
    <t>MH bonus ref AP</t>
  </si>
  <si>
    <t>MH bonus ref Hit</t>
  </si>
  <si>
    <t>6 AP</t>
  </si>
  <si>
    <t>Offhand Red Socket</t>
  </si>
  <si>
    <t>Offhand Y Socket</t>
  </si>
  <si>
    <t>Offhand Blue Socket</t>
  </si>
  <si>
    <t>Offhand Bonus</t>
  </si>
  <si>
    <t>Offhand bonus ref STR</t>
  </si>
  <si>
    <t>Offhand bonus ref AGI</t>
  </si>
  <si>
    <t>Offhand bonus ref Crit</t>
  </si>
  <si>
    <t>Offhand bonus ref AP</t>
  </si>
  <si>
    <t>Offhand bonus ref Hit</t>
  </si>
  <si>
    <t>3 STR</t>
  </si>
  <si>
    <t>2h Red Socket</t>
  </si>
  <si>
    <t>2h Y Socket</t>
  </si>
  <si>
    <t>2h Blue Socket</t>
  </si>
  <si>
    <t>2h Bonus</t>
  </si>
  <si>
    <t>2h bonus ref STR</t>
  </si>
  <si>
    <t>2h bonus ref AGI</t>
  </si>
  <si>
    <t>2h bonus ref Crit</t>
  </si>
  <si>
    <t>2h bonus ref AP</t>
  </si>
  <si>
    <t>2h bonus ref Hit</t>
  </si>
  <si>
    <t>Bracer Red Socket</t>
  </si>
  <si>
    <t>Bracer Y Socket</t>
  </si>
  <si>
    <t>Bracer Blue Socket</t>
  </si>
  <si>
    <t>Bracer Bonus</t>
  </si>
  <si>
    <t>Bracer bonus ref STR</t>
  </si>
  <si>
    <t>Bracer bonus ref AGI</t>
  </si>
  <si>
    <t>Bracer bonus ref Crit</t>
  </si>
  <si>
    <t>Bracer bonus ref AP</t>
  </si>
  <si>
    <t>Bracer bonus ref Hit</t>
  </si>
  <si>
    <t>2 STR</t>
  </si>
  <si>
    <t>Hands Red Socket</t>
  </si>
  <si>
    <t>Hands Y Socket</t>
  </si>
  <si>
    <t>Hands Blue Socket</t>
  </si>
  <si>
    <t xml:space="preserve"> Hands Bonus</t>
  </si>
  <si>
    <t>Hands bonus ref STR</t>
  </si>
  <si>
    <t>Hands bonus ref AGI</t>
  </si>
  <si>
    <t>Hands bonus ref Crit</t>
  </si>
  <si>
    <t>Hands bonus ref AP</t>
  </si>
  <si>
    <t>Hands bonus ref Hit</t>
  </si>
  <si>
    <t>Belt Bonus</t>
  </si>
  <si>
    <t>Belt bonus ref STR</t>
  </si>
  <si>
    <t>Belt bonus ref AGI</t>
  </si>
  <si>
    <t>Belt bonus ref Crit</t>
  </si>
  <si>
    <t>Belt bonus ref AP</t>
  </si>
  <si>
    <t>Belt bonus ref Hit</t>
  </si>
  <si>
    <t>2 Str</t>
  </si>
  <si>
    <t>3 Hit</t>
  </si>
  <si>
    <t>Leg Red Socket</t>
  </si>
  <si>
    <t>Leg Y Socket</t>
  </si>
  <si>
    <t>Leg Blue Socket</t>
  </si>
  <si>
    <t>Leg Bonus</t>
  </si>
  <si>
    <t>Leg bonus ref STR</t>
  </si>
  <si>
    <t>Leg bonus ref AGI</t>
  </si>
  <si>
    <t>Leg bonus ref Crit</t>
  </si>
  <si>
    <t>Leg bonus ref AP</t>
  </si>
  <si>
    <t>Leg bonus ref Hit</t>
  </si>
  <si>
    <t>Boot Red Socket</t>
  </si>
  <si>
    <t>Boot Y Socket</t>
  </si>
  <si>
    <t>Boot Blue Socket</t>
  </si>
  <si>
    <t>Boot Bonus</t>
  </si>
  <si>
    <t>Boot bonus ref STR</t>
  </si>
  <si>
    <t>Boot bonus ref AGI</t>
  </si>
  <si>
    <t>Boot bonus ref Crit</t>
  </si>
  <si>
    <t>Boot bonus ref AP</t>
  </si>
  <si>
    <t>Boot bonus ref Hit</t>
  </si>
  <si>
    <t>Ring Red Socket</t>
  </si>
  <si>
    <t>Ring Y Socket</t>
  </si>
  <si>
    <t>Ring Blue Socket</t>
  </si>
  <si>
    <t>Ring Bonus</t>
  </si>
  <si>
    <t>Ring bonus ref STR</t>
  </si>
  <si>
    <t>Ring bonus ref AGI</t>
  </si>
  <si>
    <t>Ring bonus ref Crit</t>
  </si>
  <si>
    <t>Ring bonus ref AP</t>
  </si>
  <si>
    <t>Ring bonus ref Hit</t>
  </si>
  <si>
    <t>Ranged Red Socket</t>
  </si>
  <si>
    <t>Ranged Y Socket</t>
  </si>
  <si>
    <t>Ranged Blue Socket</t>
  </si>
  <si>
    <t>Ranged Bonus</t>
  </si>
  <si>
    <t>Ranged bonus ref STR</t>
  </si>
  <si>
    <t>Ranged bonus ref AGI</t>
  </si>
  <si>
    <t>Ranged bonus ref Crit</t>
  </si>
  <si>
    <t>Ranged bonus ref AP</t>
  </si>
  <si>
    <t>Ranged bonus ref Hit</t>
  </si>
  <si>
    <t>Socket choices to dictate actual gems socketed in calculations</t>
  </si>
  <si>
    <t>MH Weapon DPS</t>
  </si>
  <si>
    <t>MH Weapon Speed</t>
  </si>
  <si>
    <t>Offhand Weapon DPS</t>
  </si>
  <si>
    <t>2h Weapon DPS</t>
  </si>
  <si>
    <t>2h Weapon Speed</t>
  </si>
  <si>
    <t>Specialisation Bonus</t>
  </si>
  <si>
    <t>2h Average Damage</t>
  </si>
  <si>
    <t>World Breaker</t>
  </si>
  <si>
    <t>Item set builder for Fury Warrior covering T5/T6/Sunwell in 2.4.3 - Early working version with many changes/additions to come. To use you must copy tab to your own sheet</t>
  </si>
  <si>
    <r>
      <t xml:space="preserve">Armor ignore calculation and damage projections </t>
    </r>
    <r>
      <rPr>
        <color rgb="FF00CCFF"/>
      </rPr>
      <t>[Lulleh Edition]</t>
    </r>
  </si>
  <si>
    <t>DEBUFFS</t>
  </si>
  <si>
    <t>v</t>
  </si>
  <si>
    <t>No Faerie Fire</t>
  </si>
  <si>
    <t>Serpentshrine Cavern</t>
  </si>
  <si>
    <t>Black Temple</t>
  </si>
  <si>
    <t>Mount Hyjal</t>
  </si>
  <si>
    <t>Sunwell Plateau</t>
  </si>
  <si>
    <t>Karazhan</t>
  </si>
  <si>
    <t>No COR</t>
  </si>
  <si>
    <t>Hydross</t>
  </si>
  <si>
    <t>Naj'entus</t>
  </si>
  <si>
    <t>Rage Winterchill</t>
  </si>
  <si>
    <t>Kalecgos</t>
  </si>
  <si>
    <t>Attumen the Huntsman</t>
  </si>
  <si>
    <t>Sunder x 5</t>
  </si>
  <si>
    <t>Lurker</t>
  </si>
  <si>
    <t>Supremus</t>
  </si>
  <si>
    <t>Anetheron</t>
  </si>
  <si>
    <t>- Sathrovarr the Corruptor</t>
  </si>
  <si>
    <t>- Midnight</t>
  </si>
  <si>
    <t>Leotheras</t>
  </si>
  <si>
    <t>Shade of Akama</t>
  </si>
  <si>
    <t>Kaz'rogal</t>
  </si>
  <si>
    <t>Brutallus</t>
  </si>
  <si>
    <t>The Curator</t>
  </si>
  <si>
    <t>Opera Event</t>
  </si>
  <si>
    <t>Julianne</t>
  </si>
  <si>
    <t>Crystal Yield</t>
  </si>
  <si>
    <t>Karathress</t>
  </si>
  <si>
    <t>Teron Gorefiend</t>
  </si>
  <si>
    <t>Azgalor</t>
  </si>
  <si>
    <t>Felmyst</t>
  </si>
  <si>
    <t>Shade of Aran</t>
  </si>
  <si>
    <t>Romulo</t>
  </si>
  <si>
    <t>Morogrim</t>
  </si>
  <si>
    <t>Bloodboil</t>
  </si>
  <si>
    <t>Archimonde</t>
  </si>
  <si>
    <t>The Eredar Twins</t>
  </si>
  <si>
    <t>Terestian Illhoof</t>
  </si>
  <si>
    <t>Strawman</t>
  </si>
  <si>
    <t>^</t>
  </si>
  <si>
    <t>Vashj</t>
  </si>
  <si>
    <t>Reliquary of Souls</t>
  </si>
  <si>
    <t>Zul'Aman</t>
  </si>
  <si>
    <t>M'uru / Entropius</t>
  </si>
  <si>
    <t>- Kil'rek</t>
  </si>
  <si>
    <t>Tinhead</t>
  </si>
  <si>
    <t>- Phase 1</t>
  </si>
  <si>
    <t>Nalorakk</t>
  </si>
  <si>
    <t>- Shadowsword Fury Mage</t>
  </si>
  <si>
    <t>Netherspite</t>
  </si>
  <si>
    <t>Roar</t>
  </si>
  <si>
    <t>Tempest Keep</t>
  </si>
  <si>
    <t>- Phase 2</t>
  </si>
  <si>
    <t>Akil'zon</t>
  </si>
  <si>
    <t>- Shadowsword Berserker</t>
  </si>
  <si>
    <t>Prince Malchezaar</t>
  </si>
  <si>
    <t>Dorothee</t>
  </si>
  <si>
    <t>Void Reaver</t>
  </si>
  <si>
    <t>- Phase 3</t>
  </si>
  <si>
    <t>Jan'alai</t>
  </si>
  <si>
    <t>- Void Sentinel</t>
  </si>
  <si>
    <t>Nightbane</t>
  </si>
  <si>
    <t>Tito</t>
  </si>
  <si>
    <t>Al'ar</t>
  </si>
  <si>
    <t>Mother Shahraz</t>
  </si>
  <si>
    <t>Halazzi</t>
  </si>
  <si>
    <t>Kil'jaeden</t>
  </si>
  <si>
    <t>The Crone</t>
  </si>
  <si>
    <t>Increase vs. 7700 Boss</t>
  </si>
  <si>
    <t>Solarian</t>
  </si>
  <si>
    <t>Illidari Council</t>
  </si>
  <si>
    <t>Hex Lord Malacrass</t>
  </si>
  <si>
    <t>- Hand of the Deceiver</t>
  </si>
  <si>
    <t>The Big Bad Wolf</t>
  </si>
  <si>
    <t>Increase vs. 6200 Boss</t>
  </si>
  <si>
    <t>Kael'Thas</t>
  </si>
  <si>
    <t>Illidan Stormrage</t>
  </si>
  <si>
    <t>Zul'jin</t>
  </si>
  <si>
    <t>- Sinister Reflection</t>
  </si>
  <si>
    <t>Magtheridon</t>
  </si>
  <si>
    <t>No Sunder</t>
  </si>
  <si>
    <t>Gruul's Lair</t>
  </si>
  <si>
    <t>High armor</t>
  </si>
  <si>
    <t>High King Maulgar</t>
  </si>
  <si>
    <t>OH Weapon</t>
  </si>
  <si>
    <t>T5 Average</t>
  </si>
  <si>
    <t>T6 Average</t>
  </si>
  <si>
    <t>ZA Average</t>
  </si>
  <si>
    <t>SWP Average</t>
  </si>
  <si>
    <t>T4 Average</t>
  </si>
  <si>
    <t>- Adds</t>
  </si>
  <si>
    <t>Low armor</t>
  </si>
  <si>
    <t>Gruul the Dragonslayer</t>
  </si>
  <si>
    <t>CoRecklessness</t>
  </si>
  <si>
    <t>Base armor</t>
  </si>
  <si>
    <t>Damage taken</t>
  </si>
  <si>
    <t>Debuffed armor</t>
  </si>
  <si>
    <t>&lt; My Current ArP</t>
  </si>
  <si>
    <t>&lt; Put your ArP in the Orange box</t>
  </si>
  <si>
    <t>Average armor</t>
  </si>
  <si>
    <t>&lt; Dmg increase</t>
  </si>
  <si>
    <t>Armor Ignore</t>
  </si>
  <si>
    <t>% damage increase from certain amounts of ArP</t>
  </si>
  <si>
    <t>Executioner Inactive</t>
  </si>
  <si>
    <t>Expertise - Main / Offhand</t>
  </si>
  <si>
    <t>Boss armor remaining and armor ignore damage increase percentages with the set builder are based on</t>
  </si>
  <si>
    <t>Executioner Active</t>
  </si>
  <si>
    <t>Faerie Fire</t>
  </si>
  <si>
    <t>Dodge Reduction %</t>
  </si>
  <si>
    <t>the raid debuffed boss armor as shown in the armor ignore calculation/projections tool to the right. Take</t>
  </si>
  <si>
    <t>Executioner Active x2</t>
  </si>
  <si>
    <t xml:space="preserve">into account if your ArP drops boss armor below 0 it becomes waste and the damage % increase shown </t>
  </si>
  <si>
    <t>None</t>
  </si>
  <si>
    <t>is inaccurate. You can adjust it manually with the manual stat change box to bring it back up to 0.</t>
  </si>
  <si>
    <t>Madness trinket active</t>
  </si>
  <si>
    <t>% increase of 200 ArP at different levels</t>
  </si>
  <si>
    <t>Boss Armor Remaining</t>
  </si>
  <si>
    <t>Executioner + Madness of the Betrayer options show increase during their active uptimes, not averages.</t>
  </si>
  <si>
    <t>add/subtract Red/Orange gems with the overide and add Purple/Yellow in the quantity box.</t>
  </si>
  <si>
    <t>As a result values for the T5 selection will differ to those shown in the gear ranking list which uses blue gems</t>
  </si>
  <si>
    <t>Rod of the Sun King + Syphon of the Nathrezim procs not calculated in the pawn value, number will show</t>
  </si>
  <si>
    <t>slightly lower than true value as a result.</t>
  </si>
  <si>
    <t>Expertise Racial (Main Hand)</t>
  </si>
  <si>
    <t>Note - Executioner being fixed on Warmane, 2x procs for 1680 ARP should no longer be possible</t>
  </si>
  <si>
    <t>Expertise Racial (Offhand)</t>
  </si>
  <si>
    <t>Weapon Mastery 1/2</t>
  </si>
  <si>
    <t>Weapon Mastery 2/2</t>
  </si>
  <si>
    <t>Warglaive Set Bonus</t>
  </si>
  <si>
    <r>
      <t>Execute Damage comparison tool (</t>
    </r>
    <r>
      <rPr>
        <color rgb="FFFF8000"/>
      </rPr>
      <t>Bloodthirst</t>
    </r>
    <r>
      <t>/</t>
    </r>
    <r>
      <rPr>
        <color rgb="FF00CCFF"/>
      </rPr>
      <t>Whirlwind</t>
    </r>
    <r>
      <t>)</t>
    </r>
  </si>
  <si>
    <t>Edit the Orange cells only.</t>
  </si>
  <si>
    <t>Damage</t>
  </si>
  <si>
    <t>Type</t>
  </si>
  <si>
    <t>Normalised Speed</t>
  </si>
  <si>
    <t>Combined Whirlwind Damage</t>
  </si>
  <si>
    <t>Bloodthirst damage</t>
  </si>
  <si>
    <t>Bloodthirst dps (before crit/armor - 4min duration)</t>
  </si>
  <si>
    <t>Set "Total Rage Spent" to 30 to compare with Bloodthirst.</t>
  </si>
  <si>
    <t>Set "Total Rage Spent" to 25 to compare with Whirlwind*.</t>
  </si>
  <si>
    <t>* T4 2p makes Whirlwind cost 20 Rage.</t>
  </si>
  <si>
    <t>Arms Pawn</t>
  </si>
  <si>
    <t>MH weapon Speed</t>
  </si>
  <si>
    <t>MH weapon Haste proc</t>
  </si>
  <si>
    <t>OH weapon Haste proc</t>
  </si>
  <si>
    <t>MH weapon DPS</t>
  </si>
  <si>
    <t>MH weap speed</t>
  </si>
  <si>
    <t>Boss Armor</t>
  </si>
  <si>
    <t>MH Weapon Type</t>
  </si>
  <si>
    <t>Offhand Weapon Type</t>
  </si>
  <si>
    <t>Fist</t>
  </si>
  <si>
    <t>Mace</t>
  </si>
  <si>
    <t>Blade of Serration</t>
  </si>
  <si>
    <t>Dagger</t>
  </si>
  <si>
    <t>Boundless Agony</t>
  </si>
  <si>
    <t>Brutal Gladiator's Mutilator</t>
  </si>
  <si>
    <t>Fang of Kalecgos</t>
  </si>
  <si>
    <t>Brutal Gladiator's Shiv</t>
  </si>
  <si>
    <t>Fang of Vashj</t>
  </si>
  <si>
    <t>Dagger of Bad Mojo</t>
  </si>
  <si>
    <t>Prowler's Striker</t>
  </si>
  <si>
    <t>Messenger of Fate</t>
  </si>
  <si>
    <t>MH AVG Damage</t>
  </si>
  <si>
    <t>MH Normalised Speed</t>
  </si>
  <si>
    <t>Offhand AVG Damage</t>
  </si>
  <si>
    <t>Offhand Normalised Speed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</si>
</sst>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122">
    <font>
      <sz val="10.0"/>
      <color rgb="FF000000"/>
      <name val="Arial"/>
    </font>
    <font>
      <b/>
      <color rgb="FF134F5C"/>
    </font>
    <font>
      <color rgb="FF1155CC"/>
    </font>
    <font>
      <color rgb="FF000000"/>
    </font>
    <font>
      <b/>
      <sz val="18.0"/>
    </font>
    <font/>
    <font>
      <b/>
    </font>
    <font>
      <color rgb="FF4A86E8"/>
    </font>
    <font>
      <color rgb="FF9900FF"/>
    </font>
    <font>
      <sz val="10.0"/>
      <name val="Arial"/>
    </font>
    <font>
      <b/>
      <sz val="18.0"/>
      <name val="Arial"/>
    </font>
    <font>
      <b/>
      <sz val="10.0"/>
      <name val="Arial"/>
    </font>
    <font>
      <color rgb="FF000000"/>
      <name val="Arial"/>
    </font>
    <font>
      <name val="Arial"/>
    </font>
    <font>
      <b/>
      <name val="Arial"/>
    </font>
    <font>
      <b/>
      <color rgb="FF9900FF"/>
      <name val="Arial"/>
    </font>
    <font>
      <b/>
      <i/>
      <sz val="14.0"/>
      <color rgb="FFCC0000"/>
    </font>
    <font>
      <b/>
      <i/>
      <color rgb="FF4A86E8"/>
    </font>
    <font>
      <sz val="24.0"/>
      <color rgb="FF000000"/>
      <name val="Arial"/>
    </font>
    <font>
      <b/>
      <color rgb="FFCCCCCC"/>
      <name val="Arial"/>
    </font>
    <font>
      <color rgb="FFCCCCCC"/>
      <name val="Arial"/>
    </font>
    <font>
      <b/>
      <color rgb="FF000000"/>
      <name val="Arial"/>
    </font>
    <font>
      <b/>
      <color rgb="FFB048F8"/>
      <name val="Arial"/>
    </font>
    <font>
      <b/>
      <i/>
      <color rgb="FF4A86E8"/>
      <name val="Arial"/>
    </font>
    <font>
      <b/>
      <color rgb="FF4A86E8"/>
      <name val="Arial"/>
    </font>
    <font>
      <sz val="11.0"/>
      <name val="Arial"/>
    </font>
    <font>
      <b/>
      <color rgb="FF0080FF"/>
      <name val="Arial"/>
    </font>
    <font>
      <color rgb="FFC1B575"/>
      <name val="Arial"/>
    </font>
    <font>
      <i/>
      <sz val="10.0"/>
      <color rgb="FF4A86E8"/>
    </font>
    <font>
      <color rgb="FFFF0000"/>
    </font>
    <font>
      <b/>
      <sz val="11.0"/>
      <color rgb="FF4A86E8"/>
      <name val="Whitney"/>
    </font>
    <font>
      <strike/>
    </font>
    <font>
      <i/>
      <color rgb="FF4A86E8"/>
    </font>
    <font>
      <color rgb="FFFFFFFF"/>
      <name val="Arial"/>
    </font>
    <font>
      <i/>
      <color rgb="FF4A86E8"/>
      <name val="Arial"/>
    </font>
    <font>
      <i/>
      <color rgb="FFBF9000"/>
    </font>
    <font>
      <color rgb="FF9900FF"/>
      <name val="Arial"/>
    </font>
    <font>
      <b/>
      <color rgb="FFFF0000"/>
      <name val="Arial"/>
    </font>
    <font>
      <b/>
      <color rgb="FFFF0000"/>
    </font>
    <font>
      <sz val="10.0"/>
      <color rgb="FF000000"/>
    </font>
    <font>
      <b/>
      <sz val="10.0"/>
      <color rgb="FFFF0000"/>
      <name val="Arial"/>
    </font>
    <font>
      <sz val="10.0"/>
    </font>
    <font>
      <b/>
      <sz val="10.0"/>
      <color rgb="FF4A86E8"/>
    </font>
    <font>
      <b/>
      <sz val="10.0"/>
      <color rgb="FF4A86E8"/>
      <name val="Arial"/>
    </font>
    <font>
      <i/>
    </font>
    <font>
      <b/>
      <color rgb="FF4A86E8"/>
    </font>
    <font>
      <b/>
      <sz val="12.0"/>
      <color rgb="FFC79C6E"/>
    </font>
    <font>
      <b/>
      <sz val="12.0"/>
      <color rgb="FFFFFFFF"/>
    </font>
    <font>
      <b/>
      <sz val="10.0"/>
    </font>
    <font>
      <b/>
      <sz val="10.0"/>
      <color rgb="FF3C78D8"/>
    </font>
    <font>
      <b/>
      <color rgb="FF3C78D8"/>
      <name val="Arial"/>
    </font>
    <font>
      <b/>
      <sz val="10.0"/>
      <color rgb="FFFFFFFF"/>
    </font>
    <font>
      <b/>
      <sz val="12.0"/>
      <color rgb="FFFFF569"/>
    </font>
    <font>
      <b/>
      <sz val="12.0"/>
      <color rgb="FF0070DE"/>
    </font>
    <font>
      <b/>
      <sz val="10.0"/>
      <color rgb="FFFFFFFF"/>
      <name val="Arial"/>
    </font>
    <font>
      <b/>
      <sz val="12.0"/>
      <color rgb="FFCCCCCC"/>
    </font>
    <font>
      <b/>
      <sz val="12.0"/>
      <color rgb="FFFF0000"/>
    </font>
    <font>
      <b/>
      <sz val="12.0"/>
      <color rgb="FFFFFF00"/>
    </font>
    <font>
      <b/>
      <sz val="12.0"/>
      <color rgb="FF0000FF"/>
    </font>
    <font>
      <sz val="10.0"/>
      <color rgb="FF0000FF"/>
    </font>
    <font>
      <i/>
      <sz val="10.0"/>
      <color rgb="FF6D9EEB"/>
    </font>
    <font>
      <b/>
      <sz val="10.0"/>
      <color rgb="FF9900FF"/>
    </font>
    <font>
      <b/>
      <color rgb="FF9900FF"/>
    </font>
    <font>
      <b/>
      <sz val="10.0"/>
      <color rgb="FF0000FF"/>
    </font>
    <font>
      <b/>
      <sz val="12.0"/>
      <color rgb="FF000000"/>
    </font>
    <font>
      <sz val="11.0"/>
    </font>
    <font>
      <b/>
      <sz val="10.0"/>
      <color rgb="FFFF8000"/>
    </font>
    <font>
      <b/>
      <sz val="10.0"/>
      <color rgb="FF00AA00"/>
    </font>
    <font>
      <b/>
      <sz val="10.0"/>
      <color rgb="FF000000"/>
    </font>
    <font>
      <b/>
      <sz val="12.0"/>
      <color rgb="FF6D9EEB"/>
    </font>
    <font>
      <b/>
      <sz val="10.0"/>
      <color rgb="FF6D9EEB"/>
    </font>
    <font>
      <i/>
      <sz val="10.0"/>
      <color rgb="FF351C75"/>
    </font>
    <font>
      <b/>
      <color rgb="FFFF8000"/>
      <name val="Arial"/>
    </font>
    <font>
      <i/>
      <color rgb="FF9900FF"/>
      <name val="Arial"/>
    </font>
    <font>
      <b/>
      <i/>
      <sz val="10.0"/>
      <color rgb="FF0000FF"/>
    </font>
    <font>
      <b/>
      <sz val="11.0"/>
    </font>
    <font>
      <b/>
      <color rgb="FF0000FF"/>
      <name val="Arial"/>
    </font>
    <font>
      <b/>
      <sz val="11.0"/>
      <color rgb="FFFFFFFF"/>
    </font>
    <font>
      <b/>
      <sz val="11.0"/>
      <color rgb="FF000000"/>
    </font>
    <font>
      <sz val="10.0"/>
      <color rgb="FF1155CC"/>
    </font>
    <font>
      <sz val="10.0"/>
      <color rgb="FF4A86E8"/>
    </font>
    <font>
      <b/>
      <sz val="10.0"/>
      <color rgb="FFFF0000"/>
    </font>
    <font>
      <b/>
      <color rgb="FF0000FF"/>
    </font>
    <font>
      <sz val="12.0"/>
      <color rgb="FFFFFFFF"/>
    </font>
    <font>
      <i/>
      <sz val="12.0"/>
      <color rgb="FF4A86E8"/>
    </font>
    <font>
      <b/>
      <color rgb="FF00AA00"/>
      <name val="Arial"/>
    </font>
    <font>
      <color rgb="FF434343"/>
    </font>
    <font>
      <b/>
      <color rgb="FFFFFFFF"/>
    </font>
    <font>
      <color rgb="FFFFFFFF"/>
    </font>
    <font>
      <sz val="11.0"/>
      <color rgb="FFFFFFFF"/>
    </font>
    <font>
      <sz val="10.0"/>
      <color rgb="FFFFFFFF"/>
      <name val="Arial"/>
    </font>
    <font>
      <b/>
      <color rgb="FF000000"/>
    </font>
    <font>
      <sz val="11.0"/>
      <color rgb="FF000000"/>
    </font>
    <font>
      <b/>
      <color rgb="FFF3F3F3"/>
    </font>
    <font>
      <b/>
      <sz val="9.0"/>
      <color rgb="FFFFFFFF"/>
    </font>
    <font>
      <sz val="9.0"/>
      <color rgb="FFFFFFFF"/>
    </font>
    <font>
      <sz val="9.0"/>
    </font>
    <font>
      <b/>
      <color rgb="FFC3551B"/>
    </font>
    <font>
      <i/>
      <sz val="9.0"/>
      <color rgb="FF4A86E8"/>
    </font>
    <font>
      <b/>
      <color rgb="FFFFFF00"/>
    </font>
    <font>
      <i/>
      <sz val="9.0"/>
    </font>
    <font>
      <sz val="11.0"/>
      <color rgb="FF000000"/>
      <name val="Arial"/>
    </font>
    <font>
      <b/>
      <color rgb="FF660000"/>
    </font>
    <font>
      <color rgb="FF5B0F00"/>
    </font>
    <font>
      <b/>
      <color rgb="FF434343"/>
    </font>
    <font>
      <color rgb="FFF3F3F3"/>
    </font>
    <font>
      <color rgb="FF073763"/>
    </font>
    <font>
      <b/>
      <sz val="18.0"/>
      <color rgb="FFFFFFFF"/>
    </font>
    <font>
      <sz val="11.0"/>
      <color rgb="FFF7981D"/>
    </font>
    <font>
      <sz val="70.0"/>
      <color rgb="FFFFFF00"/>
    </font>
    <font>
      <b/>
      <sz val="21.0"/>
    </font>
    <font>
      <b/>
      <sz val="13.0"/>
      <color rgb="FFFFFFFF"/>
    </font>
    <font>
      <b/>
      <sz val="12.0"/>
    </font>
    <font>
      <sz val="11.0"/>
      <color rgb="FFEFEFEF"/>
    </font>
    <font>
      <b/>
      <sz val="9.0"/>
      <color rgb="FFF3F3F3"/>
    </font>
    <font>
      <sz val="9.0"/>
      <color rgb="FFEFEFEF"/>
    </font>
    <font>
      <color rgb="FFEFEFEF"/>
    </font>
    <font>
      <i/>
      <sz val="9.0"/>
      <color rgb="FFE06666"/>
    </font>
    <font>
      <i/>
      <color rgb="FFE06666"/>
    </font>
    <font>
      <sz val="14.0"/>
      <color rgb="FF000000"/>
    </font>
    <font>
      <i/>
      <color rgb="FFFFFF00"/>
    </font>
    <font>
      <sz val="11.0"/>
      <color rgb="FFFFFFFF"/>
      <name val="Whitney"/>
    </font>
  </fonts>
  <fills count="50">
    <fill>
      <patternFill patternType="none"/>
    </fill>
    <fill>
      <patternFill patternType="lightGray"/>
    </fill>
    <fill>
      <patternFill patternType="solid">
        <fgColor rgb="FF00CCFF"/>
        <bgColor rgb="FF00CCFF"/>
      </patternFill>
    </fill>
    <fill>
      <patternFill patternType="solid">
        <fgColor rgb="FF00FFFF"/>
        <bgColor rgb="FF00FFFF"/>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1B1B1B"/>
        <bgColor rgb="FF1B1B1B"/>
      </patternFill>
    </fill>
    <fill>
      <patternFill patternType="solid">
        <fgColor rgb="FFFF0000"/>
        <bgColor rgb="FFFF0000"/>
      </patternFill>
    </fill>
    <fill>
      <patternFill patternType="solid">
        <fgColor rgb="FFEFEFEF"/>
        <bgColor rgb="FFEFEFEF"/>
      </patternFill>
    </fill>
    <fill>
      <patternFill patternType="solid">
        <fgColor rgb="FFF3F3F3"/>
        <bgColor rgb="FFF3F3F3"/>
      </patternFill>
    </fill>
    <fill>
      <patternFill patternType="solid">
        <fgColor rgb="FFFFFF00"/>
        <bgColor rgb="FFFFFF00"/>
      </patternFill>
    </fill>
    <fill>
      <patternFill patternType="solid">
        <fgColor rgb="FF0F0F0F"/>
        <bgColor rgb="FF0F0F0F"/>
      </patternFill>
    </fill>
    <fill>
      <patternFill patternType="solid">
        <fgColor rgb="FF0080FF"/>
        <bgColor rgb="FF0080FF"/>
      </patternFill>
    </fill>
    <fill>
      <patternFill patternType="solid">
        <fgColor rgb="FF666666"/>
        <bgColor rgb="FF666666"/>
      </patternFill>
    </fill>
    <fill>
      <patternFill patternType="solid">
        <fgColor rgb="FFD9EAD3"/>
        <bgColor rgb="FFD9EAD3"/>
      </patternFill>
    </fill>
    <fill>
      <patternFill patternType="solid">
        <fgColor rgb="FFFFF2CC"/>
        <bgColor rgb="FFFFF2CC"/>
      </patternFill>
    </fill>
    <fill>
      <patternFill patternType="solid">
        <fgColor rgb="FF999999"/>
        <bgColor rgb="FF999999"/>
      </patternFill>
    </fill>
    <fill>
      <patternFill patternType="solid">
        <fgColor rgb="FF434343"/>
        <bgColor rgb="FF434343"/>
      </patternFill>
    </fill>
    <fill>
      <patternFill patternType="solid">
        <fgColor rgb="FF000000"/>
        <bgColor rgb="FF000000"/>
      </patternFill>
    </fill>
    <fill>
      <patternFill patternType="solid">
        <fgColor rgb="FFCCCCCC"/>
        <bgColor rgb="FFCCCCCC"/>
      </patternFill>
    </fill>
    <fill>
      <patternFill patternType="solid">
        <fgColor rgb="FFC9DAF8"/>
        <bgColor rgb="FFC9DAF8"/>
      </patternFill>
    </fill>
    <fill>
      <patternFill patternType="solid">
        <fgColor rgb="FF6FA8DC"/>
        <bgColor rgb="FF6FA8DC"/>
      </patternFill>
    </fill>
    <fill>
      <patternFill patternType="solid">
        <fgColor rgb="FF9FC5E8"/>
        <bgColor rgb="FF9FC5E8"/>
      </patternFill>
    </fill>
    <fill>
      <patternFill patternType="solid">
        <fgColor rgb="FF6D9EEB"/>
        <bgColor rgb="FF6D9EEB"/>
      </patternFill>
    </fill>
    <fill>
      <patternFill patternType="solid">
        <fgColor rgb="FFA2C4C9"/>
        <bgColor rgb="FFA2C4C9"/>
      </patternFill>
    </fill>
    <fill>
      <patternFill patternType="solid">
        <fgColor rgb="FFCC0000"/>
        <bgColor rgb="FFCC0000"/>
      </patternFill>
    </fill>
    <fill>
      <patternFill patternType="solid">
        <fgColor rgb="FF45818E"/>
        <bgColor rgb="FF45818E"/>
      </patternFill>
    </fill>
    <fill>
      <patternFill patternType="solid">
        <fgColor rgb="FF00AA00"/>
        <bgColor rgb="FF00AA00"/>
      </patternFill>
    </fill>
    <fill>
      <patternFill patternType="solid">
        <fgColor rgb="FF6AA84F"/>
        <bgColor rgb="FF6AA84F"/>
      </patternFill>
    </fill>
    <fill>
      <patternFill patternType="solid">
        <fgColor rgb="FFC27BA0"/>
        <bgColor rgb="FFC27BA0"/>
      </patternFill>
    </fill>
    <fill>
      <patternFill patternType="solid">
        <fgColor rgb="FFB6D7A8"/>
        <bgColor rgb="FFB6D7A8"/>
      </patternFill>
    </fill>
    <fill>
      <patternFill patternType="solid">
        <fgColor rgb="FFF6B26B"/>
        <bgColor rgb="FFF6B26B"/>
      </patternFill>
    </fill>
    <fill>
      <patternFill patternType="solid">
        <fgColor rgb="FFC79C6E"/>
        <bgColor rgb="FFC79C6E"/>
      </patternFill>
    </fill>
    <fill>
      <patternFill patternType="solid">
        <fgColor rgb="FFB7E1CD"/>
        <bgColor rgb="FFB7E1CD"/>
      </patternFill>
    </fill>
    <fill>
      <patternFill patternType="solid">
        <fgColor rgb="FF0070DE"/>
        <bgColor rgb="FF0070DE"/>
      </patternFill>
    </fill>
    <fill>
      <patternFill patternType="solid">
        <fgColor rgb="FFCFE2F3"/>
        <bgColor rgb="FFCFE2F3"/>
      </patternFill>
    </fill>
    <fill>
      <patternFill patternType="solid">
        <fgColor rgb="FF073763"/>
        <bgColor rgb="FF073763"/>
      </patternFill>
    </fill>
    <fill>
      <patternFill patternType="solid">
        <fgColor rgb="FF1C4587"/>
        <bgColor rgb="FF1C4587"/>
      </patternFill>
    </fill>
    <fill>
      <patternFill patternType="solid">
        <fgColor rgb="FFA64D79"/>
        <bgColor rgb="FFA64D79"/>
      </patternFill>
    </fill>
    <fill>
      <patternFill patternType="solid">
        <fgColor rgb="FFF9CB9C"/>
        <bgColor rgb="FFF9CB9C"/>
      </patternFill>
    </fill>
    <fill>
      <patternFill patternType="solid">
        <fgColor rgb="FFDF792A"/>
        <bgColor rgb="FFDF792A"/>
      </patternFill>
    </fill>
    <fill>
      <patternFill patternType="solid">
        <fgColor rgb="FF674EA7"/>
        <bgColor rgb="FF674EA7"/>
      </patternFill>
    </fill>
    <fill>
      <patternFill patternType="solid">
        <fgColor rgb="FFB4A7D6"/>
        <bgColor rgb="FFB4A7D6"/>
      </patternFill>
    </fill>
    <fill>
      <patternFill patternType="solid">
        <fgColor rgb="FFC1B575"/>
        <bgColor rgb="FFC1B575"/>
      </patternFill>
    </fill>
    <fill>
      <patternFill patternType="solid">
        <fgColor rgb="FF4A86E8"/>
        <bgColor rgb="FF4A86E8"/>
      </patternFill>
    </fill>
    <fill>
      <patternFill patternType="solid">
        <fgColor rgb="FFE69138"/>
        <bgColor rgb="FFE69138"/>
      </patternFill>
    </fill>
    <fill>
      <patternFill patternType="solid">
        <fgColor rgb="FFCC4125"/>
        <bgColor rgb="FFCC4125"/>
      </patternFill>
    </fill>
    <fill>
      <patternFill patternType="solid">
        <fgColor rgb="FFFF8000"/>
        <bgColor rgb="FFFF8000"/>
      </patternFill>
    </fill>
    <fill>
      <patternFill patternType="solid">
        <fgColor rgb="FF3D85C6"/>
        <bgColor rgb="FF3D85C6"/>
      </patternFill>
    </fill>
  </fills>
  <borders count="76">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border>
    <border>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bottom style="thick">
        <color rgb="FF1C4587"/>
      </bottom>
    </border>
    <border>
      <right style="thick">
        <color rgb="FF1C4587"/>
      </right>
      <bottom style="thick">
        <color rgb="FF1C4587"/>
      </bottom>
    </border>
    <border>
      <left style="thick">
        <color rgb="FF1C4587"/>
      </left>
      <bottom style="thick">
        <color rgb="FF1C4587"/>
      </bottom>
    </border>
    <border>
      <left style="thick">
        <color rgb="FF1C4587"/>
      </left>
      <right/>
    </border>
    <border>
      <right/>
    </border>
    <border>
      <left style="thick">
        <color rgb="FF073763"/>
      </left>
      <top style="thick">
        <color rgb="FF073763"/>
      </top>
    </border>
    <border>
      <top style="thick">
        <color rgb="FF073763"/>
      </top>
    </border>
    <border>
      <right style="thick">
        <color rgb="FF073763"/>
      </right>
      <top style="thick">
        <color rgb="FF073763"/>
      </top>
    </border>
    <border>
      <left style="thick">
        <color rgb="FF073763"/>
      </left>
    </border>
    <border>
      <right style="thick">
        <color rgb="FF073763"/>
      </right>
    </border>
    <border>
      <left style="thick">
        <color rgb="FF073763"/>
      </left>
      <bottom style="thick">
        <color rgb="FF073763"/>
      </bottom>
    </border>
    <border>
      <bottom style="thick">
        <color rgb="FF073763"/>
      </bottom>
    </border>
    <border>
      <right style="thick">
        <color rgb="FF073763"/>
      </right>
      <bottom style="thick">
        <color rgb="FF073763"/>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
      <top style="thin">
        <color rgb="FF000000"/>
      </top>
    </border>
    <border>
      <left style="thin">
        <color rgb="FF000000"/>
      </left>
    </border>
    <border>
      <right style="thin">
        <color rgb="FF000000"/>
      </right>
    </border>
    <border>
      <bottom style="thin">
        <color rgb="FF000000"/>
      </bottom>
    </border>
    <border>
      <left style="thick">
        <color rgb="FFFF8000"/>
      </left>
      <right style="thick">
        <color rgb="FFFF8000"/>
      </right>
      <top style="thick">
        <color rgb="FFFF8000"/>
      </top>
      <bottom style="thick">
        <color rgb="FFFF8000"/>
      </bottom>
    </border>
    <border>
      <left style="thin">
        <color rgb="FF000000"/>
      </left>
      <right style="thin">
        <color rgb="FF000000"/>
      </right>
      <top style="thin">
        <color rgb="FF000000"/>
      </top>
    </border>
    <border>
      <left style="thin">
        <color rgb="FF000000"/>
      </left>
      <right style="thin">
        <color rgb="FF000000"/>
      </right>
    </border>
    <border>
      <left style="thick">
        <color rgb="FFFF9900"/>
      </left>
      <right style="thick">
        <color rgb="FFFF9900"/>
      </right>
      <top style="thick">
        <color rgb="FFFF9900"/>
      </top>
      <bottom style="thick">
        <color rgb="FFFF9900"/>
      </bottom>
    </border>
    <border>
      <left style="thick">
        <color rgb="FF38761D"/>
      </left>
      <top style="thick">
        <color rgb="FF38761D"/>
      </top>
      <bottom style="thick">
        <color rgb="FF38761D"/>
      </bottom>
    </border>
    <border>
      <right style="thick">
        <color rgb="FF38761D"/>
      </right>
      <top style="thick">
        <color rgb="FF38761D"/>
      </top>
      <bottom style="thick">
        <color rgb="FF38761D"/>
      </bottom>
    </border>
    <border>
      <right style="thin">
        <color rgb="FF000000"/>
      </right>
      <top style="thin">
        <color rgb="FF000000"/>
      </top>
      <bottom style="thin">
        <color rgb="FF000000"/>
      </bottom>
    </border>
    <border>
      <left style="thick">
        <color rgb="FFFFFFFF"/>
      </left>
      <top style="thick">
        <color rgb="FFFFFFFF"/>
      </top>
    </border>
    <border>
      <top style="thick">
        <color rgb="FFFFFFFF"/>
      </top>
    </border>
    <border>
      <right style="thick">
        <color rgb="FFFFFFFF"/>
      </right>
      <top style="thick">
        <color rgb="FFFFFFFF"/>
      </top>
    </border>
    <border>
      <left style="thick">
        <color rgb="FFFF9900"/>
      </left>
      <top style="thick">
        <color rgb="FFFF9900"/>
      </top>
    </border>
    <border>
      <right style="thick">
        <color rgb="FFFF9900"/>
      </right>
      <top style="thick">
        <color rgb="FFFF9900"/>
      </top>
    </border>
    <border>
      <left style="thick">
        <color rgb="FFFFFFFF"/>
      </left>
      <bottom style="thick">
        <color rgb="FFFFFFFF"/>
      </bottom>
    </border>
    <border>
      <bottom style="thick">
        <color rgb="FFFFFFFF"/>
      </bottom>
    </border>
    <border>
      <right style="thick">
        <color rgb="FFFFFFFF"/>
      </right>
      <bottom style="thick">
        <color rgb="FFFFFFFF"/>
      </bottom>
    </border>
    <border>
      <left style="thick">
        <color rgb="FFFF9900"/>
      </left>
    </border>
    <border>
      <right style="thick">
        <color rgb="FFFF9900"/>
      </right>
    </border>
    <border>
      <left style="thick">
        <color rgb="FFFF9900"/>
      </left>
      <bottom style="thick">
        <color rgb="FFFF9900"/>
      </bottom>
    </border>
    <border>
      <right style="thick">
        <color rgb="FFFF9900"/>
      </right>
      <bottom style="thick">
        <color rgb="FFFF9900"/>
      </bottom>
    </border>
    <border>
      <left style="thick">
        <color rgb="FF38761D"/>
      </left>
      <top style="thick">
        <color rgb="FF38761D"/>
      </top>
    </border>
    <border>
      <right style="thick">
        <color rgb="FF38761D"/>
      </right>
      <top style="thick">
        <color rgb="FF38761D"/>
      </top>
    </border>
  </borders>
  <cellStyleXfs count="1">
    <xf borderId="0" fillId="0" fontId="0" numFmtId="0" applyAlignment="1" applyFont="1"/>
  </cellStyleXfs>
  <cellXfs count="80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Alignment="1" applyBorder="1" applyFill="1" applyFont="1">
      <alignment readingOrder="0"/>
    </xf>
    <xf borderId="2" fillId="2" fontId="3" numFmtId="0" xfId="0" applyAlignment="1" applyBorder="1" applyFont="1">
      <alignment readingOrder="0"/>
    </xf>
    <xf borderId="3" fillId="2" fontId="3" numFmtId="0" xfId="0" applyAlignment="1" applyBorder="1" applyFont="1">
      <alignment readingOrder="0"/>
    </xf>
    <xf borderId="4" fillId="2" fontId="4" numFmtId="0" xfId="0" applyAlignment="1" applyBorder="1" applyFont="1">
      <alignment horizontal="center" readingOrder="0" vertical="center"/>
    </xf>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9" fillId="0" fontId="5" numFmtId="0" xfId="0" applyBorder="1" applyFont="1"/>
    <xf borderId="4" fillId="2" fontId="6" numFmtId="0" xfId="0" applyAlignment="1" applyBorder="1" applyFont="1">
      <alignment readingOrder="0"/>
    </xf>
    <xf borderId="5" fillId="2" fontId="6" numFmtId="0" xfId="0" applyBorder="1" applyFont="1"/>
    <xf borderId="6" fillId="2" fontId="6" numFmtId="0" xfId="0" applyBorder="1" applyFont="1"/>
    <xf borderId="10" fillId="2" fontId="6" numFmtId="0" xfId="0" applyAlignment="1" applyBorder="1" applyFont="1">
      <alignment readingOrder="0"/>
    </xf>
    <xf borderId="0" fillId="2" fontId="6" numFmtId="0" xfId="0" applyFont="1"/>
    <xf borderId="11" fillId="2" fontId="6" numFmtId="0" xfId="0" applyBorder="1" applyFont="1"/>
    <xf borderId="10" fillId="2" fontId="6" numFmtId="0" xfId="0" applyBorder="1" applyFont="1"/>
    <xf borderId="11" fillId="2" fontId="6" numFmtId="0" xfId="0" applyAlignment="1" applyBorder="1" applyFont="1">
      <alignment horizontal="right" readingOrder="0"/>
    </xf>
    <xf borderId="0" fillId="0" fontId="7" numFmtId="0" xfId="0" applyAlignment="1" applyFont="1">
      <alignment readingOrder="0"/>
    </xf>
    <xf borderId="7" fillId="2" fontId="6" numFmtId="0" xfId="0" applyAlignment="1" applyBorder="1" applyFont="1">
      <alignment readingOrder="0"/>
    </xf>
    <xf borderId="8" fillId="2" fontId="6" numFmtId="0" xfId="0" applyBorder="1" applyFont="1"/>
    <xf borderId="9" fillId="2" fontId="6" numFmtId="0" xfId="0" applyAlignment="1" applyBorder="1" applyFont="1">
      <alignment horizontal="right" readingOrder="0"/>
    </xf>
    <xf borderId="0" fillId="0" fontId="8" numFmtId="0" xfId="0" applyAlignment="1" applyFont="1">
      <alignment readingOrder="0"/>
    </xf>
    <xf borderId="0" fillId="0" fontId="5" numFmtId="0" xfId="0" applyAlignment="1" applyFont="1">
      <alignment readingOrder="0"/>
    </xf>
    <xf borderId="0" fillId="0" fontId="9" numFmtId="0" xfId="0" applyAlignment="1" applyFont="1">
      <alignment shrinkToFit="0" wrapText="0"/>
    </xf>
    <xf borderId="0" fillId="0" fontId="9" numFmtId="0" xfId="0" applyAlignment="1" applyFont="1">
      <alignment shrinkToFit="0" wrapText="1"/>
    </xf>
    <xf borderId="12" fillId="3" fontId="10" numFmtId="0" xfId="0" applyAlignment="1" applyBorder="1" applyFill="1" applyFont="1">
      <alignment horizontal="center" readingOrder="0" shrinkToFit="0" vertical="center" wrapText="1"/>
    </xf>
    <xf borderId="13" fillId="0" fontId="5" numFmtId="0" xfId="0" applyBorder="1" applyFont="1"/>
    <xf borderId="14" fillId="0" fontId="5" numFmtId="0" xfId="0" applyBorder="1" applyFont="1"/>
    <xf borderId="12" fillId="0" fontId="11" numFmtId="0" xfId="0" applyAlignment="1" applyBorder="1" applyFont="1">
      <alignment shrinkToFit="0" wrapText="0"/>
    </xf>
    <xf borderId="15" fillId="0" fontId="11" numFmtId="0" xfId="0" applyAlignment="1" applyBorder="1" applyFont="1">
      <alignment shrinkToFit="0" wrapText="0"/>
    </xf>
    <xf borderId="14" fillId="0" fontId="11" numFmtId="0" xfId="0" applyAlignment="1" applyBorder="1" applyFont="1">
      <alignment shrinkToFit="0" wrapText="1"/>
    </xf>
    <xf borderId="15" fillId="0" fontId="9" numFmtId="0" xfId="0" applyAlignment="1" applyBorder="1" applyFont="1">
      <alignment horizontal="center" shrinkToFit="0" wrapText="0"/>
    </xf>
    <xf borderId="0" fillId="4" fontId="12" numFmtId="164" xfId="0" applyAlignment="1" applyFill="1" applyFont="1" applyNumberFormat="1">
      <alignment horizontal="center" readingOrder="0"/>
    </xf>
    <xf borderId="15" fillId="0" fontId="9" numFmtId="0" xfId="0" applyAlignment="1" applyBorder="1" applyFont="1">
      <alignment readingOrder="0" shrinkToFit="0" wrapText="1"/>
    </xf>
    <xf borderId="1" fillId="0" fontId="9" numFmtId="0" xfId="0" applyAlignment="1" applyBorder="1" applyFont="1">
      <alignment horizontal="center" shrinkToFit="0" vertical="center" wrapText="0"/>
    </xf>
    <xf borderId="1" fillId="0" fontId="9" numFmtId="164" xfId="0" applyAlignment="1" applyBorder="1" applyFont="1" applyNumberFormat="1">
      <alignment horizontal="center" readingOrder="0" shrinkToFit="0" vertical="center" wrapText="0"/>
    </xf>
    <xf borderId="1" fillId="0" fontId="9" numFmtId="0" xfId="0" applyAlignment="1" applyBorder="1" applyFont="1">
      <alignment readingOrder="0" shrinkToFit="0" wrapText="1"/>
    </xf>
    <xf borderId="2" fillId="0" fontId="5" numFmtId="0" xfId="0" applyBorder="1" applyFont="1"/>
    <xf borderId="2" fillId="0" fontId="9" numFmtId="0" xfId="0" applyAlignment="1" applyBorder="1" applyFont="1">
      <alignment readingOrder="0" shrinkToFit="0" wrapText="1"/>
    </xf>
    <xf borderId="16" fillId="5" fontId="13" numFmtId="0" xfId="0" applyAlignment="1" applyBorder="1" applyFill="1" applyFont="1">
      <alignment vertical="bottom"/>
    </xf>
    <xf borderId="17" fillId="5" fontId="11" numFmtId="0" xfId="0" applyAlignment="1" applyBorder="1" applyFont="1">
      <alignment horizontal="center" vertical="bottom"/>
    </xf>
    <xf borderId="18" fillId="5" fontId="13" numFmtId="0" xfId="0" applyAlignment="1" applyBorder="1" applyFont="1">
      <alignment vertical="bottom"/>
    </xf>
    <xf borderId="19" fillId="6" fontId="14" numFmtId="0" xfId="0" applyAlignment="1" applyBorder="1" applyFill="1" applyFont="1">
      <alignment horizontal="center" vertical="bottom"/>
    </xf>
    <xf borderId="0" fillId="6" fontId="14" numFmtId="0" xfId="0" applyAlignment="1" applyFont="1">
      <alignment horizontal="center" vertical="bottom"/>
    </xf>
    <xf borderId="20" fillId="6" fontId="14" numFmtId="0" xfId="0" applyAlignment="1" applyBorder="1" applyFont="1">
      <alignment horizontal="center" vertical="bottom"/>
    </xf>
    <xf borderId="19" fillId="6" fontId="13" numFmtId="0" xfId="0" applyAlignment="1" applyBorder="1" applyFont="1">
      <alignment vertical="bottom"/>
    </xf>
    <xf borderId="0" fillId="6" fontId="13" numFmtId="0" xfId="0" applyAlignment="1" applyFont="1">
      <alignment vertical="bottom"/>
    </xf>
    <xf borderId="20" fillId="6" fontId="13" numFmtId="0" xfId="0" applyAlignment="1" applyBorder="1" applyFont="1">
      <alignment readingOrder="0" vertical="bottom"/>
    </xf>
    <xf borderId="3" fillId="0" fontId="5" numFmtId="0" xfId="0" applyBorder="1" applyFont="1"/>
    <xf borderId="3" fillId="0" fontId="9" numFmtId="0" xfId="0" applyAlignment="1" applyBorder="1" applyFont="1">
      <alignment readingOrder="0" shrinkToFit="0" wrapText="1"/>
    </xf>
    <xf borderId="19" fillId="6" fontId="13" numFmtId="0" xfId="0" applyAlignment="1" applyBorder="1" applyFont="1">
      <alignment readingOrder="0" vertical="bottom"/>
    </xf>
    <xf borderId="0" fillId="6" fontId="13" numFmtId="0" xfId="0" applyAlignment="1" applyFont="1">
      <alignment readingOrder="0" vertical="bottom"/>
    </xf>
    <xf borderId="2" fillId="0" fontId="5" numFmtId="0" xfId="0" applyAlignment="1" applyBorder="1" applyFont="1">
      <alignment horizontal="center" readingOrder="0" vertical="center"/>
    </xf>
    <xf borderId="2" fillId="0" fontId="5" numFmtId="164" xfId="0" applyAlignment="1" applyBorder="1" applyFont="1" applyNumberFormat="1">
      <alignment horizontal="center" readingOrder="0" vertical="center"/>
    </xf>
    <xf borderId="20" fillId="6" fontId="13" numFmtId="0" xfId="0" applyAlignment="1" applyBorder="1" applyFont="1">
      <alignment vertical="bottom"/>
    </xf>
    <xf borderId="1" fillId="0" fontId="5" numFmtId="0" xfId="0" applyAlignment="1" applyBorder="1" applyFont="1">
      <alignment horizontal="center" readingOrder="0" vertical="center"/>
    </xf>
    <xf borderId="2" fillId="0" fontId="9" numFmtId="0" xfId="0" applyAlignment="1" applyBorder="1" applyFont="1">
      <alignment horizontal="left" readingOrder="0" shrinkToFit="0" wrapText="1"/>
    </xf>
    <xf borderId="3" fillId="0" fontId="9" numFmtId="0" xfId="0" applyAlignment="1" applyBorder="1" applyFont="1">
      <alignment horizontal="left" readingOrder="0" shrinkToFit="0" wrapText="1"/>
    </xf>
    <xf borderId="4" fillId="0" fontId="5" numFmtId="0" xfId="0" applyAlignment="1" applyBorder="1" applyFont="1">
      <alignment horizontal="center" readingOrder="0" vertical="center"/>
    </xf>
    <xf borderId="11" fillId="0" fontId="9" numFmtId="0" xfId="0" applyAlignment="1" applyBorder="1" applyFont="1">
      <alignment horizontal="left" readingOrder="0" shrinkToFit="0" wrapText="1"/>
    </xf>
    <xf borderId="10" fillId="0" fontId="5" numFmtId="0" xfId="0" applyBorder="1" applyFont="1"/>
    <xf borderId="9" fillId="0" fontId="9" numFmtId="0" xfId="0" applyAlignment="1" applyBorder="1" applyFont="1">
      <alignment horizontal="left" readingOrder="0" shrinkToFit="0" wrapText="1"/>
    </xf>
    <xf borderId="1" fillId="0" fontId="9" numFmtId="0" xfId="0" applyAlignment="1" applyBorder="1" applyFont="1">
      <alignment horizontal="left" readingOrder="0" shrinkToFit="0" wrapText="1"/>
    </xf>
    <xf borderId="21" fillId="6" fontId="13" numFmtId="0" xfId="0" applyAlignment="1" applyBorder="1" applyFont="1">
      <alignment readingOrder="0" vertical="bottom"/>
    </xf>
    <xf borderId="22" fillId="6" fontId="13" numFmtId="0" xfId="0" applyAlignment="1" applyBorder="1" applyFont="1">
      <alignment readingOrder="0" vertical="bottom"/>
    </xf>
    <xf borderId="23" fillId="6" fontId="13" numFmtId="0" xfId="0" applyAlignment="1" applyBorder="1" applyFont="1">
      <alignment readingOrder="0" vertical="bottom"/>
    </xf>
    <xf borderId="15" fillId="0" fontId="5" numFmtId="0" xfId="0" applyAlignment="1" applyBorder="1" applyFont="1">
      <alignment horizontal="center" readingOrder="0" vertical="center"/>
    </xf>
    <xf borderId="15" fillId="0" fontId="9" numFmtId="164" xfId="0" applyAlignment="1" applyBorder="1" applyFont="1" applyNumberFormat="1">
      <alignment horizontal="center" readingOrder="0" shrinkToFit="0" vertical="center" wrapText="0"/>
    </xf>
    <xf borderId="15" fillId="0" fontId="9" numFmtId="0" xfId="0" applyAlignment="1" applyBorder="1" applyFont="1">
      <alignment horizontal="left" readingOrder="0" shrinkToFit="0" wrapText="1"/>
    </xf>
    <xf borderId="1" fillId="0" fontId="9" numFmtId="164" xfId="0" applyAlignment="1" applyBorder="1" applyFont="1" applyNumberFormat="1">
      <alignment horizontal="center" readingOrder="0" shrinkToFit="0" vertical="center" wrapText="0"/>
    </xf>
    <xf borderId="6" fillId="0" fontId="9" numFmtId="0" xfId="0" applyAlignment="1" applyBorder="1" applyFont="1">
      <alignment horizontal="left" readingOrder="0" shrinkToFit="0" wrapText="1"/>
    </xf>
    <xf borderId="4" fillId="0" fontId="9" numFmtId="164" xfId="0" applyAlignment="1" applyBorder="1" applyFont="1" applyNumberFormat="1">
      <alignment horizontal="center" readingOrder="0" shrinkToFit="0" vertical="center" wrapText="0"/>
    </xf>
    <xf borderId="12" fillId="0" fontId="9" numFmtId="164" xfId="0" applyAlignment="1" applyBorder="1" applyFont="1" applyNumberFormat="1">
      <alignment horizontal="center" readingOrder="0" shrinkToFit="0" vertical="center" wrapText="0"/>
    </xf>
    <xf borderId="1" fillId="2" fontId="5" numFmtId="0" xfId="0" applyAlignment="1" applyBorder="1" applyFont="1">
      <alignment readingOrder="0"/>
    </xf>
    <xf borderId="2" fillId="2" fontId="5" numFmtId="0" xfId="0" applyAlignment="1" applyBorder="1" applyFont="1">
      <alignment readingOrder="0"/>
    </xf>
    <xf borderId="3" fillId="2" fontId="5" numFmtId="0" xfId="0" applyAlignment="1" applyBorder="1" applyFont="1">
      <alignment readingOrder="0" shrinkToFit="0" wrapText="1"/>
    </xf>
    <xf borderId="15" fillId="2" fontId="5" numFmtId="0" xfId="0" applyAlignment="1" applyBorder="1" applyFont="1">
      <alignment horizontal="center" readingOrder="0" vertical="center"/>
    </xf>
    <xf borderId="15" fillId="4" fontId="15" numFmtId="0" xfId="0" applyAlignment="1" applyBorder="1" applyFont="1">
      <alignment horizontal="left" readingOrder="0"/>
    </xf>
    <xf borderId="0" fillId="0" fontId="5" numFmtId="0" xfId="0" applyAlignment="1" applyFont="1">
      <alignment horizontal="center" vertical="center"/>
    </xf>
    <xf borderId="0" fillId="0" fontId="9" numFmtId="0" xfId="0" applyAlignment="1" applyFont="1">
      <alignment horizontal="center" shrinkToFit="0" vertical="center" wrapText="0"/>
    </xf>
    <xf borderId="0" fillId="0" fontId="9" numFmtId="0" xfId="0" applyAlignment="1" applyFont="1">
      <alignment horizontal="left" shrinkToFit="0" wrapText="1"/>
    </xf>
    <xf borderId="0" fillId="0" fontId="16" numFmtId="0" xfId="0" applyAlignment="1" applyFont="1">
      <alignment readingOrder="0"/>
    </xf>
    <xf borderId="0" fillId="0" fontId="17" numFmtId="0" xfId="0" applyAlignment="1" applyFont="1">
      <alignment readingOrder="0"/>
    </xf>
    <xf borderId="24" fillId="0" fontId="18" numFmtId="0" xfId="0" applyAlignment="1" applyBorder="1" applyFont="1">
      <alignment shrinkToFit="0" vertical="bottom" wrapText="0"/>
    </xf>
    <xf borderId="25" fillId="0" fontId="5" numFmtId="0" xfId="0" applyBorder="1" applyFont="1"/>
    <xf borderId="26" fillId="0" fontId="5" numFmtId="0" xfId="0" applyBorder="1" applyFont="1"/>
    <xf borderId="27" fillId="0" fontId="5" numFmtId="0" xfId="0" applyBorder="1" applyFont="1"/>
    <xf borderId="28" fillId="7" fontId="19" numFmtId="0" xfId="0" applyAlignment="1" applyBorder="1" applyFill="1" applyFont="1">
      <alignment shrinkToFit="0" vertical="bottom" wrapText="0"/>
    </xf>
    <xf borderId="27" fillId="7" fontId="20" numFmtId="0" xfId="0" applyAlignment="1" applyBorder="1" applyFont="1">
      <alignment shrinkToFit="0" vertical="bottom" wrapText="0"/>
    </xf>
    <xf borderId="26" fillId="8" fontId="21" numFmtId="0" xfId="0" applyAlignment="1" applyBorder="1" applyFill="1" applyFont="1">
      <alignment horizontal="center" shrinkToFit="0" vertical="bottom" wrapText="0"/>
    </xf>
    <xf borderId="29" fillId="7" fontId="22" numFmtId="0" xfId="0" applyAlignment="1" applyBorder="1" applyFont="1">
      <alignment readingOrder="0" shrinkToFit="0" vertical="bottom" wrapText="0"/>
    </xf>
    <xf borderId="28" fillId="7" fontId="22" numFmtId="0" xfId="0" applyAlignment="1" applyBorder="1" applyFont="1">
      <alignment readingOrder="0" vertical="bottom"/>
    </xf>
    <xf borderId="30" fillId="9" fontId="23" numFmtId="0" xfId="0" applyAlignment="1" applyBorder="1" applyFill="1" applyFont="1">
      <alignment readingOrder="0" vertical="bottom"/>
    </xf>
    <xf borderId="31" fillId="9" fontId="24" numFmtId="0" xfId="0" applyAlignment="1" applyBorder="1" applyFont="1">
      <alignment vertical="bottom"/>
    </xf>
    <xf borderId="32" fillId="10" fontId="24" numFmtId="0" xfId="0" applyAlignment="1" applyBorder="1" applyFill="1" applyFont="1">
      <alignment vertical="bottom"/>
    </xf>
    <xf borderId="28" fillId="7" fontId="22" numFmtId="0" xfId="0" applyAlignment="1" applyBorder="1" applyFont="1">
      <alignment readingOrder="0" shrinkToFit="0" vertical="bottom" wrapText="0"/>
    </xf>
    <xf borderId="33" fillId="9" fontId="14" numFmtId="0" xfId="0" applyAlignment="1" applyBorder="1" applyFont="1">
      <alignment readingOrder="0" vertical="bottom"/>
    </xf>
    <xf borderId="0" fillId="9" fontId="13" numFmtId="0" xfId="0" applyAlignment="1" applyFont="1">
      <alignment horizontal="left" readingOrder="0" vertical="bottom"/>
    </xf>
    <xf borderId="0" fillId="9" fontId="13" numFmtId="0" xfId="0" applyAlignment="1" applyFont="1">
      <alignment horizontal="right" vertical="bottom"/>
    </xf>
    <xf borderId="0" fillId="9" fontId="25" numFmtId="0" xfId="0" applyAlignment="1" applyFont="1">
      <alignment horizontal="right" vertical="bottom"/>
    </xf>
    <xf borderId="0" fillId="9" fontId="13" numFmtId="0" xfId="0" applyAlignment="1" applyFont="1">
      <alignment vertical="bottom"/>
    </xf>
    <xf borderId="34" fillId="9" fontId="25" numFmtId="0" xfId="0" applyAlignment="1" applyBorder="1" applyFont="1">
      <alignment horizontal="right" vertical="bottom"/>
    </xf>
    <xf borderId="28" fillId="7" fontId="26" numFmtId="0" xfId="0" applyAlignment="1" applyBorder="1" applyFont="1">
      <alignment readingOrder="0" shrinkToFit="0" vertical="bottom" wrapText="0"/>
    </xf>
    <xf borderId="26" fillId="11" fontId="21" numFmtId="0" xfId="0" applyAlignment="1" applyBorder="1" applyFill="1" applyFont="1">
      <alignment horizontal="center" shrinkToFit="0" vertical="bottom" wrapText="0"/>
    </xf>
    <xf borderId="33" fillId="9" fontId="14" numFmtId="0" xfId="0" applyAlignment="1" applyBorder="1" applyFont="1">
      <alignment vertical="bottom"/>
    </xf>
    <xf borderId="34" fillId="4" fontId="25" numFmtId="0" xfId="0" applyAlignment="1" applyBorder="1" applyFont="1">
      <alignment horizontal="left" readingOrder="0" vertical="bottom"/>
    </xf>
    <xf borderId="31" fillId="9" fontId="24" numFmtId="0" xfId="0" applyAlignment="1" applyBorder="1" applyFont="1">
      <alignment readingOrder="0" vertical="bottom"/>
    </xf>
    <xf borderId="30" fillId="4" fontId="23" numFmtId="0" xfId="0" applyAlignment="1" applyBorder="1" applyFont="1">
      <alignment vertical="bottom"/>
    </xf>
    <xf borderId="31" fillId="4" fontId="24" numFmtId="0" xfId="0" applyAlignment="1" applyBorder="1" applyFont="1">
      <alignment vertical="bottom"/>
    </xf>
    <xf borderId="0" fillId="4" fontId="5" numFmtId="0" xfId="0" applyFont="1"/>
    <xf borderId="12" fillId="12" fontId="27" numFmtId="0" xfId="0" applyAlignment="1" applyBorder="1" applyFill="1" applyFont="1">
      <alignment horizontal="left" readingOrder="0"/>
    </xf>
    <xf borderId="14" fillId="12" fontId="5" numFmtId="0" xfId="0" applyBorder="1" applyFont="1"/>
    <xf borderId="0" fillId="6" fontId="5" numFmtId="0" xfId="0" applyAlignment="1" applyFont="1">
      <alignment readingOrder="0"/>
    </xf>
    <xf borderId="13" fillId="12" fontId="5" numFmtId="0" xfId="0" applyBorder="1" applyFont="1"/>
    <xf borderId="26" fillId="13" fontId="21" numFmtId="0" xfId="0" applyAlignment="1" applyBorder="1" applyFill="1" applyFont="1">
      <alignment horizontal="center" shrinkToFit="0" vertical="bottom" wrapText="0"/>
    </xf>
    <xf borderId="27" fillId="7" fontId="22" numFmtId="0" xfId="0" applyAlignment="1" applyBorder="1" applyFont="1">
      <alignment readingOrder="0" vertical="bottom"/>
    </xf>
    <xf borderId="0" fillId="4" fontId="28" numFmtId="0" xfId="0" applyAlignment="1" applyFont="1">
      <alignment readingOrder="0"/>
    </xf>
    <xf borderId="30" fillId="9" fontId="23" numFmtId="0" xfId="0" applyAlignment="1" applyBorder="1" applyFont="1">
      <alignment vertical="bottom"/>
    </xf>
    <xf borderId="32" fillId="9" fontId="24" numFmtId="0" xfId="0" applyAlignment="1" applyBorder="1" applyFont="1">
      <alignment readingOrder="0" vertical="bottom"/>
    </xf>
    <xf borderId="0" fillId="14" fontId="13" numFmtId="0" xfId="0" applyAlignment="1" applyFill="1" applyFont="1">
      <alignment vertical="bottom"/>
    </xf>
    <xf borderId="34" fillId="14" fontId="13" numFmtId="0" xfId="0" applyAlignment="1" applyBorder="1" applyFont="1">
      <alignment vertical="bottom"/>
    </xf>
    <xf borderId="31" fillId="10" fontId="24" numFmtId="0" xfId="0" applyAlignment="1" applyBorder="1" applyFont="1">
      <alignment vertical="bottom"/>
    </xf>
    <xf borderId="35" fillId="10" fontId="13" numFmtId="0" xfId="0" applyAlignment="1" applyBorder="1" applyFont="1">
      <alignment horizontal="right" vertical="bottom"/>
    </xf>
    <xf borderId="36" fillId="10" fontId="13" numFmtId="0" xfId="0" applyAlignment="1" applyBorder="1" applyFont="1">
      <alignment horizontal="right" vertical="bottom"/>
    </xf>
    <xf borderId="0" fillId="15" fontId="6" numFmtId="0" xfId="0" applyAlignment="1" applyFill="1" applyFont="1">
      <alignment readingOrder="0"/>
    </xf>
    <xf borderId="0" fillId="15" fontId="5" numFmtId="0" xfId="0" applyAlignment="1" applyFont="1">
      <alignment readingOrder="0"/>
    </xf>
    <xf borderId="0" fillId="16" fontId="5" numFmtId="0" xfId="0" applyAlignment="1" applyFill="1" applyFont="1">
      <alignment readingOrder="0"/>
    </xf>
    <xf borderId="37" fillId="9" fontId="14" numFmtId="0" xfId="0" applyAlignment="1" applyBorder="1" applyFont="1">
      <alignment vertical="bottom"/>
    </xf>
    <xf borderId="35" fillId="9" fontId="13" numFmtId="0" xfId="0" applyAlignment="1" applyBorder="1" applyFont="1">
      <alignment horizontal="right" vertical="bottom"/>
    </xf>
    <xf borderId="35" fillId="9" fontId="25" numFmtId="0" xfId="0" applyAlignment="1" applyBorder="1" applyFont="1">
      <alignment horizontal="right" vertical="bottom"/>
    </xf>
    <xf borderId="35" fillId="9" fontId="13" numFmtId="0" xfId="0" applyAlignment="1" applyBorder="1" applyFont="1">
      <alignment vertical="bottom"/>
    </xf>
    <xf borderId="35" fillId="14" fontId="13" numFmtId="0" xfId="0" applyAlignment="1" applyBorder="1" applyFont="1">
      <alignment vertical="bottom"/>
    </xf>
    <xf borderId="36" fillId="14" fontId="13" numFmtId="0" xfId="0" applyAlignment="1" applyBorder="1" applyFont="1">
      <alignment vertical="bottom"/>
    </xf>
    <xf borderId="35" fillId="0" fontId="13" numFmtId="0" xfId="0" applyAlignment="1" applyBorder="1" applyFont="1">
      <alignment vertical="bottom"/>
    </xf>
    <xf borderId="0" fillId="0" fontId="13" numFmtId="0" xfId="0" applyAlignment="1" applyFont="1">
      <alignment vertical="bottom"/>
    </xf>
    <xf borderId="33" fillId="10" fontId="23" numFmtId="0" xfId="0" applyAlignment="1" applyBorder="1" applyFont="1">
      <alignment readingOrder="0" vertical="bottom"/>
    </xf>
    <xf borderId="0" fillId="10" fontId="24" numFmtId="0" xfId="0" applyAlignment="1" applyFont="1">
      <alignment vertical="bottom"/>
    </xf>
    <xf borderId="0" fillId="10" fontId="13" numFmtId="0" xfId="0" applyAlignment="1" applyFont="1">
      <alignment vertical="bottom"/>
    </xf>
    <xf borderId="34" fillId="10" fontId="13" numFmtId="0" xfId="0" applyAlignment="1" applyBorder="1" applyFont="1">
      <alignment vertical="bottom"/>
    </xf>
    <xf borderId="0" fillId="4" fontId="13" numFmtId="0" xfId="0" applyAlignment="1" applyFont="1">
      <alignment vertical="bottom"/>
    </xf>
    <xf borderId="0" fillId="16" fontId="29" numFmtId="0" xfId="0" applyAlignment="1" applyFont="1">
      <alignment readingOrder="0"/>
    </xf>
    <xf borderId="33" fillId="10" fontId="14" numFmtId="0" xfId="0" applyAlignment="1" applyBorder="1" applyFont="1">
      <alignment readingOrder="0" vertical="bottom"/>
    </xf>
    <xf borderId="0" fillId="10" fontId="13" numFmtId="0" xfId="0" applyAlignment="1" applyFont="1">
      <alignment horizontal="right" vertical="bottom"/>
    </xf>
    <xf borderId="0" fillId="17" fontId="13" numFmtId="0" xfId="0" applyAlignment="1" applyFill="1" applyFont="1">
      <alignment vertical="bottom"/>
    </xf>
    <xf borderId="34" fillId="17" fontId="13" numFmtId="0" xfId="0" applyAlignment="1" applyBorder="1" applyFont="1">
      <alignment vertical="bottom"/>
    </xf>
    <xf borderId="33" fillId="10" fontId="14" numFmtId="0" xfId="0" applyAlignment="1" applyBorder="1" applyFont="1">
      <alignment vertical="bottom"/>
    </xf>
    <xf borderId="37" fillId="10" fontId="14" numFmtId="0" xfId="0" applyAlignment="1" applyBorder="1" applyFont="1">
      <alignment vertical="bottom"/>
    </xf>
    <xf borderId="35" fillId="17" fontId="13" numFmtId="0" xfId="0" applyAlignment="1" applyBorder="1" applyFont="1">
      <alignment vertical="bottom"/>
    </xf>
    <xf borderId="36" fillId="17" fontId="13" numFmtId="0" xfId="0" applyAlignment="1" applyBorder="1" applyFont="1">
      <alignment vertical="bottom"/>
    </xf>
    <xf borderId="38" fillId="10" fontId="24" numFmtId="0" xfId="0" applyAlignment="1" applyBorder="1" applyFont="1">
      <alignment readingOrder="0" shrinkToFit="0" vertical="bottom" wrapText="0"/>
    </xf>
    <xf borderId="39" fillId="10" fontId="13" numFmtId="0" xfId="0" applyAlignment="1" applyBorder="1" applyFont="1">
      <alignment vertical="bottom"/>
    </xf>
    <xf borderId="0" fillId="0" fontId="6" numFmtId="0" xfId="0" applyAlignment="1" applyFont="1">
      <alignment readingOrder="0"/>
    </xf>
    <xf borderId="38" fillId="10" fontId="13" numFmtId="0" xfId="0" applyAlignment="1" applyBorder="1" applyFont="1">
      <alignment readingOrder="0" shrinkToFit="0" vertical="bottom" wrapText="0"/>
    </xf>
    <xf borderId="0" fillId="10" fontId="6" numFmtId="0" xfId="0" applyAlignment="1" applyFont="1">
      <alignment readingOrder="0"/>
    </xf>
    <xf borderId="33" fillId="10" fontId="24" numFmtId="0" xfId="0" applyAlignment="1" applyBorder="1" applyFont="1">
      <alignment vertical="bottom"/>
    </xf>
    <xf borderId="0" fillId="10" fontId="5" numFmtId="0" xfId="0" applyAlignment="1" applyFont="1">
      <alignment readingOrder="0"/>
    </xf>
    <xf borderId="33" fillId="10" fontId="30" numFmtId="0" xfId="0" applyAlignment="1" applyBorder="1" applyFont="1">
      <alignment horizontal="left" vertical="bottom"/>
    </xf>
    <xf borderId="0" fillId="10" fontId="13" numFmtId="9" xfId="0" applyAlignment="1" applyFont="1" applyNumberFormat="1">
      <alignment horizontal="right" vertical="bottom"/>
    </xf>
    <xf borderId="33" fillId="10" fontId="24" numFmtId="0" xfId="0" applyAlignment="1" applyBorder="1" applyFont="1">
      <alignment horizontal="left" vertical="bottom"/>
    </xf>
    <xf borderId="0" fillId="10" fontId="5" numFmtId="0" xfId="0" applyFont="1"/>
    <xf borderId="0" fillId="10" fontId="12" numFmtId="0" xfId="0" applyAlignment="1" applyFont="1">
      <alignment horizontal="left" readingOrder="0"/>
    </xf>
    <xf borderId="0" fillId="4" fontId="12" numFmtId="0" xfId="0" applyAlignment="1" applyFont="1">
      <alignment horizontal="left" readingOrder="0"/>
    </xf>
    <xf borderId="37" fillId="10" fontId="24" numFmtId="0" xfId="0" applyAlignment="1" applyBorder="1" applyFont="1">
      <alignment horizontal="left" vertical="bottom"/>
    </xf>
    <xf borderId="35" fillId="10" fontId="13" numFmtId="9" xfId="0" applyAlignment="1" applyBorder="1" applyFont="1" applyNumberFormat="1">
      <alignment horizontal="right" vertical="bottom"/>
    </xf>
    <xf borderId="40" fillId="10" fontId="24" numFmtId="0" xfId="0" applyAlignment="1" applyBorder="1" applyFont="1">
      <alignment vertical="bottom"/>
    </xf>
    <xf borderId="41" fillId="10" fontId="24" numFmtId="0" xfId="0" applyAlignment="1" applyBorder="1" applyFont="1">
      <alignment vertical="bottom"/>
    </xf>
    <xf borderId="41" fillId="10" fontId="24" numFmtId="0" xfId="0" applyAlignment="1" applyBorder="1" applyFont="1">
      <alignment readingOrder="0" vertical="bottom"/>
    </xf>
    <xf borderId="42" fillId="10" fontId="24" numFmtId="0" xfId="0" applyAlignment="1" applyBorder="1" applyFont="1">
      <alignment vertical="bottom"/>
    </xf>
    <xf borderId="43" fillId="10" fontId="13" numFmtId="0" xfId="0" applyAlignment="1" applyBorder="1" applyFont="1">
      <alignment vertical="bottom"/>
    </xf>
    <xf borderId="0" fillId="10" fontId="25" numFmtId="0" xfId="0" applyAlignment="1" applyFont="1">
      <alignment horizontal="right" vertical="bottom"/>
    </xf>
    <xf borderId="0" fillId="18" fontId="13" numFmtId="0" xfId="0" applyAlignment="1" applyFill="1" applyFont="1">
      <alignment vertical="bottom"/>
    </xf>
    <xf borderId="44" fillId="18" fontId="13" numFmtId="0" xfId="0" applyAlignment="1" applyBorder="1" applyFont="1">
      <alignment vertical="bottom"/>
    </xf>
    <xf borderId="0" fillId="0" fontId="31" numFmtId="0" xfId="0" applyAlignment="1" applyFont="1">
      <alignment readingOrder="0"/>
    </xf>
    <xf borderId="44" fillId="10" fontId="13" numFmtId="0" xfId="0" applyAlignment="1" applyBorder="1" applyFont="1">
      <alignment horizontal="right" vertical="bottom"/>
    </xf>
    <xf borderId="0" fillId="0" fontId="32" numFmtId="0" xfId="0" applyAlignment="1" applyFont="1">
      <alignment readingOrder="0"/>
    </xf>
    <xf borderId="45" fillId="10" fontId="13" numFmtId="0" xfId="0" applyAlignment="1" applyBorder="1" applyFont="1">
      <alignment vertical="bottom"/>
    </xf>
    <xf borderId="46" fillId="10" fontId="25" numFmtId="0" xfId="0" applyAlignment="1" applyBorder="1" applyFont="1">
      <alignment horizontal="right" vertical="bottom"/>
    </xf>
    <xf borderId="46" fillId="10" fontId="13" numFmtId="0" xfId="0" applyAlignment="1" applyBorder="1" applyFont="1">
      <alignment horizontal="right" vertical="bottom"/>
    </xf>
    <xf borderId="46" fillId="18" fontId="13" numFmtId="0" xfId="0" applyAlignment="1" applyBorder="1" applyFont="1">
      <alignment vertical="bottom"/>
    </xf>
    <xf borderId="47" fillId="18" fontId="13" numFmtId="0" xfId="0" applyAlignment="1" applyBorder="1" applyFont="1">
      <alignment vertical="bottom"/>
    </xf>
    <xf borderId="46" fillId="0" fontId="13" numFmtId="0" xfId="0" applyAlignment="1" applyBorder="1" applyFont="1">
      <alignment vertical="bottom"/>
    </xf>
    <xf borderId="43" fillId="10" fontId="24" numFmtId="0" xfId="0" applyAlignment="1" applyBorder="1" applyFont="1">
      <alignment vertical="bottom"/>
    </xf>
    <xf borderId="44" fillId="10" fontId="24" numFmtId="0" xfId="0" applyAlignment="1" applyBorder="1" applyFont="1">
      <alignment vertical="bottom"/>
    </xf>
    <xf borderId="47" fillId="10" fontId="13" numFmtId="0" xfId="0" applyAlignment="1" applyBorder="1" applyFont="1">
      <alignment horizontal="right" vertical="bottom"/>
    </xf>
    <xf borderId="46" fillId="4" fontId="13" numFmtId="0" xfId="0" applyAlignment="1" applyBorder="1" applyFont="1">
      <alignment vertical="bottom"/>
    </xf>
    <xf borderId="0" fillId="4" fontId="33" numFmtId="0" xfId="0" applyAlignment="1" applyFont="1">
      <alignment vertical="bottom"/>
    </xf>
    <xf borderId="0" fillId="4" fontId="33" numFmtId="0" xfId="0" applyAlignment="1" applyFont="1">
      <alignment horizontal="right" vertical="bottom"/>
    </xf>
    <xf borderId="39" fillId="4" fontId="34" numFmtId="0" xfId="0" applyAlignment="1" applyBorder="1" applyFont="1">
      <alignment shrinkToFit="0" vertical="bottom" wrapText="0"/>
    </xf>
    <xf borderId="39" fillId="4" fontId="13" numFmtId="0" xfId="0" applyAlignment="1" applyBorder="1" applyFont="1">
      <alignment vertical="bottom"/>
    </xf>
    <xf borderId="39" fillId="4" fontId="34" numFmtId="0" xfId="0" applyAlignment="1" applyBorder="1" applyFont="1">
      <alignment vertical="bottom"/>
    </xf>
    <xf borderId="39" fillId="0" fontId="34" numFmtId="0" xfId="0" applyAlignment="1" applyBorder="1" applyFont="1">
      <alignment readingOrder="0" shrinkToFit="0" vertical="bottom" wrapText="0"/>
    </xf>
    <xf borderId="39" fillId="0" fontId="13" numFmtId="0" xfId="0" applyAlignment="1" applyBorder="1" applyFont="1">
      <alignment vertical="bottom"/>
    </xf>
    <xf borderId="0" fillId="0" fontId="12"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48" fillId="9" fontId="37" numFmtId="0" xfId="0" applyAlignment="1" applyBorder="1" applyFont="1">
      <alignment vertical="bottom"/>
    </xf>
    <xf borderId="0" fillId="4" fontId="38" numFmtId="0" xfId="0" applyAlignment="1" applyFont="1">
      <alignment readingOrder="0"/>
    </xf>
    <xf borderId="49" fillId="9" fontId="13" numFmtId="0" xfId="0" applyAlignment="1" applyBorder="1" applyFont="1">
      <alignment vertical="bottom"/>
    </xf>
    <xf borderId="49" fillId="9" fontId="24" numFmtId="0" xfId="0" applyAlignment="1" applyBorder="1" applyFont="1">
      <alignment readingOrder="0" vertical="bottom"/>
    </xf>
    <xf borderId="0" fillId="4" fontId="5" numFmtId="0" xfId="0" applyAlignment="1" applyFont="1">
      <alignment readingOrder="0"/>
    </xf>
    <xf borderId="49" fillId="9" fontId="13" numFmtId="0" xfId="0" applyAlignment="1" applyBorder="1" applyFont="1">
      <alignment vertical="bottom"/>
    </xf>
    <xf borderId="0" fillId="4" fontId="12" numFmtId="0" xfId="0" applyAlignment="1" applyFont="1">
      <alignment readingOrder="0"/>
    </xf>
    <xf borderId="0" fillId="4" fontId="37" numFmtId="0" xfId="0" applyAlignment="1" applyFont="1">
      <alignment readingOrder="0"/>
    </xf>
    <xf borderId="49" fillId="9" fontId="12" numFmtId="0" xfId="0" applyAlignment="1" applyBorder="1" applyFont="1">
      <alignment vertical="bottom"/>
    </xf>
    <xf borderId="50" fillId="9" fontId="12" numFmtId="0" xfId="0" applyAlignment="1" applyBorder="1" applyFont="1">
      <alignment readingOrder="0" vertical="bottom"/>
    </xf>
    <xf borderId="0" fillId="4" fontId="39" numFmtId="0" xfId="0" applyAlignment="1" applyFont="1">
      <alignment readingOrder="0"/>
    </xf>
    <xf borderId="48" fillId="10" fontId="40" numFmtId="0" xfId="0" applyAlignment="1" applyBorder="1" applyFont="1">
      <alignment readingOrder="0"/>
    </xf>
    <xf borderId="49" fillId="10" fontId="41" numFmtId="0" xfId="0" applyAlignment="1" applyBorder="1" applyFont="1">
      <alignment readingOrder="0"/>
    </xf>
    <xf borderId="49" fillId="10" fontId="42" numFmtId="0" xfId="0" applyAlignment="1" applyBorder="1" applyFont="1">
      <alignment readingOrder="0"/>
    </xf>
    <xf borderId="49" fillId="10" fontId="43" numFmtId="0" xfId="0" applyAlignment="1" applyBorder="1" applyFont="1">
      <alignment readingOrder="0"/>
    </xf>
    <xf borderId="49" fillId="9" fontId="7" numFmtId="0" xfId="0" applyAlignment="1" applyBorder="1" applyFont="1">
      <alignment readingOrder="0"/>
    </xf>
    <xf borderId="50" fillId="10" fontId="43" numFmtId="0" xfId="0" applyAlignment="1" applyBorder="1" applyFont="1">
      <alignment readingOrder="0"/>
    </xf>
    <xf borderId="0" fillId="4" fontId="41" numFmtId="0" xfId="0" applyFont="1"/>
    <xf borderId="0" fillId="4" fontId="44" numFmtId="0" xfId="0" applyAlignment="1" applyFont="1">
      <alignment readingOrder="0"/>
    </xf>
    <xf borderId="0" fillId="4" fontId="45" numFmtId="0" xfId="0" applyAlignment="1" applyFont="1">
      <alignment readingOrder="0"/>
    </xf>
    <xf borderId="0" fillId="4" fontId="24" numFmtId="0" xfId="0" applyAlignment="1" applyFont="1">
      <alignment readingOrder="0"/>
    </xf>
    <xf borderId="0" fillId="0" fontId="13" numFmtId="0" xfId="0" applyAlignment="1" applyFont="1">
      <alignment readingOrder="0" vertical="bottom"/>
    </xf>
    <xf borderId="0" fillId="0" fontId="13" numFmtId="0" xfId="0" applyAlignment="1" applyFont="1">
      <alignment readingOrder="0" shrinkToFit="0" vertical="bottom" wrapText="0"/>
    </xf>
    <xf borderId="0" fillId="0" fontId="13" numFmtId="0" xfId="0" applyAlignment="1" applyFont="1">
      <alignment horizontal="right" readingOrder="0" vertical="bottom"/>
    </xf>
    <xf borderId="0" fillId="0" fontId="5" numFmtId="0" xfId="0" applyAlignment="1" applyFont="1">
      <alignment horizontal="left"/>
    </xf>
    <xf borderId="0" fillId="19" fontId="46" numFmtId="0" xfId="0" applyAlignment="1" applyFill="1" applyFont="1">
      <alignment horizontal="center" readingOrder="0" vertical="bottom"/>
    </xf>
    <xf borderId="0" fillId="19" fontId="47" numFmtId="0" xfId="0" applyAlignment="1" applyFont="1">
      <alignment horizontal="center" readingOrder="0" vertical="bottom"/>
    </xf>
    <xf borderId="0" fillId="19" fontId="48" numFmtId="0" xfId="0" applyFont="1"/>
    <xf borderId="0" fillId="19" fontId="5" numFmtId="0" xfId="0" applyFont="1"/>
    <xf borderId="24" fillId="0" fontId="42" numFmtId="0" xfId="0" applyAlignment="1" applyBorder="1" applyFont="1">
      <alignment readingOrder="0"/>
    </xf>
    <xf borderId="51" fillId="0" fontId="49" numFmtId="0" xfId="0" applyAlignment="1" applyBorder="1" applyFont="1">
      <alignment readingOrder="0"/>
    </xf>
    <xf borderId="25" fillId="0" fontId="48" numFmtId="0" xfId="0" applyBorder="1" applyFont="1"/>
    <xf borderId="24" fillId="0" fontId="24" numFmtId="0" xfId="0" applyAlignment="1" applyBorder="1" applyFont="1">
      <alignment vertical="bottom"/>
    </xf>
    <xf borderId="51" fillId="0" fontId="50" numFmtId="0" xfId="0" applyAlignment="1" applyBorder="1" applyFont="1">
      <alignment horizontal="right" vertical="bottom"/>
    </xf>
    <xf borderId="25" fillId="0" fontId="13" numFmtId="0" xfId="0" applyAlignment="1" applyBorder="1" applyFont="1">
      <alignment vertical="bottom"/>
    </xf>
    <xf borderId="24" fillId="0" fontId="24" numFmtId="0" xfId="0" applyAlignment="1" applyBorder="1" applyFont="1">
      <alignment vertical="bottom"/>
    </xf>
    <xf borderId="51" fillId="0" fontId="50" numFmtId="0" xfId="0" applyAlignment="1" applyBorder="1" applyFont="1">
      <alignment horizontal="right" vertical="bottom"/>
    </xf>
    <xf borderId="52" fillId="0" fontId="42" numFmtId="0" xfId="0" applyAlignment="1" applyBorder="1" applyFont="1">
      <alignment readingOrder="0"/>
    </xf>
    <xf borderId="0" fillId="0" fontId="49" numFmtId="0" xfId="0" applyAlignment="1" applyFont="1">
      <alignment readingOrder="0"/>
    </xf>
    <xf borderId="53" fillId="0" fontId="48" numFmtId="0" xfId="0" applyBorder="1" applyFont="1"/>
    <xf borderId="52" fillId="0" fontId="24" numFmtId="0" xfId="0" applyAlignment="1" applyBorder="1" applyFont="1">
      <alignment vertical="bottom"/>
    </xf>
    <xf borderId="0" fillId="0" fontId="50" numFmtId="0" xfId="0" applyAlignment="1" applyFont="1">
      <alignment horizontal="right" vertical="bottom"/>
    </xf>
    <xf borderId="53" fillId="0" fontId="13" numFmtId="0" xfId="0" applyAlignment="1" applyBorder="1" applyFont="1">
      <alignment vertical="bottom"/>
    </xf>
    <xf borderId="52" fillId="0" fontId="24" numFmtId="0" xfId="0" applyAlignment="1" applyBorder="1" applyFont="1">
      <alignment vertical="bottom"/>
    </xf>
    <xf borderId="0" fillId="0" fontId="50" numFmtId="0" xfId="0" applyAlignment="1" applyFont="1">
      <alignment horizontal="right" vertical="bottom"/>
    </xf>
    <xf borderId="53" fillId="0" fontId="5" numFmtId="0" xfId="0" applyBorder="1" applyFont="1"/>
    <xf borderId="53" fillId="0" fontId="24" numFmtId="0" xfId="0" applyAlignment="1" applyBorder="1" applyFont="1">
      <alignment vertical="bottom"/>
    </xf>
    <xf borderId="53" fillId="0" fontId="13" numFmtId="0" xfId="0" applyAlignment="1" applyBorder="1" applyFont="1">
      <alignment vertical="bottom"/>
    </xf>
    <xf borderId="53" fillId="0" fontId="42" numFmtId="0" xfId="0" applyAlignment="1" applyBorder="1" applyFont="1">
      <alignment readingOrder="0"/>
    </xf>
    <xf borderId="53" fillId="0" fontId="24" numFmtId="0" xfId="0" applyAlignment="1" applyBorder="1" applyFont="1">
      <alignment readingOrder="0" vertical="bottom"/>
    </xf>
    <xf borderId="0" fillId="0" fontId="50" numFmtId="0" xfId="0" applyAlignment="1" applyFont="1">
      <alignment horizontal="right" readingOrder="0" vertical="bottom"/>
    </xf>
    <xf borderId="0" fillId="0" fontId="42" numFmtId="0" xfId="0" applyAlignment="1" applyFont="1">
      <alignment readingOrder="0"/>
    </xf>
    <xf borderId="0" fillId="0" fontId="24" numFmtId="0" xfId="0" applyAlignment="1" applyFont="1">
      <alignment horizontal="right" vertical="bottom"/>
    </xf>
    <xf borderId="0" fillId="0" fontId="24" numFmtId="0" xfId="0" applyAlignment="1" applyFont="1">
      <alignment horizontal="right" vertical="bottom"/>
    </xf>
    <xf borderId="26" fillId="0" fontId="42" numFmtId="0" xfId="0" applyAlignment="1" applyBorder="1" applyFont="1">
      <alignment readingOrder="0"/>
    </xf>
    <xf borderId="54" fillId="0" fontId="42" numFmtId="0" xfId="0" applyAlignment="1" applyBorder="1" applyFont="1">
      <alignment readingOrder="0"/>
    </xf>
    <xf borderId="27" fillId="0" fontId="48" numFmtId="0" xfId="0" applyBorder="1" applyFont="1"/>
    <xf borderId="26" fillId="0" fontId="24" numFmtId="0" xfId="0" applyAlignment="1" applyBorder="1" applyFont="1">
      <alignment vertical="bottom"/>
    </xf>
    <xf borderId="54" fillId="0" fontId="24" numFmtId="0" xfId="0" applyAlignment="1" applyBorder="1" applyFont="1">
      <alignment horizontal="right" readingOrder="0" vertical="bottom"/>
    </xf>
    <xf borderId="27" fillId="0" fontId="13" numFmtId="0" xfId="0" applyAlignment="1" applyBorder="1" applyFont="1">
      <alignment vertical="bottom"/>
    </xf>
    <xf borderId="26" fillId="0" fontId="24" numFmtId="0" xfId="0" applyAlignment="1" applyBorder="1" applyFont="1">
      <alignment vertical="bottom"/>
    </xf>
    <xf borderId="27" fillId="0" fontId="24" numFmtId="0" xfId="0" applyAlignment="1" applyBorder="1" applyFont="1">
      <alignment vertical="bottom"/>
    </xf>
    <xf borderId="0" fillId="19" fontId="51" numFmtId="0" xfId="0" applyAlignment="1" applyFont="1">
      <alignment horizontal="left" readingOrder="0" vertical="bottom"/>
    </xf>
    <xf borderId="51" fillId="0" fontId="50" numFmtId="0" xfId="0" applyAlignment="1" applyBorder="1" applyFont="1">
      <alignment horizontal="right" readingOrder="0" vertical="bottom"/>
    </xf>
    <xf borderId="54" fillId="0" fontId="24" numFmtId="0" xfId="0" applyAlignment="1" applyBorder="1" applyFont="1">
      <alignment horizontal="right" vertical="bottom"/>
    </xf>
    <xf borderId="0" fillId="19" fontId="52" numFmtId="0" xfId="0" applyAlignment="1" applyFont="1">
      <alignment horizontal="center" readingOrder="0" vertical="bottom"/>
    </xf>
    <xf borderId="52" fillId="0" fontId="24" numFmtId="0" xfId="0" applyAlignment="1" applyBorder="1" applyFont="1">
      <alignment readingOrder="0" vertical="bottom"/>
    </xf>
    <xf borderId="0" fillId="0" fontId="24" numFmtId="0" xfId="0" applyAlignment="1" applyFont="1">
      <alignment horizontal="right" readingOrder="0" vertical="bottom"/>
    </xf>
    <xf borderId="26" fillId="0" fontId="24" numFmtId="0" xfId="0" applyAlignment="1" applyBorder="1" applyFont="1">
      <alignment readingOrder="0" vertical="bottom"/>
    </xf>
    <xf borderId="54" fillId="0" fontId="50" numFmtId="0" xfId="0" applyAlignment="1" applyBorder="1" applyFont="1">
      <alignment horizontal="right" readingOrder="0" vertical="bottom"/>
    </xf>
    <xf borderId="0" fillId="19" fontId="53" numFmtId="0" xfId="0" applyAlignment="1" applyFont="1">
      <alignment horizontal="center" readingOrder="0" vertical="bottom"/>
    </xf>
    <xf borderId="0" fillId="19" fontId="54" numFmtId="0" xfId="0" applyAlignment="1" applyFont="1">
      <alignment readingOrder="0"/>
    </xf>
    <xf borderId="25" fillId="0" fontId="5" numFmtId="0" xfId="0" applyAlignment="1" applyBorder="1" applyFont="1">
      <alignment readingOrder="0"/>
    </xf>
    <xf borderId="54" fillId="19" fontId="47" numFmtId="0" xfId="0" applyAlignment="1" applyBorder="1" applyFont="1">
      <alignment horizontal="center" readingOrder="0" vertical="bottom"/>
    </xf>
    <xf borderId="0" fillId="19" fontId="47" numFmtId="0" xfId="0" applyAlignment="1" applyFont="1">
      <alignment horizontal="center" readingOrder="0" vertical="bottom"/>
    </xf>
    <xf borderId="0" fillId="19" fontId="55" numFmtId="0" xfId="0" applyAlignment="1" applyFont="1">
      <alignment horizontal="center" readingOrder="0" vertical="bottom"/>
    </xf>
    <xf borderId="0" fillId="19" fontId="56" numFmtId="0" xfId="0" applyAlignment="1" applyFont="1">
      <alignment horizontal="center" readingOrder="0" vertical="bottom"/>
    </xf>
    <xf borderId="0" fillId="19" fontId="57" numFmtId="0" xfId="0" applyAlignment="1" applyFont="1">
      <alignment horizontal="center" readingOrder="0" vertical="bottom"/>
    </xf>
    <xf borderId="0" fillId="19" fontId="58" numFmtId="0" xfId="0" applyAlignment="1" applyFont="1">
      <alignment horizontal="center" readingOrder="0" vertical="bottom"/>
    </xf>
    <xf borderId="0" fillId="19" fontId="47" numFmtId="0" xfId="0" applyAlignment="1" applyFont="1">
      <alignment horizontal="right" readingOrder="0" vertical="bottom"/>
    </xf>
    <xf borderId="0" fillId="4" fontId="47" numFmtId="0" xfId="0" applyAlignment="1" applyFont="1">
      <alignment horizontal="center" readingOrder="0" vertical="bottom"/>
    </xf>
    <xf borderId="0" fillId="0" fontId="59" numFmtId="0" xfId="0" applyAlignment="1" applyFont="1">
      <alignment readingOrder="0"/>
    </xf>
    <xf borderId="0" fillId="0" fontId="48" numFmtId="0" xfId="0" applyAlignment="1" applyFont="1">
      <alignment readingOrder="0"/>
    </xf>
    <xf borderId="0" fillId="0" fontId="48" numFmtId="0" xfId="0" applyFont="1"/>
    <xf borderId="0" fillId="0" fontId="48" numFmtId="0" xfId="0" applyAlignment="1" applyFont="1">
      <alignment horizontal="right"/>
    </xf>
    <xf borderId="0" fillId="0" fontId="28" numFmtId="0" xfId="0" applyAlignment="1" applyFont="1">
      <alignment horizontal="left" readingOrder="0"/>
    </xf>
    <xf borderId="0" fillId="0" fontId="60" numFmtId="0" xfId="0" applyAlignment="1" applyFont="1">
      <alignment readingOrder="0"/>
    </xf>
    <xf borderId="0" fillId="0" fontId="48" numFmtId="0" xfId="0" applyAlignment="1" applyFont="1">
      <alignment horizontal="left"/>
    </xf>
    <xf borderId="51" fillId="19" fontId="47" numFmtId="0" xfId="0" applyAlignment="1" applyBorder="1" applyFont="1">
      <alignment horizontal="center" readingOrder="0" vertical="bottom"/>
    </xf>
    <xf borderId="52" fillId="0" fontId="48" numFmtId="0" xfId="0" applyBorder="1" applyFont="1"/>
    <xf borderId="0" fillId="0" fontId="61" numFmtId="0" xfId="0" applyAlignment="1" applyFont="1">
      <alignment readingOrder="0"/>
    </xf>
    <xf borderId="0" fillId="0" fontId="41" numFmtId="0" xfId="0" applyFont="1"/>
    <xf borderId="0" fillId="0" fontId="48" numFmtId="0" xfId="0" applyAlignment="1" applyFont="1">
      <alignment horizontal="right" readingOrder="0"/>
    </xf>
    <xf borderId="0" fillId="0" fontId="48" numFmtId="0" xfId="0" applyAlignment="1" applyFont="1">
      <alignment horizontal="left" readingOrder="0"/>
    </xf>
    <xf borderId="0" fillId="0" fontId="41" numFmtId="0" xfId="0" applyAlignment="1" applyFont="1">
      <alignment readingOrder="0"/>
    </xf>
    <xf borderId="0" fillId="0" fontId="5" numFmtId="0" xfId="0" applyAlignment="1" applyFont="1">
      <alignment horizontal="right" readingOrder="0"/>
    </xf>
    <xf borderId="0" fillId="0" fontId="6" numFmtId="0" xfId="0" applyAlignment="1" applyFont="1">
      <alignment horizontal="left" readingOrder="0"/>
    </xf>
    <xf borderId="0" fillId="0" fontId="13" numFmtId="0" xfId="0" applyAlignment="1" applyFont="1">
      <alignment vertical="bottom"/>
    </xf>
    <xf borderId="0" fillId="0" fontId="15" numFmtId="0" xfId="0" applyAlignment="1" applyFont="1">
      <alignment vertical="bottom"/>
    </xf>
    <xf borderId="0" fillId="0" fontId="14" numFmtId="0" xfId="0" applyAlignment="1" applyFont="1">
      <alignment vertical="bottom"/>
    </xf>
    <xf borderId="0" fillId="0" fontId="14" numFmtId="0" xfId="0" applyAlignment="1" applyFont="1">
      <alignment horizontal="right" vertical="bottom"/>
    </xf>
    <xf borderId="0" fillId="0" fontId="13" numFmtId="0" xfId="0" applyAlignment="1" applyFont="1">
      <alignment horizontal="left" vertical="bottom"/>
    </xf>
    <xf borderId="0" fillId="2" fontId="41" numFmtId="0" xfId="0" applyAlignment="1" applyFont="1">
      <alignment readingOrder="0"/>
    </xf>
    <xf borderId="0" fillId="0" fontId="41" numFmtId="0" xfId="0" applyAlignment="1" applyFont="1">
      <alignment readingOrder="0"/>
    </xf>
    <xf borderId="0" fillId="0" fontId="62" numFmtId="0" xfId="0" applyAlignment="1" applyFont="1">
      <alignment readingOrder="0"/>
    </xf>
    <xf borderId="0" fillId="0" fontId="5" numFmtId="0" xfId="0" applyAlignment="1" applyFont="1">
      <alignment readingOrder="0"/>
    </xf>
    <xf borderId="0" fillId="0" fontId="6" numFmtId="0" xfId="0" applyFont="1"/>
    <xf borderId="0" fillId="4" fontId="61" numFmtId="0" xfId="0" applyAlignment="1" applyFont="1">
      <alignment horizontal="left" readingOrder="0"/>
    </xf>
    <xf borderId="0" fillId="0" fontId="21" numFmtId="0" xfId="0" applyAlignment="1" applyFont="1">
      <alignment horizontal="left" readingOrder="0"/>
    </xf>
    <xf borderId="0" fillId="0" fontId="21" numFmtId="0" xfId="0" applyAlignment="1" applyFont="1">
      <alignment readingOrder="0"/>
    </xf>
    <xf borderId="0" fillId="4" fontId="15" numFmtId="0" xfId="0" applyAlignment="1" applyFont="1">
      <alignment vertical="bottom"/>
    </xf>
    <xf borderId="0" fillId="0" fontId="41" numFmtId="0" xfId="0" applyFont="1"/>
    <xf borderId="0" fillId="0" fontId="6" numFmtId="0" xfId="0" applyAlignment="1" applyFont="1">
      <alignment horizontal="right" readingOrder="0"/>
    </xf>
    <xf borderId="0" fillId="0" fontId="63" numFmtId="0" xfId="0" applyAlignment="1" applyFont="1">
      <alignment readingOrder="0"/>
    </xf>
    <xf borderId="0" fillId="0" fontId="34" numFmtId="0" xfId="0" applyAlignment="1" applyFont="1">
      <alignment readingOrder="0"/>
    </xf>
    <xf borderId="0" fillId="20" fontId="64" numFmtId="0" xfId="0" applyAlignment="1" applyFill="1" applyFont="1">
      <alignment horizontal="center" readingOrder="0" vertical="bottom"/>
    </xf>
    <xf borderId="0" fillId="20" fontId="64" numFmtId="0" xfId="0" applyAlignment="1" applyFont="1">
      <alignment horizontal="center" readingOrder="0" vertical="bottom"/>
    </xf>
    <xf borderId="0" fillId="0" fontId="65" numFmtId="0" xfId="0" applyFont="1"/>
    <xf borderId="0" fillId="0" fontId="14" numFmtId="0" xfId="0" applyAlignment="1" applyFont="1">
      <alignment horizontal="right" readingOrder="0" vertical="bottom"/>
    </xf>
    <xf borderId="0" fillId="0" fontId="15" numFmtId="0" xfId="0" applyAlignment="1" applyFont="1">
      <alignment readingOrder="0" vertical="bottom"/>
    </xf>
    <xf borderId="0" fillId="0" fontId="14" numFmtId="0" xfId="0" applyAlignment="1" applyFont="1">
      <alignment readingOrder="0" vertical="bottom"/>
    </xf>
    <xf borderId="0" fillId="0" fontId="66" numFmtId="0" xfId="0" applyAlignment="1" applyFont="1">
      <alignment readingOrder="0"/>
    </xf>
    <xf borderId="0" fillId="0" fontId="48" numFmtId="0" xfId="0" applyAlignment="1" applyFont="1">
      <alignment readingOrder="0"/>
    </xf>
    <xf borderId="0" fillId="0" fontId="48" numFmtId="0" xfId="0" applyAlignment="1" applyFont="1">
      <alignment horizontal="right" readingOrder="0"/>
    </xf>
    <xf borderId="0" fillId="0" fontId="67" numFmtId="0" xfId="0" applyAlignment="1" applyFont="1">
      <alignment readingOrder="0"/>
    </xf>
    <xf borderId="0" fillId="19" fontId="47" numFmtId="0" xfId="0" applyAlignment="1" applyFont="1">
      <alignment horizontal="center" readingOrder="0"/>
    </xf>
    <xf borderId="0" fillId="19" fontId="47" numFmtId="0" xfId="0" applyFont="1"/>
    <xf borderId="0" fillId="0" fontId="28" numFmtId="0" xfId="0" applyAlignment="1" applyFont="1">
      <alignment readingOrder="0"/>
    </xf>
    <xf borderId="0" fillId="0" fontId="68" numFmtId="0" xfId="0" applyAlignment="1" applyFont="1">
      <alignment readingOrder="0"/>
    </xf>
    <xf borderId="0" fillId="0" fontId="68" numFmtId="0" xfId="0" applyAlignment="1" applyFont="1">
      <alignment horizontal="right" readingOrder="0"/>
    </xf>
    <xf borderId="0" fillId="0" fontId="68" numFmtId="0" xfId="0" applyAlignment="1" applyFont="1">
      <alignment horizontal="left" readingOrder="0"/>
    </xf>
    <xf borderId="0" fillId="0" fontId="68" numFmtId="0" xfId="0" applyFont="1"/>
    <xf borderId="0" fillId="0" fontId="21" numFmtId="0" xfId="0" applyAlignment="1" applyFont="1">
      <alignment vertical="bottom"/>
    </xf>
    <xf borderId="0" fillId="0" fontId="21" numFmtId="0" xfId="0" applyAlignment="1" applyFont="1">
      <alignment horizontal="right" readingOrder="0" vertical="bottom"/>
    </xf>
    <xf borderId="0" fillId="0" fontId="21" numFmtId="0" xfId="0" applyAlignment="1" applyFont="1">
      <alignment horizontal="right" vertical="bottom"/>
    </xf>
    <xf borderId="0" fillId="4" fontId="69" numFmtId="0" xfId="0" applyAlignment="1" applyFont="1">
      <alignment horizontal="center" vertical="bottom"/>
    </xf>
    <xf borderId="0" fillId="4" fontId="61" numFmtId="0" xfId="0" applyAlignment="1" applyFont="1">
      <alignment readingOrder="0"/>
    </xf>
    <xf borderId="0" fillId="4" fontId="68" numFmtId="0" xfId="0" applyAlignment="1" applyFont="1">
      <alignment readingOrder="0"/>
    </xf>
    <xf borderId="0" fillId="4" fontId="68" numFmtId="0" xfId="0" applyAlignment="1" applyFont="1">
      <alignment readingOrder="0"/>
    </xf>
    <xf borderId="0" fillId="4" fontId="68" numFmtId="0" xfId="0" applyAlignment="1" applyFont="1">
      <alignment horizontal="right" readingOrder="0"/>
    </xf>
    <xf borderId="0" fillId="4" fontId="68" numFmtId="0" xfId="0" applyAlignment="1" applyFont="1">
      <alignment horizontal="left" readingOrder="0"/>
    </xf>
    <xf borderId="0" fillId="4" fontId="70" numFmtId="0" xfId="0" applyFont="1"/>
    <xf borderId="0" fillId="4" fontId="6" numFmtId="0" xfId="0" applyFont="1"/>
    <xf borderId="0" fillId="0" fontId="15" numFmtId="0" xfId="0" applyAlignment="1" applyFont="1">
      <alignment vertical="bottom"/>
    </xf>
    <xf borderId="0" fillId="0" fontId="21" numFmtId="0" xfId="0" applyAlignment="1" applyFont="1">
      <alignment vertical="bottom"/>
    </xf>
    <xf borderId="0" fillId="0" fontId="21" numFmtId="0" xfId="0" applyAlignment="1" applyFont="1">
      <alignment horizontal="right" vertical="bottom"/>
    </xf>
    <xf borderId="0" fillId="0" fontId="13" numFmtId="0" xfId="0" applyAlignment="1" applyFont="1">
      <alignment horizontal="left" vertical="bottom"/>
    </xf>
    <xf borderId="0" fillId="4" fontId="47" numFmtId="0" xfId="0" applyAlignment="1" applyFont="1">
      <alignment horizontal="center" vertical="bottom"/>
    </xf>
    <xf borderId="0" fillId="4" fontId="68" numFmtId="0" xfId="0" applyAlignment="1" applyFont="1">
      <alignment horizontal="right" readingOrder="0"/>
    </xf>
    <xf borderId="0" fillId="4" fontId="68" numFmtId="0" xfId="0" applyAlignment="1" applyFont="1">
      <alignment horizontal="left" readingOrder="0"/>
    </xf>
    <xf borderId="0" fillId="4" fontId="48" numFmtId="0" xfId="0" applyFont="1"/>
    <xf borderId="0" fillId="4" fontId="47" numFmtId="0" xfId="0" applyAlignment="1" applyFont="1">
      <alignment horizontal="center" readingOrder="0" vertical="bottom"/>
    </xf>
    <xf borderId="0" fillId="4" fontId="28" numFmtId="0" xfId="0" applyAlignment="1" applyFont="1">
      <alignment readingOrder="0"/>
    </xf>
    <xf borderId="0" fillId="4" fontId="68" numFmtId="0" xfId="0" applyFont="1"/>
    <xf borderId="0" fillId="4" fontId="68" numFmtId="0" xfId="0" applyAlignment="1" applyFont="1">
      <alignment horizontal="right"/>
    </xf>
    <xf borderId="0" fillId="4" fontId="68" numFmtId="0" xfId="0" applyAlignment="1" applyFont="1">
      <alignment horizontal="left"/>
    </xf>
    <xf borderId="0" fillId="0" fontId="68" numFmtId="0" xfId="0" applyAlignment="1" applyFont="1">
      <alignment readingOrder="0"/>
    </xf>
    <xf borderId="0" fillId="0" fontId="68" numFmtId="0" xfId="0" applyAlignment="1" applyFont="1">
      <alignment horizontal="right" readingOrder="0"/>
    </xf>
    <xf borderId="0" fillId="0" fontId="68" numFmtId="0" xfId="0" applyAlignment="1" applyFont="1">
      <alignment horizontal="left" readingOrder="0"/>
    </xf>
    <xf borderId="0" fillId="0" fontId="70" numFmtId="0" xfId="0" applyFont="1"/>
    <xf borderId="52" fillId="0" fontId="71" numFmtId="0" xfId="0" applyAlignment="1" applyBorder="1" applyFont="1">
      <alignment readingOrder="0"/>
    </xf>
    <xf borderId="0" fillId="0" fontId="14" numFmtId="0" xfId="0" applyAlignment="1" applyFont="1">
      <alignment horizontal="right" vertical="bottom"/>
    </xf>
    <xf borderId="0" fillId="0" fontId="41" numFmtId="0" xfId="0" applyAlignment="1" applyFont="1">
      <alignment horizontal="right" readingOrder="0"/>
    </xf>
    <xf borderId="0" fillId="0" fontId="14" numFmtId="0" xfId="0" applyAlignment="1" applyFont="1">
      <alignment vertical="bottom"/>
    </xf>
    <xf borderId="39" fillId="0" fontId="14" numFmtId="0" xfId="0" applyAlignment="1" applyBorder="1" applyFont="1">
      <alignment shrinkToFit="0" vertical="bottom" wrapText="0"/>
    </xf>
    <xf borderId="0" fillId="0" fontId="21" numFmtId="0" xfId="0" applyAlignment="1" applyFont="1">
      <alignment vertical="bottom"/>
    </xf>
    <xf borderId="0" fillId="0" fontId="72" numFmtId="0" xfId="0" applyAlignment="1" applyFont="1">
      <alignment vertical="bottom"/>
    </xf>
    <xf borderId="0" fillId="19" fontId="51" numFmtId="0" xfId="0" applyAlignment="1" applyFont="1">
      <alignment horizontal="center" readingOrder="0"/>
    </xf>
    <xf borderId="0" fillId="19" fontId="47" numFmtId="0" xfId="0" applyAlignment="1" applyFont="1">
      <alignment readingOrder="0"/>
    </xf>
    <xf borderId="0" fillId="0" fontId="13" numFmtId="0" xfId="0" applyAlignment="1" applyFont="1">
      <alignment horizontal="right" vertical="bottom"/>
    </xf>
    <xf borderId="0" fillId="0" fontId="21" numFmtId="0" xfId="0" applyAlignment="1" applyFont="1">
      <alignment readingOrder="0" vertical="bottom"/>
    </xf>
    <xf borderId="39" fillId="4" fontId="34" numFmtId="0" xfId="0" applyAlignment="1" applyBorder="1" applyFont="1">
      <alignment readingOrder="0" shrinkToFit="0" vertical="bottom" wrapText="0"/>
    </xf>
    <xf borderId="39" fillId="0" fontId="13" numFmtId="0" xfId="0" applyAlignment="1" applyBorder="1" applyFont="1">
      <alignment vertical="bottom"/>
    </xf>
    <xf borderId="39" fillId="0" fontId="73" numFmtId="0" xfId="0" applyAlignment="1" applyBorder="1" applyFont="1">
      <alignment readingOrder="0" shrinkToFit="0" vertical="bottom" wrapText="0"/>
    </xf>
    <xf borderId="0" fillId="0" fontId="74" numFmtId="0" xfId="0" applyAlignment="1" applyFont="1">
      <alignment readingOrder="0"/>
    </xf>
    <xf borderId="0" fillId="0" fontId="21" numFmtId="0" xfId="0" applyAlignment="1" applyFont="1">
      <alignment horizontal="right" readingOrder="0"/>
    </xf>
    <xf borderId="0" fillId="0" fontId="9" numFmtId="0" xfId="0" applyAlignment="1" applyFont="1">
      <alignment horizontal="right" vertical="bottom"/>
    </xf>
    <xf borderId="0" fillId="0" fontId="65" numFmtId="0" xfId="0" applyFont="1"/>
    <xf borderId="0" fillId="0" fontId="28" numFmtId="0" xfId="0" applyAlignment="1" applyFont="1">
      <alignment readingOrder="0"/>
    </xf>
    <xf borderId="0" fillId="4" fontId="28" numFmtId="0" xfId="0" applyAlignment="1" applyFont="1">
      <alignment horizontal="left" readingOrder="0" vertical="bottom"/>
    </xf>
    <xf borderId="0" fillId="0" fontId="75" numFmtId="0" xfId="0" applyAlignment="1" applyFont="1">
      <alignment readingOrder="0"/>
    </xf>
    <xf borderId="52" fillId="0" fontId="28" numFmtId="0" xfId="0" applyAlignment="1" applyBorder="1" applyFont="1">
      <alignment readingOrder="0"/>
    </xf>
    <xf borderId="0" fillId="0" fontId="6" numFmtId="0" xfId="0" applyAlignment="1" applyFont="1">
      <alignment horizontal="right"/>
    </xf>
    <xf borderId="0" fillId="4" fontId="15" numFmtId="0" xfId="0" applyAlignment="1" applyFont="1">
      <alignment vertical="bottom"/>
    </xf>
    <xf borderId="0" fillId="4" fontId="15" numFmtId="0" xfId="0" applyAlignment="1" applyFont="1">
      <alignment readingOrder="0" vertical="bottom"/>
    </xf>
    <xf borderId="0" fillId="0" fontId="76" numFmtId="0" xfId="0" applyAlignment="1" applyFont="1">
      <alignment vertical="bottom"/>
    </xf>
    <xf borderId="0" fillId="0" fontId="72" numFmtId="0" xfId="0" applyAlignment="1" applyFont="1">
      <alignment vertical="bottom"/>
    </xf>
    <xf borderId="0" fillId="0" fontId="13" numFmtId="0" xfId="0" applyAlignment="1" applyFont="1">
      <alignment horizontal="right" vertical="bottom"/>
    </xf>
    <xf borderId="0" fillId="19" fontId="77" numFmtId="0" xfId="0" applyAlignment="1" applyFont="1">
      <alignment horizontal="center" readingOrder="0"/>
    </xf>
    <xf borderId="0" fillId="0" fontId="65" numFmtId="0" xfId="0" applyAlignment="1" applyFont="1">
      <alignment readingOrder="0"/>
    </xf>
    <xf borderId="0" fillId="0" fontId="25" numFmtId="0" xfId="0" applyAlignment="1" applyFont="1">
      <alignment horizontal="right" vertical="bottom"/>
    </xf>
    <xf borderId="0" fillId="0" fontId="21" numFmtId="0" xfId="0" applyAlignment="1" applyFont="1">
      <alignment horizontal="center" vertical="bottom"/>
    </xf>
    <xf borderId="0" fillId="4" fontId="21" numFmtId="0" xfId="0" applyAlignment="1" applyFont="1">
      <alignment vertical="bottom"/>
    </xf>
    <xf borderId="0" fillId="0" fontId="76" numFmtId="0" xfId="0" applyAlignment="1" applyFont="1">
      <alignment readingOrder="0" vertical="bottom"/>
    </xf>
    <xf borderId="0" fillId="0" fontId="78" numFmtId="0" xfId="0" applyAlignment="1" applyFont="1">
      <alignment readingOrder="0"/>
    </xf>
    <xf borderId="0" fillId="4" fontId="12" numFmtId="0" xfId="0" applyAlignment="1" applyFont="1">
      <alignment horizontal="right" vertical="bottom"/>
    </xf>
    <xf borderId="0" fillId="4" fontId="21" numFmtId="0" xfId="0" applyAlignment="1" applyFont="1">
      <alignment horizontal="right" vertical="bottom"/>
    </xf>
    <xf borderId="0" fillId="4" fontId="13" numFmtId="0" xfId="0" applyAlignment="1" applyFont="1">
      <alignment vertical="bottom"/>
    </xf>
    <xf borderId="0" fillId="4" fontId="14" numFmtId="0" xfId="0" applyAlignment="1" applyFont="1">
      <alignment horizontal="right" vertical="bottom"/>
    </xf>
    <xf borderId="0" fillId="0" fontId="75" numFmtId="0" xfId="0" applyFont="1"/>
    <xf borderId="0" fillId="19" fontId="77" numFmtId="0" xfId="0" applyAlignment="1" applyFont="1">
      <alignment horizontal="center" readingOrder="0" vertical="bottom"/>
    </xf>
    <xf borderId="0" fillId="0" fontId="79" numFmtId="0" xfId="0" applyAlignment="1" applyFont="1">
      <alignment readingOrder="0"/>
    </xf>
    <xf borderId="0" fillId="0" fontId="14" numFmtId="0" xfId="0" applyAlignment="1" applyFont="1">
      <alignment horizontal="left" vertical="bottom"/>
    </xf>
    <xf borderId="0" fillId="0" fontId="28" numFmtId="0" xfId="0" applyAlignment="1" applyFont="1">
      <alignment readingOrder="0"/>
    </xf>
    <xf borderId="0" fillId="0" fontId="14" numFmtId="0" xfId="0" applyAlignment="1" applyFont="1">
      <alignment horizontal="left" readingOrder="0" vertical="bottom"/>
    </xf>
    <xf borderId="0" fillId="4" fontId="69" numFmtId="0" xfId="0" applyAlignment="1" applyFont="1">
      <alignment horizontal="center" readingOrder="0" vertical="bottom"/>
    </xf>
    <xf borderId="0" fillId="4" fontId="78" numFmtId="0" xfId="0" applyAlignment="1" applyFont="1">
      <alignment readingOrder="0"/>
    </xf>
    <xf borderId="0" fillId="4" fontId="78" numFmtId="0" xfId="0" applyFont="1"/>
    <xf borderId="0" fillId="0" fontId="21" numFmtId="0" xfId="0" applyAlignment="1" applyFont="1">
      <alignment vertical="bottom"/>
    </xf>
    <xf borderId="54" fillId="19" fontId="47" numFmtId="0" xfId="0" applyAlignment="1" applyBorder="1" applyFont="1">
      <alignment horizontal="center" readingOrder="0"/>
    </xf>
    <xf borderId="0" fillId="4" fontId="80" numFmtId="0" xfId="0" applyAlignment="1" applyFont="1">
      <alignment horizontal="center" readingOrder="0" vertical="bottom"/>
    </xf>
    <xf borderId="54" fillId="19" fontId="77" numFmtId="0" xfId="0" applyAlignment="1" applyBorder="1" applyFont="1">
      <alignment horizontal="center" readingOrder="0"/>
    </xf>
    <xf borderId="54" fillId="19" fontId="47" numFmtId="0" xfId="0" applyAlignment="1" applyBorder="1" applyFont="1">
      <alignment horizontal="center" readingOrder="0" vertical="bottom"/>
    </xf>
    <xf borderId="54" fillId="19" fontId="56" numFmtId="0" xfId="0" applyAlignment="1" applyBorder="1" applyFont="1">
      <alignment horizontal="center" readingOrder="0" vertical="bottom"/>
    </xf>
    <xf borderId="54" fillId="19" fontId="57" numFmtId="0" xfId="0" applyAlignment="1" applyBorder="1" applyFont="1">
      <alignment horizontal="center" readingOrder="0" vertical="bottom"/>
    </xf>
    <xf borderId="54" fillId="19" fontId="58" numFmtId="0" xfId="0" applyAlignment="1" applyBorder="1" applyFont="1">
      <alignment horizontal="center" readingOrder="0" vertical="bottom"/>
    </xf>
    <xf borderId="54" fillId="19" fontId="47" numFmtId="0" xfId="0" applyAlignment="1" applyBorder="1" applyFont="1">
      <alignment horizontal="right" readingOrder="0" vertical="bottom"/>
    </xf>
    <xf borderId="54" fillId="19" fontId="47" numFmtId="0" xfId="0" applyBorder="1" applyFont="1"/>
    <xf borderId="54" fillId="0" fontId="5" numFmtId="0" xfId="0" applyBorder="1" applyFont="1"/>
    <xf borderId="54" fillId="19" fontId="47" numFmtId="0" xfId="0" applyAlignment="1" applyBorder="1" applyFont="1">
      <alignment readingOrder="0"/>
    </xf>
    <xf borderId="0" fillId="2" fontId="47" numFmtId="0" xfId="0" applyAlignment="1" applyFont="1">
      <alignment horizontal="center" readingOrder="0" vertical="bottom"/>
    </xf>
    <xf borderId="0" fillId="0" fontId="21" numFmtId="0" xfId="0" applyAlignment="1" applyFont="1">
      <alignment horizontal="left" vertical="bottom"/>
    </xf>
    <xf borderId="0" fillId="0" fontId="81" numFmtId="0" xfId="0" applyAlignment="1" applyFont="1">
      <alignment readingOrder="0"/>
    </xf>
    <xf borderId="0" fillId="0" fontId="82" numFmtId="0" xfId="0" applyAlignment="1" applyFont="1">
      <alignment readingOrder="0"/>
    </xf>
    <xf borderId="0" fillId="4" fontId="63" numFmtId="0" xfId="0" applyAlignment="1" applyFont="1">
      <alignment horizontal="left" readingOrder="0"/>
    </xf>
    <xf borderId="0" fillId="4" fontId="83" numFmtId="0" xfId="0" applyAlignment="1" applyFont="1">
      <alignment horizontal="center" vertical="bottom"/>
    </xf>
    <xf borderId="0" fillId="4" fontId="84" numFmtId="0" xfId="0" applyAlignment="1" applyFont="1">
      <alignment horizontal="center" readingOrder="0" vertical="bottom"/>
    </xf>
    <xf borderId="0" fillId="0" fontId="84" numFmtId="0" xfId="0" applyAlignment="1" applyFont="1">
      <alignment horizontal="center" readingOrder="0"/>
    </xf>
    <xf borderId="0" fillId="0" fontId="39" numFmtId="0" xfId="0" applyAlignment="1" applyFont="1">
      <alignment readingOrder="0"/>
    </xf>
    <xf borderId="0" fillId="0" fontId="12" numFmtId="0" xfId="0" applyAlignment="1" applyFont="1">
      <alignment readingOrder="0" vertical="bottom"/>
    </xf>
    <xf borderId="0" fillId="4" fontId="39" numFmtId="0" xfId="0" applyAlignment="1" applyFont="1">
      <alignment readingOrder="0"/>
    </xf>
    <xf borderId="0" fillId="0" fontId="21" numFmtId="0" xfId="0" applyAlignment="1" applyFont="1">
      <alignment readingOrder="0" vertical="bottom"/>
    </xf>
    <xf borderId="0" fillId="4" fontId="76" numFmtId="0" xfId="0" applyAlignment="1" applyFont="1">
      <alignment vertical="bottom"/>
    </xf>
    <xf borderId="0" fillId="0" fontId="85" numFmtId="0" xfId="0" applyAlignment="1" applyFont="1">
      <alignment vertical="bottom"/>
    </xf>
    <xf borderId="0" fillId="0" fontId="25" numFmtId="0" xfId="0" applyAlignment="1" applyFont="1">
      <alignment vertical="bottom"/>
    </xf>
    <xf borderId="0" fillId="0" fontId="39" numFmtId="0" xfId="0" applyAlignment="1" applyFont="1">
      <alignment readingOrder="0"/>
    </xf>
    <xf borderId="0" fillId="4" fontId="63" numFmtId="0" xfId="0" applyAlignment="1" applyFont="1">
      <alignment readingOrder="0"/>
    </xf>
    <xf borderId="0" fillId="19" fontId="41" numFmtId="0" xfId="0" applyAlignment="1" applyFont="1">
      <alignment readingOrder="0"/>
    </xf>
    <xf borderId="0" fillId="19" fontId="39" numFmtId="0" xfId="0" applyAlignment="1" applyFont="1">
      <alignment readingOrder="0"/>
    </xf>
    <xf borderId="0" fillId="19" fontId="68" numFmtId="0" xfId="0" applyAlignment="1" applyFont="1">
      <alignment readingOrder="0"/>
    </xf>
    <xf borderId="0" fillId="19" fontId="41" numFmtId="0" xfId="0" applyAlignment="1" applyFont="1">
      <alignment readingOrder="0"/>
    </xf>
    <xf borderId="0" fillId="19" fontId="68" numFmtId="0" xfId="0" applyAlignment="1" applyFont="1">
      <alignment horizontal="right" readingOrder="0"/>
    </xf>
    <xf borderId="0" fillId="19" fontId="68" numFmtId="0" xfId="0" applyFont="1"/>
    <xf borderId="0" fillId="0" fontId="65" numFmtId="0" xfId="0" applyAlignment="1" applyFont="1">
      <alignment horizontal="right" readingOrder="0"/>
    </xf>
    <xf borderId="0" fillId="0" fontId="6" numFmtId="0" xfId="0" applyAlignment="1" applyFont="1">
      <alignment horizontal="left"/>
    </xf>
    <xf borderId="0" fillId="4" fontId="67" numFmtId="0" xfId="0" applyAlignment="1" applyFont="1">
      <alignment horizontal="left" readingOrder="0"/>
    </xf>
    <xf borderId="39" fillId="0" fontId="13" numFmtId="0" xfId="0" applyAlignment="1" applyBorder="1" applyFont="1">
      <alignment shrinkToFit="0" vertical="bottom" wrapText="0"/>
    </xf>
    <xf borderId="39" fillId="0" fontId="14" numFmtId="0" xfId="0" applyAlignment="1" applyBorder="1" applyFont="1">
      <alignment vertical="bottom"/>
    </xf>
    <xf borderId="0" fillId="19" fontId="17" numFmtId="0" xfId="0" applyAlignment="1" applyFont="1">
      <alignment readingOrder="0"/>
    </xf>
    <xf borderId="0" fillId="19" fontId="62" numFmtId="0" xfId="0" applyAlignment="1" applyFont="1">
      <alignment horizontal="center"/>
    </xf>
    <xf borderId="0" fillId="19" fontId="86" numFmtId="0" xfId="0" applyFont="1"/>
    <xf borderId="0" fillId="19" fontId="87" numFmtId="0" xfId="0" applyAlignment="1" applyFont="1">
      <alignment horizontal="center" readingOrder="0"/>
    </xf>
    <xf borderId="0" fillId="14" fontId="87" numFmtId="0" xfId="0" applyAlignment="1" applyFont="1">
      <alignment horizontal="center" readingOrder="0"/>
    </xf>
    <xf borderId="0" fillId="19" fontId="3" numFmtId="0" xfId="0" applyAlignment="1" applyFont="1">
      <alignment readingOrder="0"/>
    </xf>
    <xf borderId="0" fillId="19" fontId="3" numFmtId="0" xfId="0" applyAlignment="1" applyFont="1">
      <alignment horizontal="center" readingOrder="0"/>
    </xf>
    <xf borderId="0" fillId="19" fontId="6" numFmtId="0" xfId="0" applyAlignment="1" applyFont="1">
      <alignment horizontal="center" readingOrder="0"/>
    </xf>
    <xf borderId="0" fillId="19" fontId="88" numFmtId="0" xfId="0" applyAlignment="1" applyFont="1">
      <alignment horizontal="center" readingOrder="0"/>
    </xf>
    <xf borderId="0" fillId="4" fontId="88" numFmtId="0" xfId="0" applyAlignment="1" applyFont="1">
      <alignment horizontal="center" readingOrder="0"/>
    </xf>
    <xf borderId="0" fillId="19" fontId="88" numFmtId="0" xfId="0" applyAlignment="1" applyFont="1">
      <alignment readingOrder="0"/>
    </xf>
    <xf borderId="0" fillId="14" fontId="88" numFmtId="0" xfId="0" applyAlignment="1" applyFont="1">
      <alignment readingOrder="0"/>
    </xf>
    <xf borderId="0" fillId="19" fontId="87" numFmtId="0" xfId="0" applyAlignment="1" applyFont="1">
      <alignment readingOrder="0"/>
    </xf>
    <xf borderId="0" fillId="4" fontId="62" numFmtId="0" xfId="0" applyAlignment="1" applyFont="1">
      <alignment horizontal="center" readingOrder="0"/>
    </xf>
    <xf borderId="0" fillId="21" fontId="41" numFmtId="0" xfId="0" applyAlignment="1" applyFill="1" applyFont="1">
      <alignment readingOrder="0"/>
    </xf>
    <xf borderId="0" fillId="21" fontId="5" numFmtId="0" xfId="0" applyAlignment="1" applyFont="1">
      <alignment readingOrder="0"/>
    </xf>
    <xf borderId="0" fillId="21" fontId="65" numFmtId="0" xfId="0" applyFont="1"/>
    <xf borderId="0" fillId="22" fontId="5" numFmtId="0" xfId="0" applyAlignment="1" applyFill="1" applyFont="1">
      <alignment readingOrder="0"/>
    </xf>
    <xf borderId="0" fillId="18" fontId="89" numFmtId="0" xfId="0" applyAlignment="1" applyFont="1">
      <alignment readingOrder="0"/>
    </xf>
    <xf borderId="0" fillId="19" fontId="5" numFmtId="0" xfId="0" applyAlignment="1" applyFont="1">
      <alignment readingOrder="0"/>
    </xf>
    <xf borderId="0" fillId="19" fontId="65" numFmtId="0" xfId="0" applyFont="1"/>
    <xf borderId="0" fillId="21" fontId="41" numFmtId="0" xfId="0" applyFont="1"/>
    <xf borderId="0" fillId="19" fontId="65" numFmtId="0" xfId="0" applyAlignment="1" applyFont="1">
      <alignment readingOrder="0"/>
    </xf>
    <xf borderId="0" fillId="19" fontId="90" numFmtId="0" xfId="0" applyAlignment="1" applyFont="1">
      <alignment readingOrder="0"/>
    </xf>
    <xf borderId="0" fillId="22" fontId="86" numFmtId="0" xfId="0" applyFont="1"/>
    <xf borderId="0" fillId="21" fontId="86" numFmtId="0" xfId="0" applyFont="1"/>
    <xf borderId="0" fillId="4" fontId="91" numFmtId="0" xfId="0" applyAlignment="1" applyFont="1">
      <alignment horizontal="center" readingOrder="0"/>
    </xf>
    <xf borderId="0" fillId="19" fontId="3" numFmtId="0" xfId="0" applyFont="1"/>
    <xf borderId="0" fillId="19" fontId="89" numFmtId="0" xfId="0" applyFont="1"/>
    <xf borderId="0" fillId="19" fontId="89" numFmtId="0" xfId="0" applyAlignment="1" applyFont="1">
      <alignment readingOrder="0"/>
    </xf>
    <xf borderId="0" fillId="19" fontId="88" numFmtId="0" xfId="0" applyFont="1"/>
    <xf borderId="0" fillId="19" fontId="89" numFmtId="0" xfId="0" applyFont="1"/>
    <xf borderId="0" fillId="17" fontId="87" numFmtId="0" xfId="0" applyAlignment="1" applyFont="1">
      <alignment readingOrder="0"/>
    </xf>
    <xf borderId="0" fillId="17" fontId="87" numFmtId="0" xfId="0" applyAlignment="1" applyFont="1">
      <alignment horizontal="center" readingOrder="0"/>
    </xf>
    <xf borderId="0" fillId="17" fontId="65" numFmtId="0" xfId="0" applyFont="1"/>
    <xf borderId="0" fillId="17" fontId="5" numFmtId="0" xfId="0" applyFont="1"/>
    <xf borderId="0" fillId="19" fontId="65" numFmtId="0" xfId="0" applyFont="1"/>
    <xf borderId="0" fillId="18" fontId="77" numFmtId="0" xfId="0" applyAlignment="1" applyFont="1">
      <alignment horizontal="center" readingOrder="0"/>
    </xf>
    <xf borderId="0" fillId="18" fontId="88" numFmtId="0" xfId="0" applyAlignment="1" applyFont="1">
      <alignment horizontal="center" readingOrder="0"/>
    </xf>
    <xf borderId="0" fillId="4" fontId="88" numFmtId="0" xfId="0" applyFont="1"/>
    <xf borderId="0" fillId="4" fontId="87" numFmtId="0" xfId="0" applyFont="1"/>
    <xf borderId="0" fillId="17" fontId="92" numFmtId="0" xfId="0" applyAlignment="1" applyFont="1">
      <alignment readingOrder="0"/>
    </xf>
    <xf borderId="0" fillId="17" fontId="92" numFmtId="0" xfId="0" applyFont="1"/>
    <xf borderId="0" fillId="18" fontId="88" numFmtId="0" xfId="0" applyAlignment="1" applyFont="1">
      <alignment readingOrder="0"/>
    </xf>
    <xf borderId="0" fillId="14" fontId="93" numFmtId="0" xfId="0" applyAlignment="1" applyFont="1">
      <alignment horizontal="center" readingOrder="0"/>
    </xf>
    <xf borderId="0" fillId="17" fontId="3" numFmtId="0" xfId="0" applyAlignment="1" applyFont="1">
      <alignment readingOrder="0"/>
    </xf>
    <xf borderId="0" fillId="19" fontId="94" numFmtId="0" xfId="0" applyAlignment="1" applyFont="1">
      <alignment horizontal="center" readingOrder="0"/>
    </xf>
    <xf borderId="0" fillId="19" fontId="95" numFmtId="0" xfId="0" applyFont="1"/>
    <xf borderId="0" fillId="17" fontId="92" numFmtId="0" xfId="0" applyFont="1"/>
    <xf borderId="0" fillId="19" fontId="96" numFmtId="0" xfId="0" applyFont="1"/>
    <xf borderId="0" fillId="19" fontId="95" numFmtId="0" xfId="0" applyAlignment="1" applyFont="1">
      <alignment readingOrder="0"/>
    </xf>
    <xf borderId="0" fillId="19" fontId="33" numFmtId="0" xfId="0" applyAlignment="1" applyFont="1">
      <alignment readingOrder="0"/>
    </xf>
    <xf borderId="0" fillId="14" fontId="33" numFmtId="0" xfId="0" applyAlignment="1" applyFont="1">
      <alignment readingOrder="0"/>
    </xf>
    <xf borderId="0" fillId="5" fontId="38" numFmtId="0" xfId="0" applyAlignment="1" applyFont="1">
      <alignment readingOrder="0"/>
    </xf>
    <xf borderId="0" fillId="5" fontId="92" numFmtId="0" xfId="0" applyFont="1"/>
    <xf borderId="0" fillId="5" fontId="5" numFmtId="0" xfId="0" applyAlignment="1" applyFont="1">
      <alignment horizontal="right" readingOrder="0"/>
    </xf>
    <xf borderId="0" fillId="5" fontId="5" numFmtId="0" xfId="0" applyAlignment="1" applyFont="1">
      <alignment readingOrder="0"/>
    </xf>
    <xf borderId="0" fillId="5" fontId="97" numFmtId="0" xfId="0" applyAlignment="1" applyFont="1">
      <alignment readingOrder="0"/>
    </xf>
    <xf borderId="0" fillId="5" fontId="5" numFmtId="0" xfId="0" applyFont="1"/>
    <xf borderId="0" fillId="19" fontId="33" numFmtId="0" xfId="0" applyAlignment="1" applyFont="1">
      <alignment vertical="bottom"/>
    </xf>
    <xf borderId="0" fillId="19" fontId="33" numFmtId="0" xfId="0" applyAlignment="1" applyFont="1">
      <alignment horizontal="right" vertical="bottom"/>
    </xf>
    <xf borderId="0" fillId="14" fontId="33" numFmtId="0" xfId="0" applyAlignment="1" applyFont="1">
      <alignment vertical="bottom"/>
    </xf>
    <xf borderId="0" fillId="14" fontId="33" numFmtId="0" xfId="0" applyAlignment="1" applyFont="1">
      <alignment horizontal="right" readingOrder="0" vertical="bottom"/>
    </xf>
    <xf borderId="0" fillId="19" fontId="98" numFmtId="0" xfId="0" applyAlignment="1" applyFont="1">
      <alignment readingOrder="0"/>
    </xf>
    <xf borderId="0" fillId="19" fontId="33" numFmtId="0" xfId="0" applyAlignment="1" applyFont="1">
      <alignment readingOrder="0" vertical="bottom"/>
    </xf>
    <xf borderId="0" fillId="14" fontId="33" numFmtId="0" xfId="0" applyAlignment="1" applyFont="1">
      <alignment readingOrder="0" vertical="bottom"/>
    </xf>
    <xf borderId="0" fillId="5" fontId="62" numFmtId="0" xfId="0" applyAlignment="1" applyFont="1">
      <alignment readingOrder="0"/>
    </xf>
    <xf borderId="0" fillId="5" fontId="99" numFmtId="0" xfId="0" applyAlignment="1" applyFont="1">
      <alignment readingOrder="0"/>
    </xf>
    <xf borderId="0" fillId="19" fontId="7" numFmtId="0" xfId="0" applyAlignment="1" applyFont="1">
      <alignment readingOrder="0"/>
    </xf>
    <xf borderId="0" fillId="14" fontId="88" numFmtId="0" xfId="0" applyAlignment="1" applyFont="1">
      <alignment horizontal="center" readingOrder="0"/>
    </xf>
    <xf borderId="0" fillId="23" fontId="6" numFmtId="0" xfId="0" applyAlignment="1" applyFill="1" applyFont="1">
      <alignment readingOrder="0"/>
    </xf>
    <xf borderId="0" fillId="23" fontId="5" numFmtId="0" xfId="0" applyAlignment="1" applyFont="1">
      <alignment readingOrder="0"/>
    </xf>
    <xf borderId="0" fillId="23" fontId="65" numFmtId="0" xfId="0" applyFont="1"/>
    <xf borderId="0" fillId="24" fontId="6" numFmtId="0" xfId="0" applyAlignment="1" applyFill="1" applyFont="1">
      <alignment readingOrder="0"/>
    </xf>
    <xf borderId="0" fillId="24" fontId="5" numFmtId="0" xfId="0" applyAlignment="1" applyFont="1">
      <alignment readingOrder="0"/>
    </xf>
    <xf borderId="0" fillId="24" fontId="65" numFmtId="0" xfId="0" applyFont="1"/>
    <xf borderId="0" fillId="19" fontId="98" numFmtId="0" xfId="0" applyAlignment="1" applyFont="1">
      <alignment horizontal="left" readingOrder="0"/>
    </xf>
    <xf borderId="0" fillId="19" fontId="100" numFmtId="0" xfId="0" applyAlignment="1" applyFont="1">
      <alignment readingOrder="0"/>
    </xf>
    <xf borderId="0" fillId="24" fontId="14" numFmtId="0" xfId="0" applyAlignment="1" applyFont="1">
      <alignment readingOrder="0" vertical="bottom"/>
    </xf>
    <xf borderId="0" fillId="24" fontId="13" numFmtId="0" xfId="0" applyAlignment="1" applyFont="1">
      <alignment readingOrder="0" vertical="bottom"/>
    </xf>
    <xf borderId="0" fillId="24" fontId="92" numFmtId="0" xfId="0" applyFont="1"/>
    <xf borderId="0" fillId="19" fontId="100" numFmtId="0" xfId="0" applyAlignment="1" applyFont="1">
      <alignment readingOrder="0"/>
    </xf>
    <xf borderId="0" fillId="19" fontId="13" numFmtId="0" xfId="0" applyAlignment="1" applyFont="1">
      <alignment vertical="bottom"/>
    </xf>
    <xf borderId="0" fillId="19" fontId="21" numFmtId="0" xfId="0" applyAlignment="1" applyFont="1">
      <alignment horizontal="center" vertical="bottom"/>
    </xf>
    <xf borderId="0" fillId="25" fontId="6" numFmtId="0" xfId="0" applyAlignment="1" applyFill="1" applyFont="1">
      <alignment readingOrder="0"/>
    </xf>
    <xf borderId="0" fillId="25" fontId="5" numFmtId="0" xfId="0" applyAlignment="1" applyFont="1">
      <alignment readingOrder="0"/>
    </xf>
    <xf borderId="0" fillId="25" fontId="65" numFmtId="0" xfId="0" applyFont="1"/>
    <xf borderId="0" fillId="19" fontId="21" numFmtId="0" xfId="0" applyAlignment="1" applyFont="1">
      <alignment horizontal="center" readingOrder="0" vertical="bottom"/>
    </xf>
    <xf borderId="0" fillId="19" fontId="101" numFmtId="0" xfId="0" applyAlignment="1" applyFont="1">
      <alignment horizontal="right" vertical="bottom"/>
    </xf>
    <xf borderId="0" fillId="19" fontId="12" numFmtId="0" xfId="0" applyAlignment="1" applyFont="1">
      <alignment horizontal="right" vertical="bottom"/>
    </xf>
    <xf borderId="0" fillId="19" fontId="88" numFmtId="0" xfId="0" applyAlignment="1" applyFont="1">
      <alignment horizontal="right" readingOrder="0"/>
    </xf>
    <xf borderId="0" fillId="14" fontId="88" numFmtId="0" xfId="0" applyAlignment="1" applyFont="1">
      <alignment horizontal="right" readingOrder="0"/>
    </xf>
    <xf borderId="0" fillId="25" fontId="14" numFmtId="0" xfId="0" applyAlignment="1" applyFont="1">
      <alignment readingOrder="0" vertical="bottom"/>
    </xf>
    <xf borderId="0" fillId="25" fontId="13" numFmtId="0" xfId="0" applyAlignment="1" applyFont="1">
      <alignment readingOrder="0" vertical="bottom"/>
    </xf>
    <xf borderId="0" fillId="25" fontId="92" numFmtId="0" xfId="0" applyFont="1"/>
    <xf borderId="0" fillId="18" fontId="99" numFmtId="0" xfId="0" applyAlignment="1" applyFont="1">
      <alignment readingOrder="0"/>
    </xf>
    <xf borderId="0" fillId="18" fontId="99" numFmtId="0" xfId="0" applyAlignment="1" applyFont="1">
      <alignment horizontal="center" readingOrder="0"/>
    </xf>
    <xf borderId="0" fillId="26" fontId="6" numFmtId="0" xfId="0" applyAlignment="1" applyFill="1" applyFont="1">
      <alignment readingOrder="0"/>
    </xf>
    <xf borderId="0" fillId="26" fontId="6" numFmtId="0" xfId="0" applyAlignment="1" applyFont="1">
      <alignment horizontal="center" readingOrder="0"/>
    </xf>
    <xf borderId="0" fillId="27" fontId="6" numFmtId="0" xfId="0" applyAlignment="1" applyFill="1" applyFont="1">
      <alignment readingOrder="0"/>
    </xf>
    <xf borderId="0" fillId="27" fontId="6" numFmtId="0" xfId="0" applyAlignment="1" applyFont="1">
      <alignment horizontal="center" readingOrder="0"/>
    </xf>
    <xf borderId="0" fillId="28" fontId="21" numFmtId="0" xfId="0" applyAlignment="1" applyFill="1" applyFont="1">
      <alignment readingOrder="0" vertical="bottom"/>
    </xf>
    <xf borderId="0" fillId="28" fontId="21" numFmtId="0" xfId="0" applyAlignment="1" applyFont="1">
      <alignment horizontal="center" readingOrder="0" vertical="bottom"/>
    </xf>
    <xf borderId="0" fillId="19" fontId="12" numFmtId="0" xfId="0" applyAlignment="1" applyFont="1">
      <alignment vertical="bottom"/>
    </xf>
    <xf borderId="0" fillId="19" fontId="12" numFmtId="0" xfId="0" applyAlignment="1" applyFont="1">
      <alignment horizontal="right" readingOrder="0" vertical="bottom"/>
    </xf>
    <xf borderId="0" fillId="29" fontId="21" numFmtId="0" xfId="0" applyAlignment="1" applyFill="1" applyFont="1">
      <alignment vertical="bottom"/>
    </xf>
    <xf borderId="0" fillId="29" fontId="21" numFmtId="0" xfId="0" applyAlignment="1" applyFont="1">
      <alignment horizontal="center" readingOrder="0" vertical="bottom"/>
    </xf>
    <xf borderId="0" fillId="19" fontId="12" numFmtId="0" xfId="0" applyAlignment="1" applyFont="1">
      <alignment horizontal="right" vertical="bottom"/>
    </xf>
    <xf borderId="0" fillId="24" fontId="21" numFmtId="0" xfId="0" applyAlignment="1" applyFont="1">
      <alignment vertical="bottom"/>
    </xf>
    <xf borderId="0" fillId="24" fontId="21" numFmtId="0" xfId="0" applyAlignment="1" applyFont="1">
      <alignment horizontal="center" readingOrder="0" vertical="bottom"/>
    </xf>
    <xf borderId="0" fillId="19" fontId="13" numFmtId="0" xfId="0" applyAlignment="1" applyFont="1">
      <alignment vertical="bottom"/>
    </xf>
    <xf borderId="0" fillId="19" fontId="13" numFmtId="0" xfId="0" applyAlignment="1" applyFont="1">
      <alignment horizontal="right" vertical="bottom"/>
    </xf>
    <xf borderId="0" fillId="30" fontId="14" numFmtId="0" xfId="0" applyAlignment="1" applyFill="1" applyFont="1">
      <alignment readingOrder="0" vertical="bottom"/>
    </xf>
    <xf borderId="0" fillId="30" fontId="14" numFmtId="0" xfId="0" applyAlignment="1" applyFont="1">
      <alignment horizontal="center" readingOrder="0" vertical="bottom"/>
    </xf>
    <xf borderId="0" fillId="19" fontId="92" numFmtId="0" xfId="0" applyFont="1"/>
    <xf borderId="0" fillId="31" fontId="21" numFmtId="0" xfId="0" applyAlignment="1" applyFill="1" applyFont="1">
      <alignment readingOrder="0"/>
    </xf>
    <xf borderId="0" fillId="31" fontId="21" numFmtId="0" xfId="0" applyAlignment="1" applyFont="1">
      <alignment horizontal="center" readingOrder="0" vertical="bottom"/>
    </xf>
    <xf borderId="0" fillId="32" fontId="91" numFmtId="0" xfId="0" applyAlignment="1" applyFill="1" applyFont="1">
      <alignment readingOrder="0"/>
    </xf>
    <xf borderId="0" fillId="32" fontId="91" numFmtId="0" xfId="0" applyAlignment="1" applyFont="1">
      <alignment horizontal="center" readingOrder="0"/>
    </xf>
    <xf borderId="0" fillId="19" fontId="13" numFmtId="0" xfId="0" applyAlignment="1" applyFont="1">
      <alignment horizontal="right" readingOrder="0" vertical="bottom"/>
    </xf>
    <xf borderId="0" fillId="19" fontId="91" numFmtId="0" xfId="0" applyAlignment="1" applyFont="1">
      <alignment horizontal="center" readingOrder="0"/>
    </xf>
    <xf borderId="0" fillId="19" fontId="32" numFmtId="0" xfId="0" applyAlignment="1" applyFont="1">
      <alignment horizontal="center" readingOrder="0"/>
    </xf>
    <xf borderId="0" fillId="4" fontId="88" numFmtId="0" xfId="0" applyAlignment="1" applyFont="1">
      <alignment horizontal="right" readingOrder="0"/>
    </xf>
    <xf borderId="0" fillId="19" fontId="13" numFmtId="0" xfId="0" applyAlignment="1" applyFont="1">
      <alignment readingOrder="0" vertical="bottom"/>
    </xf>
    <xf borderId="0" fillId="19" fontId="62" numFmtId="0" xfId="0" applyAlignment="1" applyFont="1">
      <alignment horizontal="center" readingOrder="0"/>
    </xf>
    <xf borderId="0" fillId="19" fontId="97" numFmtId="0" xfId="0" applyAlignment="1" applyFont="1">
      <alignment horizontal="center" readingOrder="0"/>
    </xf>
    <xf borderId="0" fillId="4" fontId="3" numFmtId="0" xfId="0" applyFont="1"/>
    <xf borderId="0" fillId="4" fontId="3" numFmtId="0" xfId="0" applyAlignment="1" applyFont="1">
      <alignment readingOrder="0"/>
    </xf>
    <xf borderId="0" fillId="4" fontId="87" numFmtId="0" xfId="0" applyAlignment="1" applyFont="1">
      <alignment horizontal="center" readingOrder="0"/>
    </xf>
    <xf borderId="0" fillId="4" fontId="91" numFmtId="0" xfId="0" applyAlignment="1" applyFont="1">
      <alignment readingOrder="0"/>
    </xf>
    <xf borderId="0" fillId="4" fontId="64" numFmtId="0" xfId="0" applyAlignment="1" applyFont="1">
      <alignment horizontal="left" readingOrder="0"/>
    </xf>
    <xf borderId="0" fillId="19" fontId="91" numFmtId="0" xfId="0" applyAlignment="1" applyFont="1">
      <alignment readingOrder="0"/>
    </xf>
    <xf borderId="0" fillId="9" fontId="91" numFmtId="0" xfId="0" applyAlignment="1" applyFont="1">
      <alignment readingOrder="0"/>
    </xf>
    <xf borderId="0" fillId="9" fontId="91" numFmtId="0" xfId="0" applyAlignment="1" applyFont="1">
      <alignment horizontal="center" readingOrder="0"/>
    </xf>
    <xf borderId="0" fillId="10" fontId="6" numFmtId="0" xfId="0" applyAlignment="1" applyFont="1">
      <alignment horizontal="center" readingOrder="0"/>
    </xf>
    <xf borderId="0" fillId="19" fontId="3" numFmtId="0" xfId="0" applyAlignment="1" applyFont="1">
      <alignment horizontal="left" readingOrder="0"/>
    </xf>
    <xf borderId="0" fillId="9" fontId="3" numFmtId="0" xfId="0" applyAlignment="1" applyFont="1">
      <alignment readingOrder="0"/>
    </xf>
    <xf borderId="0" fillId="9" fontId="62" numFmtId="0" xfId="0" applyAlignment="1" applyFont="1">
      <alignment readingOrder="0"/>
    </xf>
    <xf borderId="0" fillId="9" fontId="65" numFmtId="0" xfId="0" applyFont="1"/>
    <xf borderId="0" fillId="10" fontId="3" numFmtId="0" xfId="0" applyAlignment="1" applyFont="1">
      <alignment horizontal="center" readingOrder="0"/>
    </xf>
    <xf borderId="55" fillId="9" fontId="3" numFmtId="0" xfId="0" applyAlignment="1" applyBorder="1" applyFont="1">
      <alignment readingOrder="0"/>
    </xf>
    <xf borderId="0" fillId="33" fontId="91" numFmtId="0" xfId="0" applyAlignment="1" applyFill="1" applyFont="1">
      <alignment horizontal="left" readingOrder="0"/>
    </xf>
    <xf borderId="0" fillId="33" fontId="91" numFmtId="0" xfId="0" applyAlignment="1" applyFont="1">
      <alignment horizontal="right" readingOrder="0"/>
    </xf>
    <xf borderId="0" fillId="19" fontId="12" numFmtId="0" xfId="0" applyAlignment="1" applyFont="1">
      <alignment readingOrder="0"/>
    </xf>
    <xf borderId="0" fillId="19" fontId="92" numFmtId="0" xfId="0" applyFont="1"/>
    <xf borderId="0" fillId="33" fontId="5" numFmtId="0" xfId="0" applyAlignment="1" applyFont="1">
      <alignment readingOrder="0"/>
    </xf>
    <xf borderId="0" fillId="33" fontId="5" numFmtId="0" xfId="0" applyFont="1"/>
    <xf borderId="0" fillId="34" fontId="102" numFmtId="0" xfId="0" applyAlignment="1" applyFill="1" applyFont="1">
      <alignment readingOrder="0"/>
    </xf>
    <xf borderId="0" fillId="34" fontId="91" numFmtId="0" xfId="0" applyAlignment="1" applyFont="1">
      <alignment readingOrder="0"/>
    </xf>
    <xf borderId="0" fillId="34" fontId="103" numFmtId="0" xfId="0" applyAlignment="1" applyFont="1">
      <alignment readingOrder="0"/>
    </xf>
    <xf borderId="0" fillId="34" fontId="5" numFmtId="0" xfId="0" applyFont="1"/>
    <xf borderId="0" fillId="34" fontId="3" numFmtId="0" xfId="0" applyAlignment="1" applyFont="1">
      <alignment readingOrder="0"/>
    </xf>
    <xf borderId="0" fillId="35" fontId="6" numFmtId="0" xfId="0" applyAlignment="1" applyFill="1" applyFont="1">
      <alignment readingOrder="0"/>
    </xf>
    <xf borderId="0" fillId="35" fontId="6" numFmtId="0" xfId="0" applyFont="1"/>
    <xf borderId="0" fillId="35" fontId="5" numFmtId="0" xfId="0" applyAlignment="1" applyFont="1">
      <alignment readingOrder="0"/>
    </xf>
    <xf borderId="0" fillId="35" fontId="5" numFmtId="0" xfId="0" applyFont="1"/>
    <xf borderId="0" fillId="36" fontId="91" numFmtId="0" xfId="0" applyAlignment="1" applyFill="1" applyFont="1">
      <alignment horizontal="center" readingOrder="0"/>
    </xf>
    <xf borderId="0" fillId="36" fontId="6" numFmtId="0" xfId="0" applyAlignment="1" applyFont="1">
      <alignment readingOrder="0"/>
    </xf>
    <xf borderId="0" fillId="36" fontId="5" numFmtId="0" xfId="0" applyAlignment="1" applyFont="1">
      <alignment readingOrder="0"/>
    </xf>
    <xf borderId="0" fillId="36" fontId="3" numFmtId="0" xfId="0" applyAlignment="1" applyFont="1">
      <alignment readingOrder="0"/>
    </xf>
    <xf borderId="0" fillId="36" fontId="3" numFmtId="0" xfId="0" applyAlignment="1" applyFont="1">
      <alignment horizontal="center" readingOrder="0"/>
    </xf>
    <xf borderId="0" fillId="36" fontId="5" numFmtId="0" xfId="0" applyFont="1"/>
    <xf borderId="0" fillId="9" fontId="5" numFmtId="0" xfId="0" applyAlignment="1" applyFont="1">
      <alignment readingOrder="0"/>
    </xf>
    <xf borderId="0" fillId="9" fontId="5" numFmtId="0" xfId="0" applyAlignment="1" applyFont="1">
      <alignment horizontal="center" readingOrder="0"/>
    </xf>
    <xf borderId="0" fillId="9" fontId="3" numFmtId="0" xfId="0" applyAlignment="1" applyFont="1">
      <alignment horizontal="center" readingOrder="0"/>
    </xf>
    <xf borderId="0" fillId="4" fontId="65" numFmtId="0" xfId="0" applyFont="1"/>
    <xf borderId="0" fillId="9" fontId="5" numFmtId="0" xfId="0" applyFont="1"/>
    <xf borderId="0" fillId="14" fontId="33" numFmtId="0" xfId="0" applyAlignment="1" applyFont="1">
      <alignment horizontal="center" readingOrder="0"/>
    </xf>
    <xf borderId="0" fillId="19" fontId="33" numFmtId="0" xfId="0" applyAlignment="1" applyFont="1">
      <alignment horizontal="center" readingOrder="0"/>
    </xf>
    <xf borderId="0" fillId="4" fontId="6" numFmtId="0" xfId="0" applyAlignment="1" applyFont="1">
      <alignment readingOrder="0"/>
    </xf>
    <xf borderId="0" fillId="37" fontId="87" numFmtId="0" xfId="0" applyAlignment="1" applyFill="1" applyFont="1">
      <alignment readingOrder="0"/>
    </xf>
    <xf borderId="0" fillId="37" fontId="62" numFmtId="0" xfId="0" applyAlignment="1" applyFont="1">
      <alignment horizontal="center"/>
    </xf>
    <xf borderId="0" fillId="37" fontId="5" numFmtId="0" xfId="0" applyFont="1"/>
    <xf borderId="0" fillId="4" fontId="104" numFmtId="0" xfId="0" applyAlignment="1" applyFont="1">
      <alignment horizontal="center" readingOrder="0"/>
    </xf>
    <xf borderId="0" fillId="4" fontId="3" numFmtId="0" xfId="0" applyAlignment="1" applyFont="1">
      <alignment horizontal="center" readingOrder="0"/>
    </xf>
    <xf borderId="0" fillId="0" fontId="65" numFmtId="0" xfId="0" applyAlignment="1" applyFont="1">
      <alignment horizontal="center"/>
    </xf>
    <xf borderId="0" fillId="0" fontId="5" numFmtId="0" xfId="0" applyAlignment="1" applyFont="1">
      <alignment horizontal="center" readingOrder="0"/>
    </xf>
    <xf borderId="0" fillId="19" fontId="93" numFmtId="0" xfId="0" applyAlignment="1" applyFont="1">
      <alignment horizontal="center" readingOrder="0"/>
    </xf>
    <xf borderId="0" fillId="4" fontId="97" numFmtId="0" xfId="0" applyAlignment="1" applyFont="1">
      <alignment horizontal="center" readingOrder="0"/>
    </xf>
    <xf borderId="0" fillId="4" fontId="62" numFmtId="0" xfId="0" applyAlignment="1" applyFont="1">
      <alignment horizontal="center"/>
    </xf>
    <xf borderId="0" fillId="37" fontId="65" numFmtId="0" xfId="0" applyFont="1"/>
    <xf borderId="0" fillId="37" fontId="87" numFmtId="0" xfId="0" applyAlignment="1" applyFont="1">
      <alignment horizontal="center" readingOrder="0"/>
    </xf>
    <xf borderId="0" fillId="37" fontId="6" numFmtId="0" xfId="0" applyAlignment="1" applyFont="1">
      <alignment readingOrder="0"/>
    </xf>
    <xf borderId="0" fillId="37" fontId="5" numFmtId="0" xfId="0" applyAlignment="1" applyFont="1">
      <alignment readingOrder="0"/>
    </xf>
    <xf borderId="0" fillId="19" fontId="77" numFmtId="0" xfId="0" applyAlignment="1" applyFont="1">
      <alignment readingOrder="0"/>
    </xf>
    <xf borderId="0" fillId="4" fontId="65" numFmtId="0" xfId="0" applyFont="1"/>
    <xf borderId="0" fillId="4" fontId="88" numFmtId="0" xfId="0" applyAlignment="1" applyFont="1">
      <alignment readingOrder="0"/>
    </xf>
    <xf borderId="0" fillId="0" fontId="88" numFmtId="0" xfId="0" applyAlignment="1" applyFont="1">
      <alignment readingOrder="0"/>
    </xf>
    <xf borderId="0" fillId="0" fontId="3" numFmtId="0" xfId="0" applyAlignment="1" applyFont="1">
      <alignment readingOrder="0"/>
    </xf>
    <xf borderId="0" fillId="0" fontId="88" numFmtId="0" xfId="0" applyAlignment="1" applyFont="1">
      <alignment horizontal="left" readingOrder="0"/>
    </xf>
    <xf borderId="0" fillId="4" fontId="88" numFmtId="0" xfId="0" applyAlignment="1" applyFont="1">
      <alignment horizontal="left" readingOrder="0"/>
    </xf>
    <xf borderId="0" fillId="0" fontId="3" numFmtId="0" xfId="0" applyFont="1"/>
    <xf borderId="0" fillId="0" fontId="3" numFmtId="0" xfId="0" applyAlignment="1" applyFont="1">
      <alignment horizontal="left"/>
    </xf>
    <xf borderId="0" fillId="4" fontId="91" numFmtId="0" xfId="0" applyFont="1"/>
    <xf borderId="0" fillId="19" fontId="105" numFmtId="0" xfId="0" applyAlignment="1" applyFont="1">
      <alignment horizontal="center" readingOrder="0"/>
    </xf>
    <xf borderId="0" fillId="19" fontId="105" numFmtId="0" xfId="0" applyAlignment="1" applyFont="1">
      <alignment readingOrder="0"/>
    </xf>
    <xf borderId="0" fillId="14" fontId="105" numFmtId="0" xfId="0" applyAlignment="1" applyFont="1">
      <alignment horizontal="center" readingOrder="0"/>
    </xf>
    <xf borderId="0" fillId="14" fontId="105" numFmtId="0" xfId="0" applyAlignment="1" applyFont="1">
      <alignment readingOrder="0"/>
    </xf>
    <xf borderId="0" fillId="14" fontId="89" numFmtId="0" xfId="0" applyAlignment="1" applyFont="1">
      <alignment readingOrder="0"/>
    </xf>
    <xf borderId="0" fillId="38" fontId="3" numFmtId="0" xfId="0" applyFill="1" applyFont="1"/>
    <xf borderId="0" fillId="38" fontId="87" numFmtId="0" xfId="0" applyAlignment="1" applyFont="1">
      <alignment horizontal="center" readingOrder="0"/>
    </xf>
    <xf borderId="0" fillId="38" fontId="88" numFmtId="0" xfId="0" applyAlignment="1" applyFont="1">
      <alignment horizontal="center" readingOrder="0"/>
    </xf>
    <xf borderId="0" fillId="38" fontId="5" numFmtId="0" xfId="0" applyFont="1"/>
    <xf borderId="0" fillId="37" fontId="106" numFmtId="0" xfId="0" applyFont="1"/>
    <xf borderId="0" fillId="14" fontId="33" numFmtId="0" xfId="0" applyAlignment="1" applyFont="1">
      <alignment horizontal="right" vertical="bottom"/>
    </xf>
    <xf borderId="0" fillId="19" fontId="87" numFmtId="0" xfId="0" applyFont="1"/>
    <xf borderId="0" fillId="14" fontId="5" numFmtId="0" xfId="0" applyFont="1"/>
    <xf borderId="0" fillId="14" fontId="5" numFmtId="0" xfId="0" applyAlignment="1" applyFont="1">
      <alignment readingOrder="0"/>
    </xf>
    <xf borderId="0" fillId="19" fontId="107" numFmtId="0" xfId="0" applyAlignment="1" applyFont="1">
      <alignment readingOrder="0"/>
    </xf>
    <xf borderId="0" fillId="19" fontId="108" numFmtId="0" xfId="0" applyAlignment="1" applyFont="1">
      <alignment readingOrder="0"/>
    </xf>
    <xf borderId="29" fillId="19" fontId="87" numFmtId="0" xfId="0" applyAlignment="1" applyBorder="1" applyFont="1">
      <alignment readingOrder="0"/>
    </xf>
    <xf borderId="29" fillId="19" fontId="88" numFmtId="0" xfId="0" applyAlignment="1" applyBorder="1" applyFont="1">
      <alignment readingOrder="0"/>
    </xf>
    <xf borderId="56" fillId="19" fontId="109" numFmtId="0" xfId="0" applyAlignment="1" applyBorder="1" applyFont="1">
      <alignment horizontal="center" readingOrder="0" vertical="center"/>
    </xf>
    <xf borderId="0" fillId="19" fontId="6" numFmtId="0" xfId="0" applyAlignment="1" applyFont="1">
      <alignment readingOrder="0"/>
    </xf>
    <xf borderId="29" fillId="23" fontId="6" numFmtId="0" xfId="0" applyAlignment="1" applyBorder="1" applyFont="1">
      <alignment readingOrder="0"/>
    </xf>
    <xf borderId="29" fillId="23" fontId="5" numFmtId="0" xfId="0" applyAlignment="1" applyBorder="1" applyFont="1">
      <alignment readingOrder="0"/>
    </xf>
    <xf borderId="57" fillId="0" fontId="5" numFmtId="0" xfId="0" applyBorder="1" applyFont="1"/>
    <xf borderId="0" fillId="31" fontId="6" numFmtId="0" xfId="0" applyAlignment="1" applyFont="1">
      <alignment readingOrder="0"/>
    </xf>
    <xf borderId="0" fillId="31" fontId="5" numFmtId="0" xfId="0" applyAlignment="1" applyFont="1">
      <alignment readingOrder="0"/>
    </xf>
    <xf borderId="0" fillId="39" fontId="6" numFmtId="0" xfId="0" applyAlignment="1" applyFill="1" applyFont="1">
      <alignment readingOrder="0"/>
    </xf>
    <xf borderId="0" fillId="39" fontId="5" numFmtId="0" xfId="0" applyAlignment="1" applyFont="1">
      <alignment readingOrder="0"/>
    </xf>
    <xf borderId="0" fillId="40" fontId="6" numFmtId="0" xfId="0" applyAlignment="1" applyFill="1" applyFont="1">
      <alignment readingOrder="0"/>
    </xf>
    <xf borderId="0" fillId="40" fontId="5" numFmtId="0" xfId="0" applyAlignment="1" applyFont="1">
      <alignment readingOrder="0"/>
    </xf>
    <xf borderId="0" fillId="41" fontId="6" numFmtId="0" xfId="0" applyAlignment="1" applyFill="1" applyFont="1">
      <alignment readingOrder="0"/>
    </xf>
    <xf borderId="0" fillId="41" fontId="5" numFmtId="0" xfId="0" applyAlignment="1" applyFont="1">
      <alignment readingOrder="0"/>
    </xf>
    <xf borderId="0" fillId="42" fontId="6" numFmtId="0" xfId="0" applyAlignment="1" applyFill="1" applyFont="1">
      <alignment readingOrder="0"/>
    </xf>
    <xf borderId="0" fillId="42" fontId="5" numFmtId="0" xfId="0" applyAlignment="1" applyFont="1">
      <alignment readingOrder="0"/>
    </xf>
    <xf borderId="29" fillId="24" fontId="6" numFmtId="0" xfId="0" applyAlignment="1" applyBorder="1" applyFont="1">
      <alignment readingOrder="0"/>
    </xf>
    <xf borderId="0" fillId="24" fontId="92" numFmtId="0" xfId="0" applyFont="1"/>
    <xf borderId="28" fillId="0" fontId="5" numFmtId="0" xfId="0" applyBorder="1" applyFont="1"/>
    <xf borderId="29" fillId="19" fontId="6" numFmtId="0" xfId="0" applyAlignment="1" applyBorder="1" applyFont="1">
      <alignment readingOrder="0"/>
    </xf>
    <xf borderId="29" fillId="19" fontId="3" numFmtId="0" xfId="0" applyAlignment="1" applyBorder="1" applyFont="1">
      <alignment readingOrder="0"/>
    </xf>
    <xf borderId="29" fillId="19" fontId="14" numFmtId="0" xfId="0" applyAlignment="1" applyBorder="1" applyFont="1">
      <alignment horizontal="center" readingOrder="0" vertical="bottom"/>
    </xf>
    <xf borderId="29" fillId="30" fontId="6" numFmtId="0" xfId="0" applyAlignment="1" applyBorder="1" applyFont="1">
      <alignment readingOrder="0"/>
    </xf>
    <xf borderId="29" fillId="30" fontId="5" numFmtId="0" xfId="0" applyBorder="1" applyFont="1"/>
    <xf borderId="29" fillId="30" fontId="14" numFmtId="0" xfId="0" applyAlignment="1" applyBorder="1" applyFont="1">
      <alignment horizontal="center" readingOrder="0" vertical="bottom"/>
    </xf>
    <xf borderId="29" fillId="31" fontId="6" numFmtId="0" xfId="0" applyAlignment="1" applyBorder="1" applyFont="1">
      <alignment readingOrder="0"/>
    </xf>
    <xf borderId="29" fillId="31" fontId="5" numFmtId="0" xfId="0" applyBorder="1" applyFont="1"/>
    <xf borderId="29" fillId="31" fontId="14" numFmtId="0" xfId="0" applyAlignment="1" applyBorder="1" applyFont="1">
      <alignment horizontal="center" readingOrder="0" vertical="bottom"/>
    </xf>
    <xf borderId="0" fillId="41" fontId="91" numFmtId="0" xfId="0" applyAlignment="1" applyFont="1">
      <alignment readingOrder="0"/>
    </xf>
    <xf borderId="29" fillId="20" fontId="91" numFmtId="0" xfId="0" applyAlignment="1" applyBorder="1" applyFont="1">
      <alignment readingOrder="0"/>
    </xf>
    <xf borderId="29" fillId="20" fontId="3" numFmtId="0" xfId="0" applyBorder="1" applyFont="1"/>
    <xf borderId="0" fillId="39" fontId="5" numFmtId="0" xfId="0" applyFont="1"/>
    <xf borderId="29" fillId="19" fontId="3" numFmtId="0" xfId="0" applyBorder="1" applyFont="1"/>
    <xf borderId="0" fillId="29" fontId="6" numFmtId="0" xfId="0" applyAlignment="1" applyFont="1">
      <alignment readingOrder="0"/>
    </xf>
    <xf borderId="0" fillId="29" fontId="5" numFmtId="0" xfId="0" applyAlignment="1" applyFont="1">
      <alignment readingOrder="0"/>
    </xf>
    <xf borderId="0" fillId="41" fontId="21" numFmtId="0" xfId="0" applyAlignment="1" applyFont="1">
      <alignment horizontal="left" readingOrder="0"/>
    </xf>
    <xf borderId="29" fillId="19" fontId="12" numFmtId="0" xfId="0" applyAlignment="1" applyBorder="1" applyFont="1">
      <alignment vertical="bottom"/>
    </xf>
    <xf borderId="29" fillId="19" fontId="12" numFmtId="0" xfId="0" applyAlignment="1" applyBorder="1" applyFont="1">
      <alignment horizontal="right" readingOrder="0" vertical="bottom"/>
    </xf>
    <xf borderId="29" fillId="19" fontId="12" numFmtId="0" xfId="0" applyAlignment="1" applyBorder="1" applyFont="1">
      <alignment horizontal="right" vertical="bottom"/>
    </xf>
    <xf borderId="0" fillId="43" fontId="6" numFmtId="0" xfId="0" applyAlignment="1" applyFill="1" applyFont="1">
      <alignment readingOrder="0"/>
    </xf>
    <xf borderId="0" fillId="43" fontId="5" numFmtId="0" xfId="0" applyAlignment="1" applyFont="1">
      <alignment readingOrder="0"/>
    </xf>
    <xf borderId="0" fillId="19" fontId="12" numFmtId="0" xfId="0" applyAlignment="1" applyFont="1">
      <alignment vertical="bottom"/>
    </xf>
    <xf borderId="0" fillId="29" fontId="0" numFmtId="1" xfId="0" applyAlignment="1" applyFont="1" applyNumberFormat="1">
      <alignment readingOrder="0"/>
    </xf>
    <xf borderId="0" fillId="26" fontId="5" numFmtId="0" xfId="0" applyAlignment="1" applyFont="1">
      <alignment readingOrder="0"/>
    </xf>
    <xf borderId="0" fillId="44" fontId="6" numFmtId="0" xfId="0" applyAlignment="1" applyFill="1" applyFont="1">
      <alignment readingOrder="0"/>
    </xf>
    <xf borderId="0" fillId="44" fontId="5" numFmtId="0" xfId="0" applyAlignment="1" applyFont="1">
      <alignment readingOrder="0"/>
    </xf>
    <xf borderId="0" fillId="4" fontId="101" numFmtId="1" xfId="0" applyFont="1" applyNumberFormat="1"/>
    <xf borderId="54" fillId="21" fontId="41" numFmtId="0" xfId="0" applyBorder="1" applyFont="1"/>
    <xf borderId="54" fillId="21" fontId="65" numFmtId="0" xfId="0" applyBorder="1" applyFont="1"/>
    <xf borderId="54" fillId="21" fontId="5" numFmtId="0" xfId="0" applyAlignment="1" applyBorder="1" applyFont="1">
      <alignment readingOrder="0"/>
    </xf>
    <xf borderId="54" fillId="22" fontId="5" numFmtId="0" xfId="0" applyAlignment="1" applyBorder="1" applyFont="1">
      <alignment readingOrder="0"/>
    </xf>
    <xf borderId="29" fillId="19" fontId="3" numFmtId="10" xfId="0" applyBorder="1" applyFont="1" applyNumberFormat="1"/>
    <xf borderId="56" fillId="19" fontId="3" numFmtId="0" xfId="0" applyAlignment="1" applyBorder="1" applyFont="1">
      <alignment readingOrder="0"/>
    </xf>
    <xf borderId="56" fillId="19" fontId="3" numFmtId="10" xfId="0" applyBorder="1" applyFont="1" applyNumberFormat="1"/>
    <xf borderId="0" fillId="19" fontId="5" numFmtId="165" xfId="0" applyFont="1" applyNumberFormat="1"/>
    <xf borderId="0" fillId="19" fontId="101" numFmtId="1" xfId="0" applyFont="1" applyNumberFormat="1"/>
    <xf borderId="0" fillId="4" fontId="5" numFmtId="165" xfId="0" applyFont="1" applyNumberFormat="1"/>
    <xf borderId="58" fillId="4" fontId="6" numFmtId="0" xfId="0" applyAlignment="1" applyBorder="1" applyFont="1">
      <alignment readingOrder="0"/>
    </xf>
    <xf borderId="0" fillId="11" fontId="110" numFmtId="0" xfId="0" applyAlignment="1" applyFont="1">
      <alignment horizontal="center" readingOrder="0" vertical="center"/>
    </xf>
    <xf borderId="59" fillId="18" fontId="111" numFmtId="0" xfId="0" applyAlignment="1" applyBorder="1" applyFont="1">
      <alignment readingOrder="0"/>
    </xf>
    <xf borderId="60" fillId="18" fontId="112" numFmtId="0" xfId="0" applyBorder="1" applyFont="1"/>
    <xf borderId="0" fillId="4" fontId="5" numFmtId="10" xfId="0" applyFont="1" applyNumberFormat="1"/>
    <xf borderId="0" fillId="45" fontId="91" numFmtId="0" xfId="0" applyAlignment="1" applyFill="1" applyFont="1">
      <alignment readingOrder="0"/>
    </xf>
    <xf borderId="0" fillId="45" fontId="92" numFmtId="0" xfId="0" applyAlignment="1" applyFont="1">
      <alignment readingOrder="0"/>
    </xf>
    <xf borderId="0" fillId="45" fontId="92" numFmtId="0" xfId="0" applyFont="1"/>
    <xf borderId="0" fillId="45" fontId="3" numFmtId="0" xfId="0" applyAlignment="1" applyFont="1">
      <alignment readingOrder="0"/>
    </xf>
    <xf borderId="0" fillId="45" fontId="92" numFmtId="0" xfId="0" applyFont="1"/>
    <xf borderId="61" fillId="19" fontId="12" numFmtId="0" xfId="0" applyAlignment="1" applyBorder="1" applyFont="1">
      <alignment horizontal="right" vertical="bottom"/>
    </xf>
    <xf borderId="0" fillId="0" fontId="5" numFmtId="10" xfId="0" applyFont="1" applyNumberFormat="1"/>
    <xf borderId="0" fillId="18" fontId="93" numFmtId="0" xfId="0" applyAlignment="1" applyFont="1">
      <alignment readingOrder="0"/>
    </xf>
    <xf borderId="0" fillId="18" fontId="113" numFmtId="0" xfId="0" applyFont="1"/>
    <xf borderId="28" fillId="19" fontId="12" numFmtId="0" xfId="0" applyAlignment="1" applyBorder="1" applyFont="1">
      <alignment vertical="bottom"/>
    </xf>
    <xf borderId="27" fillId="19" fontId="12" numFmtId="0" xfId="0" applyAlignment="1" applyBorder="1" applyFont="1">
      <alignment horizontal="right" vertical="bottom"/>
    </xf>
    <xf borderId="0" fillId="18" fontId="114" numFmtId="0" xfId="0" applyAlignment="1" applyFont="1">
      <alignment horizontal="left" readingOrder="0"/>
    </xf>
    <xf borderId="0" fillId="18" fontId="115" numFmtId="0" xfId="0" applyAlignment="1" applyFont="1">
      <alignment readingOrder="0"/>
    </xf>
    <xf borderId="0" fillId="18" fontId="116" numFmtId="0" xfId="0" applyFont="1"/>
    <xf borderId="0" fillId="46" fontId="91" numFmtId="0" xfId="0" applyAlignment="1" applyFill="1" applyFont="1">
      <alignment readingOrder="0"/>
    </xf>
    <xf borderId="0" fillId="46" fontId="92" numFmtId="0" xfId="0" applyFont="1"/>
    <xf borderId="0" fillId="47" fontId="96" numFmtId="0" xfId="0" applyAlignment="1" applyFill="1" applyFont="1">
      <alignment readingOrder="0"/>
    </xf>
    <xf borderId="0" fillId="46" fontId="6" numFmtId="0" xfId="0" applyAlignment="1" applyFont="1">
      <alignment readingOrder="0"/>
    </xf>
    <xf borderId="0" fillId="46" fontId="92" numFmtId="10" xfId="0" applyFont="1" applyNumberFormat="1"/>
    <xf borderId="0" fillId="46" fontId="5" numFmtId="0" xfId="0" applyFont="1"/>
    <xf borderId="0" fillId="19" fontId="117" numFmtId="0" xfId="0" applyAlignment="1" applyFont="1">
      <alignment readingOrder="0"/>
    </xf>
    <xf borderId="0" fillId="19" fontId="44" numFmtId="0" xfId="0" applyFont="1"/>
    <xf borderId="0" fillId="19" fontId="32" numFmtId="0" xfId="0" applyAlignment="1" applyFont="1">
      <alignment readingOrder="0"/>
    </xf>
    <xf borderId="0" fillId="27" fontId="91" numFmtId="0" xfId="0" applyAlignment="1" applyFont="1">
      <alignment readingOrder="0"/>
    </xf>
    <xf borderId="0" fillId="27" fontId="91" numFmtId="0" xfId="0" applyAlignment="1" applyFont="1">
      <alignment horizontal="center" readingOrder="0"/>
    </xf>
    <xf borderId="0" fillId="19" fontId="118" numFmtId="0" xfId="0" applyAlignment="1" applyFont="1">
      <alignment readingOrder="0"/>
    </xf>
    <xf borderId="0" fillId="19" fontId="13" numFmtId="0" xfId="0" applyAlignment="1" applyFont="1">
      <alignment horizontal="right" vertical="bottom"/>
    </xf>
    <xf borderId="0" fillId="48" fontId="21" numFmtId="0" xfId="0" applyAlignment="1" applyFill="1" applyFont="1">
      <alignment readingOrder="0" vertical="bottom"/>
    </xf>
    <xf borderId="0" fillId="48" fontId="21" numFmtId="0" xfId="0" applyAlignment="1" applyFont="1">
      <alignment horizontal="center" readingOrder="0" vertical="bottom"/>
    </xf>
    <xf borderId="0" fillId="49" fontId="6" numFmtId="0" xfId="0" applyAlignment="1" applyFill="1" applyFont="1">
      <alignment readingOrder="0"/>
    </xf>
    <xf borderId="51" fillId="19" fontId="3" numFmtId="0" xfId="0" applyBorder="1" applyFont="1"/>
    <xf borderId="51" fillId="19" fontId="91" numFmtId="0" xfId="0" applyAlignment="1" applyBorder="1" applyFont="1">
      <alignment horizontal="center" readingOrder="0"/>
    </xf>
    <xf borderId="51" fillId="19" fontId="3" numFmtId="0" xfId="0" applyAlignment="1" applyBorder="1" applyFont="1">
      <alignment readingOrder="0"/>
    </xf>
    <xf borderId="25" fillId="19" fontId="91" numFmtId="0" xfId="0" applyAlignment="1" applyBorder="1" applyFont="1">
      <alignment horizontal="center" readingOrder="0"/>
    </xf>
    <xf borderId="62" fillId="19" fontId="107" numFmtId="0" xfId="0" applyAlignment="1" applyBorder="1" applyFont="1">
      <alignment readingOrder="0" vertical="center"/>
    </xf>
    <xf borderId="63" fillId="0" fontId="5" numFmtId="0" xfId="0" applyBorder="1" applyFont="1"/>
    <xf borderId="64" fillId="0" fontId="5" numFmtId="0" xfId="0" applyBorder="1" applyFont="1"/>
    <xf borderId="65" fillId="19" fontId="87" numFmtId="0" xfId="0" applyAlignment="1" applyBorder="1" applyFont="1">
      <alignment horizontal="left" readingOrder="0" shrinkToFit="0" vertical="center" wrapText="1"/>
    </xf>
    <xf borderId="66" fillId="0" fontId="5" numFmtId="0" xfId="0" applyBorder="1" applyFont="1"/>
    <xf borderId="53" fillId="19" fontId="91" numFmtId="0" xfId="0" applyAlignment="1" applyBorder="1" applyFont="1">
      <alignment horizontal="center" readingOrder="0"/>
    </xf>
    <xf borderId="67" fillId="0" fontId="5" numFmtId="0" xfId="0" applyBorder="1" applyFont="1"/>
    <xf borderId="68" fillId="0" fontId="5" numFmtId="0" xfId="0" applyBorder="1" applyFont="1"/>
    <xf borderId="69" fillId="0" fontId="5" numFmtId="0" xfId="0" applyBorder="1" applyFont="1"/>
    <xf borderId="70" fillId="0" fontId="5" numFmtId="0" xfId="0" applyBorder="1" applyFont="1"/>
    <xf borderId="71" fillId="0" fontId="5" numFmtId="0" xfId="0" applyBorder="1" applyFont="1"/>
    <xf borderId="54" fillId="19" fontId="91" numFmtId="0" xfId="0" applyAlignment="1" applyBorder="1" applyFont="1">
      <alignment readingOrder="0"/>
    </xf>
    <xf borderId="54" fillId="19" fontId="91" numFmtId="0" xfId="0" applyAlignment="1" applyBorder="1" applyFont="1">
      <alignment horizontal="center" readingOrder="0"/>
    </xf>
    <xf borderId="54" fillId="19" fontId="3" numFmtId="0" xfId="0" applyAlignment="1" applyBorder="1" applyFont="1">
      <alignment readingOrder="0"/>
    </xf>
    <xf borderId="72" fillId="0" fontId="5" numFmtId="0" xfId="0" applyBorder="1" applyFont="1"/>
    <xf borderId="73" fillId="0" fontId="5" numFmtId="0" xfId="0" applyBorder="1" applyFont="1"/>
    <xf borderId="0" fillId="45" fontId="6" numFmtId="0" xfId="0" applyAlignment="1" applyFont="1">
      <alignment horizontal="center" readingOrder="0"/>
    </xf>
    <xf borderId="0" fillId="45" fontId="91" numFmtId="0" xfId="0" applyAlignment="1" applyFont="1">
      <alignment horizontal="center" readingOrder="0"/>
    </xf>
    <xf borderId="0" fillId="9" fontId="91" numFmtId="0" xfId="0" applyAlignment="1" applyFont="1">
      <alignment horizontal="left" readingOrder="0"/>
    </xf>
    <xf borderId="0" fillId="45" fontId="5" numFmtId="0" xfId="0" applyAlignment="1" applyFont="1">
      <alignment horizontal="center"/>
    </xf>
    <xf borderId="0" fillId="45" fontId="39" numFmtId="0" xfId="0" applyFont="1"/>
    <xf borderId="53" fillId="19" fontId="3" numFmtId="0" xfId="0" applyAlignment="1" applyBorder="1" applyFont="1">
      <alignment readingOrder="0"/>
    </xf>
    <xf borderId="0" fillId="45" fontId="3" numFmtId="0" xfId="0" applyFont="1"/>
    <xf borderId="53" fillId="19" fontId="3" numFmtId="0" xfId="0" applyBorder="1" applyFont="1"/>
    <xf borderId="0" fillId="4" fontId="3" numFmtId="0" xfId="0" applyAlignment="1" applyFont="1">
      <alignment horizontal="right" readingOrder="0"/>
    </xf>
    <xf borderId="0" fillId="0" fontId="92" numFmtId="0" xfId="0" applyFont="1"/>
    <xf borderId="74" fillId="20" fontId="78" numFmtId="0" xfId="0" applyAlignment="1" applyBorder="1" applyFont="1">
      <alignment horizontal="center" readingOrder="0"/>
    </xf>
    <xf borderId="75" fillId="0" fontId="5" numFmtId="0" xfId="0" applyBorder="1" applyFont="1"/>
    <xf borderId="65" fillId="6" fontId="119" numFmtId="0" xfId="0" applyAlignment="1" applyBorder="1" applyFont="1">
      <alignment horizontal="center" readingOrder="0" vertical="center"/>
    </xf>
    <xf borderId="0" fillId="4" fontId="92" numFmtId="0" xfId="0" applyFont="1"/>
    <xf borderId="0" fillId="36" fontId="6" numFmtId="0" xfId="0" applyFont="1"/>
    <xf borderId="53" fillId="9" fontId="5" numFmtId="0" xfId="0" applyAlignment="1" applyBorder="1" applyFont="1">
      <alignment horizontal="center" readingOrder="0"/>
    </xf>
    <xf borderId="53" fillId="19" fontId="87" numFmtId="0" xfId="0" applyAlignment="1" applyBorder="1" applyFont="1">
      <alignment horizontal="center" readingOrder="0"/>
    </xf>
    <xf borderId="53" fillId="9" fontId="3" numFmtId="0" xfId="0" applyAlignment="1" applyBorder="1" applyFont="1">
      <alignment horizontal="center" readingOrder="0"/>
    </xf>
    <xf borderId="53" fillId="9" fontId="5" numFmtId="0" xfId="0" applyBorder="1" applyFont="1"/>
    <xf borderId="0" fillId="19" fontId="12" numFmtId="0" xfId="0" applyAlignment="1" applyFont="1">
      <alignment vertical="bottom"/>
    </xf>
    <xf borderId="0" fillId="19" fontId="12" numFmtId="0" xfId="0" applyAlignment="1" applyFont="1">
      <alignment horizontal="center" vertical="bottom"/>
    </xf>
    <xf borderId="0" fillId="19" fontId="120" numFmtId="0" xfId="0" applyAlignment="1" applyFont="1">
      <alignment readingOrder="0"/>
    </xf>
    <xf borderId="54" fillId="19" fontId="5" numFmtId="0" xfId="0" applyBorder="1" applyFont="1"/>
    <xf borderId="54" fillId="19" fontId="3" numFmtId="0" xfId="0" applyBorder="1" applyFont="1"/>
    <xf borderId="54" fillId="19" fontId="88" numFmtId="0" xfId="0" applyBorder="1" applyFont="1"/>
    <xf borderId="27" fillId="19" fontId="5" numFmtId="0" xfId="0" applyBorder="1" applyFont="1"/>
    <xf borderId="0" fillId="4" fontId="91" numFmtId="0" xfId="0" applyAlignment="1" applyFont="1">
      <alignment horizontal="center"/>
    </xf>
    <xf borderId="0" fillId="4" fontId="121" numFmtId="0" xfId="0" applyAlignment="1" applyFont="1">
      <alignment readingOrder="0"/>
    </xf>
    <xf borderId="0" fillId="19" fontId="104" numFmtId="0" xfId="0" applyAlignment="1" applyFont="1">
      <alignment horizontal="center" readingOrder="0"/>
    </xf>
    <xf borderId="0" fillId="14" fontId="88" numFmtId="0" xfId="0" applyFont="1"/>
    <xf borderId="54" fillId="19" fontId="77" numFmtId="0" xfId="0" applyAlignment="1" applyBorder="1" applyFont="1">
      <alignment readingOrder="0"/>
    </xf>
    <xf borderId="54" fillId="19" fontId="87" numFmtId="0" xfId="0" applyAlignment="1" applyBorder="1" applyFont="1">
      <alignment readingOrder="0"/>
    </xf>
    <xf borderId="54" fillId="19" fontId="88" numFmtId="0" xfId="0" applyAlignment="1" applyBorder="1" applyFont="1">
      <alignment readingOrder="0"/>
    </xf>
    <xf borderId="0" fillId="19" fontId="91" numFmtId="0" xfId="0" applyFont="1"/>
  </cellXfs>
  <cellStyles count="1">
    <cellStyle xfId="0" name="Normal" builtinId="0"/>
  </cellStyles>
  <dxfs count="7">
    <dxf>
      <font/>
      <fill>
        <patternFill patternType="solid">
          <fgColor rgb="FF00CCFF"/>
          <bgColor rgb="FF00CCFF"/>
        </patternFill>
      </fill>
      <border/>
    </dxf>
    <dxf>
      <font/>
      <fill>
        <patternFill patternType="solid">
          <fgColor rgb="FFB7E1CD"/>
          <bgColor rgb="FFB7E1CD"/>
        </patternFill>
      </fill>
      <border/>
    </dxf>
    <dxf>
      <font>
        <color rgb="FFFF8000"/>
      </font>
      <fill>
        <patternFill patternType="none"/>
      </fill>
      <border/>
    </dxf>
    <dxf>
      <font>
        <color rgb="FFC3551B"/>
      </font>
      <fill>
        <patternFill patternType="solid">
          <fgColor rgb="FFFFFFFF"/>
          <bgColor rgb="FFFFFFFF"/>
        </patternFill>
      </fill>
      <border/>
    </dxf>
    <dxf>
      <font>
        <color rgb="FF0000FF"/>
      </font>
      <fill>
        <patternFill patternType="solid">
          <fgColor rgb="FFFFFFFF"/>
          <bgColor rgb="FFFFFFFF"/>
        </patternFill>
      </fill>
      <border/>
    </dxf>
    <dxf>
      <font>
        <color rgb="FFFF8000"/>
      </font>
      <fill>
        <patternFill patternType="solid">
          <fgColor rgb="FFFFFFFF"/>
          <bgColor rgb="FFFFFFFF"/>
        </patternFill>
      </fill>
      <border/>
    </dxf>
    <dxf>
      <font>
        <b/>
        <color rgb="FFFFFFFF"/>
      </font>
      <fill>
        <patternFill patternType="solid">
          <fgColor rgb="FF990000"/>
          <bgColor rgb="FF99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7.xml"/><Relationship Id="rId3"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8.xml"/><Relationship Id="rId3"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0.xml"/><Relationship Id="rId3"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4.43" defaultRowHeight="15.75"/>
  <cols>
    <col customWidth="1" min="1" max="1" width="142.0"/>
    <col customWidth="1" min="7" max="7" width="15.0"/>
  </cols>
  <sheetData>
    <row r="1">
      <c r="A1" s="1" t="s">
        <v>0</v>
      </c>
    </row>
    <row r="2">
      <c r="A2" s="1" t="s">
        <v>1</v>
      </c>
    </row>
    <row r="3">
      <c r="A3" s="2"/>
    </row>
    <row r="4">
      <c r="A4" s="3" t="s">
        <v>2</v>
      </c>
    </row>
    <row r="5">
      <c r="A5" s="4" t="s">
        <v>3</v>
      </c>
    </row>
    <row r="6">
      <c r="A6" s="5" t="s">
        <v>4</v>
      </c>
      <c r="C6" s="6" t="s">
        <v>5</v>
      </c>
      <c r="D6" s="7"/>
      <c r="E6" s="7"/>
      <c r="F6" s="7"/>
      <c r="G6" s="8"/>
    </row>
    <row r="7">
      <c r="A7" s="2"/>
      <c r="C7" s="9"/>
      <c r="D7" s="10"/>
      <c r="E7" s="10"/>
      <c r="F7" s="10"/>
      <c r="G7" s="11"/>
    </row>
    <row r="8">
      <c r="A8" s="2" t="s">
        <v>6</v>
      </c>
      <c r="C8" s="12" t="s">
        <v>7</v>
      </c>
      <c r="D8" s="13"/>
      <c r="E8" s="13"/>
      <c r="F8" s="13"/>
      <c r="G8" s="14"/>
    </row>
    <row r="9">
      <c r="A9" s="2" t="s">
        <v>8</v>
      </c>
      <c r="C9" s="15" t="s">
        <v>9</v>
      </c>
      <c r="D9" s="16"/>
      <c r="E9" s="16"/>
      <c r="F9" s="16"/>
      <c r="G9" s="17"/>
    </row>
    <row r="10">
      <c r="A10" s="2" t="s">
        <v>10</v>
      </c>
      <c r="C10" s="18"/>
      <c r="D10" s="16"/>
      <c r="E10" s="16"/>
      <c r="F10" s="16"/>
      <c r="G10" s="17"/>
    </row>
    <row r="11">
      <c r="A11" s="2" t="s">
        <v>11</v>
      </c>
      <c r="C11" s="15" t="s">
        <v>12</v>
      </c>
      <c r="D11" s="16"/>
      <c r="E11" s="16"/>
      <c r="F11" s="16"/>
      <c r="G11" s="19" t="s">
        <v>13</v>
      </c>
    </row>
    <row r="12">
      <c r="A12" s="2" t="s">
        <v>14</v>
      </c>
      <c r="C12" s="15" t="s">
        <v>15</v>
      </c>
      <c r="D12" s="16"/>
      <c r="E12" s="16"/>
      <c r="F12" s="16"/>
      <c r="G12" s="19" t="s">
        <v>16</v>
      </c>
    </row>
    <row r="13">
      <c r="C13" s="15" t="s">
        <v>17</v>
      </c>
      <c r="D13" s="16"/>
      <c r="E13" s="16"/>
      <c r="F13" s="16"/>
      <c r="G13" s="19" t="s">
        <v>17</v>
      </c>
    </row>
    <row r="14">
      <c r="A14" s="20" t="s">
        <v>18</v>
      </c>
      <c r="C14" s="21" t="s">
        <v>19</v>
      </c>
      <c r="D14" s="22"/>
      <c r="E14" s="22"/>
      <c r="F14" s="22"/>
      <c r="G14" s="23" t="s">
        <v>19</v>
      </c>
    </row>
    <row r="15">
      <c r="A15" s="20" t="s">
        <v>20</v>
      </c>
    </row>
    <row r="16">
      <c r="A16" s="20" t="s">
        <v>21</v>
      </c>
    </row>
    <row r="18">
      <c r="A18" s="24" t="s">
        <v>22</v>
      </c>
    </row>
    <row r="19">
      <c r="A19" s="24" t="s">
        <v>23</v>
      </c>
    </row>
    <row r="20">
      <c r="A20" s="24" t="s">
        <v>24</v>
      </c>
    </row>
    <row r="21">
      <c r="A21" s="24" t="s">
        <v>25</v>
      </c>
    </row>
    <row r="22">
      <c r="A22" s="25"/>
    </row>
    <row r="23">
      <c r="A23" s="25" t="s">
        <v>26</v>
      </c>
    </row>
    <row r="24">
      <c r="A24" s="25" t="s">
        <v>27</v>
      </c>
    </row>
    <row r="25">
      <c r="A25" s="25" t="s">
        <v>28</v>
      </c>
    </row>
    <row r="26">
      <c r="A26" s="25" t="s">
        <v>29</v>
      </c>
    </row>
    <row r="28">
      <c r="A28" s="25" t="s">
        <v>30</v>
      </c>
    </row>
    <row r="30">
      <c r="A30" s="25" t="s">
        <v>31</v>
      </c>
    </row>
    <row r="31">
      <c r="A31" s="25" t="s">
        <v>32</v>
      </c>
    </row>
    <row r="33">
      <c r="A33" s="25"/>
    </row>
  </sheetData>
  <mergeCells count="1">
    <mergeCell ref="C6:G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2" width="8.71"/>
    <col customWidth="1" min="3" max="3" width="10.14"/>
    <col customWidth="1" min="4" max="4" width="106.43"/>
    <col customWidth="1" min="5" max="5" width="13.57"/>
    <col customWidth="1" min="6" max="6" width="25.0"/>
    <col customWidth="1" min="7" max="7" width="87.86"/>
    <col customWidth="1" min="8" max="8" width="86.14"/>
    <col customWidth="1" min="9" max="26" width="8.71"/>
  </cols>
  <sheetData>
    <row r="1" ht="12.75" customHeight="1">
      <c r="C1" s="26"/>
      <c r="D1" s="26"/>
    </row>
    <row r="2" ht="26.25" customHeight="1">
      <c r="A2" s="27"/>
      <c r="B2" s="28" t="s">
        <v>33</v>
      </c>
      <c r="C2" s="29"/>
      <c r="D2" s="30"/>
    </row>
    <row r="3" ht="12.75" customHeight="1">
      <c r="C3" s="26"/>
      <c r="D3" s="27"/>
    </row>
    <row r="4" ht="12.75" customHeight="1">
      <c r="B4" s="31" t="s">
        <v>34</v>
      </c>
      <c r="C4" s="32" t="s">
        <v>35</v>
      </c>
      <c r="D4" s="33" t="s">
        <v>36</v>
      </c>
    </row>
    <row r="5" ht="12.75" customHeight="1">
      <c r="B5" s="34">
        <v>1.0</v>
      </c>
      <c r="C5" s="35">
        <v>43181.0</v>
      </c>
      <c r="D5" s="36" t="s">
        <v>37</v>
      </c>
    </row>
    <row r="6" ht="12.75" customHeight="1">
      <c r="B6" s="37">
        <v>2.0</v>
      </c>
      <c r="C6" s="38">
        <v>43182.0</v>
      </c>
      <c r="D6" s="39" t="s">
        <v>38</v>
      </c>
    </row>
    <row r="7" ht="12.75" customHeight="1">
      <c r="B7" s="40"/>
      <c r="C7" s="40"/>
      <c r="D7" s="41" t="s">
        <v>39</v>
      </c>
      <c r="F7" s="42"/>
      <c r="G7" s="43" t="s">
        <v>40</v>
      </c>
      <c r="H7" s="44"/>
    </row>
    <row r="8" ht="12.75" customHeight="1">
      <c r="B8" s="40"/>
      <c r="C8" s="40"/>
      <c r="D8" s="41" t="s">
        <v>41</v>
      </c>
      <c r="F8" s="45" t="s">
        <v>42</v>
      </c>
      <c r="G8" s="46" t="s">
        <v>43</v>
      </c>
      <c r="H8" s="47" t="s">
        <v>44</v>
      </c>
    </row>
    <row r="9" ht="12.75" customHeight="1">
      <c r="B9" s="40"/>
      <c r="C9" s="40"/>
      <c r="D9" s="41" t="s">
        <v>45</v>
      </c>
      <c r="F9" s="48" t="s">
        <v>46</v>
      </c>
      <c r="G9" s="49" t="s">
        <v>47</v>
      </c>
      <c r="H9" s="50" t="s">
        <v>48</v>
      </c>
    </row>
    <row r="10" ht="12.75" customHeight="1">
      <c r="B10" s="51"/>
      <c r="C10" s="51"/>
      <c r="D10" s="52" t="s">
        <v>49</v>
      </c>
      <c r="F10" s="53" t="s">
        <v>50</v>
      </c>
      <c r="G10" s="54" t="s">
        <v>51</v>
      </c>
      <c r="H10" s="50" t="s">
        <v>52</v>
      </c>
    </row>
    <row r="11" ht="12.75" customHeight="1">
      <c r="B11" s="55">
        <v>3.0</v>
      </c>
      <c r="C11" s="56">
        <v>43183.0</v>
      </c>
      <c r="D11" s="41" t="s">
        <v>53</v>
      </c>
      <c r="F11" s="53" t="s">
        <v>54</v>
      </c>
      <c r="G11" s="54" t="s">
        <v>55</v>
      </c>
      <c r="H11" s="57"/>
    </row>
    <row r="12" ht="12.75" customHeight="1">
      <c r="B12" s="51"/>
      <c r="C12" s="51"/>
      <c r="D12" s="52" t="s">
        <v>56</v>
      </c>
      <c r="F12" s="53" t="s">
        <v>57</v>
      </c>
      <c r="G12" s="54" t="s">
        <v>58</v>
      </c>
      <c r="H12" s="57"/>
    </row>
    <row r="13" ht="12.75" customHeight="1">
      <c r="B13" s="58">
        <v>4.0</v>
      </c>
      <c r="C13" s="56">
        <v>43184.0</v>
      </c>
      <c r="D13" s="59" t="s">
        <v>59</v>
      </c>
      <c r="F13" s="53" t="s">
        <v>60</v>
      </c>
      <c r="G13" s="54" t="s">
        <v>61</v>
      </c>
      <c r="H13" s="50"/>
    </row>
    <row r="14" ht="12.75" customHeight="1">
      <c r="B14" s="40"/>
      <c r="C14" s="40"/>
      <c r="D14" s="59" t="s">
        <v>62</v>
      </c>
      <c r="F14" s="53" t="s">
        <v>63</v>
      </c>
      <c r="G14" s="54" t="s">
        <v>64</v>
      </c>
      <c r="H14" s="57"/>
    </row>
    <row r="15" ht="12.75" customHeight="1">
      <c r="B15" s="40"/>
      <c r="C15" s="40"/>
      <c r="D15" s="59" t="s">
        <v>65</v>
      </c>
      <c r="F15" s="53" t="s">
        <v>66</v>
      </c>
      <c r="G15" s="54" t="s">
        <v>67</v>
      </c>
      <c r="H15" s="57"/>
    </row>
    <row r="16" ht="12.75" customHeight="1">
      <c r="B16" s="51"/>
      <c r="C16" s="51"/>
      <c r="D16" s="60" t="s">
        <v>68</v>
      </c>
      <c r="F16" s="53" t="s">
        <v>69</v>
      </c>
      <c r="G16" s="54" t="s">
        <v>70</v>
      </c>
      <c r="H16" s="57"/>
    </row>
    <row r="17" ht="12.75" customHeight="1">
      <c r="B17" s="61">
        <v>5.0</v>
      </c>
      <c r="C17" s="56">
        <v>43186.0</v>
      </c>
      <c r="D17" s="62" t="s">
        <v>71</v>
      </c>
      <c r="F17" s="53" t="s">
        <v>72</v>
      </c>
      <c r="G17" s="54" t="s">
        <v>73</v>
      </c>
      <c r="H17" s="50"/>
    </row>
    <row r="18" ht="12.75" customHeight="1">
      <c r="B18" s="63"/>
      <c r="C18" s="40"/>
      <c r="D18" s="62" t="s">
        <v>74</v>
      </c>
      <c r="F18" s="53"/>
      <c r="G18" s="54"/>
      <c r="H18" s="50"/>
    </row>
    <row r="19" ht="12.75" customHeight="1">
      <c r="B19" s="9"/>
      <c r="C19" s="51"/>
      <c r="D19" s="64" t="s">
        <v>75</v>
      </c>
      <c r="F19" s="53"/>
      <c r="G19" s="54"/>
      <c r="H19" s="50"/>
    </row>
    <row r="20" ht="13.5" customHeight="1">
      <c r="B20" s="58">
        <v>6.0</v>
      </c>
      <c r="C20" s="56">
        <v>43189.0</v>
      </c>
      <c r="D20" s="65" t="s">
        <v>76</v>
      </c>
      <c r="F20" s="66"/>
      <c r="G20" s="67"/>
      <c r="H20" s="68"/>
    </row>
    <row r="21" ht="12.75" customHeight="1">
      <c r="B21" s="40"/>
      <c r="C21" s="40"/>
      <c r="D21" s="59" t="s">
        <v>77</v>
      </c>
    </row>
    <row r="22" ht="12.75" customHeight="1">
      <c r="B22" s="40"/>
      <c r="C22" s="40"/>
      <c r="D22" s="59" t="s">
        <v>78</v>
      </c>
    </row>
    <row r="23" ht="12.75" customHeight="1">
      <c r="B23" s="40"/>
      <c r="C23" s="40"/>
      <c r="D23" s="41" t="s">
        <v>79</v>
      </c>
    </row>
    <row r="24" ht="12.75" customHeight="1">
      <c r="B24" s="40"/>
      <c r="C24" s="40"/>
      <c r="D24" s="41" t="s">
        <v>80</v>
      </c>
    </row>
    <row r="25" ht="12.75" customHeight="1">
      <c r="B25" s="40"/>
      <c r="C25" s="40"/>
      <c r="D25" s="41" t="s">
        <v>81</v>
      </c>
    </row>
    <row r="26" ht="12.75" customHeight="1">
      <c r="B26" s="51"/>
      <c r="C26" s="51"/>
      <c r="D26" s="52" t="s">
        <v>82</v>
      </c>
    </row>
    <row r="27" ht="12.75" customHeight="1">
      <c r="B27" s="58">
        <v>7.0</v>
      </c>
      <c r="C27" s="56">
        <v>43190.0</v>
      </c>
      <c r="D27" s="65" t="s">
        <v>83</v>
      </c>
    </row>
    <row r="28" ht="12.75" customHeight="1">
      <c r="B28" s="51"/>
      <c r="C28" s="51"/>
      <c r="D28" s="60" t="s">
        <v>84</v>
      </c>
    </row>
    <row r="29" ht="12.75" customHeight="1">
      <c r="B29" s="69">
        <v>8.0</v>
      </c>
      <c r="C29" s="70">
        <v>43193.0</v>
      </c>
      <c r="D29" s="71" t="s">
        <v>85</v>
      </c>
    </row>
    <row r="30" ht="12.75" customHeight="1">
      <c r="B30" s="69">
        <v>9.0</v>
      </c>
      <c r="C30" s="70">
        <v>43230.0</v>
      </c>
      <c r="D30" s="71" t="s">
        <v>86</v>
      </c>
    </row>
    <row r="31" ht="12.75" customHeight="1">
      <c r="B31" s="58">
        <v>10.0</v>
      </c>
      <c r="C31" s="72">
        <v>43231.0</v>
      </c>
      <c r="D31" s="65" t="s">
        <v>87</v>
      </c>
    </row>
    <row r="32" ht="12.75" customHeight="1">
      <c r="B32" s="61">
        <v>11.0</v>
      </c>
      <c r="C32" s="72">
        <v>43234.0</v>
      </c>
      <c r="D32" s="73" t="s">
        <v>88</v>
      </c>
    </row>
    <row r="33" ht="12.75" customHeight="1">
      <c r="B33" s="63"/>
      <c r="C33" s="40"/>
      <c r="D33" s="62" t="s">
        <v>89</v>
      </c>
    </row>
    <row r="34" ht="12.75" customHeight="1">
      <c r="B34" s="9"/>
      <c r="C34" s="51"/>
      <c r="D34" s="62" t="s">
        <v>90</v>
      </c>
    </row>
    <row r="35" ht="18.0" customHeight="1">
      <c r="B35" s="69">
        <v>12.0</v>
      </c>
      <c r="C35" s="70">
        <v>43240.0</v>
      </c>
      <c r="D35" s="71" t="s">
        <v>91</v>
      </c>
    </row>
    <row r="36" ht="12.75" customHeight="1">
      <c r="B36" s="61">
        <v>13.0</v>
      </c>
      <c r="C36" s="72">
        <v>43242.0</v>
      </c>
      <c r="D36" s="65" t="s">
        <v>92</v>
      </c>
    </row>
    <row r="37" ht="12.75" customHeight="1">
      <c r="B37" s="63"/>
      <c r="C37" s="40"/>
      <c r="D37" s="59" t="s">
        <v>93</v>
      </c>
    </row>
    <row r="38" ht="12.75" customHeight="1">
      <c r="B38" s="9"/>
      <c r="C38" s="51"/>
      <c r="D38" s="60" t="s">
        <v>94</v>
      </c>
    </row>
    <row r="39" ht="14.25" customHeight="1">
      <c r="B39" s="69">
        <v>14.0</v>
      </c>
      <c r="C39" s="70">
        <v>43250.0</v>
      </c>
      <c r="D39" s="71" t="s">
        <v>95</v>
      </c>
    </row>
    <row r="40" ht="12.75" customHeight="1">
      <c r="B40" s="69">
        <v>15.0</v>
      </c>
      <c r="C40" s="70">
        <v>43251.0</v>
      </c>
      <c r="D40" s="71" t="s">
        <v>96</v>
      </c>
    </row>
    <row r="41" ht="12.75" customHeight="1">
      <c r="B41" s="69">
        <v>16.0</v>
      </c>
      <c r="C41" s="70">
        <v>43253.0</v>
      </c>
      <c r="D41" s="71" t="s">
        <v>97</v>
      </c>
    </row>
    <row r="42" ht="12.75" customHeight="1">
      <c r="B42" s="58">
        <v>17.0</v>
      </c>
      <c r="C42" s="72">
        <v>43256.0</v>
      </c>
      <c r="D42" s="65" t="s">
        <v>98</v>
      </c>
    </row>
    <row r="43" ht="12.75" customHeight="1">
      <c r="B43" s="51"/>
      <c r="C43" s="51"/>
      <c r="D43" s="60" t="s">
        <v>99</v>
      </c>
    </row>
    <row r="44" ht="12.75" customHeight="1">
      <c r="B44" s="58">
        <v>18.0</v>
      </c>
      <c r="C44" s="72">
        <v>43257.0</v>
      </c>
      <c r="D44" s="65" t="s">
        <v>100</v>
      </c>
    </row>
    <row r="45" ht="12.75" customHeight="1">
      <c r="B45" s="40"/>
      <c r="C45" s="40"/>
      <c r="D45" s="59" t="s">
        <v>101</v>
      </c>
    </row>
    <row r="46" ht="12.75" customHeight="1">
      <c r="B46" s="51"/>
      <c r="C46" s="51"/>
      <c r="D46" s="60" t="s">
        <v>102</v>
      </c>
    </row>
    <row r="47" ht="12.75" customHeight="1">
      <c r="B47" s="69">
        <v>19.0</v>
      </c>
      <c r="C47" s="70">
        <v>43257.0</v>
      </c>
      <c r="D47" s="71" t="s">
        <v>103</v>
      </c>
    </row>
    <row r="48" ht="12.75" customHeight="1">
      <c r="B48" s="69">
        <v>20.0</v>
      </c>
      <c r="C48" s="70">
        <v>43258.0</v>
      </c>
      <c r="D48" s="71" t="s">
        <v>104</v>
      </c>
    </row>
    <row r="49" ht="12.75" customHeight="1">
      <c r="B49" s="69">
        <v>21.0</v>
      </c>
      <c r="C49" s="70">
        <v>43259.0</v>
      </c>
      <c r="D49" s="65" t="s">
        <v>105</v>
      </c>
    </row>
    <row r="50" ht="12.75" customHeight="1">
      <c r="B50" s="58">
        <v>22.0</v>
      </c>
      <c r="C50" s="74">
        <v>43267.0</v>
      </c>
      <c r="D50" s="65" t="s">
        <v>106</v>
      </c>
    </row>
    <row r="51" ht="12.75" customHeight="1">
      <c r="B51" s="40"/>
      <c r="C51" s="63"/>
      <c r="D51" s="59" t="s">
        <v>107</v>
      </c>
    </row>
    <row r="52" ht="12.75" customHeight="1">
      <c r="B52" s="40"/>
      <c r="C52" s="63"/>
      <c r="D52" s="59" t="s">
        <v>108</v>
      </c>
    </row>
    <row r="53" ht="12.75" customHeight="1">
      <c r="B53" s="40"/>
      <c r="C53" s="63"/>
      <c r="D53" s="59" t="s">
        <v>109</v>
      </c>
    </row>
    <row r="54" ht="12.75" customHeight="1">
      <c r="B54" s="40"/>
      <c r="C54" s="63"/>
      <c r="D54" s="59" t="s">
        <v>110</v>
      </c>
    </row>
    <row r="55" ht="12.75" customHeight="1">
      <c r="B55" s="40"/>
      <c r="C55" s="63"/>
      <c r="D55" s="59" t="s">
        <v>111</v>
      </c>
    </row>
    <row r="56" ht="12.75" customHeight="1">
      <c r="B56" s="40"/>
      <c r="C56" s="63"/>
      <c r="D56" s="59" t="s">
        <v>112</v>
      </c>
    </row>
    <row r="57" ht="12.75" customHeight="1">
      <c r="B57" s="40"/>
      <c r="C57" s="63"/>
      <c r="D57" s="59" t="s">
        <v>113</v>
      </c>
    </row>
    <row r="58" ht="12.75" customHeight="1">
      <c r="B58" s="40"/>
      <c r="C58" s="63"/>
      <c r="D58" s="59" t="s">
        <v>114</v>
      </c>
    </row>
    <row r="59" ht="12.75" customHeight="1">
      <c r="B59" s="51"/>
      <c r="C59" s="9"/>
      <c r="D59" s="60" t="s">
        <v>115</v>
      </c>
    </row>
    <row r="60" ht="12.75" customHeight="1">
      <c r="B60" s="69">
        <v>23.0</v>
      </c>
      <c r="C60" s="70">
        <v>43274.0</v>
      </c>
      <c r="D60" s="71" t="s">
        <v>116</v>
      </c>
    </row>
    <row r="61" ht="12.75" customHeight="1">
      <c r="B61" s="69">
        <v>24.0</v>
      </c>
      <c r="C61" s="70">
        <v>43278.0</v>
      </c>
      <c r="D61" s="71" t="s">
        <v>117</v>
      </c>
    </row>
    <row r="62" ht="12.75" customHeight="1">
      <c r="B62" s="69">
        <v>25.0</v>
      </c>
      <c r="C62" s="70">
        <v>43279.0</v>
      </c>
      <c r="D62" s="71" t="s">
        <v>118</v>
      </c>
    </row>
    <row r="63" ht="12.75" customHeight="1">
      <c r="B63" s="69">
        <v>26.0</v>
      </c>
      <c r="C63" s="70">
        <v>43280.0</v>
      </c>
      <c r="D63" s="71" t="s">
        <v>119</v>
      </c>
    </row>
    <row r="64" ht="12.75" customHeight="1">
      <c r="B64" s="69">
        <v>27.0</v>
      </c>
      <c r="C64" s="70">
        <v>43282.0</v>
      </c>
      <c r="D64" s="71" t="s">
        <v>120</v>
      </c>
    </row>
    <row r="65" ht="12.75" customHeight="1">
      <c r="B65" s="69">
        <v>28.0</v>
      </c>
      <c r="C65" s="70">
        <v>43283.0</v>
      </c>
      <c r="D65" s="65" t="s">
        <v>121</v>
      </c>
    </row>
    <row r="66" ht="12.75" customHeight="1">
      <c r="B66" s="58">
        <v>29.0</v>
      </c>
      <c r="C66" s="74">
        <v>43288.0</v>
      </c>
      <c r="D66" s="65" t="s">
        <v>122</v>
      </c>
    </row>
    <row r="67" ht="12.75" customHeight="1">
      <c r="B67" s="51"/>
      <c r="C67" s="9"/>
      <c r="D67" s="59" t="s">
        <v>123</v>
      </c>
    </row>
    <row r="68" ht="12.75" customHeight="1">
      <c r="B68" s="69">
        <v>30.0</v>
      </c>
      <c r="C68" s="75">
        <v>43291.0</v>
      </c>
      <c r="D68" s="71" t="s">
        <v>124</v>
      </c>
    </row>
    <row r="69" ht="12.75" customHeight="1">
      <c r="B69" s="69">
        <v>31.0</v>
      </c>
      <c r="C69" s="75">
        <v>43296.0</v>
      </c>
      <c r="D69" s="65" t="s">
        <v>125</v>
      </c>
    </row>
    <row r="70" ht="12.75" customHeight="1">
      <c r="B70" s="58">
        <v>32.0</v>
      </c>
      <c r="C70" s="74">
        <v>43304.0</v>
      </c>
      <c r="D70" s="65" t="s">
        <v>126</v>
      </c>
      <c r="E70" s="76" t="s">
        <v>127</v>
      </c>
    </row>
    <row r="71" ht="12.75" customHeight="1">
      <c r="B71" s="40"/>
      <c r="C71" s="63"/>
      <c r="D71" s="59" t="s">
        <v>128</v>
      </c>
      <c r="E71" s="77" t="s">
        <v>129</v>
      </c>
    </row>
    <row r="72" ht="12.75" customHeight="1">
      <c r="B72" s="51"/>
      <c r="C72" s="9"/>
      <c r="D72" s="60" t="s">
        <v>130</v>
      </c>
      <c r="E72" s="77" t="s">
        <v>131</v>
      </c>
    </row>
    <row r="73" ht="12.75" customHeight="1">
      <c r="B73" s="58">
        <v>33.0</v>
      </c>
      <c r="C73" s="74">
        <v>43313.0</v>
      </c>
      <c r="D73" s="65" t="s">
        <v>132</v>
      </c>
      <c r="E73" s="77" t="s">
        <v>133</v>
      </c>
    </row>
    <row r="74" ht="12.75" customHeight="1">
      <c r="B74" s="40"/>
      <c r="C74" s="63"/>
      <c r="D74" s="59" t="s">
        <v>134</v>
      </c>
      <c r="E74" s="77" t="s">
        <v>135</v>
      </c>
    </row>
    <row r="75" ht="12.75" customHeight="1">
      <c r="B75" s="51"/>
      <c r="C75" s="9"/>
      <c r="D75" s="60" t="s">
        <v>136</v>
      </c>
      <c r="E75" s="77" t="s">
        <v>137</v>
      </c>
    </row>
    <row r="76" ht="12.75" customHeight="1">
      <c r="B76" s="58">
        <v>34.0</v>
      </c>
      <c r="C76" s="72">
        <v>43314.0</v>
      </c>
      <c r="D76" s="65" t="s">
        <v>138</v>
      </c>
      <c r="E76" s="77" t="s">
        <v>139</v>
      </c>
    </row>
    <row r="77" ht="12.75" customHeight="1">
      <c r="B77" s="40"/>
      <c r="C77" s="40"/>
      <c r="D77" s="59" t="s">
        <v>140</v>
      </c>
      <c r="E77" s="77" t="s">
        <v>141</v>
      </c>
    </row>
    <row r="78" ht="12.75" customHeight="1">
      <c r="B78" s="51"/>
      <c r="C78" s="51"/>
      <c r="D78" s="60" t="s">
        <v>142</v>
      </c>
      <c r="E78" s="78" t="s">
        <v>143</v>
      </c>
      <c r="F78" s="79" t="s">
        <v>144</v>
      </c>
    </row>
    <row r="79" ht="12.75" customHeight="1">
      <c r="B79" s="69">
        <v>35.0</v>
      </c>
      <c r="C79" s="75">
        <v>43319.0</v>
      </c>
      <c r="D79" s="71" t="s">
        <v>145</v>
      </c>
    </row>
    <row r="80" ht="12.75" customHeight="1">
      <c r="B80" s="69">
        <v>36.0</v>
      </c>
      <c r="C80" s="75">
        <v>43326.0</v>
      </c>
      <c r="D80" s="71" t="s">
        <v>146</v>
      </c>
    </row>
    <row r="81" ht="12.75" customHeight="1">
      <c r="B81" s="69">
        <v>37.0</v>
      </c>
      <c r="C81" s="75">
        <v>43354.0</v>
      </c>
      <c r="D81" s="80" t="s">
        <v>147</v>
      </c>
    </row>
    <row r="82" ht="12.75" customHeight="1">
      <c r="B82" s="69">
        <v>38.0</v>
      </c>
      <c r="C82" s="75">
        <v>43453.0</v>
      </c>
      <c r="D82" s="80" t="s">
        <v>148</v>
      </c>
    </row>
    <row r="83" ht="12.75" customHeight="1">
      <c r="B83" s="81"/>
      <c r="C83" s="82"/>
      <c r="D83" s="83"/>
    </row>
    <row r="84" ht="12.75" customHeight="1">
      <c r="B84" s="81"/>
      <c r="C84" s="82"/>
      <c r="D84" s="83"/>
    </row>
    <row r="85" ht="12.75" customHeight="1">
      <c r="B85" s="81"/>
      <c r="C85" s="82"/>
      <c r="D85" s="83"/>
    </row>
    <row r="86" ht="12.75" customHeight="1">
      <c r="B86" s="81"/>
      <c r="C86" s="82"/>
      <c r="D86" s="83"/>
    </row>
    <row r="87" ht="12.75" customHeight="1">
      <c r="B87" s="81"/>
      <c r="C87" s="82"/>
      <c r="D87" s="83"/>
    </row>
    <row r="88" ht="12.75" customHeight="1">
      <c r="B88" s="81"/>
      <c r="C88" s="82"/>
      <c r="D88" s="83"/>
    </row>
    <row r="89" ht="12.75" customHeight="1">
      <c r="B89" s="81"/>
      <c r="C89" s="82"/>
      <c r="D89" s="83"/>
    </row>
    <row r="90" ht="12.75" customHeight="1">
      <c r="B90" s="81"/>
      <c r="C90" s="82"/>
      <c r="D90" s="83"/>
    </row>
    <row r="91" ht="12.75" customHeight="1">
      <c r="B91" s="81"/>
      <c r="C91" s="82"/>
      <c r="D91" s="83"/>
    </row>
    <row r="92" ht="12.75" customHeight="1">
      <c r="B92" s="81"/>
      <c r="C92" s="82"/>
      <c r="D92" s="83"/>
    </row>
    <row r="93" ht="12.75" customHeight="1">
      <c r="B93" s="81"/>
      <c r="C93" s="82"/>
      <c r="D93" s="83"/>
    </row>
    <row r="94" ht="12.75" customHeight="1">
      <c r="B94" s="81"/>
      <c r="C94" s="82"/>
      <c r="D94" s="83"/>
    </row>
    <row r="95" ht="12.75" customHeight="1">
      <c r="B95" s="81"/>
      <c r="C95" s="82"/>
      <c r="D95" s="83"/>
    </row>
    <row r="96" ht="12.75" customHeight="1">
      <c r="B96" s="81"/>
      <c r="C96" s="82"/>
      <c r="D96" s="83"/>
    </row>
    <row r="97" ht="12.75" customHeight="1">
      <c r="B97" s="81"/>
      <c r="C97" s="82"/>
      <c r="D97" s="83"/>
    </row>
    <row r="98" ht="12.75" customHeight="1">
      <c r="B98" s="81"/>
      <c r="C98" s="82"/>
      <c r="D98" s="83"/>
    </row>
    <row r="99" ht="12.75" customHeight="1">
      <c r="B99" s="81"/>
      <c r="C99" s="82"/>
      <c r="D99" s="83"/>
    </row>
    <row r="100" ht="12.75" customHeight="1">
      <c r="B100" s="81"/>
      <c r="C100" s="82"/>
      <c r="D100" s="83"/>
    </row>
    <row r="101" ht="12.75" customHeight="1">
      <c r="B101" s="81"/>
      <c r="C101" s="82"/>
      <c r="D101" s="83"/>
    </row>
    <row r="102" ht="12.75" customHeight="1">
      <c r="B102" s="81"/>
      <c r="C102" s="82"/>
      <c r="D102" s="83"/>
    </row>
    <row r="103" ht="12.75" customHeight="1">
      <c r="B103" s="81"/>
      <c r="C103" s="82"/>
      <c r="D103" s="83"/>
    </row>
    <row r="104" ht="24.75" customHeight="1">
      <c r="C104" s="82"/>
      <c r="D104" s="83"/>
    </row>
    <row r="105" ht="12.75" customHeight="1">
      <c r="C105" s="82"/>
      <c r="D105" s="83"/>
    </row>
    <row r="106" ht="12.75" customHeight="1">
      <c r="C106" s="82"/>
      <c r="D106" s="83"/>
    </row>
    <row r="107" ht="12.75" customHeight="1">
      <c r="C107" s="82"/>
      <c r="D107" s="83"/>
    </row>
    <row r="108" ht="12.75" customHeight="1">
      <c r="C108" s="82"/>
      <c r="D108" s="83"/>
    </row>
    <row r="109" ht="12.75" customHeight="1">
      <c r="C109" s="82"/>
      <c r="D109" s="83"/>
    </row>
    <row r="110" ht="12.75" customHeight="1">
      <c r="C110" s="82"/>
      <c r="D110" s="83"/>
    </row>
    <row r="111" ht="12.75" customHeight="1">
      <c r="C111" s="82"/>
      <c r="D111" s="83"/>
    </row>
    <row r="112" ht="12.75" customHeight="1">
      <c r="C112" s="82"/>
      <c r="D112" s="83"/>
    </row>
    <row r="113" ht="12.75" customHeight="1">
      <c r="C113" s="82"/>
      <c r="D113" s="83"/>
    </row>
    <row r="114" ht="12.75" customHeight="1">
      <c r="C114" s="82"/>
      <c r="D114" s="83"/>
    </row>
    <row r="115" ht="12.75" customHeight="1">
      <c r="C115" s="82"/>
      <c r="D115" s="83"/>
    </row>
    <row r="116" ht="12.75" customHeight="1">
      <c r="C116" s="82"/>
      <c r="D116" s="83"/>
    </row>
    <row r="117" ht="12.75" customHeight="1">
      <c r="C117" s="82"/>
      <c r="D117" s="83"/>
    </row>
    <row r="118" ht="12.75" customHeight="1">
      <c r="C118" s="82"/>
      <c r="D118" s="83"/>
    </row>
    <row r="119" ht="12.75" customHeight="1">
      <c r="C119" s="82"/>
      <c r="D119" s="83"/>
    </row>
    <row r="120" ht="12.75" customHeight="1">
      <c r="C120" s="82"/>
      <c r="D120" s="83"/>
    </row>
    <row r="121" ht="12.75" customHeight="1">
      <c r="C121" s="82"/>
      <c r="D121" s="83"/>
    </row>
    <row r="122" ht="12.75" customHeight="1">
      <c r="C122" s="82"/>
      <c r="D122" s="83"/>
    </row>
    <row r="123" ht="12.75" customHeight="1">
      <c r="C123" s="82"/>
      <c r="D123" s="83"/>
    </row>
    <row r="124" ht="12.75" customHeight="1">
      <c r="C124" s="82"/>
      <c r="D124" s="83"/>
    </row>
    <row r="125" ht="12.75" customHeight="1">
      <c r="C125" s="82"/>
      <c r="D125" s="83"/>
    </row>
    <row r="126" ht="12.75" customHeight="1">
      <c r="C126" s="82"/>
      <c r="D126" s="83"/>
    </row>
    <row r="127" ht="12.75" customHeight="1">
      <c r="C127" s="82"/>
      <c r="D127" s="83"/>
    </row>
    <row r="128" ht="12.75" customHeight="1">
      <c r="C128" s="82"/>
      <c r="D128" s="83"/>
    </row>
    <row r="129" ht="12.75" customHeight="1">
      <c r="C129" s="82"/>
      <c r="D129" s="83"/>
    </row>
    <row r="130" ht="12.75" customHeight="1">
      <c r="C130" s="82"/>
      <c r="D130" s="83"/>
    </row>
    <row r="131" ht="12.75" customHeight="1">
      <c r="C131" s="82"/>
      <c r="D131" s="83"/>
    </row>
    <row r="132" ht="12.75" customHeight="1">
      <c r="C132" s="82"/>
      <c r="D132" s="83"/>
    </row>
    <row r="133" ht="12.75" customHeight="1">
      <c r="C133" s="82"/>
      <c r="D133" s="83"/>
    </row>
    <row r="134" ht="12.75" customHeight="1">
      <c r="C134" s="82"/>
      <c r="D134" s="83"/>
    </row>
    <row r="135" ht="12.75" customHeight="1">
      <c r="C135" s="82"/>
      <c r="D135" s="83"/>
    </row>
    <row r="136" ht="12.75" customHeight="1">
      <c r="C136" s="82"/>
      <c r="D136" s="83"/>
    </row>
    <row r="137" ht="12.75" customHeight="1">
      <c r="C137" s="82"/>
      <c r="D137" s="83"/>
    </row>
    <row r="138" ht="12.75" customHeight="1">
      <c r="C138" s="82"/>
      <c r="D138" s="83"/>
    </row>
    <row r="139" ht="12.75" customHeight="1">
      <c r="C139" s="82"/>
      <c r="D139" s="83"/>
    </row>
    <row r="140" ht="12.75" customHeight="1">
      <c r="C140" s="82"/>
      <c r="D140" s="83"/>
    </row>
    <row r="141" ht="12.75" customHeight="1">
      <c r="C141" s="82"/>
      <c r="D141" s="83"/>
    </row>
    <row r="142" ht="12.75" customHeight="1">
      <c r="C142" s="82"/>
      <c r="D142" s="83"/>
    </row>
    <row r="143" ht="12.75" customHeight="1">
      <c r="C143" s="82"/>
      <c r="D143" s="83"/>
    </row>
    <row r="144" ht="12.75" customHeight="1">
      <c r="C144" s="82"/>
      <c r="D144" s="83"/>
    </row>
    <row r="145" ht="12.75" customHeight="1">
      <c r="C145" s="82"/>
      <c r="D145" s="83"/>
    </row>
    <row r="146" ht="12.75" customHeight="1">
      <c r="C146" s="82"/>
      <c r="D146" s="83"/>
    </row>
    <row r="147" ht="12.75" customHeight="1">
      <c r="C147" s="82"/>
      <c r="D147" s="83"/>
    </row>
    <row r="148" ht="12.75" customHeight="1">
      <c r="C148" s="82"/>
      <c r="D148" s="83"/>
    </row>
    <row r="149" ht="12.75" customHeight="1">
      <c r="C149" s="82"/>
      <c r="D149" s="83"/>
    </row>
    <row r="150" ht="12.75" customHeight="1">
      <c r="C150" s="82"/>
      <c r="D150" s="83"/>
    </row>
    <row r="151" ht="12.75" customHeight="1">
      <c r="C151" s="82"/>
      <c r="D151" s="83"/>
    </row>
    <row r="152" ht="12.75" customHeight="1">
      <c r="C152" s="82"/>
      <c r="D152" s="83"/>
    </row>
    <row r="153" ht="12.75" customHeight="1">
      <c r="C153" s="82"/>
      <c r="D153" s="83"/>
    </row>
    <row r="154" ht="12.75" customHeight="1">
      <c r="C154" s="82"/>
      <c r="D154" s="83"/>
    </row>
    <row r="155" ht="12.75" customHeight="1">
      <c r="C155" s="82"/>
      <c r="D155" s="83"/>
    </row>
    <row r="156" ht="12.75" customHeight="1">
      <c r="C156" s="82"/>
      <c r="D156" s="83"/>
    </row>
    <row r="157" ht="12.75" customHeight="1">
      <c r="C157" s="82"/>
      <c r="D157" s="83"/>
    </row>
    <row r="158" ht="12.75" customHeight="1">
      <c r="C158" s="82"/>
      <c r="D158" s="83"/>
    </row>
    <row r="159" ht="12.75" customHeight="1">
      <c r="C159" s="82"/>
      <c r="D159" s="83"/>
    </row>
    <row r="160" ht="12.75" customHeight="1">
      <c r="C160" s="82"/>
      <c r="D160" s="83"/>
    </row>
    <row r="161" ht="12.75" customHeight="1">
      <c r="C161" s="82"/>
      <c r="D161" s="83"/>
    </row>
    <row r="162" ht="12.75" customHeight="1">
      <c r="C162" s="82"/>
      <c r="D162" s="83"/>
    </row>
    <row r="163" ht="12.75" customHeight="1">
      <c r="C163" s="82"/>
      <c r="D163" s="83"/>
    </row>
    <row r="164" ht="12.75" customHeight="1">
      <c r="C164" s="82"/>
      <c r="D164" s="83"/>
    </row>
    <row r="165" ht="12.75" customHeight="1">
      <c r="C165" s="82"/>
      <c r="D165" s="83"/>
    </row>
    <row r="166" ht="12.75" customHeight="1">
      <c r="C166" s="82"/>
      <c r="D166" s="83"/>
    </row>
    <row r="167" ht="12.75" customHeight="1">
      <c r="C167" s="82"/>
      <c r="D167" s="83"/>
    </row>
    <row r="168" ht="12.75" customHeight="1">
      <c r="C168" s="82"/>
      <c r="D168" s="83"/>
    </row>
    <row r="169" ht="12.75" customHeight="1">
      <c r="C169" s="82"/>
      <c r="D169" s="83"/>
    </row>
    <row r="170" ht="12.75" customHeight="1">
      <c r="C170" s="82"/>
      <c r="D170" s="83"/>
    </row>
    <row r="171" ht="12.75" customHeight="1">
      <c r="C171" s="82"/>
      <c r="D171" s="83"/>
    </row>
    <row r="172" ht="12.75" customHeight="1">
      <c r="C172" s="82"/>
      <c r="D172" s="83"/>
    </row>
    <row r="173" ht="12.75" customHeight="1">
      <c r="C173" s="82"/>
      <c r="D173" s="83"/>
    </row>
    <row r="174" ht="12.75" customHeight="1">
      <c r="C174" s="82"/>
      <c r="D174" s="83"/>
    </row>
    <row r="175" ht="12.75" customHeight="1">
      <c r="C175" s="82"/>
      <c r="D175" s="83"/>
    </row>
    <row r="176" ht="12.75" customHeight="1">
      <c r="C176" s="82"/>
      <c r="D176" s="83"/>
    </row>
    <row r="177" ht="12.75" customHeight="1">
      <c r="C177" s="82"/>
      <c r="D177" s="83"/>
    </row>
    <row r="178" ht="13.5" customHeight="1">
      <c r="C178" s="82"/>
      <c r="D178" s="83"/>
    </row>
    <row r="179" ht="12.75" customHeight="1">
      <c r="C179" s="82"/>
      <c r="D179" s="83"/>
    </row>
    <row r="180" ht="12.75" customHeight="1">
      <c r="C180" s="82"/>
      <c r="D180" s="83"/>
    </row>
    <row r="181" ht="12.75" customHeight="1">
      <c r="C181" s="82"/>
      <c r="D181" s="83"/>
    </row>
    <row r="182" ht="12.75" customHeight="1">
      <c r="C182" s="82"/>
      <c r="D182" s="83"/>
    </row>
    <row r="183" ht="12.75" customHeight="1">
      <c r="C183" s="82"/>
      <c r="D183" s="83"/>
    </row>
    <row r="184" ht="12.75" customHeight="1">
      <c r="C184" s="82"/>
      <c r="D184" s="83"/>
    </row>
    <row r="185" ht="12.75" customHeight="1">
      <c r="C185" s="82"/>
      <c r="D185" s="83"/>
    </row>
    <row r="186" ht="12.75" customHeight="1">
      <c r="C186" s="82"/>
      <c r="D186" s="83"/>
    </row>
    <row r="187" ht="12.75" customHeight="1">
      <c r="C187" s="82"/>
      <c r="D187" s="83"/>
    </row>
    <row r="188" ht="12.75" customHeight="1">
      <c r="C188" s="82"/>
      <c r="D188" s="83"/>
    </row>
    <row r="189" ht="12.75" customHeight="1">
      <c r="C189" s="82"/>
      <c r="D189" s="83"/>
    </row>
    <row r="190" ht="12.75" customHeight="1">
      <c r="C190" s="82"/>
      <c r="D190" s="83"/>
    </row>
    <row r="191" ht="12.75" customHeight="1">
      <c r="C191" s="82"/>
      <c r="D191" s="83"/>
    </row>
    <row r="192" ht="12.75" customHeight="1">
      <c r="C192" s="82"/>
      <c r="D192" s="83"/>
    </row>
    <row r="193" ht="12.75" customHeight="1">
      <c r="C193" s="82"/>
      <c r="D193" s="83"/>
    </row>
    <row r="194" ht="12.75" customHeight="1">
      <c r="C194" s="82"/>
      <c r="D194" s="83"/>
    </row>
    <row r="195" ht="12.75" customHeight="1">
      <c r="C195" s="82"/>
      <c r="D195" s="83"/>
    </row>
    <row r="196" ht="12.75" customHeight="1">
      <c r="C196" s="82"/>
      <c r="D196" s="83"/>
    </row>
    <row r="197" ht="12.75" customHeight="1">
      <c r="C197" s="82"/>
      <c r="D197" s="83"/>
    </row>
    <row r="198" ht="12.75" customHeight="1">
      <c r="C198" s="82"/>
      <c r="D198" s="83"/>
    </row>
    <row r="199" ht="12.75" customHeight="1">
      <c r="C199" s="82"/>
      <c r="D199" s="83"/>
    </row>
    <row r="200" ht="12.75" customHeight="1">
      <c r="C200" s="82"/>
      <c r="D200" s="83"/>
    </row>
    <row r="201" ht="12.75" customHeight="1">
      <c r="C201" s="82"/>
      <c r="D201" s="83"/>
    </row>
    <row r="202" ht="12.75" customHeight="1">
      <c r="C202" s="82"/>
      <c r="D202" s="83"/>
    </row>
    <row r="203" ht="12.75" customHeight="1">
      <c r="C203" s="82"/>
      <c r="D203" s="83"/>
    </row>
    <row r="204" ht="12.75" customHeight="1">
      <c r="C204" s="82"/>
      <c r="D204" s="83"/>
    </row>
    <row r="205" ht="12.75" customHeight="1">
      <c r="C205" s="82"/>
      <c r="D205" s="83"/>
    </row>
    <row r="206" ht="12.75" customHeight="1">
      <c r="C206" s="82"/>
      <c r="D206" s="83"/>
    </row>
    <row r="207" ht="12.75" customHeight="1">
      <c r="C207" s="82"/>
      <c r="D207" s="83"/>
    </row>
    <row r="208" ht="12.75" customHeight="1">
      <c r="C208" s="82"/>
      <c r="D208" s="83"/>
    </row>
    <row r="209" ht="12.75" customHeight="1">
      <c r="C209" s="82"/>
      <c r="D209" s="83"/>
    </row>
    <row r="210" ht="15.0" customHeight="1">
      <c r="C210" s="82"/>
      <c r="D210" s="83"/>
    </row>
    <row r="211" ht="12.75" customHeight="1">
      <c r="C211" s="82"/>
      <c r="D211" s="83"/>
    </row>
    <row r="212" ht="12.75" customHeight="1">
      <c r="C212" s="82"/>
      <c r="D212" s="83"/>
    </row>
    <row r="213" ht="12.75" customHeight="1">
      <c r="C213" s="82"/>
      <c r="D213" s="83"/>
    </row>
    <row r="214" ht="12.75" customHeight="1">
      <c r="C214" s="82"/>
      <c r="D214" s="83"/>
    </row>
    <row r="215" ht="12.75" customHeight="1">
      <c r="C215" s="82"/>
      <c r="D215" s="83"/>
    </row>
    <row r="216" ht="12.75" customHeight="1">
      <c r="C216" s="82"/>
      <c r="D216" s="83"/>
    </row>
    <row r="217" ht="12.75" customHeight="1">
      <c r="C217" s="82"/>
      <c r="D217" s="83"/>
    </row>
    <row r="218" ht="12.75" customHeight="1">
      <c r="C218" s="82"/>
      <c r="D218" s="83"/>
    </row>
    <row r="219" ht="12.75" customHeight="1">
      <c r="C219" s="82"/>
      <c r="D219" s="83"/>
    </row>
    <row r="220" ht="12.75" customHeight="1">
      <c r="C220" s="82"/>
      <c r="D220" s="83"/>
    </row>
    <row r="221" ht="12.75" customHeight="1">
      <c r="C221" s="82"/>
      <c r="D221" s="83"/>
    </row>
    <row r="222" ht="12.75" customHeight="1">
      <c r="C222" s="82"/>
      <c r="D222" s="83"/>
    </row>
    <row r="223" ht="12.75" customHeight="1">
      <c r="C223" s="82"/>
      <c r="D223" s="83"/>
    </row>
    <row r="224" ht="12.75" customHeight="1">
      <c r="C224" s="82"/>
      <c r="D224" s="83"/>
    </row>
    <row r="225" ht="12.75" customHeight="1">
      <c r="C225" s="82"/>
      <c r="D225" s="83"/>
    </row>
    <row r="226" ht="12.75" customHeight="1">
      <c r="C226" s="82"/>
      <c r="D226" s="83"/>
    </row>
    <row r="227" ht="12.75" customHeight="1">
      <c r="C227" s="82"/>
      <c r="D227" s="83"/>
    </row>
    <row r="228" ht="12.75" customHeight="1">
      <c r="C228" s="82"/>
      <c r="D228" s="83"/>
    </row>
    <row r="229" ht="12.75" customHeight="1">
      <c r="C229" s="82"/>
      <c r="D229" s="83"/>
    </row>
    <row r="230" ht="12.75" customHeight="1">
      <c r="C230" s="82"/>
      <c r="D230" s="83"/>
    </row>
    <row r="231" ht="12.75" customHeight="1">
      <c r="C231" s="82"/>
      <c r="D231" s="83"/>
    </row>
    <row r="232" ht="12.75" customHeight="1">
      <c r="C232" s="82"/>
      <c r="D232" s="83"/>
    </row>
    <row r="233" ht="12.75" customHeight="1">
      <c r="C233" s="82"/>
      <c r="D233" s="83"/>
    </row>
    <row r="234" ht="12.75" customHeight="1">
      <c r="C234" s="82"/>
      <c r="D234" s="83"/>
    </row>
    <row r="235" ht="12.75" customHeight="1">
      <c r="C235" s="82"/>
      <c r="D235" s="83"/>
    </row>
    <row r="236" ht="12.75" customHeight="1">
      <c r="C236" s="82"/>
      <c r="D236" s="83"/>
    </row>
    <row r="237" ht="12.75" customHeight="1">
      <c r="C237" s="82"/>
      <c r="D237" s="83"/>
    </row>
    <row r="238" ht="12.75" customHeight="1">
      <c r="C238" s="82"/>
      <c r="D238" s="83"/>
    </row>
    <row r="239" ht="12.75" customHeight="1">
      <c r="C239" s="82"/>
      <c r="D239" s="83"/>
    </row>
    <row r="240" ht="12.75" customHeight="1">
      <c r="C240" s="82"/>
      <c r="D240" s="83"/>
    </row>
    <row r="241" ht="12.75" customHeight="1">
      <c r="C241" s="82"/>
      <c r="D241" s="83"/>
    </row>
    <row r="242" ht="12.75" customHeight="1">
      <c r="C242" s="82"/>
      <c r="D242" s="83"/>
    </row>
    <row r="243" ht="12.75" customHeight="1">
      <c r="C243" s="82"/>
      <c r="D243" s="83"/>
    </row>
    <row r="244" ht="12.75" customHeight="1">
      <c r="C244" s="82"/>
      <c r="D244" s="83"/>
    </row>
    <row r="245" ht="12.75" customHeight="1">
      <c r="C245" s="82"/>
      <c r="D245" s="83"/>
    </row>
    <row r="246" ht="12.75" customHeight="1">
      <c r="C246" s="82"/>
      <c r="D246" s="83"/>
    </row>
    <row r="247" ht="12.75" customHeight="1">
      <c r="C247" s="82"/>
      <c r="D247" s="83"/>
    </row>
    <row r="248" ht="12.75" customHeight="1">
      <c r="C248" s="82"/>
      <c r="D248" s="83"/>
    </row>
    <row r="249" ht="12.75" customHeight="1">
      <c r="C249" s="82"/>
      <c r="D249" s="83"/>
    </row>
    <row r="250" ht="12.75" customHeight="1">
      <c r="C250" s="82"/>
      <c r="D250" s="83"/>
    </row>
    <row r="251" ht="12.75" customHeight="1">
      <c r="C251" s="82"/>
      <c r="D251" s="83"/>
    </row>
    <row r="252" ht="12.75" customHeight="1">
      <c r="C252" s="82"/>
      <c r="D252" s="83"/>
    </row>
    <row r="253" ht="12.75" customHeight="1">
      <c r="C253" s="82"/>
      <c r="D253" s="83"/>
    </row>
    <row r="254" ht="12.75" customHeight="1">
      <c r="C254" s="26"/>
      <c r="D254" s="83"/>
    </row>
    <row r="255" ht="12.75" customHeight="1">
      <c r="C255" s="26"/>
      <c r="D255" s="83"/>
    </row>
    <row r="256" ht="12.75" customHeight="1">
      <c r="C256" s="26"/>
      <c r="D256" s="83"/>
    </row>
    <row r="257" ht="12.75" customHeight="1">
      <c r="C257" s="26"/>
      <c r="D257" s="83"/>
    </row>
    <row r="258" ht="12.75" customHeight="1">
      <c r="C258" s="26"/>
      <c r="D258" s="83"/>
    </row>
    <row r="259" ht="12.75" customHeight="1">
      <c r="C259" s="26"/>
      <c r="D259" s="83"/>
    </row>
    <row r="260" ht="12.75" customHeight="1">
      <c r="C260" s="26"/>
      <c r="D260" s="83"/>
    </row>
    <row r="261" ht="12.75" customHeight="1">
      <c r="C261" s="26"/>
      <c r="D261" s="83"/>
    </row>
    <row r="262" ht="12.75" customHeight="1">
      <c r="C262" s="26"/>
      <c r="D262" s="83"/>
    </row>
    <row r="263" ht="12.75" customHeight="1">
      <c r="C263" s="26"/>
      <c r="D263" s="83"/>
    </row>
    <row r="264" ht="12.75" customHeight="1">
      <c r="C264" s="26"/>
      <c r="D264" s="83"/>
    </row>
    <row r="265" ht="12.75" customHeight="1">
      <c r="C265" s="26"/>
      <c r="D265" s="83"/>
    </row>
    <row r="266" ht="12.75" customHeight="1">
      <c r="C266" s="26"/>
      <c r="D266" s="83"/>
    </row>
    <row r="267" ht="12.75" customHeight="1">
      <c r="C267" s="26"/>
      <c r="D267" s="83"/>
    </row>
    <row r="268" ht="12.75" customHeight="1">
      <c r="C268" s="26"/>
      <c r="D268" s="83"/>
    </row>
    <row r="269" ht="12.75" customHeight="1">
      <c r="C269" s="26"/>
      <c r="D269" s="83"/>
    </row>
    <row r="270" ht="12.75" customHeight="1">
      <c r="C270" s="26"/>
      <c r="D270" s="83"/>
    </row>
    <row r="271" ht="12.75" customHeight="1">
      <c r="C271" s="26"/>
      <c r="D271" s="83"/>
    </row>
    <row r="272" ht="12.75" customHeight="1">
      <c r="C272" s="26"/>
      <c r="D272" s="83"/>
    </row>
    <row r="273" ht="12.75" customHeight="1">
      <c r="C273" s="26"/>
      <c r="D273" s="83"/>
    </row>
    <row r="274" ht="12.75" customHeight="1">
      <c r="C274" s="26"/>
      <c r="D274" s="83"/>
    </row>
    <row r="275" ht="12.75" customHeight="1">
      <c r="C275" s="26"/>
      <c r="D275" s="83"/>
    </row>
    <row r="276" ht="12.75" customHeight="1">
      <c r="C276" s="26"/>
      <c r="D276" s="83"/>
    </row>
    <row r="277" ht="12.75" customHeight="1">
      <c r="C277" s="26"/>
      <c r="D277" s="83"/>
    </row>
    <row r="278" ht="12.75" customHeight="1">
      <c r="C278" s="26"/>
      <c r="D278" s="83"/>
    </row>
    <row r="279" ht="12.75" customHeight="1">
      <c r="C279" s="26"/>
      <c r="D279" s="83"/>
    </row>
    <row r="280" ht="12.75" customHeight="1">
      <c r="C280" s="26"/>
      <c r="D280" s="83"/>
    </row>
    <row r="281" ht="12.75" customHeight="1">
      <c r="C281" s="26"/>
      <c r="D281" s="83"/>
    </row>
    <row r="282" ht="12.75" customHeight="1">
      <c r="C282" s="26"/>
      <c r="D282" s="83"/>
    </row>
    <row r="283" ht="12.75" customHeight="1">
      <c r="C283" s="26"/>
      <c r="D283" s="83"/>
    </row>
    <row r="284" ht="12.75" customHeight="1">
      <c r="C284" s="26"/>
      <c r="D284" s="83"/>
    </row>
    <row r="285" ht="12.75" customHeight="1">
      <c r="C285" s="26"/>
      <c r="D285" s="83"/>
    </row>
    <row r="286" ht="12.75" customHeight="1">
      <c r="C286" s="26"/>
      <c r="D286" s="83"/>
    </row>
    <row r="287" ht="12.75" customHeight="1">
      <c r="C287" s="26"/>
      <c r="D287" s="83"/>
    </row>
    <row r="288" ht="12.75" customHeight="1">
      <c r="C288" s="26"/>
      <c r="D288" s="83"/>
    </row>
    <row r="289" ht="12.75" customHeight="1">
      <c r="C289" s="26"/>
      <c r="D289" s="83"/>
    </row>
    <row r="290" ht="12.75" customHeight="1">
      <c r="C290" s="26"/>
      <c r="D290" s="83"/>
    </row>
    <row r="291" ht="12.75" customHeight="1">
      <c r="C291" s="26"/>
      <c r="D291" s="83"/>
    </row>
    <row r="292" ht="12.75" customHeight="1">
      <c r="C292" s="26"/>
      <c r="D292" s="83"/>
    </row>
    <row r="293" ht="12.75" customHeight="1">
      <c r="C293" s="26"/>
      <c r="D293" s="83"/>
    </row>
    <row r="294" ht="12.75" customHeight="1">
      <c r="C294" s="26"/>
      <c r="D294" s="83"/>
    </row>
    <row r="295" ht="12.75" customHeight="1">
      <c r="C295" s="26"/>
      <c r="D295" s="83"/>
    </row>
    <row r="296" ht="12.75" customHeight="1">
      <c r="C296" s="26"/>
      <c r="D296" s="83"/>
    </row>
    <row r="297" ht="12.75" customHeight="1">
      <c r="C297" s="26"/>
      <c r="D297" s="83"/>
    </row>
    <row r="298" ht="12.75" customHeight="1">
      <c r="C298" s="26"/>
      <c r="D298" s="83"/>
    </row>
    <row r="299" ht="12.75" customHeight="1">
      <c r="C299" s="26"/>
      <c r="D299" s="83"/>
    </row>
    <row r="300" ht="12.75" customHeight="1">
      <c r="C300" s="26"/>
      <c r="D300" s="83"/>
    </row>
    <row r="301" ht="12.75" customHeight="1">
      <c r="C301" s="26"/>
      <c r="D301" s="83"/>
    </row>
    <row r="302" ht="12.75" customHeight="1">
      <c r="C302" s="26"/>
      <c r="D302" s="83"/>
    </row>
    <row r="303" ht="12.75" customHeight="1">
      <c r="C303" s="26"/>
      <c r="D303" s="83"/>
    </row>
    <row r="304" ht="12.75" customHeight="1">
      <c r="C304" s="26"/>
      <c r="D304" s="83"/>
    </row>
    <row r="305" ht="13.5" customHeight="1">
      <c r="C305" s="26"/>
      <c r="D305" s="83"/>
    </row>
    <row r="306" ht="12.75" customHeight="1">
      <c r="C306" s="26"/>
      <c r="D306" s="83"/>
    </row>
    <row r="307" ht="12.75" customHeight="1">
      <c r="C307" s="26"/>
      <c r="D307" s="83"/>
    </row>
    <row r="308" ht="12.75" customHeight="1">
      <c r="C308" s="26"/>
      <c r="D308" s="83"/>
    </row>
    <row r="309" ht="12.75" customHeight="1">
      <c r="C309" s="26"/>
      <c r="D309" s="83"/>
    </row>
    <row r="310" ht="12.75" customHeight="1">
      <c r="C310" s="26"/>
      <c r="D310" s="83"/>
    </row>
    <row r="311">
      <c r="C311" s="26"/>
      <c r="D311" s="83"/>
    </row>
    <row r="312" ht="12.75" customHeight="1">
      <c r="C312" s="26"/>
      <c r="D312" s="83"/>
    </row>
    <row r="313" ht="12.75" customHeight="1">
      <c r="C313" s="26"/>
      <c r="D313" s="83"/>
    </row>
    <row r="314" ht="12.75" customHeight="1">
      <c r="C314" s="26"/>
      <c r="D314" s="83"/>
    </row>
    <row r="315" ht="12.75" customHeight="1">
      <c r="C315" s="26"/>
      <c r="D315" s="83"/>
    </row>
    <row r="316" ht="12.75" customHeight="1">
      <c r="C316" s="26"/>
      <c r="D316" s="83"/>
    </row>
    <row r="317" ht="12.75" customHeight="1">
      <c r="C317" s="26"/>
      <c r="D317" s="83"/>
    </row>
    <row r="318" ht="12.75" customHeight="1">
      <c r="C318" s="26"/>
      <c r="D318" s="83"/>
    </row>
    <row r="319" ht="12.75" customHeight="1">
      <c r="C319" s="26"/>
      <c r="D319" s="83"/>
    </row>
    <row r="320" ht="12.75" customHeight="1">
      <c r="C320" s="26"/>
      <c r="D320" s="83"/>
    </row>
    <row r="321" ht="12.75" customHeight="1">
      <c r="C321" s="26"/>
      <c r="D321" s="83"/>
    </row>
    <row r="322" ht="12.75" customHeight="1">
      <c r="C322" s="26"/>
      <c r="D322" s="83"/>
    </row>
    <row r="323" ht="12.75" customHeight="1">
      <c r="C323" s="26"/>
      <c r="D323" s="83"/>
    </row>
    <row r="324" ht="12.75" customHeight="1">
      <c r="C324" s="26"/>
      <c r="D324" s="83"/>
    </row>
    <row r="325" ht="12.75" customHeight="1">
      <c r="C325" s="26"/>
      <c r="D325" s="83"/>
    </row>
    <row r="326" ht="12.75" customHeight="1">
      <c r="C326" s="26"/>
      <c r="D326" s="83"/>
    </row>
    <row r="327" ht="12.75" customHeight="1">
      <c r="C327" s="26"/>
      <c r="D327" s="83"/>
    </row>
    <row r="328" ht="12.75" customHeight="1">
      <c r="C328" s="26"/>
      <c r="D328" s="83"/>
    </row>
    <row r="329" ht="12.75" customHeight="1">
      <c r="C329" s="26"/>
      <c r="D329" s="83"/>
    </row>
    <row r="330" ht="12.75" customHeight="1">
      <c r="C330" s="26"/>
      <c r="D330" s="83"/>
    </row>
    <row r="331" ht="12.75" customHeight="1">
      <c r="C331" s="26"/>
      <c r="D331" s="27"/>
    </row>
    <row r="332" ht="12.75" customHeight="1">
      <c r="C332" s="26"/>
      <c r="D332" s="27"/>
    </row>
    <row r="333" ht="12.75" customHeight="1">
      <c r="C333" s="26"/>
      <c r="D333" s="27"/>
    </row>
    <row r="334" ht="12.75" customHeight="1">
      <c r="C334" s="26"/>
      <c r="D334" s="27"/>
    </row>
    <row r="335" ht="12.75" customHeight="1">
      <c r="C335" s="26"/>
      <c r="D335" s="27"/>
    </row>
    <row r="336" ht="12.75" customHeight="1">
      <c r="C336" s="26"/>
      <c r="D336" s="27"/>
    </row>
    <row r="337" ht="12.75" customHeight="1">
      <c r="C337" s="26"/>
      <c r="D337" s="27"/>
    </row>
    <row r="338" ht="12.75" customHeight="1">
      <c r="C338" s="26"/>
      <c r="D338" s="27"/>
    </row>
    <row r="339" ht="12.75" customHeight="1">
      <c r="C339" s="26"/>
      <c r="D339" s="27"/>
    </row>
    <row r="340" ht="12.75" customHeight="1">
      <c r="C340" s="26"/>
      <c r="D340" s="27"/>
    </row>
    <row r="341" ht="12.75" customHeight="1">
      <c r="C341" s="26"/>
      <c r="D341" s="27"/>
    </row>
    <row r="342" ht="12.75" customHeight="1">
      <c r="C342" s="26"/>
      <c r="D342" s="27"/>
    </row>
    <row r="343" ht="12.75" customHeight="1">
      <c r="C343" s="26"/>
      <c r="D343" s="27"/>
    </row>
    <row r="344" ht="12.75" customHeight="1">
      <c r="C344" s="26"/>
      <c r="D344" s="27"/>
    </row>
    <row r="345" ht="12.75" customHeight="1">
      <c r="C345" s="26"/>
      <c r="D345" s="27"/>
    </row>
    <row r="346" ht="12.75" customHeight="1">
      <c r="C346" s="26"/>
      <c r="D346" s="27"/>
    </row>
    <row r="347" ht="12.75" customHeight="1">
      <c r="C347" s="26"/>
      <c r="D347" s="27"/>
    </row>
    <row r="348" ht="12.75" customHeight="1">
      <c r="C348" s="26"/>
      <c r="D348" s="27"/>
    </row>
    <row r="349" ht="12.75" customHeight="1">
      <c r="C349" s="26"/>
      <c r="D349" s="27"/>
    </row>
    <row r="350" ht="12.75" customHeight="1">
      <c r="C350" s="26"/>
      <c r="D350" s="27"/>
    </row>
    <row r="351" ht="12.75" customHeight="1">
      <c r="C351" s="26"/>
      <c r="D351" s="27"/>
    </row>
    <row r="352" ht="12.75" customHeight="1">
      <c r="C352" s="26"/>
      <c r="D352" s="27"/>
    </row>
    <row r="353" ht="12.75" customHeight="1">
      <c r="C353" s="26"/>
      <c r="D353" s="27"/>
    </row>
    <row r="354" ht="12.75" customHeight="1">
      <c r="C354" s="26"/>
      <c r="D354" s="27"/>
    </row>
    <row r="355" ht="12.75" customHeight="1">
      <c r="C355" s="26"/>
      <c r="D355" s="27"/>
    </row>
    <row r="356" ht="12.75" customHeight="1">
      <c r="C356" s="26"/>
      <c r="D356" s="27"/>
    </row>
    <row r="357" ht="12.75" customHeight="1">
      <c r="C357" s="26"/>
      <c r="D357" s="27"/>
    </row>
    <row r="358" ht="12.75" customHeight="1">
      <c r="C358" s="26"/>
      <c r="D358" s="27"/>
    </row>
    <row r="359" ht="12.75" customHeight="1">
      <c r="C359" s="26"/>
      <c r="D359" s="27"/>
    </row>
    <row r="360" ht="12.75" customHeight="1">
      <c r="C360" s="26"/>
      <c r="D360" s="27"/>
    </row>
    <row r="361" ht="12.75" customHeight="1">
      <c r="C361" s="26"/>
      <c r="D361" s="27"/>
    </row>
    <row r="362" ht="12.75" customHeight="1">
      <c r="C362" s="26"/>
      <c r="D362" s="27"/>
    </row>
    <row r="363" ht="26.25" customHeight="1">
      <c r="C363" s="26"/>
      <c r="D363" s="27"/>
    </row>
    <row r="364" ht="12.75" customHeight="1">
      <c r="C364" s="26"/>
      <c r="D364" s="27"/>
    </row>
    <row r="365" ht="12.75" customHeight="1">
      <c r="C365" s="26"/>
      <c r="D365" s="27"/>
    </row>
    <row r="366" ht="12.75" customHeight="1">
      <c r="C366" s="26"/>
      <c r="D366" s="27"/>
    </row>
    <row r="367" ht="12.75" customHeight="1">
      <c r="C367" s="26"/>
      <c r="D367" s="27"/>
    </row>
    <row r="368" ht="12.75" customHeight="1">
      <c r="C368" s="26"/>
      <c r="D368" s="27"/>
    </row>
    <row r="369" ht="12.75" customHeight="1">
      <c r="C369" s="26"/>
      <c r="D369" s="27"/>
    </row>
    <row r="370" ht="12.75" customHeight="1">
      <c r="C370" s="26"/>
      <c r="D370" s="27"/>
    </row>
    <row r="371" ht="12.75" customHeight="1">
      <c r="C371" s="26"/>
      <c r="D371" s="27"/>
    </row>
    <row r="372" ht="12.75" customHeight="1">
      <c r="C372" s="26"/>
      <c r="D372" s="27"/>
    </row>
    <row r="373" ht="12.75" customHeight="1">
      <c r="C373" s="26"/>
      <c r="D373" s="27"/>
    </row>
    <row r="374" ht="12.75" customHeight="1">
      <c r="C374" s="26"/>
      <c r="D374" s="27"/>
    </row>
    <row r="375" ht="12.75" customHeight="1">
      <c r="C375" s="26"/>
      <c r="D375" s="27"/>
    </row>
    <row r="376" ht="12.75" customHeight="1">
      <c r="C376" s="26"/>
      <c r="D376" s="27"/>
    </row>
    <row r="377" ht="12.75" customHeight="1">
      <c r="C377" s="26"/>
      <c r="D377" s="27"/>
    </row>
    <row r="378" ht="12.75" customHeight="1">
      <c r="C378" s="26"/>
      <c r="D378" s="27"/>
    </row>
    <row r="379" ht="12.75" customHeight="1">
      <c r="C379" s="26"/>
      <c r="D379" s="27"/>
    </row>
    <row r="380" ht="12.75" customHeight="1">
      <c r="C380" s="26"/>
      <c r="D380" s="27"/>
    </row>
    <row r="381" ht="12.75" customHeight="1">
      <c r="C381" s="26"/>
      <c r="D381" s="27"/>
    </row>
    <row r="382" ht="12.75" customHeight="1">
      <c r="C382" s="26"/>
      <c r="D382" s="27"/>
    </row>
    <row r="383" ht="12.75" customHeight="1">
      <c r="C383" s="26"/>
      <c r="D383" s="27"/>
    </row>
    <row r="384" ht="12.75" customHeight="1">
      <c r="C384" s="26"/>
      <c r="D384" s="27"/>
    </row>
    <row r="385" ht="12.75" customHeight="1">
      <c r="C385" s="26"/>
      <c r="D385" s="27"/>
    </row>
    <row r="386" ht="12.75" customHeight="1">
      <c r="C386" s="26"/>
      <c r="D386" s="27"/>
    </row>
    <row r="387" ht="12.75" customHeight="1">
      <c r="C387" s="26"/>
      <c r="D387" s="27"/>
    </row>
    <row r="388" ht="12.75" customHeight="1">
      <c r="C388" s="26"/>
      <c r="D388" s="27"/>
    </row>
    <row r="389" ht="12.75" customHeight="1">
      <c r="C389" s="26"/>
      <c r="D389" s="27"/>
    </row>
    <row r="390" ht="12.75" customHeight="1">
      <c r="C390" s="26"/>
      <c r="D390" s="27"/>
    </row>
    <row r="391" ht="12.75" customHeight="1">
      <c r="C391" s="26"/>
      <c r="D391" s="27"/>
    </row>
    <row r="392" ht="12.75" customHeight="1">
      <c r="C392" s="26"/>
      <c r="D392" s="27"/>
    </row>
    <row r="393" ht="12.75" customHeight="1">
      <c r="C393" s="26"/>
      <c r="D393" s="27"/>
    </row>
    <row r="394" ht="12.75" customHeight="1">
      <c r="C394" s="26"/>
      <c r="D394" s="27"/>
    </row>
    <row r="395" ht="12.75" customHeight="1">
      <c r="C395" s="26"/>
      <c r="D395" s="27"/>
    </row>
    <row r="396" ht="12.75" customHeight="1">
      <c r="C396" s="26"/>
      <c r="D396" s="27"/>
    </row>
    <row r="397" ht="12.75" customHeight="1">
      <c r="C397" s="26"/>
      <c r="D397" s="27"/>
    </row>
    <row r="398" ht="14.25" customHeight="1">
      <c r="C398" s="26"/>
      <c r="D398" s="27"/>
    </row>
    <row r="399" ht="12.75" customHeight="1">
      <c r="C399" s="26"/>
      <c r="D399" s="27"/>
    </row>
    <row r="400" ht="12.75" customHeight="1">
      <c r="C400" s="26"/>
      <c r="D400" s="27"/>
    </row>
    <row r="401" ht="12.75" customHeight="1">
      <c r="C401" s="26"/>
      <c r="D401" s="27"/>
    </row>
    <row r="402" ht="12.75" customHeight="1">
      <c r="C402" s="26"/>
      <c r="D402" s="27"/>
    </row>
    <row r="403" ht="12.75" customHeight="1">
      <c r="C403" s="26"/>
      <c r="D403" s="27"/>
    </row>
    <row r="404" ht="12.75" customHeight="1">
      <c r="C404" s="26"/>
      <c r="D404" s="27"/>
    </row>
    <row r="405" ht="12.75" customHeight="1">
      <c r="C405" s="26"/>
      <c r="D405" s="27"/>
    </row>
    <row r="406" ht="12.75" customHeight="1">
      <c r="C406" s="26"/>
      <c r="D406" s="27"/>
    </row>
    <row r="407" ht="12.75" customHeight="1">
      <c r="C407" s="26"/>
      <c r="D407" s="27"/>
    </row>
    <row r="408" ht="12.75" customHeight="1">
      <c r="C408" s="26"/>
      <c r="D408" s="27"/>
    </row>
    <row r="409" ht="12.75" customHeight="1">
      <c r="C409" s="26"/>
      <c r="D409" s="27"/>
    </row>
    <row r="410" ht="12.75" customHeight="1">
      <c r="C410" s="26"/>
      <c r="D410" s="27"/>
    </row>
    <row r="411" ht="12.75" customHeight="1">
      <c r="C411" s="26"/>
      <c r="D411" s="27"/>
    </row>
    <row r="412" ht="12.75" customHeight="1">
      <c r="C412" s="26"/>
      <c r="D412" s="27"/>
    </row>
    <row r="413" ht="12.75" customHeight="1">
      <c r="C413" s="26"/>
      <c r="D413" s="27"/>
    </row>
    <row r="414" ht="12.75" customHeight="1">
      <c r="C414" s="26"/>
      <c r="D414" s="27"/>
    </row>
    <row r="415" ht="12.75" customHeight="1">
      <c r="C415" s="26"/>
      <c r="D415" s="27"/>
    </row>
    <row r="416" ht="12.75" customHeight="1">
      <c r="C416" s="26"/>
      <c r="D416" s="27"/>
    </row>
    <row r="417" ht="12.75" customHeight="1">
      <c r="C417" s="26"/>
      <c r="D417" s="27"/>
    </row>
    <row r="418" ht="12.75" customHeight="1">
      <c r="C418" s="26"/>
      <c r="D418" s="27"/>
    </row>
    <row r="419" ht="12.75" customHeight="1">
      <c r="C419" s="26"/>
      <c r="D419" s="27"/>
    </row>
    <row r="420" ht="12.75" customHeight="1">
      <c r="C420" s="26"/>
      <c r="D420" s="27"/>
    </row>
    <row r="421" ht="12.75" customHeight="1">
      <c r="C421" s="26"/>
      <c r="D421" s="27"/>
    </row>
    <row r="422" ht="12.75" customHeight="1">
      <c r="C422" s="26"/>
      <c r="D422" s="27"/>
    </row>
    <row r="423" ht="12.75" customHeight="1">
      <c r="C423" s="26"/>
      <c r="D423" s="27"/>
    </row>
    <row r="424" ht="12.75" customHeight="1">
      <c r="C424" s="26"/>
      <c r="D424" s="27"/>
    </row>
    <row r="425" ht="12.75" customHeight="1">
      <c r="C425" s="26"/>
      <c r="D425" s="27"/>
    </row>
    <row r="426" ht="12.75" customHeight="1">
      <c r="C426" s="26"/>
      <c r="D426" s="27"/>
    </row>
    <row r="427" ht="12.75" customHeight="1">
      <c r="C427" s="26"/>
      <c r="D427" s="27"/>
    </row>
    <row r="428" ht="12.75" customHeight="1">
      <c r="C428" s="26"/>
      <c r="D428" s="27"/>
    </row>
    <row r="429" ht="12.75" customHeight="1">
      <c r="C429" s="26"/>
      <c r="D429" s="27"/>
    </row>
    <row r="430" ht="12.75" customHeight="1">
      <c r="C430" s="26"/>
      <c r="D430" s="27"/>
    </row>
    <row r="431" ht="12.75" customHeight="1">
      <c r="C431" s="26"/>
      <c r="D431" s="27"/>
    </row>
    <row r="432" ht="12.75" customHeight="1">
      <c r="C432" s="26"/>
      <c r="D432" s="27"/>
    </row>
    <row r="433" ht="12.75" customHeight="1">
      <c r="C433" s="26"/>
      <c r="D433" s="27"/>
    </row>
    <row r="434" ht="12.75" customHeight="1">
      <c r="C434" s="26"/>
      <c r="D434" s="27"/>
    </row>
    <row r="435" ht="12.75" customHeight="1">
      <c r="C435" s="26"/>
      <c r="D435" s="27"/>
    </row>
    <row r="436" ht="12.75" customHeight="1">
      <c r="C436" s="26"/>
      <c r="D436" s="27"/>
    </row>
    <row r="437" ht="12.75" customHeight="1">
      <c r="C437" s="26"/>
      <c r="D437" s="27"/>
    </row>
    <row r="438" ht="12.75" customHeight="1">
      <c r="C438" s="26"/>
      <c r="D438" s="27"/>
    </row>
    <row r="439" ht="12.75" customHeight="1">
      <c r="C439" s="26"/>
      <c r="D439" s="27"/>
    </row>
    <row r="440" ht="12.75" customHeight="1">
      <c r="C440" s="26"/>
      <c r="D440" s="27"/>
    </row>
    <row r="441" ht="12.75" customHeight="1">
      <c r="C441" s="26"/>
      <c r="D441" s="27"/>
    </row>
    <row r="442" ht="12.75" customHeight="1">
      <c r="C442" s="26"/>
      <c r="D442" s="27"/>
    </row>
    <row r="443" ht="12.75" customHeight="1">
      <c r="C443" s="26"/>
      <c r="D443" s="27"/>
    </row>
    <row r="444" ht="12.75" customHeight="1">
      <c r="C444" s="26"/>
      <c r="D444" s="27"/>
    </row>
    <row r="445" ht="12.75" customHeight="1">
      <c r="C445" s="26"/>
      <c r="D445" s="27"/>
    </row>
    <row r="446" ht="12.75" customHeight="1">
      <c r="C446" s="26"/>
      <c r="D446" s="27"/>
    </row>
    <row r="447" ht="12.75" customHeight="1">
      <c r="C447" s="26"/>
      <c r="D447" s="27"/>
    </row>
    <row r="448" ht="12.75" customHeight="1">
      <c r="C448" s="26"/>
      <c r="D448" s="27"/>
    </row>
    <row r="449" ht="12.75" customHeight="1">
      <c r="C449" s="26"/>
      <c r="D449" s="27"/>
    </row>
    <row r="450" ht="12.75" customHeight="1">
      <c r="C450" s="26"/>
      <c r="D450" s="27"/>
    </row>
    <row r="451" ht="12.75" customHeight="1">
      <c r="C451" s="26"/>
      <c r="D451" s="27"/>
    </row>
    <row r="452" ht="12.75" customHeight="1">
      <c r="C452" s="26"/>
      <c r="D452" s="27"/>
    </row>
    <row r="453" ht="12.75" customHeight="1">
      <c r="C453" s="26"/>
      <c r="D453" s="27"/>
    </row>
    <row r="454" ht="12.75" customHeight="1">
      <c r="C454" s="26"/>
      <c r="D454" s="27"/>
    </row>
    <row r="455" ht="12.75" customHeight="1">
      <c r="C455" s="26"/>
      <c r="D455" s="27"/>
    </row>
    <row r="456" ht="12.75" customHeight="1">
      <c r="C456" s="26"/>
      <c r="D456" s="27"/>
    </row>
    <row r="457" ht="12.75" customHeight="1">
      <c r="C457" s="26"/>
      <c r="D457" s="27"/>
    </row>
    <row r="458" ht="12.75" customHeight="1">
      <c r="C458" s="26"/>
      <c r="D458" s="27"/>
    </row>
    <row r="459" ht="12.75" customHeight="1">
      <c r="C459" s="26"/>
      <c r="D459" s="27"/>
    </row>
    <row r="460" ht="12.75" customHeight="1">
      <c r="C460" s="26"/>
      <c r="D460" s="27"/>
    </row>
    <row r="461" ht="12.75" customHeight="1">
      <c r="C461" s="26"/>
      <c r="D461" s="27"/>
    </row>
    <row r="462" ht="12.75" customHeight="1">
      <c r="C462" s="26"/>
      <c r="D462" s="27"/>
    </row>
    <row r="463" ht="12.75" customHeight="1">
      <c r="C463" s="26"/>
      <c r="D463" s="27"/>
    </row>
    <row r="464" ht="12.75" customHeight="1">
      <c r="C464" s="26"/>
      <c r="D464" s="27"/>
    </row>
    <row r="465" ht="12.75" customHeight="1">
      <c r="C465" s="26"/>
      <c r="D465" s="27"/>
    </row>
    <row r="466" ht="12.75" customHeight="1">
      <c r="C466" s="26"/>
      <c r="D466" s="27"/>
    </row>
    <row r="467" ht="12.75" customHeight="1">
      <c r="C467" s="26"/>
      <c r="D467" s="27"/>
    </row>
    <row r="468" ht="12.75" customHeight="1">
      <c r="C468" s="26"/>
      <c r="D468" s="27"/>
    </row>
    <row r="469" ht="12.75" customHeight="1">
      <c r="C469" s="26"/>
      <c r="D469" s="27"/>
    </row>
    <row r="470" ht="12.75" customHeight="1">
      <c r="C470" s="26"/>
      <c r="D470" s="27"/>
    </row>
    <row r="471" ht="12.75" customHeight="1">
      <c r="C471" s="26"/>
      <c r="D471" s="27"/>
    </row>
    <row r="472" ht="12.75" customHeight="1">
      <c r="C472" s="26"/>
      <c r="D472" s="27"/>
    </row>
    <row r="473" ht="12.75" customHeight="1">
      <c r="C473" s="26"/>
      <c r="D473" s="27"/>
    </row>
    <row r="474" ht="12.75" customHeight="1">
      <c r="C474" s="26"/>
      <c r="D474" s="27"/>
    </row>
    <row r="475" ht="12.75" customHeight="1">
      <c r="C475" s="26"/>
      <c r="D475" s="27"/>
    </row>
    <row r="476" ht="12.75" customHeight="1">
      <c r="C476" s="26"/>
      <c r="D476" s="27"/>
    </row>
    <row r="477" ht="12.75" customHeight="1">
      <c r="C477" s="26"/>
      <c r="D477" s="27"/>
    </row>
    <row r="478" ht="12.75" customHeight="1">
      <c r="C478" s="26"/>
      <c r="D478" s="27"/>
    </row>
    <row r="479" ht="12.75" customHeight="1">
      <c r="C479" s="26"/>
      <c r="D479" s="27"/>
    </row>
    <row r="480" ht="12.75" customHeight="1">
      <c r="C480" s="26"/>
      <c r="D480" s="27"/>
    </row>
    <row r="481" ht="12.75" customHeight="1">
      <c r="C481" s="26"/>
      <c r="D481" s="27"/>
    </row>
    <row r="482" ht="12.75" customHeight="1">
      <c r="C482" s="26"/>
      <c r="D482" s="27"/>
    </row>
    <row r="483" ht="12.75" customHeight="1">
      <c r="C483" s="26"/>
      <c r="D483" s="27"/>
    </row>
    <row r="484" ht="12.75" customHeight="1">
      <c r="C484" s="26"/>
      <c r="D484" s="27"/>
    </row>
    <row r="485" ht="12.75" customHeight="1">
      <c r="C485" s="26"/>
      <c r="D485" s="27"/>
    </row>
    <row r="486" ht="12.75" customHeight="1">
      <c r="C486" s="26"/>
      <c r="D486" s="27"/>
    </row>
    <row r="487" ht="12.75" customHeight="1">
      <c r="C487" s="26"/>
      <c r="D487" s="27"/>
    </row>
    <row r="488" ht="12.75" customHeight="1">
      <c r="C488" s="26"/>
      <c r="D488" s="27"/>
    </row>
    <row r="489" ht="12.75" customHeight="1">
      <c r="C489" s="26"/>
      <c r="D489" s="27"/>
    </row>
    <row r="490" ht="12.75" customHeight="1">
      <c r="C490" s="26"/>
      <c r="D490" s="27"/>
    </row>
    <row r="491" ht="12.75" customHeight="1">
      <c r="C491" s="26"/>
      <c r="D491" s="27"/>
    </row>
    <row r="492" ht="12.75" customHeight="1">
      <c r="C492" s="26"/>
      <c r="D492" s="27"/>
    </row>
    <row r="493" ht="12.75" customHeight="1">
      <c r="C493" s="26"/>
      <c r="D493" s="27"/>
    </row>
    <row r="494" ht="12.75" customHeight="1">
      <c r="C494" s="26"/>
      <c r="D494" s="27"/>
    </row>
    <row r="495" ht="12.75" customHeight="1">
      <c r="C495" s="26"/>
      <c r="D495" s="27"/>
    </row>
    <row r="496" ht="12.75" customHeight="1">
      <c r="C496" s="26"/>
      <c r="D496" s="27"/>
    </row>
    <row r="497" ht="12.75" customHeight="1">
      <c r="C497" s="26"/>
      <c r="D497" s="27"/>
    </row>
    <row r="498" ht="12.75" customHeight="1">
      <c r="C498" s="26"/>
      <c r="D498" s="27"/>
    </row>
    <row r="499" ht="12.75" customHeight="1">
      <c r="C499" s="26"/>
      <c r="D499" s="27"/>
    </row>
    <row r="500" ht="12.75" customHeight="1">
      <c r="C500" s="26"/>
      <c r="D500" s="27"/>
    </row>
    <row r="501" ht="12.75" customHeight="1">
      <c r="C501" s="26"/>
      <c r="D501" s="27"/>
    </row>
    <row r="502" ht="12.75" customHeight="1">
      <c r="C502" s="26"/>
      <c r="D502" s="27"/>
    </row>
    <row r="503" ht="12.75" customHeight="1">
      <c r="C503" s="26"/>
      <c r="D503" s="27"/>
    </row>
    <row r="504" ht="12.75" customHeight="1">
      <c r="C504" s="26"/>
      <c r="D504" s="27"/>
    </row>
    <row r="505" ht="12.75" customHeight="1">
      <c r="C505" s="26"/>
      <c r="D505" s="27"/>
    </row>
    <row r="506" ht="12.75" customHeight="1">
      <c r="C506" s="26"/>
      <c r="D506" s="27"/>
    </row>
    <row r="507" ht="12.75" customHeight="1">
      <c r="C507" s="26"/>
      <c r="D507" s="27"/>
    </row>
    <row r="508" ht="12.75" customHeight="1">
      <c r="C508" s="26"/>
      <c r="D508" s="27"/>
    </row>
    <row r="509" ht="12.75" customHeight="1">
      <c r="C509" s="26"/>
      <c r="D509" s="27"/>
    </row>
    <row r="510" ht="12.75" customHeight="1">
      <c r="C510" s="26"/>
      <c r="D510" s="27"/>
    </row>
    <row r="511" ht="12.75" customHeight="1">
      <c r="C511" s="26"/>
      <c r="D511" s="27"/>
    </row>
    <row r="512" ht="12.75" customHeight="1">
      <c r="C512" s="26"/>
      <c r="D512" s="27"/>
    </row>
    <row r="513" ht="12.75" customHeight="1">
      <c r="C513" s="26"/>
      <c r="D513" s="27"/>
    </row>
    <row r="514" ht="12.75" customHeight="1">
      <c r="C514" s="26"/>
      <c r="D514" s="27"/>
    </row>
    <row r="515" ht="12.75" customHeight="1">
      <c r="C515" s="26"/>
      <c r="D515" s="27"/>
    </row>
    <row r="516" ht="12.75" customHeight="1">
      <c r="C516" s="26"/>
      <c r="D516" s="27"/>
    </row>
    <row r="517" ht="12.75" customHeight="1">
      <c r="C517" s="26"/>
      <c r="D517" s="27"/>
    </row>
    <row r="518" ht="12.75" customHeight="1">
      <c r="C518" s="26"/>
      <c r="D518" s="27"/>
    </row>
    <row r="519" ht="12.75" customHeight="1">
      <c r="C519" s="26"/>
      <c r="D519" s="27"/>
    </row>
    <row r="520" ht="12.75" customHeight="1">
      <c r="C520" s="26"/>
      <c r="D520" s="27"/>
    </row>
    <row r="521" ht="12.75" customHeight="1">
      <c r="C521" s="26"/>
      <c r="D521" s="27"/>
    </row>
    <row r="522" ht="12.75" customHeight="1">
      <c r="C522" s="26"/>
      <c r="D522" s="27"/>
    </row>
    <row r="523" ht="12.75" customHeight="1">
      <c r="C523" s="26"/>
      <c r="D523" s="27"/>
    </row>
    <row r="524" ht="12.75" customHeight="1">
      <c r="C524" s="26"/>
      <c r="D524" s="27"/>
    </row>
    <row r="525" ht="12.75" customHeight="1">
      <c r="C525" s="26"/>
      <c r="D525" s="27"/>
    </row>
    <row r="526" ht="12.75" customHeight="1">
      <c r="C526" s="26"/>
      <c r="D526" s="27"/>
    </row>
    <row r="527" ht="12.75" customHeight="1">
      <c r="C527" s="26"/>
      <c r="D527" s="27"/>
    </row>
    <row r="528" ht="12.75" customHeight="1">
      <c r="C528" s="26"/>
      <c r="D528" s="27"/>
    </row>
    <row r="529" ht="12.75" customHeight="1">
      <c r="C529" s="26"/>
      <c r="D529" s="27"/>
    </row>
    <row r="530" ht="12.75" customHeight="1">
      <c r="C530" s="26"/>
      <c r="D530" s="27"/>
    </row>
    <row r="531" ht="12.75" customHeight="1">
      <c r="C531" s="26"/>
      <c r="D531" s="27"/>
    </row>
    <row r="532" ht="12.75" customHeight="1">
      <c r="C532" s="26"/>
      <c r="D532" s="27"/>
    </row>
    <row r="533" ht="12.75" customHeight="1">
      <c r="C533" s="26"/>
      <c r="D533" s="27"/>
    </row>
    <row r="534" ht="12.75" customHeight="1">
      <c r="C534" s="26"/>
      <c r="D534" s="27"/>
    </row>
    <row r="535" ht="12.75" customHeight="1">
      <c r="C535" s="26"/>
      <c r="D535" s="27"/>
    </row>
    <row r="536" ht="12.75" customHeight="1">
      <c r="C536" s="26"/>
      <c r="D536" s="27"/>
    </row>
    <row r="537" ht="12.75" customHeight="1">
      <c r="C537" s="26"/>
      <c r="D537" s="27"/>
    </row>
    <row r="538" ht="12.75" customHeight="1">
      <c r="C538" s="26"/>
      <c r="D538" s="27"/>
    </row>
    <row r="539" ht="12.75" customHeight="1">
      <c r="C539" s="26"/>
      <c r="D539" s="27"/>
    </row>
    <row r="540" ht="12.75" customHeight="1">
      <c r="C540" s="26"/>
      <c r="D540" s="27"/>
    </row>
    <row r="541" ht="12.75" customHeight="1">
      <c r="C541" s="26"/>
      <c r="D541" s="27"/>
    </row>
    <row r="542" ht="12.75" customHeight="1">
      <c r="C542" s="26"/>
      <c r="D542" s="27"/>
    </row>
    <row r="543" ht="12.75" customHeight="1">
      <c r="C543" s="26"/>
      <c r="D543" s="27"/>
    </row>
    <row r="544" ht="12.75" customHeight="1">
      <c r="C544" s="26"/>
      <c r="D544" s="27"/>
    </row>
    <row r="545" ht="12.75" customHeight="1">
      <c r="C545" s="26"/>
      <c r="D545" s="27"/>
    </row>
    <row r="546" ht="12.75" customHeight="1">
      <c r="C546" s="26"/>
      <c r="D546" s="27"/>
    </row>
    <row r="547" ht="12.75" customHeight="1">
      <c r="C547" s="26"/>
      <c r="D547" s="27"/>
    </row>
    <row r="548" ht="12.75" customHeight="1">
      <c r="C548" s="26"/>
      <c r="D548" s="27"/>
    </row>
    <row r="549" ht="12.75" customHeight="1">
      <c r="C549" s="26"/>
      <c r="D549" s="27"/>
    </row>
    <row r="550" ht="12.75" customHeight="1">
      <c r="C550" s="26"/>
      <c r="D550" s="27"/>
    </row>
    <row r="551" ht="12.75" customHeight="1">
      <c r="C551" s="26"/>
      <c r="D551" s="27"/>
    </row>
    <row r="552" ht="12.75" customHeight="1">
      <c r="C552" s="26"/>
      <c r="D552" s="27"/>
    </row>
    <row r="553" ht="12.75" customHeight="1">
      <c r="C553" s="26"/>
      <c r="D553" s="27"/>
    </row>
    <row r="554" ht="12.75" customHeight="1">
      <c r="C554" s="26"/>
      <c r="D554" s="27"/>
    </row>
    <row r="555" ht="12.75" customHeight="1">
      <c r="C555" s="26"/>
      <c r="D555" s="27"/>
    </row>
    <row r="556" ht="12.75" customHeight="1">
      <c r="C556" s="26"/>
      <c r="D556" s="27"/>
    </row>
    <row r="557" ht="12.75" customHeight="1">
      <c r="C557" s="26"/>
      <c r="D557" s="27"/>
    </row>
    <row r="558" ht="12.75" customHeight="1">
      <c r="C558" s="26"/>
      <c r="D558" s="27"/>
    </row>
    <row r="559" ht="12.75" customHeight="1">
      <c r="C559" s="26"/>
      <c r="D559" s="27"/>
    </row>
    <row r="560" ht="12.75" customHeight="1">
      <c r="C560" s="26"/>
      <c r="D560" s="27"/>
    </row>
    <row r="561" ht="12.75" customHeight="1">
      <c r="C561" s="26"/>
      <c r="D561" s="27"/>
    </row>
    <row r="562" ht="12.75" customHeight="1">
      <c r="C562" s="26"/>
      <c r="D562" s="27"/>
    </row>
    <row r="563" ht="12.75" customHeight="1">
      <c r="C563" s="26"/>
      <c r="D563" s="27"/>
    </row>
    <row r="564" ht="12.75" customHeight="1">
      <c r="C564" s="26"/>
      <c r="D564" s="27"/>
    </row>
    <row r="565" ht="12.75" customHeight="1">
      <c r="C565" s="26"/>
      <c r="D565" s="27"/>
    </row>
    <row r="566" ht="12.75" customHeight="1">
      <c r="C566" s="26"/>
      <c r="D566" s="27"/>
    </row>
    <row r="567" ht="12.75" customHeight="1">
      <c r="C567" s="26"/>
      <c r="D567" s="27"/>
    </row>
    <row r="568" ht="12.75" customHeight="1">
      <c r="C568" s="26"/>
      <c r="D568" s="27"/>
    </row>
    <row r="569" ht="12.75" customHeight="1">
      <c r="C569" s="26"/>
      <c r="D569" s="27"/>
    </row>
    <row r="570" ht="12.75" customHeight="1">
      <c r="C570" s="26"/>
      <c r="D570" s="27"/>
    </row>
    <row r="571" ht="12.75" customHeight="1">
      <c r="C571" s="26"/>
      <c r="D571" s="27"/>
    </row>
    <row r="572" ht="12.75" customHeight="1">
      <c r="C572" s="26"/>
      <c r="D572" s="27"/>
    </row>
    <row r="573" ht="12.75" customHeight="1">
      <c r="C573" s="26"/>
      <c r="D573" s="27"/>
    </row>
    <row r="574" ht="12.75" customHeight="1">
      <c r="C574" s="26"/>
      <c r="D574" s="27"/>
    </row>
    <row r="575" ht="12.75" customHeight="1">
      <c r="C575" s="26"/>
      <c r="D575" s="27"/>
    </row>
    <row r="576" ht="12.75" customHeight="1">
      <c r="C576" s="26"/>
      <c r="D576" s="27"/>
    </row>
    <row r="577" ht="12.75" customHeight="1">
      <c r="C577" s="26"/>
      <c r="D577" s="27"/>
    </row>
    <row r="578" ht="12.75" customHeight="1">
      <c r="C578" s="26"/>
      <c r="D578" s="27"/>
    </row>
    <row r="579" ht="12.75" customHeight="1">
      <c r="C579" s="26"/>
      <c r="D579" s="27"/>
    </row>
    <row r="580" ht="12.75" customHeight="1">
      <c r="C580" s="26"/>
      <c r="D580" s="27"/>
    </row>
    <row r="581" ht="12.75" customHeight="1">
      <c r="C581" s="26"/>
      <c r="D581" s="27"/>
    </row>
    <row r="582" ht="12.75" customHeight="1">
      <c r="C582" s="26"/>
      <c r="D582" s="27"/>
    </row>
    <row r="583" ht="12.75" customHeight="1">
      <c r="C583" s="26"/>
      <c r="D583" s="27"/>
    </row>
    <row r="584" ht="12.75" customHeight="1">
      <c r="C584" s="26"/>
      <c r="D584" s="27"/>
    </row>
    <row r="585" ht="12.75" customHeight="1">
      <c r="C585" s="26"/>
      <c r="D585" s="27"/>
    </row>
    <row r="586" ht="12.75" customHeight="1">
      <c r="C586" s="26"/>
      <c r="D586" s="27"/>
    </row>
    <row r="587" ht="12.75" customHeight="1">
      <c r="C587" s="26"/>
      <c r="D587" s="27"/>
    </row>
    <row r="588" ht="12.75" customHeight="1">
      <c r="C588" s="26"/>
      <c r="D588" s="27"/>
    </row>
    <row r="589" ht="12.75" customHeight="1">
      <c r="C589" s="26"/>
      <c r="D589" s="27"/>
    </row>
    <row r="590" ht="12.75" customHeight="1">
      <c r="C590" s="26"/>
      <c r="D590" s="27"/>
    </row>
    <row r="591" ht="12.75" customHeight="1">
      <c r="C591" s="26"/>
      <c r="D591" s="27"/>
    </row>
    <row r="592" ht="12.75" customHeight="1">
      <c r="C592" s="26"/>
      <c r="D592" s="27"/>
    </row>
    <row r="593" ht="12.75" customHeight="1">
      <c r="C593" s="26"/>
      <c r="D593" s="27"/>
    </row>
    <row r="594" ht="12.75" customHeight="1">
      <c r="C594" s="26"/>
      <c r="D594" s="27"/>
    </row>
    <row r="595" ht="12.75" customHeight="1">
      <c r="C595" s="26"/>
      <c r="D595" s="27"/>
    </row>
    <row r="596" ht="12.75" customHeight="1">
      <c r="C596" s="26"/>
      <c r="D596" s="27"/>
    </row>
    <row r="597" ht="12.75" customHeight="1">
      <c r="C597" s="26"/>
      <c r="D597" s="27"/>
    </row>
    <row r="598" ht="12.75" customHeight="1">
      <c r="C598" s="26"/>
      <c r="D598" s="27"/>
    </row>
    <row r="599" ht="12.75" customHeight="1">
      <c r="C599" s="26"/>
      <c r="D599" s="27"/>
    </row>
    <row r="600" ht="12.75" customHeight="1">
      <c r="C600" s="26"/>
      <c r="D600" s="27"/>
    </row>
    <row r="601" ht="12.75" customHeight="1">
      <c r="C601" s="26"/>
      <c r="D601" s="27"/>
    </row>
    <row r="602" ht="12.75" customHeight="1">
      <c r="C602" s="26"/>
      <c r="D602" s="27"/>
    </row>
    <row r="603" ht="12.75" customHeight="1">
      <c r="C603" s="26"/>
      <c r="D603" s="27"/>
    </row>
    <row r="604" ht="12.75" customHeight="1">
      <c r="C604" s="26"/>
      <c r="D604" s="27"/>
    </row>
    <row r="605" ht="12.75" customHeight="1">
      <c r="C605" s="26"/>
      <c r="D605" s="27"/>
    </row>
    <row r="606" ht="12.75" customHeight="1">
      <c r="C606" s="26"/>
      <c r="D606" s="27"/>
    </row>
    <row r="607" ht="12.75" customHeight="1">
      <c r="C607" s="26"/>
      <c r="D607" s="27"/>
    </row>
    <row r="608" ht="12.75" customHeight="1">
      <c r="C608" s="26"/>
      <c r="D608" s="27"/>
    </row>
    <row r="609" ht="12.75" customHeight="1">
      <c r="C609" s="26"/>
      <c r="D609" s="27"/>
    </row>
    <row r="610" ht="12.75" customHeight="1">
      <c r="C610" s="26"/>
      <c r="D610" s="27"/>
    </row>
    <row r="611" ht="12.75" customHeight="1">
      <c r="C611" s="26"/>
      <c r="D611" s="27"/>
    </row>
    <row r="612" ht="12.75" customHeight="1">
      <c r="C612" s="26"/>
      <c r="D612" s="27"/>
    </row>
    <row r="613" ht="12.75" customHeight="1">
      <c r="C613" s="26"/>
      <c r="D613" s="27"/>
    </row>
    <row r="614" ht="12.75" customHeight="1">
      <c r="C614" s="26"/>
      <c r="D614" s="27"/>
    </row>
    <row r="615" ht="12.75" customHeight="1">
      <c r="C615" s="26"/>
      <c r="D615" s="27"/>
    </row>
    <row r="616" ht="12.75" customHeight="1">
      <c r="C616" s="26"/>
      <c r="D616" s="27"/>
    </row>
    <row r="617" ht="12.75" customHeight="1">
      <c r="C617" s="26"/>
      <c r="D617" s="27"/>
    </row>
    <row r="618" ht="12.75" customHeight="1">
      <c r="C618" s="26"/>
      <c r="D618" s="27"/>
    </row>
    <row r="619" ht="12.75" customHeight="1">
      <c r="C619" s="26"/>
      <c r="D619" s="27"/>
    </row>
    <row r="620" ht="12.75" customHeight="1">
      <c r="C620" s="26"/>
      <c r="D620" s="27"/>
    </row>
    <row r="621" ht="12.75" customHeight="1">
      <c r="C621" s="26"/>
      <c r="D621" s="27"/>
    </row>
    <row r="622" ht="12.75" customHeight="1">
      <c r="C622" s="26"/>
      <c r="D622" s="27"/>
    </row>
    <row r="623" ht="12.75" customHeight="1">
      <c r="C623" s="26"/>
      <c r="D623" s="27"/>
    </row>
    <row r="624" ht="12.75" customHeight="1">
      <c r="C624" s="26"/>
      <c r="D624" s="27"/>
    </row>
    <row r="625" ht="12.75" customHeight="1">
      <c r="C625" s="26"/>
      <c r="D625" s="27"/>
    </row>
    <row r="626" ht="12.75" customHeight="1">
      <c r="C626" s="26"/>
      <c r="D626" s="27"/>
    </row>
    <row r="627" ht="12.75" customHeight="1">
      <c r="C627" s="26"/>
      <c r="D627" s="27"/>
    </row>
    <row r="628" ht="12.75" customHeight="1">
      <c r="C628" s="26"/>
      <c r="D628" s="27"/>
    </row>
    <row r="629" ht="12.75" customHeight="1">
      <c r="C629" s="26"/>
      <c r="D629" s="27"/>
    </row>
    <row r="630" ht="12.75" customHeight="1">
      <c r="C630" s="26"/>
      <c r="D630" s="27"/>
    </row>
    <row r="631" ht="12.75" customHeight="1">
      <c r="C631" s="26"/>
      <c r="D631" s="27"/>
    </row>
    <row r="632" ht="12.75" customHeight="1">
      <c r="C632" s="26"/>
      <c r="D632" s="27"/>
    </row>
    <row r="633" ht="12.75" customHeight="1">
      <c r="C633" s="26"/>
      <c r="D633" s="27"/>
    </row>
    <row r="634" ht="12.75" customHeight="1">
      <c r="C634" s="26"/>
      <c r="D634" s="27"/>
    </row>
    <row r="635" ht="12.75" customHeight="1">
      <c r="C635" s="26"/>
      <c r="D635" s="27"/>
    </row>
    <row r="636" ht="12.75" customHeight="1">
      <c r="C636" s="26"/>
      <c r="D636" s="27"/>
    </row>
    <row r="637" ht="12.75" customHeight="1">
      <c r="C637" s="26"/>
      <c r="D637" s="27"/>
    </row>
    <row r="638" ht="12.75" customHeight="1">
      <c r="C638" s="26"/>
      <c r="D638" s="27"/>
    </row>
    <row r="639" ht="12.75" customHeight="1">
      <c r="C639" s="26"/>
      <c r="D639" s="27"/>
    </row>
    <row r="640" ht="12.75" customHeight="1">
      <c r="C640" s="26"/>
      <c r="D640" s="27"/>
    </row>
    <row r="641" ht="12.75" customHeight="1">
      <c r="C641" s="26"/>
      <c r="D641" s="27"/>
    </row>
    <row r="642" ht="12.75" customHeight="1">
      <c r="C642" s="26"/>
      <c r="D642" s="27"/>
    </row>
    <row r="643" ht="12.75" customHeight="1">
      <c r="C643" s="26"/>
      <c r="D643" s="27"/>
    </row>
    <row r="644" ht="12.75" customHeight="1">
      <c r="C644" s="26"/>
      <c r="D644" s="27"/>
    </row>
    <row r="645" ht="12.75" customHeight="1">
      <c r="C645" s="26"/>
      <c r="D645" s="27"/>
    </row>
    <row r="646" ht="12.75" customHeight="1">
      <c r="C646" s="26"/>
      <c r="D646" s="27"/>
    </row>
    <row r="647" ht="12.75" customHeight="1">
      <c r="C647" s="26"/>
      <c r="D647" s="27"/>
    </row>
    <row r="648" ht="12.75" customHeight="1">
      <c r="C648" s="26"/>
      <c r="D648" s="27"/>
    </row>
    <row r="649" ht="12.75" customHeight="1">
      <c r="C649" s="26"/>
      <c r="D649" s="27"/>
    </row>
    <row r="650" ht="12.75" customHeight="1">
      <c r="C650" s="26"/>
      <c r="D650" s="27"/>
    </row>
    <row r="651" ht="12.75" customHeight="1">
      <c r="C651" s="26"/>
      <c r="D651" s="27"/>
    </row>
    <row r="652" ht="12.75" customHeight="1">
      <c r="C652" s="26"/>
      <c r="D652" s="27"/>
    </row>
    <row r="653" ht="12.75" customHeight="1">
      <c r="C653" s="26"/>
      <c r="D653" s="27"/>
    </row>
    <row r="654" ht="12.75" customHeight="1">
      <c r="C654" s="26"/>
      <c r="D654" s="27"/>
    </row>
    <row r="655" ht="12.75" customHeight="1">
      <c r="C655" s="26"/>
      <c r="D655" s="27"/>
    </row>
    <row r="656" ht="12.75" customHeight="1">
      <c r="C656" s="26"/>
      <c r="D656" s="27"/>
    </row>
    <row r="657" ht="12.75" customHeight="1">
      <c r="C657" s="26"/>
      <c r="D657" s="27"/>
    </row>
    <row r="658" ht="12.75" customHeight="1">
      <c r="C658" s="26"/>
      <c r="D658" s="27"/>
    </row>
    <row r="659" ht="12.75" customHeight="1">
      <c r="C659" s="26"/>
      <c r="D659" s="27"/>
    </row>
    <row r="660" ht="12.75" customHeight="1">
      <c r="C660" s="26"/>
      <c r="D660" s="27"/>
    </row>
    <row r="661" ht="12.75" customHeight="1">
      <c r="C661" s="26"/>
      <c r="D661" s="27"/>
    </row>
    <row r="662" ht="12.75" customHeight="1">
      <c r="C662" s="26"/>
      <c r="D662" s="27"/>
    </row>
    <row r="663" ht="12.75" customHeight="1">
      <c r="C663" s="26"/>
      <c r="D663" s="27"/>
    </row>
    <row r="664" ht="12.75" customHeight="1">
      <c r="C664" s="26"/>
      <c r="D664" s="27"/>
    </row>
    <row r="665" ht="12.75" customHeight="1">
      <c r="C665" s="26"/>
      <c r="D665" s="27"/>
    </row>
    <row r="666" ht="12.75" customHeight="1">
      <c r="C666" s="26"/>
      <c r="D666" s="27"/>
    </row>
    <row r="667" ht="12.75" customHeight="1">
      <c r="C667" s="26"/>
      <c r="D667" s="27"/>
    </row>
    <row r="668" ht="12.75" customHeight="1">
      <c r="C668" s="26"/>
      <c r="D668" s="27"/>
    </row>
    <row r="669" ht="12.75" customHeight="1">
      <c r="C669" s="26"/>
      <c r="D669" s="27"/>
    </row>
    <row r="670" ht="12.75" customHeight="1">
      <c r="C670" s="26"/>
      <c r="D670" s="27"/>
    </row>
    <row r="671" ht="12.75" customHeight="1">
      <c r="C671" s="26"/>
      <c r="D671" s="27"/>
    </row>
    <row r="672" ht="12.75" customHeight="1">
      <c r="C672" s="26"/>
      <c r="D672" s="27"/>
    </row>
    <row r="673" ht="12.75" customHeight="1">
      <c r="C673" s="26"/>
      <c r="D673" s="27"/>
    </row>
    <row r="674" ht="12.75" customHeight="1">
      <c r="C674" s="26"/>
      <c r="D674" s="27"/>
    </row>
    <row r="675" ht="12.75" customHeight="1">
      <c r="C675" s="26"/>
      <c r="D675" s="27"/>
    </row>
    <row r="676" ht="12.75" customHeight="1">
      <c r="C676" s="26"/>
      <c r="D676" s="27"/>
    </row>
    <row r="677" ht="12.75" customHeight="1">
      <c r="C677" s="26"/>
      <c r="D677" s="27"/>
    </row>
    <row r="678" ht="12.75" customHeight="1">
      <c r="C678" s="26"/>
      <c r="D678" s="27"/>
    </row>
    <row r="679" ht="12.75" customHeight="1">
      <c r="C679" s="26"/>
      <c r="D679" s="27"/>
    </row>
    <row r="680" ht="12.75" customHeight="1">
      <c r="C680" s="26"/>
      <c r="D680" s="27"/>
    </row>
    <row r="681" ht="12.75" customHeight="1">
      <c r="C681" s="26"/>
      <c r="D681" s="27"/>
    </row>
    <row r="682" ht="12.75" customHeight="1">
      <c r="C682" s="26"/>
      <c r="D682" s="27"/>
    </row>
    <row r="683" ht="12.75" customHeight="1">
      <c r="C683" s="26"/>
      <c r="D683" s="27"/>
    </row>
    <row r="684" ht="12.75" customHeight="1">
      <c r="C684" s="26"/>
      <c r="D684" s="27"/>
    </row>
    <row r="685" ht="12.75" customHeight="1">
      <c r="C685" s="26"/>
      <c r="D685" s="27"/>
    </row>
    <row r="686" ht="12.75" customHeight="1">
      <c r="C686" s="26"/>
      <c r="D686" s="27"/>
    </row>
    <row r="687" ht="12.75" customHeight="1">
      <c r="C687" s="26"/>
      <c r="D687" s="27"/>
    </row>
    <row r="688" ht="12.75" customHeight="1">
      <c r="C688" s="26"/>
      <c r="D688" s="27"/>
    </row>
    <row r="689" ht="12.75" customHeight="1">
      <c r="C689" s="26"/>
      <c r="D689" s="27"/>
    </row>
    <row r="690" ht="12.75" customHeight="1">
      <c r="C690" s="26"/>
      <c r="D690" s="27"/>
    </row>
    <row r="691" ht="12.75" customHeight="1">
      <c r="C691" s="26"/>
      <c r="D691" s="27"/>
    </row>
    <row r="692" ht="12.75" customHeight="1">
      <c r="C692" s="26"/>
      <c r="D692" s="27"/>
    </row>
    <row r="693" ht="12.75" customHeight="1">
      <c r="C693" s="26"/>
      <c r="D693" s="27"/>
    </row>
    <row r="694" ht="12.75" customHeight="1">
      <c r="C694" s="26"/>
      <c r="D694" s="27"/>
    </row>
    <row r="695" ht="12.75" customHeight="1">
      <c r="C695" s="26"/>
      <c r="D695" s="27"/>
    </row>
    <row r="696" ht="12.75" customHeight="1">
      <c r="C696" s="26"/>
      <c r="D696" s="27"/>
    </row>
    <row r="697" ht="12.75" customHeight="1">
      <c r="C697" s="26"/>
      <c r="D697" s="27"/>
    </row>
    <row r="698" ht="12.75" customHeight="1">
      <c r="C698" s="26"/>
      <c r="D698" s="27"/>
    </row>
    <row r="699" ht="12.75" customHeight="1">
      <c r="C699" s="26"/>
      <c r="D699" s="27"/>
    </row>
    <row r="700" ht="12.75" customHeight="1">
      <c r="C700" s="26"/>
      <c r="D700" s="27"/>
    </row>
    <row r="701" ht="12.75" customHeight="1">
      <c r="C701" s="26"/>
      <c r="D701" s="27"/>
    </row>
    <row r="702" ht="12.75" customHeight="1">
      <c r="C702" s="26"/>
      <c r="D702" s="27"/>
    </row>
    <row r="703" ht="12.75" customHeight="1">
      <c r="C703" s="26"/>
      <c r="D703" s="27"/>
    </row>
    <row r="704" ht="12.75" customHeight="1">
      <c r="C704" s="26"/>
      <c r="D704" s="27"/>
    </row>
    <row r="705" ht="12.75" customHeight="1">
      <c r="C705" s="26"/>
      <c r="D705" s="27"/>
    </row>
    <row r="706" ht="12.75" customHeight="1">
      <c r="C706" s="26"/>
      <c r="D706" s="27"/>
    </row>
    <row r="707" ht="12.75" customHeight="1">
      <c r="C707" s="26"/>
      <c r="D707" s="27"/>
    </row>
    <row r="708" ht="12.75" customHeight="1">
      <c r="C708" s="26"/>
      <c r="D708" s="27"/>
    </row>
    <row r="709" ht="12.75" customHeight="1">
      <c r="C709" s="26"/>
      <c r="D709" s="27"/>
    </row>
    <row r="710" ht="12.75" customHeight="1">
      <c r="C710" s="26"/>
      <c r="D710" s="27"/>
    </row>
    <row r="711" ht="12.75" customHeight="1">
      <c r="C711" s="26"/>
      <c r="D711" s="27"/>
    </row>
    <row r="712" ht="12.75" customHeight="1">
      <c r="C712" s="26"/>
      <c r="D712" s="27"/>
    </row>
    <row r="713" ht="12.75" customHeight="1">
      <c r="C713" s="26"/>
      <c r="D713" s="27"/>
    </row>
    <row r="714" ht="12.75" customHeight="1">
      <c r="C714" s="26"/>
      <c r="D714" s="27"/>
    </row>
    <row r="715" ht="12.75" customHeight="1">
      <c r="C715" s="26"/>
      <c r="D715" s="27"/>
    </row>
    <row r="716" ht="12.75" customHeight="1">
      <c r="C716" s="26"/>
      <c r="D716" s="27"/>
    </row>
    <row r="717" ht="12.75" customHeight="1">
      <c r="C717" s="26"/>
      <c r="D717" s="27"/>
    </row>
    <row r="718" ht="12.75" customHeight="1">
      <c r="C718" s="26"/>
      <c r="D718" s="27"/>
    </row>
    <row r="719" ht="12.75" customHeight="1">
      <c r="C719" s="26"/>
      <c r="D719" s="27"/>
    </row>
    <row r="720" ht="12.75" customHeight="1">
      <c r="C720" s="26"/>
      <c r="D720" s="27"/>
    </row>
    <row r="721" ht="12.75" customHeight="1">
      <c r="C721" s="26"/>
      <c r="D721" s="27"/>
    </row>
    <row r="722" ht="12.75" customHeight="1">
      <c r="C722" s="26"/>
      <c r="D722" s="27"/>
    </row>
    <row r="723" ht="12.75" customHeight="1">
      <c r="C723" s="26"/>
      <c r="D723" s="27"/>
    </row>
    <row r="724" ht="12.75" customHeight="1">
      <c r="C724" s="26"/>
      <c r="D724" s="27"/>
    </row>
    <row r="725" ht="12.75" customHeight="1">
      <c r="C725" s="26"/>
      <c r="D725" s="27"/>
    </row>
    <row r="726" ht="12.75" customHeight="1">
      <c r="C726" s="26"/>
      <c r="D726" s="27"/>
    </row>
    <row r="727" ht="12.75" customHeight="1">
      <c r="C727" s="26"/>
      <c r="D727" s="27"/>
    </row>
    <row r="728" ht="12.75" customHeight="1">
      <c r="C728" s="26"/>
      <c r="D728" s="27"/>
    </row>
    <row r="729" ht="12.75" customHeight="1">
      <c r="C729" s="26"/>
      <c r="D729" s="27"/>
    </row>
    <row r="730" ht="12.75" customHeight="1">
      <c r="C730" s="26"/>
      <c r="D730" s="27"/>
    </row>
    <row r="731" ht="12.75" customHeight="1">
      <c r="C731" s="26"/>
      <c r="D731" s="27"/>
    </row>
    <row r="732" ht="12.75" customHeight="1">
      <c r="C732" s="26"/>
      <c r="D732" s="27"/>
    </row>
    <row r="733" ht="12.75" customHeight="1">
      <c r="C733" s="26"/>
      <c r="D733" s="27"/>
    </row>
    <row r="734" ht="12.75" customHeight="1">
      <c r="C734" s="26"/>
      <c r="D734" s="27"/>
    </row>
    <row r="735" ht="12.75" customHeight="1">
      <c r="C735" s="26"/>
      <c r="D735" s="27"/>
    </row>
    <row r="736" ht="12.75" customHeight="1">
      <c r="C736" s="26"/>
      <c r="D736" s="27"/>
    </row>
    <row r="737" ht="12.75" customHeight="1">
      <c r="C737" s="26"/>
      <c r="D737" s="27"/>
    </row>
    <row r="738" ht="12.75" customHeight="1">
      <c r="C738" s="26"/>
      <c r="D738" s="27"/>
    </row>
    <row r="739" ht="12.75" customHeight="1">
      <c r="C739" s="26"/>
      <c r="D739" s="27"/>
    </row>
    <row r="740" ht="12.75" customHeight="1">
      <c r="C740" s="26"/>
      <c r="D740" s="27"/>
    </row>
    <row r="741" ht="12.75" customHeight="1">
      <c r="C741" s="26"/>
      <c r="D741" s="27"/>
    </row>
    <row r="742" ht="12.75" customHeight="1">
      <c r="C742" s="26"/>
      <c r="D742" s="27"/>
    </row>
    <row r="743" ht="12.75" customHeight="1">
      <c r="C743" s="26"/>
      <c r="D743" s="27"/>
    </row>
    <row r="744" ht="12.75" customHeight="1">
      <c r="C744" s="26"/>
      <c r="D744" s="27"/>
    </row>
    <row r="745" ht="12.75" customHeight="1">
      <c r="C745" s="26"/>
      <c r="D745" s="27"/>
    </row>
    <row r="746" ht="12.75" customHeight="1">
      <c r="C746" s="26"/>
      <c r="D746" s="27"/>
    </row>
    <row r="747" ht="12.75" customHeight="1">
      <c r="C747" s="26"/>
      <c r="D747" s="27"/>
    </row>
    <row r="748" ht="12.75" customHeight="1">
      <c r="C748" s="26"/>
      <c r="D748" s="27"/>
    </row>
    <row r="749" ht="12.75" customHeight="1">
      <c r="C749" s="26"/>
      <c r="D749" s="27"/>
    </row>
    <row r="750" ht="12.75" customHeight="1">
      <c r="C750" s="26"/>
      <c r="D750" s="27"/>
    </row>
    <row r="751" ht="12.75" customHeight="1">
      <c r="C751" s="26"/>
      <c r="D751" s="27"/>
    </row>
    <row r="752" ht="12.75" customHeight="1">
      <c r="C752" s="26"/>
      <c r="D752" s="27"/>
    </row>
    <row r="753" ht="12.75" customHeight="1">
      <c r="C753" s="26"/>
      <c r="D753" s="27"/>
    </row>
    <row r="754" ht="12.75" customHeight="1">
      <c r="C754" s="26"/>
      <c r="D754" s="27"/>
    </row>
    <row r="755" ht="12.75" customHeight="1">
      <c r="C755" s="26"/>
      <c r="D755" s="27"/>
    </row>
    <row r="756" ht="12.75" customHeight="1">
      <c r="C756" s="26"/>
      <c r="D756" s="27"/>
    </row>
    <row r="757" ht="12.75" customHeight="1">
      <c r="C757" s="26"/>
      <c r="D757" s="27"/>
    </row>
    <row r="758" ht="12.75" customHeight="1">
      <c r="C758" s="26"/>
      <c r="D758" s="27"/>
    </row>
    <row r="759" ht="12.75" customHeight="1">
      <c r="C759" s="26"/>
      <c r="D759" s="27"/>
    </row>
    <row r="760" ht="12.75" customHeight="1">
      <c r="C760" s="26"/>
      <c r="D760" s="27"/>
    </row>
    <row r="761" ht="12.75" customHeight="1">
      <c r="C761" s="26"/>
      <c r="D761" s="27"/>
    </row>
    <row r="762" ht="12.75" customHeight="1">
      <c r="C762" s="26"/>
      <c r="D762" s="27"/>
    </row>
    <row r="763" ht="12.75" customHeight="1">
      <c r="C763" s="26"/>
      <c r="D763" s="27"/>
    </row>
    <row r="764" ht="12.75" customHeight="1">
      <c r="C764" s="26"/>
      <c r="D764" s="27"/>
    </row>
    <row r="765" ht="12.75" customHeight="1">
      <c r="C765" s="26"/>
      <c r="D765" s="27"/>
    </row>
    <row r="766" ht="12.75" customHeight="1">
      <c r="C766" s="26"/>
      <c r="D766" s="27"/>
    </row>
    <row r="767" ht="12.75" customHeight="1">
      <c r="C767" s="26"/>
      <c r="D767" s="27"/>
    </row>
    <row r="768" ht="12.75" customHeight="1">
      <c r="C768" s="26"/>
      <c r="D768" s="27"/>
    </row>
    <row r="769" ht="12.75" customHeight="1">
      <c r="C769" s="26"/>
      <c r="D769" s="27"/>
    </row>
    <row r="770" ht="12.75" customHeight="1">
      <c r="C770" s="26"/>
      <c r="D770" s="27"/>
    </row>
    <row r="771" ht="12.75" customHeight="1">
      <c r="C771" s="26"/>
      <c r="D771" s="27"/>
    </row>
    <row r="772" ht="12.75" customHeight="1">
      <c r="C772" s="26"/>
      <c r="D772" s="27"/>
    </row>
    <row r="773" ht="12.75" customHeight="1">
      <c r="C773" s="26"/>
      <c r="D773" s="27"/>
    </row>
    <row r="774" ht="12.75" customHeight="1">
      <c r="C774" s="26"/>
      <c r="D774" s="27"/>
    </row>
    <row r="775" ht="12.75" customHeight="1">
      <c r="C775" s="26"/>
      <c r="D775" s="27"/>
    </row>
    <row r="776" ht="12.75" customHeight="1">
      <c r="C776" s="26"/>
      <c r="D776" s="27"/>
    </row>
    <row r="777" ht="12.75" customHeight="1">
      <c r="C777" s="26"/>
      <c r="D777" s="27"/>
    </row>
    <row r="778" ht="12.75" customHeight="1">
      <c r="C778" s="26"/>
      <c r="D778" s="27"/>
    </row>
    <row r="779" ht="12.75" customHeight="1">
      <c r="C779" s="26"/>
      <c r="D779" s="27"/>
    </row>
    <row r="780" ht="12.75" customHeight="1">
      <c r="C780" s="26"/>
      <c r="D780" s="27"/>
    </row>
    <row r="781" ht="12.75" customHeight="1">
      <c r="C781" s="26"/>
      <c r="D781" s="27"/>
    </row>
    <row r="782" ht="12.75" customHeight="1">
      <c r="C782" s="26"/>
      <c r="D782" s="27"/>
    </row>
    <row r="783" ht="12.75" customHeight="1">
      <c r="C783" s="26"/>
      <c r="D783" s="27"/>
    </row>
    <row r="784" ht="12.75" customHeight="1">
      <c r="C784" s="26"/>
      <c r="D784" s="27"/>
    </row>
    <row r="785" ht="12.75" customHeight="1">
      <c r="C785" s="26"/>
      <c r="D785" s="27"/>
    </row>
    <row r="786" ht="12.75" customHeight="1">
      <c r="C786" s="26"/>
      <c r="D786" s="27"/>
    </row>
    <row r="787" ht="12.75" customHeight="1">
      <c r="C787" s="26"/>
      <c r="D787" s="27"/>
    </row>
    <row r="788" ht="12.75" customHeight="1">
      <c r="C788" s="26"/>
      <c r="D788" s="27"/>
    </row>
    <row r="789" ht="12.75" customHeight="1">
      <c r="C789" s="26"/>
      <c r="D789" s="27"/>
    </row>
    <row r="790" ht="12.75" customHeight="1">
      <c r="C790" s="26"/>
      <c r="D790" s="27"/>
    </row>
    <row r="791" ht="12.75" customHeight="1">
      <c r="C791" s="26"/>
      <c r="D791" s="27"/>
    </row>
    <row r="792" ht="12.75" customHeight="1">
      <c r="C792" s="26"/>
      <c r="D792" s="27"/>
    </row>
    <row r="793" ht="12.75" customHeight="1">
      <c r="C793" s="26"/>
      <c r="D793" s="27"/>
    </row>
    <row r="794" ht="12.75" customHeight="1">
      <c r="C794" s="26"/>
      <c r="D794" s="27"/>
    </row>
    <row r="795" ht="12.75" customHeight="1">
      <c r="C795" s="26"/>
      <c r="D795" s="27"/>
    </row>
    <row r="796" ht="12.75" customHeight="1">
      <c r="C796" s="26"/>
      <c r="D796" s="27"/>
    </row>
    <row r="797" ht="12.75" customHeight="1">
      <c r="C797" s="26"/>
      <c r="D797" s="27"/>
    </row>
    <row r="798" ht="12.75" customHeight="1">
      <c r="C798" s="26"/>
      <c r="D798" s="27"/>
    </row>
    <row r="799" ht="12.75" customHeight="1">
      <c r="C799" s="26"/>
      <c r="D799" s="27"/>
    </row>
    <row r="800" ht="12.75" customHeight="1">
      <c r="C800" s="26"/>
      <c r="D800" s="27"/>
    </row>
    <row r="801" ht="12.75" customHeight="1">
      <c r="C801" s="26"/>
      <c r="D801" s="27"/>
    </row>
    <row r="802" ht="12.75" customHeight="1">
      <c r="C802" s="26"/>
      <c r="D802" s="27"/>
    </row>
    <row r="803" ht="12.75" customHeight="1">
      <c r="C803" s="26"/>
      <c r="D803" s="27"/>
    </row>
    <row r="804" ht="12.75" customHeight="1">
      <c r="C804" s="26"/>
      <c r="D804" s="27"/>
    </row>
    <row r="805" ht="12.75" customHeight="1">
      <c r="C805" s="26"/>
      <c r="D805" s="27"/>
    </row>
    <row r="806" ht="12.75" customHeight="1">
      <c r="C806" s="26"/>
      <c r="D806" s="27"/>
    </row>
    <row r="807" ht="12.75" customHeight="1">
      <c r="C807" s="26"/>
      <c r="D807" s="27"/>
    </row>
    <row r="808" ht="12.75" customHeight="1">
      <c r="C808" s="26"/>
      <c r="D808" s="27"/>
    </row>
    <row r="809" ht="12.75" customHeight="1">
      <c r="C809" s="26"/>
      <c r="D809" s="27"/>
    </row>
    <row r="810" ht="12.75" customHeight="1">
      <c r="C810" s="26"/>
      <c r="D810" s="27"/>
    </row>
    <row r="811" ht="12.75" customHeight="1">
      <c r="C811" s="26"/>
      <c r="D811" s="27"/>
    </row>
    <row r="812" ht="12.75" customHeight="1">
      <c r="C812" s="26"/>
      <c r="D812" s="27"/>
    </row>
    <row r="813" ht="12.75" customHeight="1">
      <c r="C813" s="26"/>
      <c r="D813" s="27"/>
    </row>
    <row r="814" ht="12.75" customHeight="1">
      <c r="C814" s="26"/>
      <c r="D814" s="27"/>
    </row>
    <row r="815" ht="12.75" customHeight="1">
      <c r="C815" s="26"/>
      <c r="D815" s="27"/>
    </row>
    <row r="816" ht="12.75" customHeight="1">
      <c r="C816" s="26"/>
      <c r="D816" s="27"/>
    </row>
    <row r="817" ht="12.75" customHeight="1">
      <c r="C817" s="26"/>
      <c r="D817" s="27"/>
    </row>
    <row r="818" ht="12.75" customHeight="1">
      <c r="C818" s="26"/>
      <c r="D818" s="27"/>
    </row>
    <row r="819" ht="12.75" customHeight="1">
      <c r="C819" s="26"/>
      <c r="D819" s="27"/>
    </row>
    <row r="820" ht="12.75" customHeight="1">
      <c r="C820" s="26"/>
      <c r="D820" s="27"/>
    </row>
    <row r="821" ht="12.75" customHeight="1">
      <c r="C821" s="26"/>
      <c r="D821" s="27"/>
    </row>
    <row r="822" ht="12.75" customHeight="1">
      <c r="C822" s="26"/>
      <c r="D822" s="27"/>
    </row>
    <row r="823" ht="12.75" customHeight="1">
      <c r="C823" s="26"/>
      <c r="D823" s="27"/>
    </row>
    <row r="824" ht="12.75" customHeight="1">
      <c r="C824" s="26"/>
      <c r="D824" s="27"/>
    </row>
    <row r="825" ht="12.75" customHeight="1">
      <c r="C825" s="26"/>
      <c r="D825" s="27"/>
    </row>
    <row r="826" ht="12.75" customHeight="1">
      <c r="C826" s="26"/>
      <c r="D826" s="27"/>
    </row>
    <row r="827" ht="12.75" customHeight="1">
      <c r="C827" s="26"/>
      <c r="D827" s="27"/>
    </row>
    <row r="828" ht="12.75" customHeight="1">
      <c r="C828" s="26"/>
      <c r="D828" s="27"/>
    </row>
    <row r="829" ht="12.75" customHeight="1">
      <c r="C829" s="26"/>
      <c r="D829" s="27"/>
    </row>
    <row r="830" ht="12.75" customHeight="1">
      <c r="C830" s="26"/>
      <c r="D830" s="27"/>
    </row>
    <row r="831" ht="12.75" customHeight="1">
      <c r="C831" s="26"/>
      <c r="D831" s="27"/>
    </row>
    <row r="832" ht="12.75" customHeight="1">
      <c r="C832" s="26"/>
      <c r="D832" s="27"/>
    </row>
    <row r="833" ht="12.75" customHeight="1">
      <c r="C833" s="26"/>
      <c r="D833" s="27"/>
    </row>
    <row r="834" ht="12.75" customHeight="1">
      <c r="C834" s="26"/>
      <c r="D834" s="27"/>
    </row>
    <row r="835" ht="12.75" customHeight="1">
      <c r="C835" s="26"/>
      <c r="D835" s="27"/>
    </row>
    <row r="836" ht="12.75" customHeight="1">
      <c r="C836" s="26"/>
      <c r="D836" s="27"/>
    </row>
    <row r="837" ht="12.75" customHeight="1">
      <c r="C837" s="26"/>
      <c r="D837" s="27"/>
    </row>
    <row r="838" ht="12.75" customHeight="1">
      <c r="C838" s="26"/>
      <c r="D838" s="27"/>
    </row>
    <row r="839" ht="12.75" customHeight="1">
      <c r="C839" s="26"/>
      <c r="D839" s="27"/>
    </row>
    <row r="840" ht="12.75" customHeight="1">
      <c r="C840" s="26"/>
      <c r="D840" s="27"/>
    </row>
    <row r="841" ht="12.75" customHeight="1">
      <c r="C841" s="26"/>
      <c r="D841" s="27"/>
    </row>
    <row r="842" ht="12.75" customHeight="1">
      <c r="C842" s="26"/>
      <c r="D842" s="27"/>
    </row>
    <row r="843" ht="12.75" customHeight="1">
      <c r="C843" s="26"/>
      <c r="D843" s="27"/>
    </row>
    <row r="844" ht="12.75" customHeight="1">
      <c r="C844" s="26"/>
      <c r="D844" s="27"/>
    </row>
    <row r="845" ht="12.75" customHeight="1">
      <c r="C845" s="26"/>
      <c r="D845" s="27"/>
    </row>
    <row r="846" ht="12.75" customHeight="1">
      <c r="C846" s="26"/>
      <c r="D846" s="27"/>
    </row>
    <row r="847" ht="12.75" customHeight="1">
      <c r="C847" s="26"/>
      <c r="D847" s="27"/>
    </row>
    <row r="848" ht="12.75" customHeight="1">
      <c r="C848" s="26"/>
      <c r="D848" s="27"/>
    </row>
    <row r="849" ht="12.75" customHeight="1">
      <c r="C849" s="26"/>
      <c r="D849" s="27"/>
    </row>
    <row r="850" ht="12.75" customHeight="1">
      <c r="C850" s="26"/>
      <c r="D850" s="27"/>
    </row>
    <row r="851" ht="12.75" customHeight="1">
      <c r="C851" s="26"/>
      <c r="D851" s="27"/>
    </row>
    <row r="852" ht="12.75" customHeight="1">
      <c r="C852" s="26"/>
      <c r="D852" s="27"/>
    </row>
    <row r="853" ht="12.75" customHeight="1">
      <c r="C853" s="26"/>
      <c r="D853" s="27"/>
    </row>
    <row r="854" ht="12.75" customHeight="1">
      <c r="C854" s="26"/>
      <c r="D854" s="27"/>
    </row>
    <row r="855" ht="12.75" customHeight="1">
      <c r="C855" s="26"/>
      <c r="D855" s="27"/>
    </row>
    <row r="856" ht="12.75" customHeight="1">
      <c r="C856" s="26"/>
      <c r="D856" s="27"/>
    </row>
    <row r="857" ht="12.75" customHeight="1">
      <c r="C857" s="26"/>
      <c r="D857" s="27"/>
    </row>
    <row r="858" ht="12.75" customHeight="1">
      <c r="C858" s="26"/>
      <c r="D858" s="27"/>
    </row>
    <row r="859" ht="12.75" customHeight="1">
      <c r="C859" s="26"/>
      <c r="D859" s="27"/>
    </row>
    <row r="860" ht="12.75" customHeight="1">
      <c r="C860" s="26"/>
      <c r="D860" s="27"/>
    </row>
    <row r="861" ht="12.75" customHeight="1">
      <c r="C861" s="26"/>
      <c r="D861" s="27"/>
    </row>
    <row r="862" ht="12.75" customHeight="1">
      <c r="C862" s="26"/>
      <c r="D862" s="27"/>
    </row>
    <row r="863" ht="12.75" customHeight="1">
      <c r="C863" s="26"/>
      <c r="D863" s="27"/>
    </row>
    <row r="864" ht="12.75" customHeight="1">
      <c r="C864" s="26"/>
      <c r="D864" s="27"/>
    </row>
    <row r="865" ht="12.75" customHeight="1">
      <c r="C865" s="26"/>
      <c r="D865" s="27"/>
    </row>
    <row r="866" ht="12.75" customHeight="1">
      <c r="C866" s="26"/>
      <c r="D866" s="27"/>
    </row>
    <row r="867" ht="12.75" customHeight="1">
      <c r="C867" s="26"/>
      <c r="D867" s="27"/>
    </row>
    <row r="868" ht="12.75" customHeight="1">
      <c r="C868" s="26"/>
      <c r="D868" s="27"/>
    </row>
    <row r="869" ht="12.75" customHeight="1">
      <c r="C869" s="26"/>
      <c r="D869" s="27"/>
    </row>
    <row r="870" ht="12.75" customHeight="1">
      <c r="C870" s="26"/>
      <c r="D870" s="27"/>
    </row>
    <row r="871" ht="12.75" customHeight="1">
      <c r="C871" s="26"/>
      <c r="D871" s="27"/>
    </row>
    <row r="872" ht="12.75" customHeight="1">
      <c r="C872" s="26"/>
      <c r="D872" s="27"/>
    </row>
    <row r="873" ht="12.75" customHeight="1">
      <c r="C873" s="26"/>
      <c r="D873" s="27"/>
    </row>
    <row r="874" ht="12.75" customHeight="1">
      <c r="C874" s="26"/>
      <c r="D874" s="27"/>
    </row>
    <row r="875" ht="12.75" customHeight="1">
      <c r="C875" s="26"/>
      <c r="D875" s="27"/>
    </row>
    <row r="876" ht="12.75" customHeight="1">
      <c r="C876" s="26"/>
      <c r="D876" s="27"/>
    </row>
    <row r="877" ht="12.75" customHeight="1">
      <c r="C877" s="26"/>
      <c r="D877" s="27"/>
    </row>
    <row r="878" ht="12.75" customHeight="1">
      <c r="C878" s="26"/>
      <c r="D878" s="27"/>
    </row>
    <row r="879" ht="12.75" customHeight="1">
      <c r="C879" s="26"/>
      <c r="D879" s="27"/>
    </row>
    <row r="880" ht="12.75" customHeight="1">
      <c r="C880" s="26"/>
      <c r="D880" s="27"/>
    </row>
    <row r="881" ht="12.75" customHeight="1">
      <c r="C881" s="26"/>
      <c r="D881" s="27"/>
    </row>
    <row r="882" ht="12.75" customHeight="1">
      <c r="C882" s="26"/>
      <c r="D882" s="27"/>
    </row>
    <row r="883" ht="12.75" customHeight="1">
      <c r="C883" s="26"/>
      <c r="D883" s="27"/>
    </row>
    <row r="884" ht="12.75" customHeight="1">
      <c r="C884" s="26"/>
      <c r="D884" s="27"/>
    </row>
    <row r="885" ht="12.75" customHeight="1">
      <c r="C885" s="26"/>
      <c r="D885" s="27"/>
    </row>
    <row r="886" ht="12.75" customHeight="1">
      <c r="C886" s="26"/>
      <c r="D886" s="27"/>
    </row>
    <row r="887" ht="12.75" customHeight="1">
      <c r="C887" s="26"/>
      <c r="D887" s="27"/>
    </row>
    <row r="888" ht="12.75" customHeight="1">
      <c r="C888" s="26"/>
      <c r="D888" s="27"/>
    </row>
    <row r="889" ht="12.75" customHeight="1">
      <c r="C889" s="26"/>
      <c r="D889" s="27"/>
    </row>
    <row r="890" ht="12.75" customHeight="1">
      <c r="C890" s="26"/>
      <c r="D890" s="27"/>
    </row>
    <row r="891" ht="12.75" customHeight="1">
      <c r="C891" s="26"/>
      <c r="D891" s="27"/>
    </row>
    <row r="892" ht="12.75" customHeight="1">
      <c r="C892" s="26"/>
      <c r="D892" s="27"/>
    </row>
    <row r="893" ht="12.75" customHeight="1">
      <c r="C893" s="26"/>
      <c r="D893" s="27"/>
    </row>
    <row r="894" ht="12.75" customHeight="1">
      <c r="C894" s="26"/>
      <c r="D894" s="27"/>
    </row>
    <row r="895" ht="12.75" customHeight="1">
      <c r="C895" s="26"/>
      <c r="D895" s="27"/>
    </row>
    <row r="896" ht="12.75" customHeight="1">
      <c r="C896" s="26"/>
      <c r="D896" s="27"/>
    </row>
    <row r="897" ht="12.75" customHeight="1">
      <c r="C897" s="26"/>
      <c r="D897" s="27"/>
    </row>
    <row r="898" ht="12.75" customHeight="1">
      <c r="C898" s="26"/>
      <c r="D898" s="27"/>
    </row>
    <row r="899" ht="12.75" customHeight="1">
      <c r="C899" s="26"/>
      <c r="D899" s="27"/>
    </row>
    <row r="900" ht="12.75" customHeight="1">
      <c r="C900" s="26"/>
      <c r="D900" s="27"/>
    </row>
    <row r="901" ht="12.75" customHeight="1">
      <c r="C901" s="26"/>
      <c r="D901" s="27"/>
    </row>
    <row r="902" ht="12.75" customHeight="1">
      <c r="C902" s="26"/>
      <c r="D902" s="27"/>
    </row>
    <row r="903" ht="12.75" customHeight="1">
      <c r="C903" s="26"/>
      <c r="D903" s="27"/>
    </row>
    <row r="904" ht="12.75" customHeight="1">
      <c r="C904" s="26"/>
      <c r="D904" s="27"/>
    </row>
    <row r="905" ht="12.75" customHeight="1">
      <c r="C905" s="26"/>
      <c r="D905" s="27"/>
    </row>
    <row r="906" ht="12.75" customHeight="1">
      <c r="C906" s="26"/>
      <c r="D906" s="27"/>
    </row>
    <row r="907" ht="12.75" customHeight="1">
      <c r="C907" s="26"/>
      <c r="D907" s="27"/>
    </row>
    <row r="908" ht="12.75" customHeight="1">
      <c r="C908" s="26"/>
      <c r="D908" s="27"/>
    </row>
    <row r="909" ht="12.75" customHeight="1">
      <c r="C909" s="26"/>
      <c r="D909" s="27"/>
    </row>
    <row r="910" ht="12.75" customHeight="1">
      <c r="C910" s="26"/>
      <c r="D910" s="27"/>
    </row>
    <row r="911" ht="12.75" customHeight="1">
      <c r="C911" s="26"/>
      <c r="D911" s="27"/>
    </row>
    <row r="912" ht="12.75" customHeight="1">
      <c r="C912" s="26"/>
      <c r="D912" s="27"/>
    </row>
    <row r="913" ht="12.75" customHeight="1">
      <c r="C913" s="26"/>
      <c r="D913" s="27"/>
    </row>
    <row r="914" ht="12.75" customHeight="1">
      <c r="C914" s="26"/>
      <c r="D914" s="27"/>
    </row>
    <row r="915" ht="12.75" customHeight="1">
      <c r="C915" s="26"/>
      <c r="D915" s="27"/>
    </row>
    <row r="916" ht="12.75" customHeight="1">
      <c r="C916" s="26"/>
      <c r="D916" s="27"/>
    </row>
    <row r="917" ht="12.75" customHeight="1">
      <c r="C917" s="26"/>
      <c r="D917" s="27"/>
    </row>
    <row r="918" ht="12.75" customHeight="1">
      <c r="C918" s="26"/>
      <c r="D918" s="27"/>
    </row>
    <row r="919" ht="12.75" customHeight="1">
      <c r="C919" s="26"/>
      <c r="D919" s="27"/>
    </row>
    <row r="920" ht="12.75" customHeight="1">
      <c r="C920" s="26"/>
      <c r="D920" s="27"/>
    </row>
    <row r="921" ht="12.75" customHeight="1">
      <c r="C921" s="26"/>
      <c r="D921" s="27"/>
    </row>
    <row r="922" ht="12.75" customHeight="1">
      <c r="C922" s="26"/>
      <c r="D922" s="27"/>
    </row>
    <row r="923" ht="12.75" customHeight="1">
      <c r="C923" s="26"/>
      <c r="D923" s="27"/>
    </row>
    <row r="924" ht="12.75" customHeight="1">
      <c r="C924" s="26"/>
      <c r="D924" s="27"/>
    </row>
    <row r="925" ht="12.75" customHeight="1">
      <c r="C925" s="26"/>
      <c r="D925" s="27"/>
    </row>
    <row r="926" ht="12.75" customHeight="1">
      <c r="C926" s="26"/>
      <c r="D926" s="27"/>
    </row>
    <row r="927" ht="12.75" customHeight="1">
      <c r="C927" s="26"/>
      <c r="D927" s="27"/>
    </row>
    <row r="928" ht="12.75" customHeight="1">
      <c r="C928" s="26"/>
      <c r="D928" s="27"/>
    </row>
    <row r="929" ht="12.75" customHeight="1">
      <c r="C929" s="26"/>
      <c r="D929" s="27"/>
    </row>
    <row r="930" ht="12.75" customHeight="1">
      <c r="C930" s="26"/>
      <c r="D930" s="27"/>
    </row>
    <row r="931" ht="12.75" customHeight="1">
      <c r="C931" s="26"/>
      <c r="D931" s="27"/>
    </row>
    <row r="932" ht="12.75" customHeight="1">
      <c r="C932" s="26"/>
      <c r="D932" s="27"/>
    </row>
    <row r="933" ht="12.75" customHeight="1">
      <c r="C933" s="26"/>
      <c r="D933" s="27"/>
    </row>
    <row r="934" ht="12.75" customHeight="1">
      <c r="C934" s="26"/>
      <c r="D934" s="27"/>
    </row>
    <row r="935" ht="12.75" customHeight="1">
      <c r="C935" s="26"/>
      <c r="D935" s="27"/>
    </row>
    <row r="936" ht="12.75" customHeight="1">
      <c r="C936" s="26"/>
      <c r="D936" s="27"/>
    </row>
    <row r="937" ht="12.75" customHeight="1">
      <c r="C937" s="26"/>
      <c r="D937" s="27"/>
    </row>
    <row r="938" ht="12.75" customHeight="1">
      <c r="C938" s="26"/>
      <c r="D938" s="27"/>
    </row>
    <row r="939" ht="12.75" customHeight="1">
      <c r="C939" s="26"/>
      <c r="D939" s="27"/>
    </row>
    <row r="940" ht="12.75" customHeight="1">
      <c r="C940" s="26"/>
      <c r="D940" s="27"/>
    </row>
    <row r="941" ht="12.75" customHeight="1">
      <c r="C941" s="26"/>
      <c r="D941" s="27"/>
    </row>
    <row r="942" ht="12.75" customHeight="1">
      <c r="C942" s="26"/>
      <c r="D942" s="27"/>
    </row>
    <row r="943" ht="12.75" customHeight="1">
      <c r="C943" s="26"/>
      <c r="D943" s="27"/>
    </row>
    <row r="944" ht="12.75" customHeight="1">
      <c r="C944" s="26"/>
      <c r="D944" s="27"/>
    </row>
    <row r="945" ht="12.75" customHeight="1">
      <c r="C945" s="26"/>
      <c r="D945" s="27"/>
    </row>
    <row r="946" ht="12.75" customHeight="1">
      <c r="C946" s="26"/>
      <c r="D946" s="27"/>
    </row>
    <row r="947" ht="12.75" customHeight="1">
      <c r="C947" s="26"/>
      <c r="D947" s="27"/>
    </row>
    <row r="948" ht="12.75" customHeight="1">
      <c r="C948" s="26"/>
      <c r="D948" s="27"/>
    </row>
    <row r="949" ht="12.75" customHeight="1">
      <c r="C949" s="26"/>
      <c r="D949" s="27"/>
    </row>
    <row r="950" ht="12.75" customHeight="1">
      <c r="C950" s="26"/>
      <c r="D950" s="27"/>
    </row>
    <row r="951" ht="12.75" customHeight="1">
      <c r="C951" s="26"/>
      <c r="D951" s="27"/>
    </row>
    <row r="952" ht="12.75" customHeight="1">
      <c r="C952" s="26"/>
      <c r="D952" s="27"/>
    </row>
    <row r="953" ht="12.75" customHeight="1">
      <c r="C953" s="26"/>
      <c r="D953" s="27"/>
    </row>
    <row r="954" ht="12.75" customHeight="1">
      <c r="C954" s="26"/>
      <c r="D954" s="27"/>
    </row>
    <row r="955" ht="12.75" customHeight="1">
      <c r="C955" s="26"/>
      <c r="D955" s="27"/>
    </row>
    <row r="956" ht="12.75" customHeight="1">
      <c r="C956" s="26"/>
      <c r="D956" s="27"/>
    </row>
    <row r="957" ht="12.75" customHeight="1">
      <c r="C957" s="26"/>
      <c r="D957" s="27"/>
    </row>
    <row r="958" ht="12.75" customHeight="1">
      <c r="C958" s="26"/>
      <c r="D958" s="27"/>
    </row>
    <row r="959" ht="12.75" customHeight="1">
      <c r="C959" s="26"/>
      <c r="D959" s="27"/>
    </row>
    <row r="960" ht="12.75" customHeight="1">
      <c r="C960" s="26"/>
      <c r="D960" s="27"/>
    </row>
    <row r="961" ht="12.75" customHeight="1">
      <c r="C961" s="26"/>
      <c r="D961" s="27"/>
    </row>
    <row r="962" ht="12.75" customHeight="1">
      <c r="C962" s="26"/>
      <c r="D962" s="27"/>
    </row>
    <row r="963" ht="12.75" customHeight="1">
      <c r="C963" s="26"/>
      <c r="D963" s="27"/>
    </row>
    <row r="964" ht="12.75" customHeight="1">
      <c r="C964" s="26"/>
      <c r="D964" s="27"/>
    </row>
    <row r="965" ht="12.75" customHeight="1">
      <c r="C965" s="26"/>
      <c r="D965" s="27"/>
    </row>
    <row r="966" ht="12.75" customHeight="1">
      <c r="C966" s="26"/>
      <c r="D966" s="27"/>
    </row>
    <row r="967" ht="12.75" customHeight="1">
      <c r="C967" s="26"/>
      <c r="D967" s="27"/>
    </row>
    <row r="968" ht="12.75" customHeight="1">
      <c r="C968" s="26"/>
      <c r="D968" s="27"/>
    </row>
    <row r="969" ht="12.75" customHeight="1">
      <c r="C969" s="26"/>
      <c r="D969" s="27"/>
    </row>
    <row r="970" ht="12.75" customHeight="1">
      <c r="C970" s="26"/>
      <c r="D970" s="27"/>
    </row>
    <row r="971" ht="12.75" customHeight="1">
      <c r="C971" s="26"/>
      <c r="D971" s="27"/>
    </row>
    <row r="972" ht="12.75" customHeight="1">
      <c r="C972" s="26"/>
      <c r="D972" s="27"/>
    </row>
    <row r="973" ht="12.75" customHeight="1">
      <c r="C973" s="26"/>
      <c r="D973" s="27"/>
    </row>
    <row r="974" ht="12.75" customHeight="1">
      <c r="C974" s="26"/>
      <c r="D974" s="27"/>
    </row>
    <row r="975" ht="12.75" customHeight="1">
      <c r="C975" s="26"/>
      <c r="D975" s="27"/>
    </row>
    <row r="976" ht="12.75" customHeight="1">
      <c r="C976" s="26"/>
      <c r="D976" s="27"/>
    </row>
    <row r="977" ht="12.75" customHeight="1">
      <c r="C977" s="26"/>
      <c r="D977" s="27"/>
    </row>
    <row r="978" ht="12.75" customHeight="1">
      <c r="C978" s="26"/>
      <c r="D978" s="27"/>
    </row>
    <row r="979" ht="12.75" customHeight="1">
      <c r="C979" s="26"/>
      <c r="D979" s="27"/>
    </row>
    <row r="980" ht="12.75" customHeight="1">
      <c r="C980" s="26"/>
      <c r="D980" s="27"/>
    </row>
    <row r="981" ht="12.75" customHeight="1">
      <c r="C981" s="26"/>
      <c r="D981" s="27"/>
    </row>
    <row r="982" ht="12.75" customHeight="1">
      <c r="C982" s="26"/>
      <c r="D982" s="27"/>
    </row>
    <row r="983" ht="12.75" customHeight="1">
      <c r="C983" s="26"/>
      <c r="D983" s="27"/>
    </row>
    <row r="984" ht="12.75" customHeight="1">
      <c r="C984" s="26"/>
      <c r="D984" s="27"/>
    </row>
    <row r="985" ht="12.75" customHeight="1">
      <c r="C985" s="26"/>
      <c r="D985" s="27"/>
    </row>
    <row r="986" ht="12.75" customHeight="1">
      <c r="C986" s="26"/>
      <c r="D986" s="27"/>
    </row>
    <row r="987" ht="12.75" customHeight="1">
      <c r="C987" s="26"/>
      <c r="D987" s="27"/>
    </row>
    <row r="988" ht="12.75" customHeight="1">
      <c r="C988" s="26"/>
      <c r="D988" s="27"/>
    </row>
    <row r="989" ht="12.75" customHeight="1">
      <c r="C989" s="26"/>
      <c r="D989" s="27"/>
    </row>
    <row r="990" ht="12.75" customHeight="1">
      <c r="C990" s="26"/>
      <c r="D990" s="27"/>
    </row>
    <row r="991" ht="12.75" customHeight="1">
      <c r="C991" s="26"/>
      <c r="D991" s="27"/>
    </row>
    <row r="992" ht="12.75" customHeight="1">
      <c r="C992" s="26"/>
      <c r="D992" s="27"/>
    </row>
    <row r="993" ht="12.75" customHeight="1">
      <c r="C993" s="26"/>
      <c r="D993" s="27"/>
    </row>
    <row r="994" ht="12.75" customHeight="1">
      <c r="C994" s="26"/>
      <c r="D994" s="27"/>
    </row>
    <row r="995" ht="12.75" customHeight="1">
      <c r="C995" s="26"/>
      <c r="D995" s="27"/>
    </row>
    <row r="996" ht="12.75" customHeight="1">
      <c r="C996" s="26"/>
      <c r="D996" s="27"/>
    </row>
    <row r="997" ht="12.75" customHeight="1">
      <c r="C997" s="26"/>
      <c r="D997" s="27"/>
    </row>
    <row r="998" ht="12.75" customHeight="1">
      <c r="C998" s="26"/>
      <c r="D998" s="27"/>
    </row>
    <row r="999" ht="12.75" customHeight="1">
      <c r="C999" s="26"/>
      <c r="D999" s="27"/>
    </row>
  </sheetData>
  <mergeCells count="31">
    <mergeCell ref="B6:B10"/>
    <mergeCell ref="B11:B12"/>
    <mergeCell ref="C6:C10"/>
    <mergeCell ref="B2:D2"/>
    <mergeCell ref="C32:C34"/>
    <mergeCell ref="C36:C38"/>
    <mergeCell ref="B32:B34"/>
    <mergeCell ref="B36:B38"/>
    <mergeCell ref="C70:C72"/>
    <mergeCell ref="C73:C75"/>
    <mergeCell ref="C76:C78"/>
    <mergeCell ref="B20:B26"/>
    <mergeCell ref="B27:B28"/>
    <mergeCell ref="B17:B19"/>
    <mergeCell ref="B13:B16"/>
    <mergeCell ref="B66:B67"/>
    <mergeCell ref="B70:B72"/>
    <mergeCell ref="B73:B75"/>
    <mergeCell ref="B76:B78"/>
    <mergeCell ref="B50:B59"/>
    <mergeCell ref="B44:B46"/>
    <mergeCell ref="B42:B43"/>
    <mergeCell ref="C42:C43"/>
    <mergeCell ref="C44:C46"/>
    <mergeCell ref="C17:C19"/>
    <mergeCell ref="C20:C26"/>
    <mergeCell ref="C27:C28"/>
    <mergeCell ref="C66:C67"/>
    <mergeCell ref="C13:C16"/>
    <mergeCell ref="C11:C12"/>
    <mergeCell ref="C50:C5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CCFF"/>
    <outlinePr summaryBelow="0" summaryRight="0"/>
  </sheetPr>
  <sheetViews>
    <sheetView workbookViewId="0"/>
  </sheetViews>
  <sheetFormatPr customHeight="1" defaultColWidth="14.43" defaultRowHeight="15.75"/>
  <cols>
    <col customWidth="1" min="1" max="1" width="190.43"/>
    <col customWidth="1" min="2" max="2" width="81.71"/>
    <col customWidth="1" min="3" max="3" width="15.43"/>
    <col customWidth="1" min="4" max="4" width="18.43"/>
    <col customWidth="1" min="5" max="5" width="13.14"/>
    <col customWidth="1" min="6" max="6" width="28.43"/>
    <col customWidth="1" min="7" max="7" width="41.86"/>
    <col customWidth="1" min="8" max="8" width="19.29"/>
    <col customWidth="1" min="9" max="9" width="18.71"/>
    <col customWidth="1" min="10" max="10" width="17.71"/>
    <col customWidth="1" min="13" max="13" width="16.57"/>
    <col customWidth="1" min="14" max="14" width="17.71"/>
    <col customWidth="1" min="15" max="15" width="17.43"/>
    <col customWidth="1" min="24" max="24" width="37.0"/>
    <col customWidth="1" min="25" max="25" width="32.0"/>
  </cols>
  <sheetData>
    <row r="1" ht="18.0" customHeight="1">
      <c r="A1" s="84" t="s">
        <v>149</v>
      </c>
      <c r="B1" s="85"/>
    </row>
    <row r="2">
      <c r="A2" s="85" t="s">
        <v>150</v>
      </c>
      <c r="B2" s="85" t="s">
        <v>151</v>
      </c>
      <c r="X2" s="86" t="s">
        <v>152</v>
      </c>
      <c r="Y2" s="87"/>
    </row>
    <row r="3">
      <c r="A3" s="25" t="s">
        <v>153</v>
      </c>
      <c r="B3" s="25" t="s">
        <v>154</v>
      </c>
      <c r="X3" s="88"/>
      <c r="Y3" s="89"/>
    </row>
    <row r="4">
      <c r="A4" s="25" t="s">
        <v>155</v>
      </c>
      <c r="B4" s="25" t="s">
        <v>156</v>
      </c>
      <c r="X4" s="90" t="s">
        <v>157</v>
      </c>
      <c r="Y4" s="91" t="s">
        <v>158</v>
      </c>
    </row>
    <row r="5">
      <c r="A5" s="25" t="s">
        <v>159</v>
      </c>
      <c r="B5" s="25" t="s">
        <v>160</v>
      </c>
      <c r="X5" s="92" t="s">
        <v>161</v>
      </c>
      <c r="Y5" s="89"/>
    </row>
    <row r="6">
      <c r="A6" s="25" t="s">
        <v>162</v>
      </c>
      <c r="B6" s="25" t="s">
        <v>163</v>
      </c>
      <c r="X6" s="93" t="s">
        <v>164</v>
      </c>
      <c r="Y6" s="91" t="s">
        <v>165</v>
      </c>
    </row>
    <row r="7">
      <c r="A7" s="25" t="s">
        <v>166</v>
      </c>
      <c r="X7" s="94" t="s">
        <v>167</v>
      </c>
      <c r="Y7" s="91" t="s">
        <v>168</v>
      </c>
    </row>
    <row r="8">
      <c r="A8" s="25" t="s">
        <v>169</v>
      </c>
      <c r="B8" s="85" t="s">
        <v>170</v>
      </c>
      <c r="C8" s="95" t="s">
        <v>171</v>
      </c>
      <c r="D8" s="96"/>
      <c r="E8" s="96"/>
      <c r="F8" s="96"/>
      <c r="G8" s="96"/>
      <c r="H8" s="96"/>
      <c r="I8" s="96"/>
      <c r="J8" s="96"/>
      <c r="K8" s="97"/>
      <c r="X8" s="98" t="s">
        <v>172</v>
      </c>
      <c r="Y8" s="91" t="s">
        <v>173</v>
      </c>
    </row>
    <row r="9">
      <c r="B9" s="25" t="s">
        <v>174</v>
      </c>
      <c r="C9" s="99" t="s">
        <v>175</v>
      </c>
      <c r="D9" s="100" t="s">
        <v>176</v>
      </c>
      <c r="E9" s="101"/>
      <c r="F9" s="101"/>
      <c r="G9" s="102"/>
      <c r="H9" s="103"/>
      <c r="I9" s="103"/>
      <c r="J9" s="103"/>
      <c r="K9" s="104"/>
      <c r="X9" s="105" t="s">
        <v>177</v>
      </c>
      <c r="Y9" s="91" t="s">
        <v>178</v>
      </c>
    </row>
    <row r="10">
      <c r="A10" s="25" t="s">
        <v>179</v>
      </c>
      <c r="B10" s="25" t="s">
        <v>180</v>
      </c>
      <c r="C10" s="99" t="s">
        <v>181</v>
      </c>
      <c r="D10" s="100" t="s">
        <v>176</v>
      </c>
      <c r="E10" s="101"/>
      <c r="F10" s="101"/>
      <c r="G10" s="102"/>
      <c r="H10" s="103"/>
      <c r="I10" s="103"/>
      <c r="J10" s="103"/>
      <c r="K10" s="104"/>
      <c r="X10" s="106" t="s">
        <v>182</v>
      </c>
      <c r="Y10" s="89"/>
    </row>
    <row r="11">
      <c r="A11" s="25" t="s">
        <v>183</v>
      </c>
      <c r="B11" s="25" t="s">
        <v>184</v>
      </c>
      <c r="C11" s="99" t="s">
        <v>185</v>
      </c>
      <c r="D11" s="100" t="s">
        <v>186</v>
      </c>
      <c r="E11" s="101"/>
      <c r="F11" s="101"/>
      <c r="G11" s="102"/>
      <c r="H11" s="103"/>
      <c r="I11" s="103"/>
      <c r="J11" s="103"/>
      <c r="K11" s="104"/>
      <c r="X11" s="98" t="s">
        <v>187</v>
      </c>
      <c r="Y11" s="91" t="s">
        <v>165</v>
      </c>
    </row>
    <row r="12">
      <c r="A12" s="25" t="s">
        <v>188</v>
      </c>
      <c r="C12" s="99" t="s">
        <v>189</v>
      </c>
      <c r="D12" s="100" t="s">
        <v>190</v>
      </c>
      <c r="E12" s="101"/>
      <c r="F12" s="101"/>
      <c r="G12" s="102"/>
      <c r="H12" s="103"/>
      <c r="I12" s="103"/>
      <c r="J12" s="103"/>
      <c r="K12" s="104"/>
      <c r="X12" s="98" t="s">
        <v>191</v>
      </c>
      <c r="Y12" s="91" t="s">
        <v>168</v>
      </c>
    </row>
    <row r="13">
      <c r="A13" s="25" t="s">
        <v>192</v>
      </c>
      <c r="B13" s="25" t="s">
        <v>193</v>
      </c>
      <c r="C13" s="107"/>
      <c r="D13" s="100" t="s">
        <v>194</v>
      </c>
      <c r="E13" s="101"/>
      <c r="F13" s="101"/>
      <c r="G13" s="102"/>
      <c r="H13" s="103"/>
      <c r="I13" s="103"/>
      <c r="J13" s="103"/>
      <c r="K13" s="104"/>
      <c r="X13" s="98" t="s">
        <v>195</v>
      </c>
      <c r="Y13" s="91" t="s">
        <v>168</v>
      </c>
    </row>
    <row r="14">
      <c r="A14" s="25" t="s">
        <v>196</v>
      </c>
      <c r="B14" s="108" t="s">
        <v>197</v>
      </c>
      <c r="C14" s="109" t="s">
        <v>198</v>
      </c>
      <c r="D14" s="96"/>
      <c r="E14" s="96"/>
      <c r="F14" s="96"/>
      <c r="G14" s="110"/>
      <c r="H14" s="111"/>
      <c r="I14" s="111"/>
      <c r="J14" s="111"/>
      <c r="K14" s="111"/>
      <c r="L14" s="112"/>
      <c r="X14" s="98" t="s">
        <v>199</v>
      </c>
      <c r="Y14" s="91" t="s">
        <v>173</v>
      </c>
    </row>
    <row r="15">
      <c r="A15" s="25" t="s">
        <v>200</v>
      </c>
      <c r="B15" s="25" t="s">
        <v>201</v>
      </c>
      <c r="C15" s="111"/>
      <c r="D15" s="111"/>
      <c r="E15" s="111"/>
      <c r="F15" s="111"/>
      <c r="X15" s="98" t="s">
        <v>202</v>
      </c>
      <c r="Y15" s="91" t="s">
        <v>203</v>
      </c>
    </row>
    <row r="16">
      <c r="B16" s="25" t="s">
        <v>204</v>
      </c>
      <c r="C16" s="113" t="s">
        <v>205</v>
      </c>
      <c r="D16" s="114"/>
      <c r="X16" s="98" t="s">
        <v>206</v>
      </c>
      <c r="Y16" s="91" t="s">
        <v>207</v>
      </c>
    </row>
    <row r="17">
      <c r="A17" s="115" t="s">
        <v>208</v>
      </c>
      <c r="C17" s="113" t="s">
        <v>209</v>
      </c>
      <c r="D17" s="116"/>
      <c r="E17" s="116"/>
      <c r="F17" s="116"/>
      <c r="G17" s="116"/>
      <c r="H17" s="114"/>
      <c r="X17" s="98" t="s">
        <v>210</v>
      </c>
      <c r="Y17" s="91" t="s">
        <v>211</v>
      </c>
    </row>
    <row r="18">
      <c r="A18" s="115" t="s">
        <v>212</v>
      </c>
      <c r="B18" s="85" t="s">
        <v>213</v>
      </c>
      <c r="X18" s="105" t="s">
        <v>214</v>
      </c>
      <c r="Y18" s="91" t="s">
        <v>178</v>
      </c>
    </row>
    <row r="19">
      <c r="A19" s="115" t="s">
        <v>215</v>
      </c>
      <c r="B19" s="25" t="s">
        <v>216</v>
      </c>
      <c r="X19" s="117" t="s">
        <v>217</v>
      </c>
      <c r="Y19" s="89"/>
    </row>
    <row r="20">
      <c r="A20" s="115" t="s">
        <v>218</v>
      </c>
      <c r="B20" s="25" t="s">
        <v>219</v>
      </c>
      <c r="X20" s="118" t="s">
        <v>220</v>
      </c>
      <c r="Y20" s="91" t="s">
        <v>168</v>
      </c>
    </row>
    <row r="21">
      <c r="A21" s="115" t="s">
        <v>221</v>
      </c>
      <c r="B21" s="25" t="s">
        <v>222</v>
      </c>
      <c r="X21" s="98" t="s">
        <v>223</v>
      </c>
      <c r="Y21" s="91" t="s">
        <v>224</v>
      </c>
    </row>
    <row r="22">
      <c r="A22" s="115"/>
      <c r="B22" s="25" t="s">
        <v>225</v>
      </c>
      <c r="X22" s="98" t="s">
        <v>226</v>
      </c>
      <c r="Y22" s="91" t="s">
        <v>227</v>
      </c>
    </row>
    <row r="23">
      <c r="A23" s="115" t="s">
        <v>228</v>
      </c>
      <c r="B23" s="25" t="s">
        <v>229</v>
      </c>
      <c r="X23" s="98" t="s">
        <v>230</v>
      </c>
      <c r="Y23" s="91" t="s">
        <v>231</v>
      </c>
    </row>
    <row r="24">
      <c r="A24" s="115" t="s">
        <v>232</v>
      </c>
      <c r="B24" s="25" t="s">
        <v>233</v>
      </c>
      <c r="X24" s="98" t="s">
        <v>234</v>
      </c>
      <c r="Y24" s="91" t="s">
        <v>235</v>
      </c>
    </row>
    <row r="25">
      <c r="A25" s="115"/>
      <c r="B25" s="25" t="s">
        <v>236</v>
      </c>
      <c r="X25" s="105" t="s">
        <v>237</v>
      </c>
      <c r="Y25" s="91" t="s">
        <v>178</v>
      </c>
    </row>
    <row r="26">
      <c r="A26" s="115" t="s">
        <v>238</v>
      </c>
      <c r="B26" s="25" t="s">
        <v>239</v>
      </c>
    </row>
    <row r="27">
      <c r="A27" s="115" t="s">
        <v>240</v>
      </c>
      <c r="B27" s="25" t="s">
        <v>241</v>
      </c>
    </row>
    <row r="28">
      <c r="A28" s="115" t="s">
        <v>242</v>
      </c>
      <c r="B28" s="119" t="s">
        <v>243</v>
      </c>
    </row>
    <row r="29">
      <c r="A29" s="115" t="s">
        <v>244</v>
      </c>
      <c r="B29" s="119" t="s">
        <v>245</v>
      </c>
    </row>
    <row r="30">
      <c r="A30" s="115" t="s">
        <v>246</v>
      </c>
    </row>
    <row r="31">
      <c r="A31" s="115"/>
    </row>
    <row r="32">
      <c r="A32" s="115" t="s">
        <v>247</v>
      </c>
      <c r="B32" s="120" t="s">
        <v>248</v>
      </c>
      <c r="C32" s="96" t="s">
        <v>249</v>
      </c>
      <c r="D32" s="96" t="s">
        <v>250</v>
      </c>
      <c r="E32" s="96" t="s">
        <v>251</v>
      </c>
      <c r="F32" s="96" t="s">
        <v>252</v>
      </c>
      <c r="G32" s="96" t="s">
        <v>253</v>
      </c>
      <c r="H32" s="96" t="s">
        <v>254</v>
      </c>
      <c r="I32" s="96" t="s">
        <v>255</v>
      </c>
      <c r="J32" s="121" t="s">
        <v>256</v>
      </c>
    </row>
    <row r="33">
      <c r="A33" s="115" t="s">
        <v>257</v>
      </c>
      <c r="B33" s="107" t="s">
        <v>258</v>
      </c>
      <c r="C33" s="101">
        <v>148.0</v>
      </c>
      <c r="D33" s="101">
        <v>93.0</v>
      </c>
      <c r="E33" s="101">
        <f t="shared" ref="E33:E41" si="1">ROUND(C33+D33, 2)</f>
        <v>241</v>
      </c>
      <c r="F33" s="102">
        <f>ROUND((C33*'Pawn Weights'!$H$3)+(D33*'Pawn Weights'!$H$4), 2)</f>
        <v>210.03</v>
      </c>
      <c r="G33" s="103" t="s">
        <v>259</v>
      </c>
      <c r="H33" s="101">
        <v>16.02</v>
      </c>
      <c r="I33" s="102">
        <f>ROUND((19.7115*'Pawn Weights'!$H$9)/100*65, 2)</f>
        <v>16.02</v>
      </c>
      <c r="J33" s="104">
        <f>ROUND((19.7115*'Pawn Weights'!$H$9)/100*35, 2)</f>
        <v>8.62</v>
      </c>
    </row>
    <row r="34">
      <c r="A34" s="115" t="s">
        <v>260</v>
      </c>
      <c r="B34" s="107" t="s">
        <v>261</v>
      </c>
      <c r="C34" s="101">
        <v>145.0</v>
      </c>
      <c r="D34" s="101">
        <v>96.0</v>
      </c>
      <c r="E34" s="101">
        <f t="shared" si="1"/>
        <v>241</v>
      </c>
      <c r="F34" s="102">
        <f>ROUND((C34*'Pawn Weights'!$H$3)+(D34*'Pawn Weights'!$H$4), 2)</f>
        <v>209.03</v>
      </c>
      <c r="G34" s="103"/>
      <c r="H34" s="101">
        <v>0.0</v>
      </c>
      <c r="I34" s="102">
        <f>ROUND((19.7115*'Pawn Weights'!$H$9)/100*65, 2)</f>
        <v>16.02</v>
      </c>
      <c r="J34" s="104">
        <f>ROUND((19.7115*'Pawn Weights'!$H$9)/100*35, 2)</f>
        <v>8.62</v>
      </c>
    </row>
    <row r="35">
      <c r="A35" s="115"/>
      <c r="B35" s="107" t="s">
        <v>262</v>
      </c>
      <c r="C35" s="101">
        <v>150.0</v>
      </c>
      <c r="D35" s="101">
        <v>91.0</v>
      </c>
      <c r="E35" s="101">
        <f t="shared" si="1"/>
        <v>241</v>
      </c>
      <c r="F35" s="102">
        <f>ROUND((C35*'Pawn Weights'!$H$3)+(D35*'Pawn Weights'!$H$4), 2)</f>
        <v>210.7</v>
      </c>
      <c r="G35" s="103"/>
      <c r="H35" s="101">
        <v>0.0</v>
      </c>
      <c r="I35" s="122"/>
      <c r="J35" s="123"/>
      <c r="K35" s="124" t="s">
        <v>263</v>
      </c>
      <c r="L35" s="124" t="s">
        <v>264</v>
      </c>
      <c r="M35" s="97" t="s">
        <v>265</v>
      </c>
    </row>
    <row r="36">
      <c r="A36" s="115" t="s">
        <v>266</v>
      </c>
      <c r="B36" s="107" t="s">
        <v>267</v>
      </c>
      <c r="C36" s="101">
        <v>146.0</v>
      </c>
      <c r="D36" s="101">
        <v>98.0</v>
      </c>
      <c r="E36" s="101">
        <f t="shared" si="1"/>
        <v>244</v>
      </c>
      <c r="F36" s="102">
        <f>ROUND((C36*'Pawn Weights'!$H$3)+(D36*'Pawn Weights'!$H$4), 2)</f>
        <v>211.37</v>
      </c>
      <c r="G36" s="103" t="s">
        <v>268</v>
      </c>
      <c r="H36" s="101" t="s">
        <v>269</v>
      </c>
      <c r="I36" s="122"/>
      <c r="J36" s="123"/>
      <c r="K36" s="125">
        <v>6.83</v>
      </c>
      <c r="L36" s="125">
        <v>13.66</v>
      </c>
      <c r="M36" s="126">
        <v>20.5</v>
      </c>
    </row>
    <row r="37">
      <c r="A37" s="115" t="s">
        <v>270</v>
      </c>
      <c r="B37" s="107" t="s">
        <v>271</v>
      </c>
      <c r="C37" s="101">
        <v>147.0</v>
      </c>
      <c r="D37" s="101">
        <v>92.0</v>
      </c>
      <c r="E37" s="101">
        <f t="shared" si="1"/>
        <v>239</v>
      </c>
      <c r="F37" s="102">
        <f>ROUND((C37*'Pawn Weights'!$H$3)+(D37*'Pawn Weights'!$H$4), 2)</f>
        <v>208.36</v>
      </c>
      <c r="G37" s="103"/>
      <c r="H37" s="101">
        <v>0.0</v>
      </c>
      <c r="I37" s="122"/>
      <c r="J37" s="123"/>
    </row>
    <row r="38">
      <c r="A38" s="127" t="s">
        <v>272</v>
      </c>
      <c r="B38" s="107" t="s">
        <v>273</v>
      </c>
      <c r="C38" s="101">
        <v>140.0</v>
      </c>
      <c r="D38" s="101">
        <v>99.0</v>
      </c>
      <c r="E38" s="101">
        <f t="shared" si="1"/>
        <v>239</v>
      </c>
      <c r="F38" s="102">
        <f>ROUND((C38*'Pawn Weights'!$H$3)+(D38*'Pawn Weights'!$H$4), 2)</f>
        <v>206.03</v>
      </c>
      <c r="G38" s="103"/>
      <c r="H38" s="101">
        <v>0.0</v>
      </c>
      <c r="I38" s="122"/>
      <c r="J38" s="123"/>
    </row>
    <row r="39">
      <c r="A39" s="128" t="s">
        <v>274</v>
      </c>
      <c r="B39" s="107" t="s">
        <v>275</v>
      </c>
      <c r="C39" s="101">
        <v>144.0</v>
      </c>
      <c r="D39" s="101">
        <v>94.0</v>
      </c>
      <c r="E39" s="101">
        <f t="shared" si="1"/>
        <v>238</v>
      </c>
      <c r="F39" s="102">
        <f>ROUND((C39*'Pawn Weights'!$H$3)+(D39*'Pawn Weights'!$H$4), 2)</f>
        <v>206.7</v>
      </c>
      <c r="G39" s="103"/>
      <c r="H39" s="101">
        <v>0.0</v>
      </c>
      <c r="I39" s="122"/>
      <c r="J39" s="123"/>
    </row>
    <row r="40">
      <c r="A40" s="128" t="s">
        <v>276</v>
      </c>
      <c r="B40" s="107" t="s">
        <v>277</v>
      </c>
      <c r="C40" s="101">
        <v>146.0</v>
      </c>
      <c r="D40" s="101">
        <v>93.0</v>
      </c>
      <c r="E40" s="101">
        <f t="shared" si="1"/>
        <v>239</v>
      </c>
      <c r="F40" s="102">
        <f>ROUND((C40*'Pawn Weights'!$H$3)+(D40*'Pawn Weights'!$H$4), 2)</f>
        <v>208.03</v>
      </c>
      <c r="G40" s="103" t="s">
        <v>278</v>
      </c>
      <c r="H40" s="101">
        <v>9.79</v>
      </c>
      <c r="I40" s="122"/>
      <c r="J40" s="123"/>
    </row>
    <row r="41">
      <c r="A41" s="129" t="s">
        <v>279</v>
      </c>
      <c r="B41" s="130" t="s">
        <v>280</v>
      </c>
      <c r="C41" s="131">
        <v>142.0</v>
      </c>
      <c r="D41" s="131">
        <v>101.0</v>
      </c>
      <c r="E41" s="131">
        <f t="shared" si="1"/>
        <v>243</v>
      </c>
      <c r="F41" s="132">
        <f>ROUND((C41*'Pawn Weights'!$H$3)+(D41*'Pawn Weights'!$H$4), 2)</f>
        <v>209.37</v>
      </c>
      <c r="G41" s="133"/>
      <c r="H41" s="131">
        <v>0.0</v>
      </c>
      <c r="I41" s="134"/>
      <c r="J41" s="135"/>
    </row>
    <row r="42">
      <c r="A42" s="129" t="s">
        <v>281</v>
      </c>
      <c r="B42" s="136"/>
      <c r="C42" s="136"/>
      <c r="D42" s="136"/>
      <c r="E42" s="136"/>
      <c r="F42" s="136"/>
      <c r="G42" s="136"/>
      <c r="H42" s="136"/>
      <c r="I42" s="136"/>
      <c r="J42" s="137"/>
    </row>
    <row r="43">
      <c r="A43" s="129" t="s">
        <v>282</v>
      </c>
      <c r="B43" s="138" t="s">
        <v>283</v>
      </c>
      <c r="C43" s="139" t="s">
        <v>284</v>
      </c>
      <c r="D43" s="139" t="s">
        <v>263</v>
      </c>
      <c r="E43" s="139" t="s">
        <v>264</v>
      </c>
      <c r="F43" s="139" t="s">
        <v>265</v>
      </c>
      <c r="G43" s="139" t="s">
        <v>285</v>
      </c>
      <c r="H43" s="140"/>
      <c r="I43" s="141"/>
      <c r="J43" s="142"/>
    </row>
    <row r="44">
      <c r="A44" s="143" t="s">
        <v>286</v>
      </c>
      <c r="B44" s="144" t="s">
        <v>287</v>
      </c>
      <c r="C44" s="145">
        <f t="shared" ref="C44:C45" si="2">ROUND((F33+H33+I33+J33), 2)</f>
        <v>250.69</v>
      </c>
      <c r="D44" s="146"/>
      <c r="E44" s="146"/>
      <c r="F44" s="146"/>
      <c r="G44" s="146"/>
      <c r="H44" s="146"/>
      <c r="I44" s="147"/>
      <c r="J44" s="142"/>
    </row>
    <row r="45">
      <c r="A45" s="129" t="s">
        <v>288</v>
      </c>
      <c r="B45" s="148" t="s">
        <v>289</v>
      </c>
      <c r="C45" s="145">
        <f t="shared" si="2"/>
        <v>233.67</v>
      </c>
      <c r="D45" s="146"/>
      <c r="E45" s="146"/>
      <c r="F45" s="146"/>
      <c r="G45" s="146"/>
      <c r="H45" s="146"/>
      <c r="I45" s="147"/>
      <c r="J45" s="142"/>
    </row>
    <row r="46">
      <c r="A46" s="129" t="s">
        <v>290</v>
      </c>
      <c r="B46" s="148" t="s">
        <v>291</v>
      </c>
      <c r="C46" s="145">
        <f>ROUND((F33+H33), 2)</f>
        <v>226.05</v>
      </c>
      <c r="D46" s="146"/>
      <c r="E46" s="146"/>
      <c r="F46" s="146"/>
      <c r="G46" s="146"/>
      <c r="H46" s="146"/>
      <c r="I46" s="147"/>
      <c r="J46" s="142"/>
    </row>
    <row r="47">
      <c r="A47" s="129" t="s">
        <v>292</v>
      </c>
      <c r="B47" s="148" t="s">
        <v>267</v>
      </c>
      <c r="C47" s="145">
        <f>ROUND((F36+I36+J36), 2)</f>
        <v>211.37</v>
      </c>
      <c r="D47" s="145">
        <f>ROUND((F36+K36), 2)</f>
        <v>218.2</v>
      </c>
      <c r="E47" s="145">
        <f>ROUND((F36+L36), 2)</f>
        <v>225.03</v>
      </c>
      <c r="F47" s="145">
        <f>ROUND((F36+M36), 2)</f>
        <v>231.87</v>
      </c>
      <c r="G47" s="146"/>
      <c r="H47" s="146"/>
      <c r="I47" s="147"/>
      <c r="J47" s="142"/>
    </row>
    <row r="48">
      <c r="A48" s="129" t="s">
        <v>293</v>
      </c>
      <c r="B48" s="148" t="s">
        <v>262</v>
      </c>
      <c r="C48" s="145">
        <f>ROUND((F35+H35+I35+J35), 2)</f>
        <v>210.7</v>
      </c>
      <c r="D48" s="146"/>
      <c r="E48" s="146"/>
      <c r="F48" s="146"/>
      <c r="G48" s="146"/>
      <c r="H48" s="146"/>
      <c r="I48" s="147"/>
      <c r="J48" s="142"/>
    </row>
    <row r="49">
      <c r="A49" s="129" t="s">
        <v>294</v>
      </c>
      <c r="B49" s="148" t="s">
        <v>280</v>
      </c>
      <c r="C49" s="145">
        <f>ROUND((F41+H41+I41+J41), 2)</f>
        <v>209.37</v>
      </c>
      <c r="D49" s="146"/>
      <c r="E49" s="146"/>
      <c r="F49" s="146"/>
      <c r="G49" s="146"/>
      <c r="H49" s="146"/>
      <c r="I49" s="147"/>
      <c r="J49" s="142"/>
    </row>
    <row r="50">
      <c r="A50" s="25"/>
      <c r="B50" s="148" t="s">
        <v>295</v>
      </c>
      <c r="C50" s="145">
        <f>ROUND((F34+H34), 2)</f>
        <v>209.03</v>
      </c>
      <c r="D50" s="146"/>
      <c r="E50" s="146"/>
      <c r="F50" s="146"/>
      <c r="G50" s="146"/>
      <c r="H50" s="146"/>
      <c r="I50" s="147"/>
      <c r="J50" s="142"/>
    </row>
    <row r="51">
      <c r="A51" s="25" t="s">
        <v>296</v>
      </c>
      <c r="B51" s="148" t="s">
        <v>271</v>
      </c>
      <c r="C51" s="145">
        <f>ROUND((F37+H37+I37+J37), 2)</f>
        <v>208.36</v>
      </c>
      <c r="D51" s="139" t="s">
        <v>297</v>
      </c>
      <c r="E51" s="146"/>
      <c r="F51" s="146"/>
      <c r="G51" s="146"/>
      <c r="H51" s="146"/>
      <c r="I51" s="147"/>
      <c r="J51" s="142"/>
    </row>
    <row r="52">
      <c r="A52" s="25"/>
      <c r="B52" s="148" t="s">
        <v>277</v>
      </c>
      <c r="C52" s="145">
        <f>ROUND((F40+I40+J40), 2)</f>
        <v>208.03</v>
      </c>
      <c r="D52" s="145">
        <f>ROUND((F40+H40+I40+J40), 2)</f>
        <v>217.82</v>
      </c>
      <c r="E52" s="146"/>
      <c r="F52" s="146"/>
      <c r="G52" s="146"/>
      <c r="H52" s="146"/>
      <c r="I52" s="147"/>
      <c r="J52" s="142"/>
    </row>
    <row r="53">
      <c r="A53" s="25" t="s">
        <v>298</v>
      </c>
      <c r="B53" s="148" t="s">
        <v>275</v>
      </c>
      <c r="C53" s="145">
        <f>ROUND((F39+H39+I39+J39), 2)</f>
        <v>206.7</v>
      </c>
      <c r="D53" s="146"/>
      <c r="E53" s="146"/>
      <c r="F53" s="146"/>
      <c r="G53" s="146"/>
      <c r="H53" s="146"/>
      <c r="I53" s="147"/>
      <c r="J53" s="142"/>
    </row>
    <row r="54">
      <c r="A54" s="25" t="s">
        <v>299</v>
      </c>
      <c r="B54" s="149" t="s">
        <v>273</v>
      </c>
      <c r="C54" s="125">
        <f>ROUND((F38+H38+I38+J38), 2)</f>
        <v>206.03</v>
      </c>
      <c r="D54" s="150"/>
      <c r="E54" s="150"/>
      <c r="F54" s="150"/>
      <c r="G54" s="150"/>
      <c r="H54" s="150"/>
      <c r="I54" s="151"/>
      <c r="J54" s="142"/>
    </row>
    <row r="55">
      <c r="A55" s="25" t="s">
        <v>300</v>
      </c>
      <c r="B55" s="136"/>
      <c r="C55" s="136"/>
      <c r="D55" s="136"/>
      <c r="E55" s="136"/>
      <c r="F55" s="136"/>
      <c r="G55" s="136"/>
      <c r="H55" s="136"/>
      <c r="I55" s="136"/>
      <c r="J55" s="137"/>
    </row>
    <row r="56">
      <c r="A56" s="25" t="s">
        <v>301</v>
      </c>
      <c r="B56" s="152" t="s">
        <v>302</v>
      </c>
      <c r="C56" s="153"/>
      <c r="D56" s="153"/>
      <c r="E56" s="153"/>
      <c r="F56" s="153"/>
      <c r="G56" s="153"/>
      <c r="H56" s="153"/>
      <c r="I56" s="141"/>
      <c r="J56" s="137"/>
    </row>
    <row r="57">
      <c r="A57" s="154"/>
      <c r="B57" s="155" t="s">
        <v>303</v>
      </c>
      <c r="C57" s="153"/>
      <c r="D57" s="153"/>
      <c r="E57" s="153"/>
      <c r="F57" s="153"/>
      <c r="G57" s="153"/>
      <c r="H57" s="140"/>
      <c r="I57" s="141"/>
      <c r="J57" s="137"/>
    </row>
    <row r="58">
      <c r="A58" s="156" t="s">
        <v>304</v>
      </c>
      <c r="B58" s="157" t="s">
        <v>305</v>
      </c>
      <c r="C58" s="139" t="s">
        <v>306</v>
      </c>
      <c r="D58" s="139" t="s">
        <v>307</v>
      </c>
      <c r="E58" s="139" t="s">
        <v>308</v>
      </c>
      <c r="F58" s="139" t="s">
        <v>309</v>
      </c>
      <c r="G58" s="146"/>
      <c r="H58" s="146"/>
      <c r="I58" s="147"/>
      <c r="J58" s="137"/>
    </row>
    <row r="59">
      <c r="A59" s="158" t="s">
        <v>310</v>
      </c>
      <c r="B59" s="159">
        <v>1.0</v>
      </c>
      <c r="C59" s="145">
        <v>100.0</v>
      </c>
      <c r="D59" s="145">
        <v>2.41</v>
      </c>
      <c r="E59" s="145">
        <v>2.32</v>
      </c>
      <c r="F59" s="160">
        <v>0.12</v>
      </c>
      <c r="G59" s="146"/>
      <c r="H59" s="146"/>
      <c r="I59" s="147"/>
      <c r="J59" s="137"/>
    </row>
    <row r="60">
      <c r="A60" s="158" t="s">
        <v>311</v>
      </c>
      <c r="B60" s="161">
        <v>2.0</v>
      </c>
      <c r="C60" s="145">
        <v>100.0</v>
      </c>
      <c r="D60" s="145">
        <v>2.11</v>
      </c>
      <c r="E60" s="145">
        <v>2.03</v>
      </c>
      <c r="F60" s="160">
        <v>0.27</v>
      </c>
      <c r="G60" s="146"/>
      <c r="H60" s="146"/>
      <c r="I60" s="147"/>
      <c r="J60" s="137"/>
    </row>
    <row r="61">
      <c r="A61" s="158" t="s">
        <v>312</v>
      </c>
      <c r="B61" s="161">
        <v>3.0</v>
      </c>
      <c r="C61" s="145">
        <v>100.0</v>
      </c>
      <c r="D61" s="145">
        <v>2.18</v>
      </c>
      <c r="E61" s="145">
        <v>2.1</v>
      </c>
      <c r="F61" s="160">
        <v>0.23</v>
      </c>
      <c r="G61" s="146"/>
      <c r="H61" s="146"/>
      <c r="I61" s="147"/>
      <c r="J61" s="137"/>
    </row>
    <row r="62">
      <c r="A62" s="162"/>
      <c r="B62" s="161">
        <v>4.0</v>
      </c>
      <c r="C62" s="145">
        <v>100.0</v>
      </c>
      <c r="D62" s="145">
        <v>2.25</v>
      </c>
      <c r="E62" s="145">
        <v>2.17</v>
      </c>
      <c r="F62" s="160">
        <v>0.2</v>
      </c>
      <c r="G62" s="146"/>
      <c r="H62" s="146"/>
      <c r="I62" s="147"/>
      <c r="J62" s="137"/>
    </row>
    <row r="63">
      <c r="A63" s="158" t="s">
        <v>313</v>
      </c>
      <c r="B63" s="161">
        <v>5.0</v>
      </c>
      <c r="C63" s="145">
        <v>100.0</v>
      </c>
      <c r="D63" s="145">
        <v>2.13</v>
      </c>
      <c r="E63" s="145">
        <v>2.05</v>
      </c>
      <c r="F63" s="160">
        <v>0.26</v>
      </c>
      <c r="G63" s="146"/>
      <c r="H63" s="146"/>
      <c r="I63" s="147"/>
      <c r="J63" s="137"/>
    </row>
    <row r="64">
      <c r="A64" s="158" t="s">
        <v>314</v>
      </c>
      <c r="B64" s="161">
        <v>6.0</v>
      </c>
      <c r="C64" s="145">
        <v>80.0</v>
      </c>
      <c r="D64" s="145">
        <v>2.08</v>
      </c>
      <c r="E64" s="145">
        <v>2.0</v>
      </c>
      <c r="F64" s="160">
        <v>0.29</v>
      </c>
      <c r="G64" s="146"/>
      <c r="H64" s="146"/>
      <c r="I64" s="147"/>
      <c r="J64" s="137"/>
    </row>
    <row r="65">
      <c r="A65" s="158" t="s">
        <v>315</v>
      </c>
      <c r="B65" s="161">
        <v>7.0</v>
      </c>
      <c r="C65" s="145">
        <v>50.0</v>
      </c>
      <c r="D65" s="145">
        <v>1.94</v>
      </c>
      <c r="E65" s="145">
        <v>1.87</v>
      </c>
      <c r="F65" s="160">
        <v>0.39</v>
      </c>
      <c r="G65" s="146"/>
      <c r="H65" s="146"/>
      <c r="I65" s="147"/>
      <c r="J65" s="137"/>
    </row>
    <row r="66">
      <c r="A66" s="158" t="s">
        <v>316</v>
      </c>
      <c r="B66" s="161">
        <v>8.0</v>
      </c>
      <c r="C66" s="145">
        <v>20.0</v>
      </c>
      <c r="D66" s="145">
        <v>1.89</v>
      </c>
      <c r="E66" s="145">
        <v>1.82</v>
      </c>
      <c r="F66" s="160">
        <v>0.42</v>
      </c>
      <c r="G66" s="146"/>
      <c r="H66" s="146"/>
      <c r="I66" s="147"/>
      <c r="J66" s="137"/>
    </row>
    <row r="67">
      <c r="A67" s="163" t="s">
        <v>317</v>
      </c>
      <c r="B67" s="161">
        <v>9.0</v>
      </c>
      <c r="C67" s="145">
        <v>0.5</v>
      </c>
      <c r="D67" s="145">
        <v>1.96</v>
      </c>
      <c r="E67" s="145">
        <v>1.88</v>
      </c>
      <c r="F67" s="160">
        <v>0.37</v>
      </c>
      <c r="G67" s="146"/>
      <c r="H67" s="146"/>
      <c r="I67" s="147"/>
      <c r="J67" s="137"/>
    </row>
    <row r="68">
      <c r="A68" s="164"/>
      <c r="B68" s="165">
        <v>10.0</v>
      </c>
      <c r="C68" s="125">
        <v>0.4</v>
      </c>
      <c r="D68" s="125">
        <v>1.86</v>
      </c>
      <c r="E68" s="125">
        <v>1.79</v>
      </c>
      <c r="F68" s="166">
        <v>0.45</v>
      </c>
      <c r="G68" s="150"/>
      <c r="H68" s="150"/>
      <c r="I68" s="151"/>
      <c r="J68" s="137"/>
    </row>
    <row r="69">
      <c r="A69" s="25" t="s">
        <v>318</v>
      </c>
    </row>
    <row r="70">
      <c r="A70" s="25" t="s">
        <v>319</v>
      </c>
    </row>
    <row r="71">
      <c r="A71" s="25" t="s">
        <v>320</v>
      </c>
    </row>
    <row r="73">
      <c r="A73" s="25" t="s">
        <v>321</v>
      </c>
    </row>
    <row r="74">
      <c r="A74" s="25" t="s">
        <v>322</v>
      </c>
    </row>
    <row r="75">
      <c r="A75" s="25"/>
      <c r="G75" s="167" t="s">
        <v>323</v>
      </c>
      <c r="H75" s="168" t="s">
        <v>324</v>
      </c>
      <c r="I75" s="168" t="s">
        <v>168</v>
      </c>
      <c r="J75" s="169" t="s">
        <v>325</v>
      </c>
      <c r="K75" s="168" t="s">
        <v>326</v>
      </c>
      <c r="L75" s="168" t="s">
        <v>327</v>
      </c>
      <c r="M75" s="168" t="s">
        <v>328</v>
      </c>
      <c r="N75" s="168" t="s">
        <v>329</v>
      </c>
      <c r="O75" s="170" t="s">
        <v>330</v>
      </c>
      <c r="P75" s="137"/>
      <c r="Q75" s="137"/>
      <c r="R75" s="137"/>
      <c r="S75" s="137"/>
      <c r="T75" s="137"/>
    </row>
    <row r="76">
      <c r="A76" s="25" t="s">
        <v>331</v>
      </c>
      <c r="G76" s="171" t="s">
        <v>332</v>
      </c>
      <c r="H76" s="172">
        <f>ROUND((M76*'Pawn Weights'!$B$3)+(N76*'Pawn Weights'!$B$4)+(O76*'Pawn Weights'!$B$6)+(L76*'Pawn Weights'!$B$5), 2)</f>
        <v>120.44</v>
      </c>
      <c r="I76" s="172">
        <f>ROUND((M76*'Pawn Weights'!$E$3)+(N76*'Pawn Weights'!$E$4)+(O76*'Pawn Weights'!$E$6)+(L76*'Pawn Weights'!$E$5), 2)</f>
        <v>120.44</v>
      </c>
      <c r="J76" s="172">
        <f>ROUND((M76*'Pawn Weights'!$H$3)+(N76*'Pawn Weights'!$H$4)+(O76*'Pawn Weights'!$H$6)+(L76*'Pawn Weights'!$H$5), 2)</f>
        <v>120.44</v>
      </c>
      <c r="K76" s="145">
        <f>ROUND((M76*'Pawn Weights'!$K$3)+(N76*'Pawn Weights'!$K$4)+(O76*'Pawn Weights'!$K$6)+(L76*'Pawn Weights'!$K$5), 2)</f>
        <v>120.44</v>
      </c>
      <c r="L76" s="145">
        <v>265.0</v>
      </c>
      <c r="M76" s="173"/>
      <c r="N76" s="173"/>
      <c r="O76" s="174"/>
      <c r="P76" s="137"/>
      <c r="Q76" s="137"/>
      <c r="R76" s="137"/>
      <c r="S76" s="137"/>
      <c r="T76" s="137"/>
    </row>
    <row r="77">
      <c r="A77" s="175" t="s">
        <v>333</v>
      </c>
      <c r="G77" s="171" t="s">
        <v>334</v>
      </c>
      <c r="H77" s="172">
        <f>ROUND((M77*'Pawn Weights'!$B$3)+(N77*'Pawn Weights'!$B$4)+(O77*'Pawn Weights'!$B$6)+(L77*'Pawn Weights'!$B$5), 2)</f>
        <v>54.54</v>
      </c>
      <c r="I77" s="172">
        <f>ROUND((M77*'Pawn Weights'!$E$3)+(N77*'Pawn Weights'!$E$4)+(O77*'Pawn Weights'!$E$6)+(L77*'Pawn Weights'!$E$5), 2)</f>
        <v>54.54</v>
      </c>
      <c r="J77" s="172">
        <f>ROUND((M77*'Pawn Weights'!$H$3)+(N77*'Pawn Weights'!$H$4)+(O77*'Pawn Weights'!$H$6)+(L77*'Pawn Weights'!$H$5), 2)</f>
        <v>54.54</v>
      </c>
      <c r="K77" s="145">
        <f>ROUND((M77*'Pawn Weights'!$K$3)+(N77*'Pawn Weights'!$K$4)+(O77*'Pawn Weights'!$K$6)+(L77*'Pawn Weights'!$K$5), 2)</f>
        <v>54.54</v>
      </c>
      <c r="L77" s="145">
        <v>120.0</v>
      </c>
      <c r="M77" s="173"/>
      <c r="N77" s="173"/>
      <c r="O77" s="174"/>
      <c r="P77" s="137"/>
      <c r="Q77" s="137"/>
      <c r="R77" s="137"/>
      <c r="S77" s="137"/>
      <c r="T77" s="137"/>
    </row>
    <row r="78">
      <c r="A78" s="25" t="s">
        <v>335</v>
      </c>
      <c r="G78" s="171" t="s">
        <v>336</v>
      </c>
      <c r="H78" s="172">
        <f>ROUND((M78*'Pawn Weights'!$B$3)+(N78*'Pawn Weights'!$B$4)+(O78*'Pawn Weights'!$B$6)+(L78*'Pawn Weights'!$B$5), 2)</f>
        <v>42.69</v>
      </c>
      <c r="I78" s="172">
        <f>ROUND((M78*'Pawn Weights'!$E$3)+(N78*'Pawn Weights'!$E$4)+(O78*'Pawn Weights'!$E$6)+(L78*'Pawn Weights'!$E$5), 2)</f>
        <v>42.16</v>
      </c>
      <c r="J78" s="172">
        <f>ROUND((M78*'Pawn Weights'!$H$3)+(N78*'Pawn Weights'!$H$4)+(O78*'Pawn Weights'!$H$6)+(L78*'Pawn Weights'!$H$5), 2)</f>
        <v>42.16</v>
      </c>
      <c r="K78" s="145">
        <f>ROUND((M78*'Pawn Weights'!$K$3)+(N78*'Pawn Weights'!$K$4)+(O78*'Pawn Weights'!$K$6)+(L78*'Pawn Weights'!$K$5), 2)</f>
        <v>42.1</v>
      </c>
      <c r="L78" s="173"/>
      <c r="M78" s="173"/>
      <c r="N78" s="145">
        <v>25.0</v>
      </c>
      <c r="O78" s="176">
        <v>28.0</v>
      </c>
      <c r="P78" s="137"/>
      <c r="Q78" s="137"/>
      <c r="R78" s="137"/>
      <c r="S78" s="137"/>
      <c r="T78" s="137"/>
    </row>
    <row r="79">
      <c r="A79" s="25"/>
      <c r="G79" s="171" t="s">
        <v>337</v>
      </c>
      <c r="H79" s="172">
        <f>ROUND((M79*'Pawn Weights'!$B$3)+(N79*'Pawn Weights'!$B$4)+(O79*'Pawn Weights'!$B$6)+(L79*'Pawn Weights'!$B$5), 2)</f>
        <v>42.1</v>
      </c>
      <c r="I79" s="172">
        <f>ROUND((M79*'Pawn Weights'!$E$3)+(N79*'Pawn Weights'!$E$4)+(O79*'Pawn Weights'!$E$6)+(L79*'Pawn Weights'!$E$5), 2)</f>
        <v>41.55</v>
      </c>
      <c r="J79" s="172">
        <f>ROUND((M79*'Pawn Weights'!$H$3)+(N79*'Pawn Weights'!$H$4)+(O79*'Pawn Weights'!$H$6)+(L79*'Pawn Weights'!$H$5), 2)</f>
        <v>41.55</v>
      </c>
      <c r="K79" s="145">
        <f>ROUND((M79*'Pawn Weights'!$K$3)+(N79*'Pawn Weights'!$K$4)+(O79*'Pawn Weights'!$K$6)+(L79*'Pawn Weights'!$K$5), 2)</f>
        <v>41.49</v>
      </c>
      <c r="L79" s="173"/>
      <c r="M79" s="173"/>
      <c r="N79" s="145">
        <v>35.0</v>
      </c>
      <c r="O79" s="176">
        <v>20.0</v>
      </c>
      <c r="P79" s="137"/>
      <c r="Q79" s="137"/>
      <c r="R79" s="137"/>
      <c r="S79" s="137"/>
      <c r="T79" s="137"/>
    </row>
    <row r="80">
      <c r="A80" s="25" t="s">
        <v>338</v>
      </c>
      <c r="G80" s="171" t="s">
        <v>339</v>
      </c>
      <c r="H80" s="172">
        <f>ROUND((M80*'Pawn Weights'!$B$3)+(N80*'Pawn Weights'!$B$4)+(O80*'Pawn Weights'!$B$6)+(L80*'Pawn Weights'!$B$5), 2)</f>
        <v>35</v>
      </c>
      <c r="I80" s="172">
        <f>ROUND((M80*'Pawn Weights'!$E$3)+(N80*'Pawn Weights'!$E$4)+(O80*'Pawn Weights'!$E$6)+(L80*'Pawn Weights'!$E$5), 2)</f>
        <v>35</v>
      </c>
      <c r="J80" s="172">
        <f>ROUND((M80*'Pawn Weights'!$H$3)+(N80*'Pawn Weights'!$H$4)+(O80*'Pawn Weights'!$H$6)+(L80*'Pawn Weights'!$H$5), 2)</f>
        <v>35</v>
      </c>
      <c r="K80" s="145">
        <f>ROUND((M80*'Pawn Weights'!$K$3)+(N80*'Pawn Weights'!$K$4)+(O80*'Pawn Weights'!$K$6)+(L80*'Pawn Weights'!$K$5), 2)</f>
        <v>35</v>
      </c>
      <c r="L80" s="173"/>
      <c r="M80" s="145">
        <v>35.0</v>
      </c>
      <c r="N80" s="173"/>
      <c r="O80" s="174"/>
      <c r="P80" s="137"/>
      <c r="Q80" s="137"/>
      <c r="R80" s="137"/>
      <c r="S80" s="137"/>
      <c r="T80" s="137"/>
    </row>
    <row r="81">
      <c r="A81" s="177" t="s">
        <v>340</v>
      </c>
      <c r="G81" s="178" t="s">
        <v>341</v>
      </c>
      <c r="H81" s="179">
        <f>ROUND((M81*'Pawn Weights'!$B$3)+(N81*'Pawn Weights'!$B$4)+(O81*'Pawn Weights'!$B$6)+(L81*'Pawn Weights'!$B$5), 2)</f>
        <v>27.27</v>
      </c>
      <c r="I81" s="179">
        <f>ROUND((M81*'Pawn Weights'!$E$3)+(N81*'Pawn Weights'!$E$4)+(O81*'Pawn Weights'!$E$6)+(L81*'Pawn Weights'!$E$5), 2)</f>
        <v>27.27</v>
      </c>
      <c r="J81" s="179">
        <f>ROUND((M81*'Pawn Weights'!$H$3)+(N81*'Pawn Weights'!$H$4)+(O81*'Pawn Weights'!$H$6)+(L81*'Pawn Weights'!$H$5), 2)</f>
        <v>27.27</v>
      </c>
      <c r="K81" s="180">
        <f>ROUND((M81*'Pawn Weights'!$K$3)+(N81*'Pawn Weights'!$K$4)+(O81*'Pawn Weights'!$K$6)+(L81*'Pawn Weights'!$K$5), 2)</f>
        <v>27.27</v>
      </c>
      <c r="L81" s="180">
        <v>60.0</v>
      </c>
      <c r="M81" s="181"/>
      <c r="N81" s="181"/>
      <c r="O81" s="182"/>
      <c r="P81" s="137"/>
      <c r="Q81" s="137"/>
      <c r="R81" s="137"/>
      <c r="S81" s="137"/>
      <c r="T81" s="137"/>
    </row>
    <row r="82">
      <c r="A82" s="177" t="s">
        <v>342</v>
      </c>
      <c r="G82" s="183"/>
      <c r="H82" s="183"/>
      <c r="I82" s="183"/>
      <c r="J82" s="183"/>
      <c r="K82" s="183"/>
      <c r="L82" s="183"/>
      <c r="M82" s="183"/>
      <c r="N82" s="183"/>
      <c r="O82" s="183"/>
      <c r="P82" s="137"/>
      <c r="Q82" s="137"/>
      <c r="R82" s="137"/>
      <c r="S82" s="137"/>
      <c r="T82" s="137"/>
    </row>
    <row r="83">
      <c r="A83" s="25"/>
      <c r="G83" s="184" t="s">
        <v>343</v>
      </c>
      <c r="H83" s="139" t="s">
        <v>324</v>
      </c>
      <c r="I83" s="139" t="s">
        <v>168</v>
      </c>
      <c r="J83" s="169" t="s">
        <v>325</v>
      </c>
      <c r="K83" s="139" t="s">
        <v>326</v>
      </c>
      <c r="L83" s="139" t="s">
        <v>327</v>
      </c>
      <c r="M83" s="139" t="s">
        <v>328</v>
      </c>
      <c r="N83" s="139" t="s">
        <v>329</v>
      </c>
      <c r="O83" s="185" t="s">
        <v>344</v>
      </c>
      <c r="P83" s="137"/>
      <c r="Q83" s="137"/>
      <c r="R83" s="137"/>
      <c r="S83" s="137"/>
      <c r="T83" s="137"/>
    </row>
    <row r="84">
      <c r="A84" s="25" t="s">
        <v>345</v>
      </c>
      <c r="G84" s="171" t="s">
        <v>346</v>
      </c>
      <c r="H84" s="172">
        <f>ROUND((M84*'Pawn Weights'!$B$3)+(N84*'Pawn Weights'!$B$4)+(O84*'Pawn Weights'!$B$6)+(L84*'Pawn Weights'!$B$5), 2)</f>
        <v>20</v>
      </c>
      <c r="I84" s="172">
        <f>ROUND((M84*'Pawn Weights'!$E$3)+(N84*'Pawn Weights'!$E$4)+(O84*'Pawn Weights'!$E$6)+(L84*'Pawn Weights'!$E$5), 2)</f>
        <v>20</v>
      </c>
      <c r="J84" s="172">
        <f>ROUND((M84*'Pawn Weights'!$H$3)+(N84*'Pawn Weights'!$H$4)+(O84*'Pawn Weights'!$H$6)+(L84*'Pawn Weights'!$H$5), 2)</f>
        <v>20</v>
      </c>
      <c r="K84" s="145">
        <f>ROUND((M84*'Pawn Weights'!$K$3)+(N84*'Pawn Weights'!$K$4)+(O84*'Pawn Weights'!$K$6)+(L84*'Pawn Weights'!$K$5), 2)</f>
        <v>20</v>
      </c>
      <c r="L84" s="173"/>
      <c r="M84" s="145">
        <v>20.0</v>
      </c>
      <c r="N84" s="173"/>
      <c r="O84" s="174"/>
      <c r="P84" s="137"/>
      <c r="Q84" s="137"/>
      <c r="R84" s="137"/>
      <c r="S84" s="137"/>
      <c r="T84" s="137"/>
    </row>
    <row r="85">
      <c r="A85" s="25" t="s">
        <v>347</v>
      </c>
      <c r="G85" s="171" t="s">
        <v>348</v>
      </c>
      <c r="H85" s="172">
        <f>ROUND((M85*'Pawn Weights'!$B$3)+(N85*'Pawn Weights'!$B$4)+(O85*'Pawn Weights'!$B$6)+(L85*'Pawn Weights'!$B$5), 2)</f>
        <v>18.18</v>
      </c>
      <c r="I85" s="172">
        <f>ROUND((M85*'Pawn Weights'!$E$3)+(N85*'Pawn Weights'!$E$4)+(O85*'Pawn Weights'!$E$6)+(L85*'Pawn Weights'!$E$5), 2)</f>
        <v>18.18</v>
      </c>
      <c r="J85" s="172">
        <f>ROUND((M85*'Pawn Weights'!$H$3)+(N85*'Pawn Weights'!$H$4)+(O85*'Pawn Weights'!$H$6)+(L85*'Pawn Weights'!$H$5), 2)</f>
        <v>18.18</v>
      </c>
      <c r="K85" s="145">
        <f>ROUND((M85*'Pawn Weights'!$K$3)+(N85*'Pawn Weights'!$K$4)+(O85*'Pawn Weights'!$K$6)+(L85*'Pawn Weights'!$K$5), 2)</f>
        <v>18.18</v>
      </c>
      <c r="L85" s="145">
        <v>40.0</v>
      </c>
      <c r="M85" s="173"/>
      <c r="N85" s="173"/>
      <c r="O85" s="174"/>
      <c r="P85" s="137"/>
      <c r="Q85" s="137"/>
      <c r="R85" s="137"/>
      <c r="S85" s="137"/>
      <c r="T85" s="137"/>
    </row>
    <row r="86">
      <c r="A86" s="25" t="s">
        <v>349</v>
      </c>
      <c r="G86" s="171" t="s">
        <v>350</v>
      </c>
      <c r="H86" s="172">
        <f>ROUND((M86*'Pawn Weights'!$B$3)+(N86*'Pawn Weights'!$B$4)+(O86*'Pawn Weights'!$B$6)+(L86*'Pawn Weights'!$B$5), 2)</f>
        <v>13.54</v>
      </c>
      <c r="I86" s="172">
        <f>ROUND((M86*'Pawn Weights'!$E$3)+(N86*'Pawn Weights'!$E$4)+(O86*'Pawn Weights'!$E$6)+(L86*'Pawn Weights'!$E$5), 2)</f>
        <v>13.34</v>
      </c>
      <c r="J86" s="172">
        <f>ROUND((M86*'Pawn Weights'!$H$3)+(N86*'Pawn Weights'!$H$4)+(O86*'Pawn Weights'!$H$6)+(L86*'Pawn Weights'!$H$5), 2)</f>
        <v>13.34</v>
      </c>
      <c r="K86" s="145">
        <f>ROUND((M86*'Pawn Weights'!$K$3)+(N86*'Pawn Weights'!$K$4)+(O86*'Pawn Weights'!$K$6)+(L86*'Pawn Weights'!$K$5), 2)</f>
        <v>13.32</v>
      </c>
      <c r="L86" s="173"/>
      <c r="M86" s="173"/>
      <c r="N86" s="145">
        <v>20.0</v>
      </c>
      <c r="O86" s="174"/>
      <c r="P86" s="137"/>
      <c r="Q86" s="137"/>
      <c r="R86" s="137"/>
      <c r="S86" s="137"/>
      <c r="T86" s="137"/>
    </row>
    <row r="87">
      <c r="A87" s="25" t="s">
        <v>351</v>
      </c>
      <c r="G87" s="178" t="s">
        <v>352</v>
      </c>
      <c r="H87" s="179">
        <f>ROUND((M87*'Pawn Weights'!$B$3)+(N87*'Pawn Weights'!$B$4)+(O87*'Pawn Weights'!$B$7)+(L87*'Pawn Weights'!$B$5), 2)</f>
        <v>13</v>
      </c>
      <c r="I87" s="179">
        <f>ROUND((M87*'Pawn Weights'!$E$3)+(N87*'Pawn Weights'!$E$4)+(O87*'Pawn Weights'!$E$7)+(L87*'Pawn Weights'!$E$5), 2)</f>
        <v>12.8</v>
      </c>
      <c r="J87" s="179">
        <f>ROUND((M87*'Pawn Weights'!$H$3)+(N87*'Pawn Weights'!$H$4)+(O87*'Pawn Weights'!$H$7)+(L87*'Pawn Weights'!$H$5), 2)</f>
        <v>12.42</v>
      </c>
      <c r="K87" s="180">
        <f>ROUND((M87*'Pawn Weights'!$K$3)+(N87*'Pawn Weights'!$K$4)+(O87*'Pawn Weights'!$K$7)+(L87*'Pawn Weights'!$K$5), 2)</f>
        <v>11.6</v>
      </c>
      <c r="L87" s="181"/>
      <c r="M87" s="181"/>
      <c r="N87" s="181"/>
      <c r="O87" s="186">
        <v>20.0</v>
      </c>
      <c r="P87" s="137"/>
      <c r="Q87" s="137"/>
      <c r="R87" s="137"/>
      <c r="S87" s="137"/>
      <c r="T87" s="137"/>
    </row>
    <row r="88">
      <c r="A88" s="25" t="s">
        <v>353</v>
      </c>
      <c r="G88" s="187"/>
      <c r="H88" s="187"/>
      <c r="I88" s="187"/>
      <c r="J88" s="187"/>
      <c r="K88" s="187"/>
      <c r="L88" s="187"/>
      <c r="M88" s="187"/>
      <c r="N88" s="187"/>
      <c r="O88" s="187"/>
      <c r="P88" s="137"/>
      <c r="Q88" s="137"/>
      <c r="R88" s="137"/>
      <c r="S88" s="137"/>
      <c r="T88" s="137"/>
    </row>
    <row r="89">
      <c r="A89" s="25" t="s">
        <v>354</v>
      </c>
      <c r="G89" s="184" t="s">
        <v>355</v>
      </c>
      <c r="H89" s="139" t="s">
        <v>324</v>
      </c>
      <c r="I89" s="139" t="s">
        <v>168</v>
      </c>
      <c r="J89" s="169" t="s">
        <v>325</v>
      </c>
      <c r="K89" s="139" t="s">
        <v>326</v>
      </c>
      <c r="L89" s="139" t="s">
        <v>328</v>
      </c>
      <c r="M89" s="139" t="s">
        <v>356</v>
      </c>
      <c r="N89" s="139" t="s">
        <v>357</v>
      </c>
      <c r="O89" s="185" t="s">
        <v>358</v>
      </c>
      <c r="P89" s="142"/>
      <c r="Q89" s="188" t="s">
        <v>359</v>
      </c>
      <c r="R89" s="188" t="s">
        <v>360</v>
      </c>
      <c r="S89" s="188" t="s">
        <v>361</v>
      </c>
      <c r="T89" s="188" t="s">
        <v>362</v>
      </c>
    </row>
    <row r="90">
      <c r="A90" s="25" t="s">
        <v>363</v>
      </c>
      <c r="G90" s="171" t="s">
        <v>364</v>
      </c>
      <c r="H90" s="172">
        <f>ROUND((Q90/100*N90), 2)</f>
        <v>38</v>
      </c>
      <c r="I90" s="172">
        <f>ROUND((R90/100*N90), 2)</f>
        <v>38.5</v>
      </c>
      <c r="J90" s="172">
        <f>ROUND((S90/100*N90), 2)</f>
        <v>39</v>
      </c>
      <c r="K90" s="145">
        <f>ROUND((T90/100*N90), 2)</f>
        <v>42.2</v>
      </c>
      <c r="L90" s="173"/>
      <c r="M90" s="145">
        <v>400.0</v>
      </c>
      <c r="N90" s="145">
        <v>12.5</v>
      </c>
      <c r="O90" s="174"/>
      <c r="P90" s="142"/>
      <c r="Q90" s="189">
        <f>ROUND((M90*'Pawn Weights'!$B$8)+(L90*'Pawn Weights'!$B$3), 2)</f>
        <v>304</v>
      </c>
      <c r="R90" s="189">
        <f>ROUND((M90*'Pawn Weights'!$E$8)+(L90*'Pawn Weights'!$E$3), 2)</f>
        <v>308</v>
      </c>
      <c r="S90" s="189">
        <f>ROUND((M90*'Pawn Weights'!$H$8)+(L90*'Pawn Weights'!$H$3), 2)</f>
        <v>312</v>
      </c>
      <c r="T90" s="189">
        <f>ROUND((M90*'Pawn Weights'!$K$8)+(L90*'Pawn Weights'!$K$3), 2)</f>
        <v>337.6</v>
      </c>
    </row>
    <row r="91">
      <c r="A91" s="25" t="s">
        <v>365</v>
      </c>
      <c r="G91" s="171" t="s">
        <v>366</v>
      </c>
      <c r="H91" s="172">
        <f>ROUND((Q91/100*N91)+9, 2)</f>
        <v>19</v>
      </c>
      <c r="I91" s="172">
        <f>ROUND((R91/100*N91)+9, 2)</f>
        <v>19</v>
      </c>
      <c r="J91" s="172">
        <f>ROUND((S91/100*N91)+9, 2)</f>
        <v>19</v>
      </c>
      <c r="K91" s="145">
        <f>ROUND((T91/100*N91)+9, 2)</f>
        <v>19</v>
      </c>
      <c r="L91" s="145">
        <v>60.0</v>
      </c>
      <c r="M91" s="173"/>
      <c r="N91" s="145">
        <v>16.66</v>
      </c>
      <c r="O91" s="176">
        <v>30.0</v>
      </c>
      <c r="P91" s="142"/>
      <c r="Q91" s="189">
        <f>ROUND((M91*'Pawn Weights'!$B$8)+(L91*'Pawn Weights'!$B$3), 2)</f>
        <v>60</v>
      </c>
      <c r="R91" s="189">
        <f>ROUND((M91*'Pawn Weights'!$E$8)+(L91*'Pawn Weights'!$E$3), 2)</f>
        <v>60</v>
      </c>
      <c r="S91" s="189">
        <f>ROUND((M91*'Pawn Weights'!$H$8)+(L91*'Pawn Weights'!$H$3), 2)</f>
        <v>60</v>
      </c>
      <c r="T91" s="189">
        <f>ROUND((M91*'Pawn Weights'!$K$8)+(L91*'Pawn Weights'!$K$3), 2)</f>
        <v>60</v>
      </c>
    </row>
    <row r="92">
      <c r="A92" s="25" t="s">
        <v>367</v>
      </c>
      <c r="G92" s="171" t="s">
        <v>368</v>
      </c>
      <c r="H92" s="172">
        <f t="shared" ref="H92:H93" si="3">ROUND((Q92/100*N92), 2)</f>
        <v>15</v>
      </c>
      <c r="I92" s="172">
        <f t="shared" ref="I92:I93" si="4">ROUND((R92/100*N92), 2)</f>
        <v>15</v>
      </c>
      <c r="J92" s="172">
        <f t="shared" ref="J92:J93" si="5">ROUND((S92/100*N92), 2)</f>
        <v>15</v>
      </c>
      <c r="K92" s="145">
        <f t="shared" ref="K92:K93" si="6">ROUND((T92/100*N92), 2)</f>
        <v>15</v>
      </c>
      <c r="L92" s="145">
        <v>120.0</v>
      </c>
      <c r="M92" s="173"/>
      <c r="N92" s="145">
        <v>12.5</v>
      </c>
      <c r="O92" s="174"/>
      <c r="P92" s="142"/>
      <c r="Q92" s="189">
        <f>ROUND((M92*'Pawn Weights'!$B$8)+(L92*'Pawn Weights'!$B$3), 2)</f>
        <v>120</v>
      </c>
      <c r="R92" s="189">
        <f>ROUND((M92*'Pawn Weights'!$E$8)+(L92*'Pawn Weights'!$E$3), 2)</f>
        <v>120</v>
      </c>
      <c r="S92" s="189">
        <f>ROUND((M92*'Pawn Weights'!$H$8)+(L92*'Pawn Weights'!$H$3), 2)</f>
        <v>120</v>
      </c>
      <c r="T92" s="189">
        <f>ROUND((M92*'Pawn Weights'!$K$8)+(L92*'Pawn Weights'!$K$3), 2)</f>
        <v>120</v>
      </c>
    </row>
    <row r="93">
      <c r="A93" s="25" t="s">
        <v>369</v>
      </c>
      <c r="G93" s="178" t="s">
        <v>370</v>
      </c>
      <c r="H93" s="179">
        <f t="shared" si="3"/>
        <v>8.75</v>
      </c>
      <c r="I93" s="179">
        <f t="shared" si="4"/>
        <v>8.75</v>
      </c>
      <c r="J93" s="179">
        <f t="shared" si="5"/>
        <v>8.75</v>
      </c>
      <c r="K93" s="180">
        <f t="shared" si="6"/>
        <v>8.75</v>
      </c>
      <c r="L93" s="180">
        <v>70.0</v>
      </c>
      <c r="M93" s="181"/>
      <c r="N93" s="180">
        <v>12.5</v>
      </c>
      <c r="O93" s="182"/>
      <c r="P93" s="142"/>
      <c r="Q93" s="189">
        <f>ROUND((M93*'Pawn Weights'!$B$8)+(L93*'Pawn Weights'!$B$3), 2)</f>
        <v>70</v>
      </c>
      <c r="R93" s="189">
        <f>ROUND((M93*'Pawn Weights'!$E$8)+(L93*'Pawn Weights'!$E$3), 2)</f>
        <v>70</v>
      </c>
      <c r="S93" s="189">
        <f>ROUND((M93*'Pawn Weights'!$H$8)+(L93*'Pawn Weights'!$H$3), 2)</f>
        <v>70</v>
      </c>
      <c r="T93" s="189">
        <f>ROUND((M93*'Pawn Weights'!$K$8)+(L93*'Pawn Weights'!$K$3), 2)</f>
        <v>70</v>
      </c>
    </row>
    <row r="94">
      <c r="A94" s="25" t="s">
        <v>371</v>
      </c>
      <c r="G94" s="190" t="s">
        <v>372</v>
      </c>
      <c r="H94" s="191"/>
      <c r="I94" s="191"/>
      <c r="J94" s="191"/>
      <c r="K94" s="191"/>
      <c r="L94" s="191"/>
      <c r="M94" s="192"/>
      <c r="N94" s="191"/>
      <c r="O94" s="142"/>
      <c r="P94" s="142"/>
      <c r="Q94" s="142"/>
      <c r="R94" s="137"/>
      <c r="S94" s="137"/>
      <c r="T94" s="137"/>
    </row>
    <row r="95">
      <c r="A95" s="25" t="s">
        <v>373</v>
      </c>
      <c r="G95" s="193" t="s">
        <v>374</v>
      </c>
      <c r="H95" s="194"/>
      <c r="I95" s="194"/>
      <c r="J95" s="194"/>
      <c r="K95" s="137"/>
      <c r="L95" s="137"/>
      <c r="M95" s="137"/>
      <c r="N95" s="137"/>
      <c r="O95" s="137"/>
      <c r="P95" s="137"/>
      <c r="Q95" s="137"/>
      <c r="R95" s="137"/>
      <c r="S95" s="137"/>
      <c r="T95" s="137"/>
    </row>
    <row r="96">
      <c r="A96" s="25" t="s">
        <v>375</v>
      </c>
    </row>
    <row r="97">
      <c r="A97" s="25" t="s">
        <v>376</v>
      </c>
    </row>
    <row r="98">
      <c r="A98" s="25" t="s">
        <v>377</v>
      </c>
    </row>
    <row r="99">
      <c r="A99" s="25" t="s">
        <v>378</v>
      </c>
      <c r="B99" s="85" t="s">
        <v>379</v>
      </c>
    </row>
    <row r="100">
      <c r="A100" s="25" t="s">
        <v>380</v>
      </c>
      <c r="B100" s="25" t="s">
        <v>381</v>
      </c>
    </row>
    <row r="101">
      <c r="A101" s="25" t="s">
        <v>382</v>
      </c>
      <c r="B101" s="25" t="s">
        <v>383</v>
      </c>
    </row>
    <row r="102">
      <c r="B102" s="195" t="s">
        <v>384</v>
      </c>
    </row>
    <row r="103">
      <c r="A103" s="196" t="s">
        <v>385</v>
      </c>
      <c r="B103" s="25" t="s">
        <v>386</v>
      </c>
    </row>
    <row r="104">
      <c r="A104" s="25" t="s">
        <v>387</v>
      </c>
      <c r="B104" s="25" t="s">
        <v>388</v>
      </c>
    </row>
    <row r="105">
      <c r="A105" s="25" t="s">
        <v>389</v>
      </c>
    </row>
    <row r="106">
      <c r="A106" s="197" t="s">
        <v>390</v>
      </c>
      <c r="B106" s="85" t="s">
        <v>391</v>
      </c>
    </row>
    <row r="107">
      <c r="B107" s="195" t="s">
        <v>392</v>
      </c>
    </row>
    <row r="108" ht="16.5" customHeight="1">
      <c r="A108" s="25" t="s">
        <v>393</v>
      </c>
      <c r="B108" s="25" t="s">
        <v>394</v>
      </c>
    </row>
    <row r="109" ht="16.5" customHeight="1">
      <c r="A109" s="25"/>
      <c r="B109" s="25" t="s">
        <v>395</v>
      </c>
    </row>
    <row r="110" ht="16.5" customHeight="1">
      <c r="A110" s="25"/>
      <c r="B110" s="25" t="s">
        <v>396</v>
      </c>
    </row>
    <row r="111" ht="16.5" customHeight="1">
      <c r="A111" s="25"/>
      <c r="B111" s="25" t="s">
        <v>397</v>
      </c>
    </row>
    <row r="112" ht="16.5" customHeight="1">
      <c r="A112" s="25" t="s">
        <v>398</v>
      </c>
    </row>
    <row r="114">
      <c r="A114" s="198" t="s">
        <v>399</v>
      </c>
      <c r="B114" s="199" t="s">
        <v>400</v>
      </c>
    </row>
    <row r="115" ht="16.5" customHeight="1">
      <c r="A115" s="200"/>
      <c r="B115" s="112"/>
    </row>
    <row r="116" ht="17.25" customHeight="1">
      <c r="A116" s="201" t="s">
        <v>401</v>
      </c>
      <c r="B116" s="202" t="s">
        <v>402</v>
      </c>
    </row>
    <row r="117" ht="17.25" customHeight="1">
      <c r="A117" s="201" t="s">
        <v>403</v>
      </c>
      <c r="B117" s="202" t="s">
        <v>404</v>
      </c>
    </row>
    <row r="118" ht="17.25" customHeight="1">
      <c r="A118" s="201" t="s">
        <v>405</v>
      </c>
      <c r="B118" s="202" t="s">
        <v>406</v>
      </c>
    </row>
    <row r="119" ht="17.25" customHeight="1">
      <c r="A119" s="201" t="s">
        <v>407</v>
      </c>
      <c r="B119" s="202" t="s">
        <v>408</v>
      </c>
    </row>
    <row r="120" ht="17.25" customHeight="1">
      <c r="A120" s="201" t="s">
        <v>409</v>
      </c>
      <c r="B120" s="202" t="s">
        <v>410</v>
      </c>
    </row>
    <row r="121" ht="17.25" customHeight="1">
      <c r="A121" s="201" t="s">
        <v>411</v>
      </c>
      <c r="B121" s="202" t="s">
        <v>412</v>
      </c>
    </row>
    <row r="122" ht="17.25" customHeight="1">
      <c r="A122" s="201" t="s">
        <v>413</v>
      </c>
      <c r="B122" s="202" t="s">
        <v>414</v>
      </c>
    </row>
    <row r="123" ht="17.25" customHeight="1">
      <c r="A123" s="201" t="s">
        <v>415</v>
      </c>
      <c r="B123" s="202" t="s">
        <v>416</v>
      </c>
    </row>
    <row r="124" ht="17.25" customHeight="1">
      <c r="A124" s="201" t="s">
        <v>417</v>
      </c>
      <c r="B124" s="202" t="s">
        <v>418</v>
      </c>
    </row>
    <row r="125" ht="17.25" customHeight="1">
      <c r="A125" s="201" t="s">
        <v>419</v>
      </c>
      <c r="B125" s="202" t="s">
        <v>420</v>
      </c>
    </row>
    <row r="126" ht="17.25" customHeight="1">
      <c r="A126" s="201" t="s">
        <v>421</v>
      </c>
      <c r="B126" s="202" t="s">
        <v>422</v>
      </c>
    </row>
    <row r="127" ht="17.25" customHeight="1">
      <c r="A127" s="201" t="s">
        <v>423</v>
      </c>
      <c r="B127" s="202" t="s">
        <v>424</v>
      </c>
    </row>
    <row r="128" ht="17.25" customHeight="1">
      <c r="A128" s="201" t="s">
        <v>425</v>
      </c>
      <c r="B128" s="202" t="s">
        <v>426</v>
      </c>
    </row>
    <row r="129" ht="17.25" customHeight="1">
      <c r="A129" s="201" t="s">
        <v>427</v>
      </c>
      <c r="B129" s="202" t="s">
        <v>428</v>
      </c>
    </row>
    <row r="130" ht="17.25" customHeight="1">
      <c r="A130" s="203"/>
      <c r="B130" s="204" t="s">
        <v>429</v>
      </c>
    </row>
    <row r="131" ht="17.25" customHeight="1">
      <c r="A131" s="203"/>
      <c r="B131" s="205"/>
    </row>
    <row r="132" ht="17.25" customHeight="1">
      <c r="A132" s="206" t="s">
        <v>430</v>
      </c>
      <c r="B132" s="205"/>
    </row>
    <row r="133" ht="17.25" customHeight="1">
      <c r="A133" s="207" t="s">
        <v>431</v>
      </c>
      <c r="B133" s="205"/>
    </row>
    <row r="134" ht="17.25" customHeight="1">
      <c r="A134" s="208"/>
      <c r="B134" s="205"/>
    </row>
    <row r="135" ht="17.25" customHeight="1">
      <c r="A135" s="209" t="s">
        <v>432</v>
      </c>
      <c r="B135" s="205"/>
    </row>
    <row r="136" ht="17.25" customHeight="1">
      <c r="A136" s="210"/>
      <c r="B136" s="205" t="s">
        <v>433</v>
      </c>
    </row>
    <row r="137" ht="17.25" customHeight="1">
      <c r="A137" s="210" t="s">
        <v>434</v>
      </c>
      <c r="B137" s="202"/>
    </row>
    <row r="138" ht="17.25" customHeight="1">
      <c r="A138" s="210" t="s">
        <v>435</v>
      </c>
      <c r="B138" s="202" t="s">
        <v>436</v>
      </c>
    </row>
    <row r="139" ht="17.25" customHeight="1">
      <c r="A139" s="210" t="s">
        <v>437</v>
      </c>
      <c r="B139" s="202" t="s">
        <v>438</v>
      </c>
    </row>
    <row r="140" ht="17.25" customHeight="1">
      <c r="A140" s="211" t="s">
        <v>439</v>
      </c>
      <c r="B140" s="202" t="s">
        <v>440</v>
      </c>
    </row>
    <row r="141" ht="17.25" customHeight="1">
      <c r="A141" s="211" t="s">
        <v>441</v>
      </c>
      <c r="B141" s="202" t="s">
        <v>442</v>
      </c>
    </row>
    <row r="142" ht="17.25" customHeight="1">
      <c r="A142" s="210" t="s">
        <v>443</v>
      </c>
      <c r="B142" s="202" t="s">
        <v>444</v>
      </c>
    </row>
    <row r="143" ht="17.25" customHeight="1">
      <c r="A143" s="211" t="s">
        <v>445</v>
      </c>
      <c r="B143" s="202" t="s">
        <v>446</v>
      </c>
    </row>
    <row r="144" ht="17.25" customHeight="1">
      <c r="A144" s="210" t="s">
        <v>447</v>
      </c>
      <c r="B144" s="202" t="s">
        <v>448</v>
      </c>
    </row>
    <row r="145" ht="17.25" customHeight="1">
      <c r="A145" s="211" t="s">
        <v>449</v>
      </c>
      <c r="B145" s="202" t="s">
        <v>450</v>
      </c>
    </row>
    <row r="146" ht="17.25" customHeight="1">
      <c r="A146" s="211" t="s">
        <v>451</v>
      </c>
      <c r="B146" s="202" t="s">
        <v>452</v>
      </c>
    </row>
    <row r="147" ht="17.25" customHeight="1">
      <c r="A147" s="211" t="s">
        <v>453</v>
      </c>
      <c r="B147" s="202" t="s">
        <v>454</v>
      </c>
    </row>
    <row r="148" ht="17.25" customHeight="1">
      <c r="A148" s="210" t="s">
        <v>455</v>
      </c>
      <c r="B148" s="202" t="s">
        <v>456</v>
      </c>
    </row>
    <row r="149" ht="17.25" customHeight="1">
      <c r="A149" s="212" t="s">
        <v>457</v>
      </c>
      <c r="B149" s="202" t="s">
        <v>458</v>
      </c>
    </row>
    <row r="150" ht="17.25" customHeight="1">
      <c r="A150" s="210" t="s">
        <v>459</v>
      </c>
      <c r="B150" s="202" t="s">
        <v>460</v>
      </c>
    </row>
    <row r="151" ht="17.25" customHeight="1">
      <c r="A151" s="213" t="s">
        <v>461</v>
      </c>
      <c r="B151" s="202" t="s">
        <v>462</v>
      </c>
    </row>
    <row r="152">
      <c r="A152" s="214" t="s">
        <v>463</v>
      </c>
      <c r="B152" s="112"/>
    </row>
    <row r="153">
      <c r="A153" s="215"/>
      <c r="B153" s="202"/>
    </row>
    <row r="154">
      <c r="A154" s="199" t="s">
        <v>464</v>
      </c>
      <c r="B154" s="199" t="s">
        <v>465</v>
      </c>
    </row>
    <row r="155">
      <c r="A155" s="202"/>
      <c r="B155" s="112"/>
    </row>
    <row r="156">
      <c r="A156" s="202" t="s">
        <v>466</v>
      </c>
      <c r="B156" s="202" t="s">
        <v>467</v>
      </c>
    </row>
    <row r="157">
      <c r="A157" s="202" t="s">
        <v>468</v>
      </c>
      <c r="B157" s="202" t="s">
        <v>469</v>
      </c>
    </row>
    <row r="158">
      <c r="A158" s="202" t="s">
        <v>470</v>
      </c>
      <c r="B158" s="202" t="s">
        <v>471</v>
      </c>
    </row>
    <row r="159">
      <c r="A159" s="202" t="s">
        <v>472</v>
      </c>
      <c r="B159" s="202" t="s">
        <v>473</v>
      </c>
    </row>
    <row r="160">
      <c r="A160" s="202" t="s">
        <v>474</v>
      </c>
      <c r="B160" s="202" t="s">
        <v>475</v>
      </c>
    </row>
    <row r="161">
      <c r="A161" s="202" t="s">
        <v>476</v>
      </c>
      <c r="B161" s="202" t="s">
        <v>477</v>
      </c>
    </row>
    <row r="162">
      <c r="A162" s="202" t="s">
        <v>478</v>
      </c>
      <c r="B162" s="202" t="s">
        <v>479</v>
      </c>
    </row>
    <row r="163">
      <c r="A163" s="202" t="s">
        <v>480</v>
      </c>
      <c r="B163" s="202" t="s">
        <v>481</v>
      </c>
    </row>
    <row r="164">
      <c r="A164" s="202" t="s">
        <v>482</v>
      </c>
      <c r="B164" s="202" t="s">
        <v>483</v>
      </c>
    </row>
    <row r="165">
      <c r="A165" s="202" t="s">
        <v>484</v>
      </c>
      <c r="B165" s="202" t="s">
        <v>485</v>
      </c>
    </row>
    <row r="166">
      <c r="A166" s="202" t="s">
        <v>486</v>
      </c>
      <c r="B166" s="202" t="s">
        <v>487</v>
      </c>
    </row>
    <row r="167">
      <c r="A167" s="202" t="s">
        <v>488</v>
      </c>
      <c r="B167" s="202" t="s">
        <v>489</v>
      </c>
    </row>
    <row r="168">
      <c r="A168" s="202" t="s">
        <v>490</v>
      </c>
      <c r="B168" s="202" t="s">
        <v>491</v>
      </c>
    </row>
    <row r="169">
      <c r="A169" s="202" t="s">
        <v>492</v>
      </c>
      <c r="B169" s="202" t="s">
        <v>493</v>
      </c>
    </row>
    <row r="170">
      <c r="A170" s="112"/>
      <c r="B170" s="112"/>
    </row>
    <row r="171">
      <c r="A171" s="216" t="s">
        <v>494</v>
      </c>
      <c r="B171" s="112"/>
    </row>
    <row r="172">
      <c r="A172" s="112"/>
      <c r="B172" s="112"/>
    </row>
    <row r="173">
      <c r="A173" s="112"/>
      <c r="B173" s="112"/>
    </row>
    <row r="174">
      <c r="A174" s="205" t="s">
        <v>495</v>
      </c>
      <c r="B174" s="199" t="s">
        <v>496</v>
      </c>
    </row>
    <row r="175">
      <c r="A175" s="112"/>
      <c r="B175" s="112"/>
    </row>
    <row r="176">
      <c r="A176" s="202" t="s">
        <v>497</v>
      </c>
      <c r="B176" s="202" t="s">
        <v>498</v>
      </c>
    </row>
    <row r="177">
      <c r="A177" s="202" t="s">
        <v>499</v>
      </c>
      <c r="B177" s="202" t="s">
        <v>500</v>
      </c>
    </row>
    <row r="178">
      <c r="A178" s="202" t="s">
        <v>501</v>
      </c>
      <c r="B178" s="217" t="s">
        <v>502</v>
      </c>
    </row>
    <row r="179">
      <c r="A179" s="217" t="s">
        <v>503</v>
      </c>
      <c r="B179" s="217" t="s">
        <v>504</v>
      </c>
    </row>
    <row r="180">
      <c r="A180" s="217" t="s">
        <v>505</v>
      </c>
      <c r="B180" s="217" t="s">
        <v>506</v>
      </c>
    </row>
    <row r="181">
      <c r="A181" s="202" t="s">
        <v>507</v>
      </c>
      <c r="B181" s="217" t="s">
        <v>508</v>
      </c>
    </row>
    <row r="182">
      <c r="A182" s="217" t="s">
        <v>509</v>
      </c>
      <c r="B182" s="217" t="s">
        <v>510</v>
      </c>
    </row>
    <row r="183">
      <c r="A183" s="202" t="s">
        <v>511</v>
      </c>
      <c r="B183" s="217" t="s">
        <v>512</v>
      </c>
    </row>
    <row r="184">
      <c r="A184" s="217" t="s">
        <v>513</v>
      </c>
      <c r="B184" s="217" t="s">
        <v>514</v>
      </c>
    </row>
    <row r="185">
      <c r="A185" s="217" t="s">
        <v>515</v>
      </c>
      <c r="B185" s="217" t="s">
        <v>516</v>
      </c>
    </row>
    <row r="186">
      <c r="A186" s="217" t="s">
        <v>517</v>
      </c>
      <c r="B186" s="217" t="s">
        <v>518</v>
      </c>
    </row>
    <row r="187">
      <c r="A187" s="202" t="s">
        <v>519</v>
      </c>
      <c r="B187" s="217" t="s">
        <v>520</v>
      </c>
    </row>
    <row r="188">
      <c r="A188" s="218" t="s">
        <v>521</v>
      </c>
      <c r="B188" s="218" t="s">
        <v>522</v>
      </c>
    </row>
    <row r="189">
      <c r="A189" s="202" t="s">
        <v>523</v>
      </c>
      <c r="B189" s="202" t="s">
        <v>524</v>
      </c>
    </row>
    <row r="190">
      <c r="A190" s="218" t="s">
        <v>525</v>
      </c>
      <c r="B190" s="218" t="s">
        <v>526</v>
      </c>
    </row>
    <row r="191">
      <c r="A191" s="25"/>
    </row>
    <row r="192">
      <c r="A192" s="25"/>
    </row>
    <row r="193">
      <c r="A193" s="25"/>
    </row>
    <row r="194">
      <c r="A194" s="25"/>
    </row>
    <row r="195">
      <c r="A195" s="25"/>
    </row>
    <row r="196">
      <c r="A196" s="25"/>
    </row>
    <row r="197">
      <c r="A197" s="25" t="s">
        <v>527</v>
      </c>
      <c r="B197" s="137"/>
      <c r="C197" s="219" t="s">
        <v>528</v>
      </c>
      <c r="D197" s="220" t="s">
        <v>529</v>
      </c>
      <c r="E197" s="137"/>
    </row>
    <row r="198">
      <c r="A198" s="25" t="s">
        <v>530</v>
      </c>
      <c r="B198" s="137"/>
      <c r="C198" s="137"/>
      <c r="D198" s="137"/>
      <c r="E198" s="137"/>
    </row>
    <row r="199">
      <c r="A199" s="25" t="s">
        <v>531</v>
      </c>
      <c r="B199" s="137"/>
      <c r="C199" s="137" t="s">
        <v>532</v>
      </c>
      <c r="D199" s="221" t="s">
        <v>533</v>
      </c>
      <c r="E199" s="137"/>
    </row>
    <row r="200">
      <c r="A200" s="25" t="s">
        <v>534</v>
      </c>
      <c r="B200" s="137"/>
      <c r="C200" s="137" t="s">
        <v>535</v>
      </c>
      <c r="D200" s="221" t="s">
        <v>536</v>
      </c>
      <c r="E200" s="137"/>
    </row>
    <row r="201">
      <c r="A201" s="25" t="s">
        <v>537</v>
      </c>
      <c r="B201" s="137"/>
      <c r="C201" s="137" t="s">
        <v>538</v>
      </c>
      <c r="D201" s="221" t="s">
        <v>539</v>
      </c>
      <c r="E201" s="137"/>
    </row>
    <row r="202">
      <c r="A202" s="25" t="s">
        <v>540</v>
      </c>
      <c r="B202" s="137"/>
      <c r="C202" s="137" t="s">
        <v>541</v>
      </c>
      <c r="D202" s="221" t="s">
        <v>542</v>
      </c>
      <c r="E202" s="137"/>
    </row>
    <row r="203">
      <c r="A203" s="25" t="s">
        <v>543</v>
      </c>
      <c r="B203" s="137"/>
      <c r="C203" s="137" t="s">
        <v>544</v>
      </c>
      <c r="D203" s="221" t="s">
        <v>545</v>
      </c>
      <c r="E203" s="137"/>
    </row>
    <row r="204">
      <c r="B204" s="137"/>
      <c r="C204" s="137" t="s">
        <v>546</v>
      </c>
      <c r="D204" s="221" t="s">
        <v>546</v>
      </c>
      <c r="E204" s="137"/>
    </row>
    <row r="205">
      <c r="A205" s="25" t="s">
        <v>547</v>
      </c>
      <c r="B205" s="137"/>
      <c r="C205" s="219" t="s">
        <v>548</v>
      </c>
      <c r="D205" s="221" t="s">
        <v>549</v>
      </c>
      <c r="E205" s="137"/>
    </row>
    <row r="206">
      <c r="A206" s="25" t="s">
        <v>550</v>
      </c>
      <c r="B206" s="137"/>
      <c r="C206" s="137" t="s">
        <v>551</v>
      </c>
      <c r="D206" s="221" t="s">
        <v>551</v>
      </c>
      <c r="E206" s="137"/>
    </row>
    <row r="207">
      <c r="A207" s="25" t="s">
        <v>552</v>
      </c>
    </row>
    <row r="208">
      <c r="A208" s="25" t="s">
        <v>553</v>
      </c>
    </row>
    <row r="209">
      <c r="A209" s="222">
        <f> 251.023</f>
        <v>251.023</v>
      </c>
    </row>
    <row r="211">
      <c r="A211" s="25" t="s">
        <v>554</v>
      </c>
    </row>
    <row r="212">
      <c r="A212" s="25" t="s">
        <v>550</v>
      </c>
    </row>
    <row r="213">
      <c r="A213" s="25" t="s">
        <v>552</v>
      </c>
    </row>
    <row r="214">
      <c r="A214" s="25" t="s">
        <v>555</v>
      </c>
    </row>
    <row r="215">
      <c r="A215" s="222">
        <f> 251.433</f>
        <v>251.433</v>
      </c>
    </row>
    <row r="217">
      <c r="A217" s="25" t="s">
        <v>556</v>
      </c>
    </row>
  </sheetData>
  <mergeCells count="4">
    <mergeCell ref="X2:Y3"/>
    <mergeCell ref="X5:Y5"/>
    <mergeCell ref="X10:Y10"/>
    <mergeCell ref="X19:Y19"/>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29"/>
    <col customWidth="1" min="3" max="3" width="14.43"/>
    <col customWidth="1" min="4" max="4" width="18.43"/>
    <col customWidth="1" min="6" max="6" width="13.43"/>
    <col customWidth="1" min="7" max="7" width="19.71"/>
    <col customWidth="1" min="10" max="10" width="21.29"/>
  </cols>
  <sheetData>
    <row r="1">
      <c r="A1" s="223" t="s">
        <v>557</v>
      </c>
      <c r="B1" s="224"/>
      <c r="C1" s="225"/>
      <c r="D1" s="226"/>
      <c r="E1" s="226"/>
      <c r="F1" s="226"/>
      <c r="G1" s="226"/>
      <c r="H1" s="226"/>
      <c r="I1" s="226"/>
      <c r="J1" s="226"/>
      <c r="K1" s="226"/>
      <c r="L1" s="226"/>
      <c r="M1" s="226"/>
    </row>
    <row r="2">
      <c r="A2" s="224" t="s">
        <v>558</v>
      </c>
      <c r="B2" s="224"/>
      <c r="C2" s="225"/>
      <c r="D2" s="224" t="s">
        <v>168</v>
      </c>
      <c r="E2" s="224"/>
      <c r="F2" s="225"/>
      <c r="G2" s="224" t="s">
        <v>559</v>
      </c>
      <c r="H2" s="224"/>
      <c r="I2" s="225"/>
      <c r="J2" s="224" t="s">
        <v>326</v>
      </c>
      <c r="K2" s="224"/>
      <c r="L2" s="225"/>
      <c r="M2" s="226"/>
    </row>
    <row r="3">
      <c r="A3" s="227" t="s">
        <v>560</v>
      </c>
      <c r="B3" s="228">
        <v>1.0</v>
      </c>
      <c r="C3" s="229"/>
      <c r="D3" s="230" t="s">
        <v>560</v>
      </c>
      <c r="E3" s="231">
        <v>1.0</v>
      </c>
      <c r="F3" s="232"/>
      <c r="G3" s="233" t="s">
        <v>560</v>
      </c>
      <c r="H3" s="234">
        <v>1.0</v>
      </c>
      <c r="I3" s="232"/>
      <c r="J3" s="233" t="s">
        <v>560</v>
      </c>
      <c r="K3" s="234">
        <v>1.0</v>
      </c>
      <c r="L3" s="87"/>
      <c r="M3" s="226"/>
    </row>
    <row r="4">
      <c r="A4" s="235" t="s">
        <v>561</v>
      </c>
      <c r="B4" s="236">
        <v>0.677</v>
      </c>
      <c r="C4" s="237"/>
      <c r="D4" s="238" t="s">
        <v>561</v>
      </c>
      <c r="E4" s="239">
        <v>0.667</v>
      </c>
      <c r="F4" s="240"/>
      <c r="G4" s="241" t="s">
        <v>561</v>
      </c>
      <c r="H4" s="242">
        <v>0.667</v>
      </c>
      <c r="I4" s="240"/>
      <c r="J4" s="241" t="s">
        <v>561</v>
      </c>
      <c r="K4" s="242">
        <v>0.666</v>
      </c>
      <c r="L4" s="243"/>
      <c r="M4" s="226"/>
    </row>
    <row r="5">
      <c r="A5" s="235" t="s">
        <v>562</v>
      </c>
      <c r="B5" s="236">
        <v>0.4545</v>
      </c>
      <c r="C5" s="237"/>
      <c r="D5" s="238" t="s">
        <v>562</v>
      </c>
      <c r="E5" s="239">
        <v>0.4545</v>
      </c>
      <c r="F5" s="240"/>
      <c r="G5" s="241" t="s">
        <v>562</v>
      </c>
      <c r="H5" s="242">
        <v>0.4545</v>
      </c>
      <c r="I5" s="240"/>
      <c r="J5" s="241" t="s">
        <v>562</v>
      </c>
      <c r="K5" s="242">
        <v>0.4545</v>
      </c>
      <c r="L5" s="240"/>
      <c r="M5" s="226"/>
    </row>
    <row r="6">
      <c r="A6" s="235" t="s">
        <v>330</v>
      </c>
      <c r="B6" s="236">
        <v>0.92</v>
      </c>
      <c r="C6" s="237"/>
      <c r="D6" s="238" t="s">
        <v>330</v>
      </c>
      <c r="E6" s="239">
        <v>0.91</v>
      </c>
      <c r="F6" s="240"/>
      <c r="G6" s="241" t="s">
        <v>330</v>
      </c>
      <c r="H6" s="242">
        <v>0.91</v>
      </c>
      <c r="I6" s="240"/>
      <c r="J6" s="241" t="s">
        <v>330</v>
      </c>
      <c r="K6" s="242">
        <v>0.909</v>
      </c>
      <c r="L6" s="240"/>
      <c r="M6" s="226"/>
    </row>
    <row r="7">
      <c r="A7" s="235" t="s">
        <v>344</v>
      </c>
      <c r="B7" s="236">
        <v>0.65</v>
      </c>
      <c r="C7" s="237"/>
      <c r="D7" s="238" t="s">
        <v>344</v>
      </c>
      <c r="E7" s="239">
        <v>0.64</v>
      </c>
      <c r="F7" s="240"/>
      <c r="G7" s="241" t="s">
        <v>344</v>
      </c>
      <c r="H7" s="242">
        <v>0.621</v>
      </c>
      <c r="I7" s="240"/>
      <c r="J7" s="241" t="s">
        <v>344</v>
      </c>
      <c r="K7" s="242">
        <v>0.58</v>
      </c>
      <c r="L7" s="240"/>
      <c r="M7" s="226"/>
    </row>
    <row r="8">
      <c r="A8" s="235" t="s">
        <v>356</v>
      </c>
      <c r="B8" s="236">
        <v>0.76</v>
      </c>
      <c r="C8" s="237"/>
      <c r="D8" s="238" t="s">
        <v>356</v>
      </c>
      <c r="E8" s="239">
        <v>0.77</v>
      </c>
      <c r="F8" s="240"/>
      <c r="G8" s="241" t="s">
        <v>356</v>
      </c>
      <c r="H8" s="242">
        <v>0.78</v>
      </c>
      <c r="I8" s="240"/>
      <c r="J8" s="241" t="s">
        <v>356</v>
      </c>
      <c r="K8" s="242">
        <v>0.844</v>
      </c>
      <c r="L8" s="240"/>
      <c r="M8" s="226"/>
    </row>
    <row r="9">
      <c r="A9" s="235" t="s">
        <v>563</v>
      </c>
      <c r="B9" s="236">
        <v>1.12</v>
      </c>
      <c r="C9" s="237"/>
      <c r="D9" s="238" t="s">
        <v>563</v>
      </c>
      <c r="E9" s="239">
        <v>1.24</v>
      </c>
      <c r="F9" s="240"/>
      <c r="G9" s="241" t="s">
        <v>563</v>
      </c>
      <c r="H9" s="242">
        <v>1.25</v>
      </c>
      <c r="I9" s="240"/>
      <c r="J9" s="241" t="s">
        <v>563</v>
      </c>
      <c r="K9" s="242">
        <v>1.3</v>
      </c>
      <c r="L9" s="244"/>
      <c r="M9" s="226"/>
    </row>
    <row r="10">
      <c r="A10" s="235" t="s">
        <v>564</v>
      </c>
      <c r="B10" s="236">
        <v>0.15</v>
      </c>
      <c r="C10" s="237"/>
      <c r="D10" s="238" t="s">
        <v>564</v>
      </c>
      <c r="E10" s="239">
        <v>0.171</v>
      </c>
      <c r="F10" s="240"/>
      <c r="G10" s="241" t="s">
        <v>564</v>
      </c>
      <c r="H10" s="242">
        <v>0.177</v>
      </c>
      <c r="I10" s="240"/>
      <c r="J10" s="241" t="s">
        <v>564</v>
      </c>
      <c r="K10" s="242">
        <v>0.193</v>
      </c>
      <c r="L10" s="240"/>
      <c r="M10" s="226"/>
    </row>
    <row r="11">
      <c r="A11" s="235" t="s">
        <v>565</v>
      </c>
      <c r="B11" s="236">
        <v>37.0</v>
      </c>
      <c r="C11" s="237"/>
      <c r="D11" s="238" t="s">
        <v>565</v>
      </c>
      <c r="E11" s="239">
        <v>40.0</v>
      </c>
      <c r="F11" s="240"/>
      <c r="G11" s="241" t="s">
        <v>565</v>
      </c>
      <c r="H11" s="242">
        <v>41.0</v>
      </c>
      <c r="I11" s="240"/>
      <c r="J11" s="241" t="s">
        <v>565</v>
      </c>
      <c r="K11" s="242">
        <v>43.0</v>
      </c>
      <c r="L11" s="240"/>
      <c r="M11" s="226"/>
    </row>
    <row r="12">
      <c r="A12" s="235" t="s">
        <v>566</v>
      </c>
      <c r="B12" s="236">
        <v>8.0</v>
      </c>
      <c r="C12" s="237"/>
      <c r="D12" s="238" t="s">
        <v>566</v>
      </c>
      <c r="E12" s="239">
        <v>10.0</v>
      </c>
      <c r="F12" s="245"/>
      <c r="G12" s="241" t="s">
        <v>566</v>
      </c>
      <c r="H12" s="242">
        <v>10.0</v>
      </c>
      <c r="I12" s="240"/>
      <c r="J12" s="241" t="s">
        <v>566</v>
      </c>
      <c r="K12" s="242">
        <v>10.0</v>
      </c>
      <c r="L12" s="240"/>
      <c r="M12" s="226"/>
    </row>
    <row r="13">
      <c r="A13" s="235" t="s">
        <v>567</v>
      </c>
      <c r="B13" s="236">
        <v>8.0</v>
      </c>
      <c r="C13" s="246" t="s">
        <v>568</v>
      </c>
      <c r="D13" s="238" t="s">
        <v>567</v>
      </c>
      <c r="E13" s="239">
        <v>10.0</v>
      </c>
      <c r="F13" s="247" t="s">
        <v>569</v>
      </c>
      <c r="G13" s="241" t="s">
        <v>567</v>
      </c>
      <c r="H13" s="242">
        <v>10.0</v>
      </c>
      <c r="I13" s="247" t="s">
        <v>569</v>
      </c>
      <c r="J13" s="241" t="s">
        <v>567</v>
      </c>
      <c r="K13" s="242">
        <v>10.0</v>
      </c>
      <c r="L13" s="247" t="s">
        <v>570</v>
      </c>
      <c r="M13" s="226"/>
    </row>
    <row r="14">
      <c r="A14" s="235" t="s">
        <v>571</v>
      </c>
      <c r="B14" s="236">
        <v>8.0</v>
      </c>
      <c r="C14" s="246" t="s">
        <v>572</v>
      </c>
      <c r="D14" s="238" t="s">
        <v>571</v>
      </c>
      <c r="E14" s="239">
        <v>10.0</v>
      </c>
      <c r="F14" s="244" t="s">
        <v>573</v>
      </c>
      <c r="G14" s="241" t="s">
        <v>571</v>
      </c>
      <c r="H14" s="242">
        <v>10.0</v>
      </c>
      <c r="I14" s="244" t="s">
        <v>573</v>
      </c>
      <c r="J14" s="241" t="s">
        <v>571</v>
      </c>
      <c r="K14" s="242">
        <v>10.0</v>
      </c>
      <c r="L14" s="244" t="s">
        <v>573</v>
      </c>
      <c r="M14" s="226"/>
    </row>
    <row r="15">
      <c r="A15" s="235" t="s">
        <v>574</v>
      </c>
      <c r="B15" s="236">
        <v>4.5</v>
      </c>
      <c r="C15" s="237"/>
      <c r="D15" s="238" t="s">
        <v>574</v>
      </c>
      <c r="E15" s="239">
        <v>4.5</v>
      </c>
      <c r="F15" s="240"/>
      <c r="G15" s="241" t="s">
        <v>574</v>
      </c>
      <c r="H15" s="242">
        <v>4.55</v>
      </c>
      <c r="I15" s="240"/>
      <c r="J15" s="241" t="s">
        <v>574</v>
      </c>
      <c r="K15" s="242">
        <v>4.7</v>
      </c>
      <c r="L15" s="240"/>
      <c r="M15" s="226"/>
    </row>
    <row r="16">
      <c r="A16" s="235" t="s">
        <v>575</v>
      </c>
      <c r="B16" s="236">
        <v>8.0</v>
      </c>
      <c r="C16" s="237"/>
      <c r="D16" s="238" t="s">
        <v>575</v>
      </c>
      <c r="E16" s="239">
        <v>9.0</v>
      </c>
      <c r="F16" s="240"/>
      <c r="G16" s="241" t="s">
        <v>575</v>
      </c>
      <c r="H16" s="248">
        <v>9.0</v>
      </c>
      <c r="I16" s="240"/>
      <c r="J16" s="241" t="s">
        <v>575</v>
      </c>
      <c r="K16" s="248">
        <v>10.0</v>
      </c>
      <c r="L16" s="240"/>
      <c r="M16" s="226"/>
    </row>
    <row r="17">
      <c r="A17" s="235" t="s">
        <v>576</v>
      </c>
      <c r="B17" s="249">
        <v>3.0</v>
      </c>
      <c r="C17" s="237"/>
      <c r="D17" s="238" t="s">
        <v>576</v>
      </c>
      <c r="E17" s="250">
        <v>3.1</v>
      </c>
      <c r="F17" s="240"/>
      <c r="G17" s="241" t="s">
        <v>577</v>
      </c>
      <c r="H17" s="251">
        <v>3.1</v>
      </c>
      <c r="I17" s="240"/>
      <c r="J17" s="241" t="s">
        <v>576</v>
      </c>
      <c r="K17" s="251">
        <v>3.4</v>
      </c>
      <c r="L17" s="240"/>
      <c r="M17" s="226"/>
    </row>
    <row r="18">
      <c r="A18" s="252" t="s">
        <v>578</v>
      </c>
      <c r="B18" s="253">
        <v>4.67</v>
      </c>
      <c r="C18" s="254"/>
      <c r="D18" s="255" t="s">
        <v>579</v>
      </c>
      <c r="E18" s="256">
        <v>5.13</v>
      </c>
      <c r="F18" s="257"/>
      <c r="G18" s="258" t="s">
        <v>579</v>
      </c>
      <c r="H18" s="256">
        <v>5.13</v>
      </c>
      <c r="I18" s="257"/>
      <c r="J18" s="258" t="s">
        <v>579</v>
      </c>
      <c r="K18" s="256">
        <v>5.84</v>
      </c>
      <c r="L18" s="259"/>
      <c r="M18" s="226"/>
    </row>
    <row r="19">
      <c r="A19" s="226"/>
      <c r="B19" s="226"/>
      <c r="C19" s="226"/>
      <c r="D19" s="226"/>
      <c r="E19" s="226"/>
      <c r="F19" s="226"/>
      <c r="G19" s="226"/>
      <c r="H19" s="226"/>
      <c r="I19" s="226"/>
      <c r="J19" s="226"/>
      <c r="K19" s="226"/>
      <c r="L19" s="226"/>
      <c r="M19" s="226"/>
    </row>
    <row r="20">
      <c r="A20" s="223" t="s">
        <v>580</v>
      </c>
      <c r="B20" s="260" t="s">
        <v>581</v>
      </c>
      <c r="C20" s="225"/>
      <c r="D20" s="226"/>
      <c r="E20" s="226"/>
      <c r="F20" s="226"/>
      <c r="G20" s="226"/>
      <c r="H20" s="226"/>
      <c r="I20" s="226"/>
      <c r="J20" s="226"/>
      <c r="K20" s="226"/>
      <c r="L20" s="226"/>
      <c r="M20" s="226"/>
    </row>
    <row r="21">
      <c r="A21" s="224" t="s">
        <v>558</v>
      </c>
      <c r="B21" s="224"/>
      <c r="C21" s="225"/>
      <c r="D21" s="224" t="s">
        <v>168</v>
      </c>
      <c r="E21" s="224"/>
      <c r="F21" s="225"/>
      <c r="G21" s="224" t="s">
        <v>559</v>
      </c>
      <c r="H21" s="224"/>
      <c r="I21" s="225"/>
      <c r="J21" s="224" t="s">
        <v>326</v>
      </c>
      <c r="K21" s="224"/>
      <c r="L21" s="225"/>
      <c r="M21" s="226"/>
    </row>
    <row r="22">
      <c r="A22" s="233" t="s">
        <v>560</v>
      </c>
      <c r="B22" s="261">
        <v>1.0</v>
      </c>
      <c r="C22" s="232"/>
      <c r="D22" s="233" t="s">
        <v>560</v>
      </c>
      <c r="E22" s="234">
        <v>1.0</v>
      </c>
      <c r="F22" s="232"/>
      <c r="G22" s="233" t="s">
        <v>560</v>
      </c>
      <c r="H22" s="261">
        <v>1.0</v>
      </c>
      <c r="I22" s="232"/>
      <c r="J22" s="233" t="s">
        <v>560</v>
      </c>
      <c r="K22" s="261">
        <v>1.0</v>
      </c>
      <c r="L22" s="232"/>
      <c r="M22" s="226"/>
    </row>
    <row r="23">
      <c r="A23" s="241" t="s">
        <v>561</v>
      </c>
      <c r="B23" s="248">
        <v>0.677</v>
      </c>
      <c r="C23" s="240"/>
      <c r="D23" s="241" t="s">
        <v>561</v>
      </c>
      <c r="E23" s="248">
        <v>0.677</v>
      </c>
      <c r="F23" s="240"/>
      <c r="G23" s="241" t="s">
        <v>561</v>
      </c>
      <c r="H23" s="248">
        <v>0.677</v>
      </c>
      <c r="I23" s="240"/>
      <c r="J23" s="241" t="s">
        <v>561</v>
      </c>
      <c r="K23" s="248">
        <v>0.667</v>
      </c>
      <c r="L23" s="240"/>
      <c r="M23" s="226"/>
    </row>
    <row r="24">
      <c r="A24" s="241" t="s">
        <v>562</v>
      </c>
      <c r="B24" s="248">
        <v>0.4545</v>
      </c>
      <c r="C24" s="240"/>
      <c r="D24" s="241" t="s">
        <v>562</v>
      </c>
      <c r="E24" s="242">
        <v>0.4545</v>
      </c>
      <c r="F24" s="240"/>
      <c r="G24" s="241" t="s">
        <v>562</v>
      </c>
      <c r="H24" s="248">
        <v>0.4545</v>
      </c>
      <c r="I24" s="240"/>
      <c r="J24" s="241" t="s">
        <v>562</v>
      </c>
      <c r="K24" s="248">
        <v>0.4545</v>
      </c>
      <c r="L24" s="240"/>
      <c r="M24" s="226"/>
    </row>
    <row r="25">
      <c r="A25" s="241" t="s">
        <v>330</v>
      </c>
      <c r="B25" s="248">
        <v>0.92</v>
      </c>
      <c r="C25" s="240"/>
      <c r="D25" s="241" t="s">
        <v>330</v>
      </c>
      <c r="E25" s="242">
        <v>0.92</v>
      </c>
      <c r="F25" s="240"/>
      <c r="G25" s="241" t="s">
        <v>330</v>
      </c>
      <c r="H25" s="248">
        <v>0.92</v>
      </c>
      <c r="I25" s="240"/>
      <c r="J25" s="241" t="s">
        <v>330</v>
      </c>
      <c r="K25" s="248">
        <v>0.91</v>
      </c>
      <c r="L25" s="240"/>
      <c r="M25" s="226"/>
    </row>
    <row r="26">
      <c r="A26" s="241" t="s">
        <v>344</v>
      </c>
      <c r="B26" s="248">
        <v>0.68</v>
      </c>
      <c r="C26" s="240"/>
      <c r="D26" s="241" t="s">
        <v>344</v>
      </c>
      <c r="E26" s="242">
        <v>0.68</v>
      </c>
      <c r="F26" s="240"/>
      <c r="G26" s="241" t="s">
        <v>344</v>
      </c>
      <c r="H26" s="248">
        <v>0.68</v>
      </c>
      <c r="I26" s="240"/>
      <c r="J26" s="241" t="s">
        <v>344</v>
      </c>
      <c r="K26" s="248">
        <v>0.68</v>
      </c>
      <c r="L26" s="240"/>
      <c r="M26" s="226"/>
    </row>
    <row r="27">
      <c r="A27" s="241" t="s">
        <v>356</v>
      </c>
      <c r="B27" s="248">
        <v>0.54</v>
      </c>
      <c r="C27" s="240"/>
      <c r="D27" s="241" t="s">
        <v>356</v>
      </c>
      <c r="E27" s="242">
        <v>0.54</v>
      </c>
      <c r="F27" s="240"/>
      <c r="G27" s="241" t="s">
        <v>356</v>
      </c>
      <c r="H27" s="248">
        <v>0.54</v>
      </c>
      <c r="I27" s="240"/>
      <c r="J27" s="241" t="s">
        <v>356</v>
      </c>
      <c r="K27" s="248">
        <v>0.54</v>
      </c>
      <c r="L27" s="240"/>
      <c r="M27" s="226"/>
    </row>
    <row r="28">
      <c r="A28" s="241" t="s">
        <v>563</v>
      </c>
      <c r="B28" s="248">
        <v>1.21</v>
      </c>
      <c r="C28" s="240"/>
      <c r="D28" s="241" t="s">
        <v>563</v>
      </c>
      <c r="E28" s="242">
        <v>1.27</v>
      </c>
      <c r="F28" s="240"/>
      <c r="G28" s="241" t="s">
        <v>563</v>
      </c>
      <c r="H28" s="248">
        <v>1.29</v>
      </c>
      <c r="I28" s="240"/>
      <c r="J28" s="241" t="s">
        <v>563</v>
      </c>
      <c r="K28" s="248">
        <v>1.35</v>
      </c>
      <c r="L28" s="240"/>
      <c r="M28" s="226"/>
    </row>
    <row r="29">
      <c r="A29" s="241" t="s">
        <v>564</v>
      </c>
      <c r="B29" s="248">
        <v>0.15</v>
      </c>
      <c r="C29" s="240"/>
      <c r="D29" s="241" t="s">
        <v>564</v>
      </c>
      <c r="E29" s="242">
        <v>0.181</v>
      </c>
      <c r="F29" s="240"/>
      <c r="G29" s="241" t="s">
        <v>564</v>
      </c>
      <c r="H29" s="248">
        <v>0.186</v>
      </c>
      <c r="I29" s="240"/>
      <c r="J29" s="241" t="s">
        <v>564</v>
      </c>
      <c r="K29" s="248">
        <v>0.195</v>
      </c>
      <c r="L29" s="240"/>
      <c r="M29" s="226"/>
    </row>
    <row r="30">
      <c r="A30" s="241" t="s">
        <v>565</v>
      </c>
      <c r="B30" s="248">
        <v>37.0</v>
      </c>
      <c r="C30" s="240"/>
      <c r="D30" s="241" t="s">
        <v>565</v>
      </c>
      <c r="E30" s="248">
        <v>40.0</v>
      </c>
      <c r="F30" s="240"/>
      <c r="G30" s="241" t="s">
        <v>565</v>
      </c>
      <c r="H30" s="248">
        <v>41.0</v>
      </c>
      <c r="I30" s="240"/>
      <c r="J30" s="241" t="s">
        <v>565</v>
      </c>
      <c r="K30" s="248">
        <v>43.0</v>
      </c>
      <c r="L30" s="240"/>
      <c r="M30" s="226"/>
    </row>
    <row r="31">
      <c r="A31" s="241" t="s">
        <v>566</v>
      </c>
      <c r="B31" s="248">
        <v>8.0</v>
      </c>
      <c r="C31" s="240"/>
      <c r="D31" s="241" t="s">
        <v>566</v>
      </c>
      <c r="E31" s="242">
        <v>10.0</v>
      </c>
      <c r="F31" s="240"/>
      <c r="G31" s="241" t="s">
        <v>566</v>
      </c>
      <c r="H31" s="248">
        <v>10.0</v>
      </c>
      <c r="I31" s="240"/>
      <c r="J31" s="241" t="s">
        <v>566</v>
      </c>
      <c r="K31" s="248">
        <v>10.0</v>
      </c>
      <c r="L31" s="240"/>
      <c r="M31" s="226"/>
    </row>
    <row r="32">
      <c r="A32" s="241" t="s">
        <v>567</v>
      </c>
      <c r="B32" s="248">
        <v>8.0</v>
      </c>
      <c r="C32" s="247" t="s">
        <v>568</v>
      </c>
      <c r="D32" s="241" t="s">
        <v>567</v>
      </c>
      <c r="E32" s="242">
        <v>10.0</v>
      </c>
      <c r="F32" s="244" t="s">
        <v>582</v>
      </c>
      <c r="G32" s="241" t="s">
        <v>567</v>
      </c>
      <c r="H32" s="248">
        <v>10.0</v>
      </c>
      <c r="I32" s="247" t="s">
        <v>582</v>
      </c>
      <c r="J32" s="241" t="s">
        <v>567</v>
      </c>
      <c r="K32" s="248">
        <v>10.0</v>
      </c>
      <c r="L32" s="247" t="s">
        <v>569</v>
      </c>
      <c r="M32" s="226"/>
    </row>
    <row r="33">
      <c r="A33" s="241" t="s">
        <v>571</v>
      </c>
      <c r="B33" s="248">
        <v>8.0</v>
      </c>
      <c r="C33" s="247" t="s">
        <v>572</v>
      </c>
      <c r="D33" s="241" t="s">
        <v>571</v>
      </c>
      <c r="E33" s="242">
        <v>10.0</v>
      </c>
      <c r="F33" s="244" t="s">
        <v>573</v>
      </c>
      <c r="G33" s="241" t="s">
        <v>571</v>
      </c>
      <c r="H33" s="248">
        <v>10.0</v>
      </c>
      <c r="I33" s="247" t="s">
        <v>573</v>
      </c>
      <c r="J33" s="241" t="s">
        <v>571</v>
      </c>
      <c r="K33" s="248">
        <v>10.0</v>
      </c>
      <c r="L33" s="247" t="s">
        <v>573</v>
      </c>
      <c r="M33" s="226"/>
    </row>
    <row r="34">
      <c r="A34" s="241" t="s">
        <v>574</v>
      </c>
      <c r="B34" s="248">
        <v>8.0</v>
      </c>
      <c r="C34" s="240"/>
      <c r="D34" s="241" t="s">
        <v>574</v>
      </c>
      <c r="E34" s="248">
        <v>9.0</v>
      </c>
      <c r="F34" s="240"/>
      <c r="G34" s="241" t="s">
        <v>574</v>
      </c>
      <c r="H34" s="248">
        <v>9.6</v>
      </c>
      <c r="I34" s="240"/>
      <c r="J34" s="241" t="s">
        <v>574</v>
      </c>
      <c r="K34" s="248">
        <v>11.0</v>
      </c>
      <c r="L34" s="240"/>
      <c r="M34" s="226"/>
    </row>
    <row r="35">
      <c r="A35" s="241" t="s">
        <v>575</v>
      </c>
      <c r="B35" s="248">
        <v>45.0</v>
      </c>
      <c r="C35" s="240"/>
      <c r="D35" s="241" t="s">
        <v>575</v>
      </c>
      <c r="E35" s="242">
        <v>51.0</v>
      </c>
      <c r="F35" s="240"/>
      <c r="G35" s="241" t="s">
        <v>575</v>
      </c>
      <c r="H35" s="248">
        <v>51.0</v>
      </c>
      <c r="I35" s="240"/>
      <c r="J35" s="241" t="s">
        <v>575</v>
      </c>
      <c r="K35" s="248">
        <v>55.0</v>
      </c>
      <c r="L35" s="240"/>
      <c r="M35" s="226"/>
    </row>
    <row r="36">
      <c r="A36" s="258" t="s">
        <v>583</v>
      </c>
      <c r="B36" s="256">
        <v>14.0</v>
      </c>
      <c r="C36" s="257"/>
      <c r="D36" s="258" t="s">
        <v>583</v>
      </c>
      <c r="E36" s="262">
        <v>15.0</v>
      </c>
      <c r="F36" s="257"/>
      <c r="G36" s="258" t="s">
        <v>583</v>
      </c>
      <c r="H36" s="256">
        <v>15.0</v>
      </c>
      <c r="I36" s="257"/>
      <c r="J36" s="258" t="s">
        <v>583</v>
      </c>
      <c r="K36" s="256">
        <v>18.0</v>
      </c>
      <c r="L36" s="257"/>
      <c r="M36" s="226"/>
    </row>
    <row r="37">
      <c r="A37" s="226"/>
      <c r="B37" s="226"/>
      <c r="C37" s="226"/>
      <c r="D37" s="226"/>
      <c r="E37" s="226"/>
      <c r="F37" s="226"/>
      <c r="G37" s="226"/>
      <c r="H37" s="226"/>
      <c r="I37" s="226"/>
      <c r="J37" s="226"/>
      <c r="K37" s="226"/>
      <c r="L37" s="226"/>
      <c r="M37" s="226"/>
    </row>
    <row r="38">
      <c r="A38" s="263" t="s">
        <v>584</v>
      </c>
      <c r="B38" s="260" t="s">
        <v>585</v>
      </c>
      <c r="C38" s="225"/>
      <c r="D38" s="226"/>
      <c r="E38" s="226"/>
      <c r="F38" s="226"/>
      <c r="G38" s="226"/>
      <c r="H38" s="226"/>
      <c r="I38" s="226"/>
      <c r="J38" s="226"/>
      <c r="K38" s="226"/>
      <c r="L38" s="226"/>
      <c r="M38" s="226"/>
    </row>
    <row r="39">
      <c r="A39" s="224" t="s">
        <v>558</v>
      </c>
      <c r="B39" s="224"/>
      <c r="C39" s="225"/>
      <c r="D39" s="224" t="s">
        <v>168</v>
      </c>
      <c r="E39" s="224"/>
      <c r="F39" s="225"/>
      <c r="G39" s="224" t="s">
        <v>559</v>
      </c>
      <c r="H39" s="224"/>
      <c r="I39" s="225"/>
      <c r="J39" s="224" t="s">
        <v>326</v>
      </c>
      <c r="K39" s="224"/>
      <c r="L39" s="225"/>
      <c r="M39" s="226"/>
    </row>
    <row r="40">
      <c r="A40" s="233" t="s">
        <v>560</v>
      </c>
      <c r="B40" s="234">
        <v>1.1</v>
      </c>
      <c r="C40" s="87"/>
      <c r="D40" s="233" t="s">
        <v>560</v>
      </c>
      <c r="E40" s="234"/>
      <c r="F40" s="87"/>
      <c r="G40" s="233" t="s">
        <v>560</v>
      </c>
      <c r="H40" s="234">
        <v>1.1</v>
      </c>
      <c r="I40" s="87"/>
      <c r="J40" s="233" t="s">
        <v>560</v>
      </c>
      <c r="K40" s="261">
        <v>1.1</v>
      </c>
      <c r="L40" s="87"/>
      <c r="M40" s="226"/>
    </row>
    <row r="41">
      <c r="A41" s="241" t="s">
        <v>561</v>
      </c>
      <c r="B41" s="242">
        <v>2.19</v>
      </c>
      <c r="C41" s="243"/>
      <c r="D41" s="241" t="s">
        <v>561</v>
      </c>
      <c r="E41" s="242"/>
      <c r="F41" s="243"/>
      <c r="G41" s="241" t="s">
        <v>561</v>
      </c>
      <c r="H41" s="242">
        <v>2.21</v>
      </c>
      <c r="I41" s="243"/>
      <c r="J41" s="241" t="s">
        <v>561</v>
      </c>
      <c r="K41" s="248">
        <v>2.31</v>
      </c>
      <c r="L41" s="243"/>
      <c r="M41" s="226"/>
    </row>
    <row r="42">
      <c r="A42" s="241" t="s">
        <v>562</v>
      </c>
      <c r="B42" s="242">
        <v>1.0</v>
      </c>
      <c r="C42" s="243"/>
      <c r="D42" s="241" t="s">
        <v>562</v>
      </c>
      <c r="E42" s="242"/>
      <c r="F42" s="243"/>
      <c r="G42" s="241" t="s">
        <v>562</v>
      </c>
      <c r="H42" s="242">
        <v>1.0</v>
      </c>
      <c r="I42" s="243"/>
      <c r="J42" s="241" t="s">
        <v>562</v>
      </c>
      <c r="K42" s="248">
        <v>1.0</v>
      </c>
      <c r="L42" s="243"/>
      <c r="M42" s="226"/>
    </row>
    <row r="43">
      <c r="A43" s="241" t="s">
        <v>330</v>
      </c>
      <c r="B43" s="242">
        <v>1.72</v>
      </c>
      <c r="C43" s="243"/>
      <c r="D43" s="241" t="s">
        <v>330</v>
      </c>
      <c r="E43" s="242"/>
      <c r="F43" s="243"/>
      <c r="G43" s="241" t="s">
        <v>330</v>
      </c>
      <c r="H43" s="242">
        <v>1.76</v>
      </c>
      <c r="I43" s="243"/>
      <c r="J43" s="241" t="s">
        <v>330</v>
      </c>
      <c r="K43" s="248">
        <v>1.92</v>
      </c>
      <c r="L43" s="243"/>
      <c r="M43" s="226"/>
    </row>
    <row r="44">
      <c r="A44" s="241" t="s">
        <v>344</v>
      </c>
      <c r="B44" s="242">
        <v>2.42</v>
      </c>
      <c r="C44" s="244"/>
      <c r="D44" s="241" t="s">
        <v>344</v>
      </c>
      <c r="E44" s="242"/>
      <c r="F44" s="243"/>
      <c r="G44" s="241" t="s">
        <v>344</v>
      </c>
      <c r="H44" s="242">
        <v>2.44</v>
      </c>
      <c r="I44" s="243"/>
      <c r="J44" s="241" t="s">
        <v>344</v>
      </c>
      <c r="K44" s="248">
        <v>2.71</v>
      </c>
      <c r="L44" s="243"/>
      <c r="M44" s="226"/>
    </row>
    <row r="45">
      <c r="A45" s="241" t="s">
        <v>356</v>
      </c>
      <c r="B45" s="242">
        <v>2.13</v>
      </c>
      <c r="C45" s="243"/>
      <c r="D45" s="241" t="s">
        <v>356</v>
      </c>
      <c r="E45" s="242"/>
      <c r="F45" s="243"/>
      <c r="G45" s="241" t="s">
        <v>356</v>
      </c>
      <c r="H45" s="242">
        <v>2.29</v>
      </c>
      <c r="I45" s="243"/>
      <c r="J45" s="241" t="s">
        <v>356</v>
      </c>
      <c r="K45" s="248">
        <v>2.24</v>
      </c>
      <c r="L45" s="243"/>
      <c r="M45" s="226"/>
    </row>
    <row r="46">
      <c r="A46" s="241" t="s">
        <v>563</v>
      </c>
      <c r="B46" s="242">
        <v>2.65</v>
      </c>
      <c r="C46" s="243"/>
      <c r="D46" s="241" t="s">
        <v>563</v>
      </c>
      <c r="E46" s="242"/>
      <c r="F46" s="243"/>
      <c r="G46" s="241" t="s">
        <v>563</v>
      </c>
      <c r="H46" s="242">
        <v>2.66</v>
      </c>
      <c r="I46" s="243"/>
      <c r="J46" s="241" t="s">
        <v>563</v>
      </c>
      <c r="K46" s="248">
        <v>2.93</v>
      </c>
      <c r="L46" s="243"/>
      <c r="M46" s="226"/>
    </row>
    <row r="47">
      <c r="A47" s="241" t="s">
        <v>564</v>
      </c>
      <c r="B47" s="242">
        <v>0.3</v>
      </c>
      <c r="C47" s="243"/>
      <c r="D47" s="241" t="s">
        <v>564</v>
      </c>
      <c r="E47" s="242"/>
      <c r="F47" s="243"/>
      <c r="G47" s="241" t="s">
        <v>564</v>
      </c>
      <c r="H47" s="242">
        <v>0.34</v>
      </c>
      <c r="I47" s="243"/>
      <c r="J47" s="241" t="s">
        <v>564</v>
      </c>
      <c r="K47" s="248">
        <v>0.38</v>
      </c>
      <c r="L47" s="243"/>
      <c r="M47" s="226"/>
    </row>
    <row r="48">
      <c r="A48" s="241" t="s">
        <v>565</v>
      </c>
      <c r="B48" s="242">
        <v>77.88</v>
      </c>
      <c r="C48" s="243"/>
      <c r="D48" s="241" t="s">
        <v>565</v>
      </c>
      <c r="E48" s="242"/>
      <c r="F48" s="243"/>
      <c r="G48" s="241" t="s">
        <v>565</v>
      </c>
      <c r="H48" s="242">
        <v>83.48</v>
      </c>
      <c r="I48" s="243"/>
      <c r="J48" s="241" t="s">
        <v>565</v>
      </c>
      <c r="K48" s="248">
        <v>88.28</v>
      </c>
      <c r="L48" s="243"/>
      <c r="M48" s="226"/>
    </row>
    <row r="49">
      <c r="A49" s="241" t="s">
        <v>566</v>
      </c>
      <c r="B49" s="242">
        <v>19.36</v>
      </c>
      <c r="C49" s="243"/>
      <c r="D49" s="241" t="s">
        <v>566</v>
      </c>
      <c r="E49" s="242"/>
      <c r="F49" s="243"/>
      <c r="G49" s="241" t="s">
        <v>566</v>
      </c>
      <c r="H49" s="242">
        <v>24.4</v>
      </c>
      <c r="I49" s="243"/>
      <c r="J49" s="241" t="s">
        <v>566</v>
      </c>
      <c r="K49" s="248">
        <v>27.1</v>
      </c>
      <c r="L49" s="243"/>
      <c r="M49" s="226"/>
    </row>
    <row r="50">
      <c r="A50" s="241" t="s">
        <v>567</v>
      </c>
      <c r="B50" s="242">
        <v>19.36</v>
      </c>
      <c r="C50" s="247" t="s">
        <v>586</v>
      </c>
      <c r="D50" s="241" t="s">
        <v>567</v>
      </c>
      <c r="E50" s="242"/>
      <c r="F50" s="247" t="s">
        <v>587</v>
      </c>
      <c r="G50" s="241" t="s">
        <v>567</v>
      </c>
      <c r="H50" s="242">
        <v>24.4</v>
      </c>
      <c r="I50" s="247" t="s">
        <v>588</v>
      </c>
      <c r="J50" s="241" t="s">
        <v>567</v>
      </c>
      <c r="K50" s="248">
        <v>27.1</v>
      </c>
      <c r="L50" s="247" t="s">
        <v>589</v>
      </c>
      <c r="M50" s="226"/>
    </row>
    <row r="51">
      <c r="A51" s="241" t="s">
        <v>571</v>
      </c>
      <c r="B51" s="242">
        <v>19.36</v>
      </c>
      <c r="C51" s="247" t="s">
        <v>590</v>
      </c>
      <c r="D51" s="241" t="s">
        <v>571</v>
      </c>
      <c r="E51" s="242"/>
      <c r="F51" s="247" t="s">
        <v>591</v>
      </c>
      <c r="G51" s="241" t="s">
        <v>571</v>
      </c>
      <c r="H51" s="242">
        <v>24.4</v>
      </c>
      <c r="I51" s="247" t="s">
        <v>592</v>
      </c>
      <c r="J51" s="241" t="s">
        <v>571</v>
      </c>
      <c r="K51" s="248">
        <v>27.1</v>
      </c>
      <c r="L51" s="247" t="s">
        <v>593</v>
      </c>
      <c r="M51" s="226"/>
    </row>
    <row r="52">
      <c r="A52" s="264" t="s">
        <v>574</v>
      </c>
      <c r="B52" s="242">
        <v>8.0</v>
      </c>
      <c r="C52" s="243"/>
      <c r="D52" s="264" t="s">
        <v>574</v>
      </c>
      <c r="E52" s="242"/>
      <c r="F52" s="243"/>
      <c r="G52" s="264" t="s">
        <v>574</v>
      </c>
      <c r="H52" s="242">
        <v>8.0</v>
      </c>
      <c r="I52" s="243"/>
      <c r="J52" s="264" t="s">
        <v>574</v>
      </c>
      <c r="K52" s="248">
        <v>8.0</v>
      </c>
      <c r="L52" s="243"/>
      <c r="M52" s="226"/>
    </row>
    <row r="53">
      <c r="A53" s="241" t="s">
        <v>575</v>
      </c>
      <c r="B53" s="242">
        <v>30.0</v>
      </c>
      <c r="C53" s="243"/>
      <c r="D53" s="241" t="s">
        <v>575</v>
      </c>
      <c r="E53" s="242"/>
      <c r="F53" s="243"/>
      <c r="G53" s="241" t="s">
        <v>575</v>
      </c>
      <c r="H53" s="242">
        <v>30.0</v>
      </c>
      <c r="I53" s="243"/>
      <c r="J53" s="241" t="s">
        <v>575</v>
      </c>
      <c r="K53" s="248">
        <v>30.0</v>
      </c>
      <c r="L53" s="243"/>
      <c r="M53" s="226"/>
    </row>
    <row r="54">
      <c r="A54" s="241" t="s">
        <v>594</v>
      </c>
      <c r="B54" s="251">
        <v>2.48</v>
      </c>
      <c r="C54" s="243"/>
      <c r="D54" s="241" t="s">
        <v>594</v>
      </c>
      <c r="E54" s="251"/>
      <c r="F54" s="243"/>
      <c r="G54" s="241" t="s">
        <v>594</v>
      </c>
      <c r="H54" s="251">
        <v>2.48</v>
      </c>
      <c r="I54" s="243"/>
      <c r="J54" s="241" t="s">
        <v>594</v>
      </c>
      <c r="K54" s="265">
        <v>2.48</v>
      </c>
      <c r="L54" s="243"/>
      <c r="M54" s="226"/>
    </row>
    <row r="55">
      <c r="A55" s="264" t="s">
        <v>595</v>
      </c>
      <c r="B55" s="248">
        <v>-175.0</v>
      </c>
      <c r="C55" s="243"/>
      <c r="D55" s="264" t="s">
        <v>595</v>
      </c>
      <c r="E55" s="265"/>
      <c r="F55" s="243"/>
      <c r="G55" s="264" t="s">
        <v>595</v>
      </c>
      <c r="H55" s="265">
        <v>-175.0</v>
      </c>
      <c r="I55" s="243"/>
      <c r="J55" s="264" t="s">
        <v>595</v>
      </c>
      <c r="K55" s="265">
        <v>-175.0</v>
      </c>
      <c r="L55" s="243"/>
      <c r="M55" s="226"/>
    </row>
    <row r="56">
      <c r="A56" s="266" t="s">
        <v>596</v>
      </c>
      <c r="B56" s="267">
        <v>242.5</v>
      </c>
      <c r="C56" s="89"/>
      <c r="D56" s="266" t="s">
        <v>596</v>
      </c>
      <c r="E56" s="267"/>
      <c r="F56" s="89"/>
      <c r="G56" s="266" t="s">
        <v>596</v>
      </c>
      <c r="H56" s="267">
        <v>250.0</v>
      </c>
      <c r="I56" s="89"/>
      <c r="J56" s="266" t="s">
        <v>596</v>
      </c>
      <c r="K56" s="267">
        <v>250.0</v>
      </c>
      <c r="L56" s="89"/>
      <c r="M56" s="226"/>
    </row>
    <row r="57">
      <c r="A57" s="226"/>
      <c r="B57" s="226"/>
      <c r="C57" s="226"/>
      <c r="D57" s="226"/>
      <c r="E57" s="226"/>
      <c r="F57" s="226"/>
      <c r="G57" s="226"/>
      <c r="H57" s="226"/>
      <c r="I57" s="226"/>
      <c r="J57" s="226"/>
      <c r="K57" s="226"/>
      <c r="L57" s="226"/>
      <c r="M57" s="226"/>
    </row>
    <row r="58">
      <c r="A58" s="268" t="s">
        <v>597</v>
      </c>
      <c r="B58" s="269" t="s">
        <v>585</v>
      </c>
      <c r="C58" s="225"/>
      <c r="D58" s="226"/>
      <c r="E58" s="226"/>
      <c r="F58" s="226"/>
      <c r="G58" s="226"/>
      <c r="H58" s="226"/>
      <c r="I58" s="226"/>
      <c r="J58" s="226"/>
      <c r="K58" s="226"/>
      <c r="L58" s="226"/>
      <c r="M58" s="226"/>
    </row>
    <row r="59">
      <c r="A59" s="224" t="s">
        <v>558</v>
      </c>
      <c r="B59" s="224"/>
      <c r="C59" s="225"/>
      <c r="D59" s="224" t="s">
        <v>168</v>
      </c>
      <c r="E59" s="224"/>
      <c r="F59" s="225"/>
      <c r="G59" s="224" t="s">
        <v>559</v>
      </c>
      <c r="H59" s="224"/>
      <c r="I59" s="225"/>
      <c r="J59" s="224" t="s">
        <v>326</v>
      </c>
      <c r="K59" s="224"/>
      <c r="L59" s="225"/>
      <c r="M59" s="226"/>
    </row>
    <row r="60">
      <c r="A60" s="233" t="s">
        <v>560</v>
      </c>
      <c r="B60" s="234">
        <v>2.2</v>
      </c>
      <c r="C60" s="270"/>
      <c r="D60" s="233" t="s">
        <v>560</v>
      </c>
      <c r="E60" s="234"/>
      <c r="F60" s="87"/>
      <c r="G60" s="233" t="s">
        <v>560</v>
      </c>
      <c r="H60" s="234">
        <v>2.2</v>
      </c>
      <c r="I60" s="87"/>
      <c r="J60" s="233" t="s">
        <v>560</v>
      </c>
      <c r="K60" s="261">
        <v>2.2</v>
      </c>
      <c r="L60" s="87"/>
      <c r="M60" s="226"/>
    </row>
    <row r="61">
      <c r="A61" s="241" t="s">
        <v>561</v>
      </c>
      <c r="B61" s="242">
        <v>1.74</v>
      </c>
      <c r="C61" s="243"/>
      <c r="D61" s="241" t="s">
        <v>561</v>
      </c>
      <c r="E61" s="242"/>
      <c r="F61" s="243"/>
      <c r="G61" s="241" t="s">
        <v>561</v>
      </c>
      <c r="H61" s="242">
        <v>1.69</v>
      </c>
      <c r="I61" s="243"/>
      <c r="J61" s="241" t="s">
        <v>561</v>
      </c>
      <c r="K61" s="248">
        <v>1.89</v>
      </c>
      <c r="L61" s="243"/>
      <c r="M61" s="226"/>
    </row>
    <row r="62">
      <c r="A62" s="241" t="s">
        <v>562</v>
      </c>
      <c r="B62" s="242">
        <v>1.0</v>
      </c>
      <c r="C62" s="243"/>
      <c r="D62" s="241" t="s">
        <v>562</v>
      </c>
      <c r="E62" s="242"/>
      <c r="F62" s="243"/>
      <c r="G62" s="241" t="s">
        <v>562</v>
      </c>
      <c r="H62" s="242">
        <v>1.0</v>
      </c>
      <c r="I62" s="243"/>
      <c r="J62" s="241" t="s">
        <v>562</v>
      </c>
      <c r="K62" s="248">
        <v>1.0</v>
      </c>
      <c r="L62" s="243"/>
      <c r="M62" s="226"/>
    </row>
    <row r="63">
      <c r="A63" s="241" t="s">
        <v>330</v>
      </c>
      <c r="B63" s="242">
        <v>1.97</v>
      </c>
      <c r="C63" s="243"/>
      <c r="D63" s="241" t="s">
        <v>330</v>
      </c>
      <c r="E63" s="242"/>
      <c r="F63" s="243"/>
      <c r="G63" s="241" t="s">
        <v>330</v>
      </c>
      <c r="H63" s="242">
        <v>1.74</v>
      </c>
      <c r="I63" s="243"/>
      <c r="J63" s="241" t="s">
        <v>330</v>
      </c>
      <c r="K63" s="248">
        <v>1.94</v>
      </c>
      <c r="L63" s="243"/>
      <c r="M63" s="226"/>
    </row>
    <row r="64">
      <c r="A64" s="241" t="s">
        <v>344</v>
      </c>
      <c r="B64" s="242">
        <v>1.34</v>
      </c>
      <c r="C64" s="244"/>
      <c r="D64" s="241" t="s">
        <v>344</v>
      </c>
      <c r="E64" s="242"/>
      <c r="F64" s="243"/>
      <c r="G64" s="241" t="s">
        <v>344</v>
      </c>
      <c r="H64" s="242">
        <v>1.69</v>
      </c>
      <c r="I64" s="243"/>
      <c r="J64" s="241" t="s">
        <v>344</v>
      </c>
      <c r="K64" s="248">
        <v>1.8</v>
      </c>
      <c r="L64" s="243"/>
      <c r="M64" s="226"/>
    </row>
    <row r="65">
      <c r="A65" s="241" t="s">
        <v>356</v>
      </c>
      <c r="B65" s="242">
        <v>1.29</v>
      </c>
      <c r="C65" s="243"/>
      <c r="D65" s="241" t="s">
        <v>356</v>
      </c>
      <c r="E65" s="242"/>
      <c r="F65" s="243"/>
      <c r="G65" s="241" t="s">
        <v>356</v>
      </c>
      <c r="H65" s="242">
        <v>1.82</v>
      </c>
      <c r="I65" s="243"/>
      <c r="J65" s="241" t="s">
        <v>356</v>
      </c>
      <c r="K65" s="248">
        <v>1.98</v>
      </c>
      <c r="L65" s="243"/>
      <c r="M65" s="226"/>
    </row>
    <row r="66">
      <c r="A66" s="241" t="s">
        <v>563</v>
      </c>
      <c r="B66" s="242">
        <v>3.0</v>
      </c>
      <c r="C66" s="243"/>
      <c r="D66" s="241" t="s">
        <v>563</v>
      </c>
      <c r="E66" s="242"/>
      <c r="F66" s="243"/>
      <c r="G66" s="241" t="s">
        <v>563</v>
      </c>
      <c r="H66" s="242">
        <v>3.18</v>
      </c>
      <c r="I66" s="243"/>
      <c r="J66" s="241" t="s">
        <v>563</v>
      </c>
      <c r="K66" s="248">
        <v>3.53</v>
      </c>
      <c r="L66" s="243"/>
      <c r="M66" s="226"/>
    </row>
    <row r="67">
      <c r="A67" s="241" t="s">
        <v>564</v>
      </c>
      <c r="B67" s="242">
        <v>0.22</v>
      </c>
      <c r="C67" s="243"/>
      <c r="D67" s="241" t="s">
        <v>564</v>
      </c>
      <c r="E67" s="242"/>
      <c r="F67" s="243"/>
      <c r="G67" s="241" t="s">
        <v>564</v>
      </c>
      <c r="H67" s="242">
        <v>0.35</v>
      </c>
      <c r="I67" s="243"/>
      <c r="J67" s="241" t="s">
        <v>564</v>
      </c>
      <c r="K67" s="248">
        <v>0.41</v>
      </c>
      <c r="L67" s="243"/>
      <c r="M67" s="226"/>
    </row>
    <row r="68">
      <c r="A68" s="241" t="s">
        <v>565</v>
      </c>
      <c r="B68" s="242">
        <v>61.0</v>
      </c>
      <c r="C68" s="243"/>
      <c r="D68" s="241" t="s">
        <v>565</v>
      </c>
      <c r="E68" s="242"/>
      <c r="F68" s="243"/>
      <c r="G68" s="241" t="s">
        <v>565</v>
      </c>
      <c r="H68" s="242">
        <v>65.0</v>
      </c>
      <c r="I68" s="243"/>
      <c r="J68" s="241" t="s">
        <v>565</v>
      </c>
      <c r="K68" s="248">
        <v>65.0</v>
      </c>
      <c r="L68" s="243"/>
      <c r="M68" s="226"/>
    </row>
    <row r="69">
      <c r="A69" s="241" t="s">
        <v>566</v>
      </c>
      <c r="B69" s="242">
        <v>17.6</v>
      </c>
      <c r="C69" s="243"/>
      <c r="D69" s="241" t="s">
        <v>566</v>
      </c>
      <c r="E69" s="242"/>
      <c r="F69" s="243"/>
      <c r="G69" s="241" t="s">
        <v>566</v>
      </c>
      <c r="H69" s="242">
        <v>22.0</v>
      </c>
      <c r="I69" s="243"/>
      <c r="J69" s="241" t="s">
        <v>566</v>
      </c>
      <c r="K69" s="248">
        <v>22.0</v>
      </c>
      <c r="L69" s="243"/>
      <c r="M69" s="226"/>
    </row>
    <row r="70">
      <c r="A70" s="241" t="s">
        <v>567</v>
      </c>
      <c r="B70" s="242">
        <v>17.6</v>
      </c>
      <c r="C70" s="247" t="s">
        <v>598</v>
      </c>
      <c r="D70" s="241" t="s">
        <v>567</v>
      </c>
      <c r="E70" s="251"/>
      <c r="F70" s="243"/>
      <c r="G70" s="241" t="s">
        <v>567</v>
      </c>
      <c r="H70" s="251">
        <v>22.0</v>
      </c>
      <c r="I70" s="247" t="s">
        <v>599</v>
      </c>
      <c r="J70" s="241" t="s">
        <v>567</v>
      </c>
      <c r="K70" s="265">
        <v>22.0</v>
      </c>
      <c r="L70" s="247" t="s">
        <v>600</v>
      </c>
      <c r="M70" s="226"/>
    </row>
    <row r="71">
      <c r="A71" s="241" t="s">
        <v>571</v>
      </c>
      <c r="B71" s="242">
        <v>17.6</v>
      </c>
      <c r="C71" s="247" t="s">
        <v>601</v>
      </c>
      <c r="D71" s="241" t="s">
        <v>571</v>
      </c>
      <c r="E71" s="242"/>
      <c r="F71" s="243"/>
      <c r="G71" s="241" t="s">
        <v>571</v>
      </c>
      <c r="H71" s="242">
        <v>22.0</v>
      </c>
      <c r="I71" s="247" t="s">
        <v>602</v>
      </c>
      <c r="J71" s="241" t="s">
        <v>571</v>
      </c>
      <c r="K71" s="248">
        <v>22.0</v>
      </c>
      <c r="L71" s="247" t="s">
        <v>602</v>
      </c>
      <c r="M71" s="226"/>
    </row>
    <row r="72">
      <c r="A72" s="264" t="s">
        <v>574</v>
      </c>
      <c r="B72" s="242">
        <v>9.0</v>
      </c>
      <c r="C72" s="243"/>
      <c r="D72" s="264" t="s">
        <v>574</v>
      </c>
      <c r="E72" s="242"/>
      <c r="F72" s="243"/>
      <c r="G72" s="264" t="s">
        <v>574</v>
      </c>
      <c r="H72" s="242">
        <v>9.0</v>
      </c>
      <c r="I72" s="243"/>
      <c r="J72" s="264" t="s">
        <v>574</v>
      </c>
      <c r="K72" s="248">
        <v>9.0</v>
      </c>
      <c r="L72" s="243"/>
      <c r="M72" s="226"/>
    </row>
    <row r="73">
      <c r="A73" s="241" t="s">
        <v>575</v>
      </c>
      <c r="B73" s="248">
        <v>70.0</v>
      </c>
      <c r="C73" s="243"/>
      <c r="D73" s="241" t="s">
        <v>575</v>
      </c>
      <c r="E73" s="242"/>
      <c r="F73" s="243"/>
      <c r="G73" s="241" t="s">
        <v>575</v>
      </c>
      <c r="H73" s="248">
        <v>70.0</v>
      </c>
      <c r="I73" s="243"/>
      <c r="J73" s="241" t="s">
        <v>575</v>
      </c>
      <c r="K73" s="248">
        <v>70.0</v>
      </c>
      <c r="L73" s="243"/>
      <c r="M73" s="226"/>
    </row>
    <row r="74">
      <c r="A74" s="258" t="s">
        <v>594</v>
      </c>
      <c r="B74" s="262">
        <v>3.7</v>
      </c>
      <c r="C74" s="89"/>
      <c r="D74" s="258" t="s">
        <v>594</v>
      </c>
      <c r="E74" s="262"/>
      <c r="F74" s="89"/>
      <c r="G74" s="258" t="s">
        <v>594</v>
      </c>
      <c r="H74" s="262">
        <v>3.7</v>
      </c>
      <c r="I74" s="89"/>
      <c r="J74" s="258" t="s">
        <v>594</v>
      </c>
      <c r="K74" s="256">
        <v>3.7</v>
      </c>
      <c r="L74" s="89"/>
      <c r="M74" s="226"/>
    </row>
    <row r="75">
      <c r="A75" s="226"/>
      <c r="B75" s="226"/>
      <c r="C75" s="226"/>
      <c r="D75" s="226"/>
      <c r="E75" s="226"/>
      <c r="F75" s="226"/>
      <c r="G75" s="226"/>
      <c r="H75" s="226"/>
      <c r="I75" s="226"/>
      <c r="J75" s="226"/>
      <c r="K75" s="226"/>
      <c r="L75" s="226"/>
      <c r="M75" s="226"/>
    </row>
    <row r="76">
      <c r="A76" s="226"/>
      <c r="B76" s="226"/>
      <c r="C76" s="226"/>
      <c r="D76" s="226"/>
      <c r="E76" s="226"/>
      <c r="F76" s="226"/>
      <c r="G76" s="226"/>
      <c r="H76" s="226"/>
      <c r="I76" s="226"/>
      <c r="J76" s="226"/>
      <c r="K76" s="226"/>
      <c r="L76" s="226"/>
      <c r="M76" s="226"/>
    </row>
    <row r="77">
      <c r="A77" s="226"/>
      <c r="B77" s="226"/>
      <c r="C77" s="226"/>
      <c r="D77" s="226"/>
      <c r="E77" s="226"/>
      <c r="F77" s="226"/>
      <c r="G77" s="226"/>
      <c r="H77" s="226"/>
      <c r="I77" s="226"/>
      <c r="J77" s="226"/>
      <c r="K77" s="226"/>
      <c r="L77" s="226"/>
      <c r="M77" s="2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0"/>
    <col customWidth="1" min="2" max="2" width="38.0"/>
    <col customWidth="1" min="3" max="3" width="49.43"/>
    <col customWidth="1" min="4" max="4" width="19.0"/>
    <col customWidth="1" min="5" max="5" width="6.14"/>
    <col customWidth="1" min="6" max="6" width="9.14"/>
    <col customWidth="1" min="7" max="7" width="5.14"/>
    <col customWidth="1" min="8" max="8" width="9.29"/>
    <col customWidth="1" min="9" max="9" width="5.14"/>
    <col customWidth="1" min="10" max="10" width="7.0"/>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16.0"/>
    <col customWidth="1" min="20" max="20" width="103.29"/>
    <col customWidth="1" min="21" max="21" width="16.14"/>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77" t="s">
        <v>615</v>
      </c>
    </row>
    <row r="2" ht="20.25" customHeight="1">
      <c r="A2" s="278"/>
      <c r="B2" s="279" t="s">
        <v>616</v>
      </c>
      <c r="C2" s="280"/>
      <c r="D2" s="280"/>
      <c r="E2" s="281"/>
      <c r="F2" s="281"/>
      <c r="G2" s="281"/>
      <c r="H2" s="281"/>
      <c r="I2" s="281"/>
      <c r="J2" s="281"/>
      <c r="K2" s="281"/>
      <c r="L2" s="281"/>
      <c r="M2" s="281"/>
      <c r="N2" s="280"/>
      <c r="O2" s="280"/>
      <c r="P2" s="280"/>
      <c r="Q2" s="280"/>
      <c r="R2" s="282"/>
      <c r="S2" s="281"/>
      <c r="T2" s="283"/>
    </row>
    <row r="3">
      <c r="A3" s="272"/>
      <c r="B3" s="284" t="s">
        <v>617</v>
      </c>
      <c r="C3" s="280"/>
      <c r="D3" s="280"/>
      <c r="E3" s="281"/>
      <c r="F3" s="281"/>
      <c r="G3" s="281"/>
      <c r="H3" s="281"/>
      <c r="I3" s="281"/>
      <c r="J3" s="281"/>
      <c r="K3" s="281"/>
      <c r="L3" s="281"/>
      <c r="M3" s="281"/>
      <c r="N3" s="281"/>
      <c r="O3" s="281"/>
      <c r="P3" s="281"/>
      <c r="Q3" s="281"/>
      <c r="R3" s="282"/>
      <c r="S3" s="281"/>
      <c r="T3" s="285"/>
    </row>
    <row r="4">
      <c r="A4" s="272"/>
      <c r="B4" s="284" t="s">
        <v>618</v>
      </c>
      <c r="C4" s="280"/>
      <c r="D4" s="280"/>
      <c r="E4" s="281"/>
      <c r="F4" s="281"/>
      <c r="G4" s="281"/>
      <c r="H4" s="281"/>
      <c r="I4" s="281"/>
      <c r="J4" s="281"/>
      <c r="K4" s="281"/>
      <c r="L4" s="281"/>
      <c r="M4" s="281"/>
      <c r="N4" s="281"/>
      <c r="O4" s="281"/>
      <c r="P4" s="281"/>
      <c r="Q4" s="281"/>
      <c r="R4" s="282"/>
      <c r="S4" s="281"/>
      <c r="T4" s="285"/>
    </row>
    <row r="5">
      <c r="A5" s="286" t="s">
        <v>619</v>
      </c>
      <c r="B5" s="287"/>
      <c r="C5" s="280"/>
      <c r="D5" s="280"/>
      <c r="E5" s="281"/>
      <c r="F5" s="281"/>
      <c r="G5" s="281"/>
      <c r="H5" s="281"/>
      <c r="I5" s="281"/>
      <c r="J5" s="281"/>
      <c r="K5" s="281"/>
      <c r="L5" s="281"/>
      <c r="M5" s="281"/>
      <c r="N5" s="281"/>
      <c r="O5" s="281"/>
      <c r="P5" s="281"/>
      <c r="Q5" s="281"/>
      <c r="R5" s="282"/>
      <c r="S5" s="281"/>
      <c r="T5" s="285"/>
    </row>
    <row r="6">
      <c r="A6" s="25"/>
      <c r="B6" s="288" t="s">
        <v>620</v>
      </c>
      <c r="C6" s="280" t="s">
        <v>621</v>
      </c>
      <c r="D6" s="289">
        <f>ROUND((F6*'Pawn Weights'!$K$3)+(G6*'Pawn Weights'!$K$4)+(H6*'Pawn Weights'!$K$5)+(I6*'Pawn Weights'!$K$6)+(J6*'Pawn Weights'!$K$7)+(K6*'Pawn Weights'!$K$8)+(L6*'Pawn Weights'!$K$9)+(M6*'Pawn Weights'!$K$10)+(N6*'Pawn Weights'!$K$11)+(O6*'Pawn Weights'!$K$12)+(P6*'Pawn Weights'!$K$13)+(Q6*'Pawn Weights'!$K$14)+2.664, 2)</f>
        <v>207.6</v>
      </c>
      <c r="E6" s="280">
        <v>45.0</v>
      </c>
      <c r="F6" s="280"/>
      <c r="G6" s="280">
        <v>43.0</v>
      </c>
      <c r="H6" s="280">
        <v>126.0</v>
      </c>
      <c r="I6" s="280">
        <v>34.0</v>
      </c>
      <c r="J6" s="280"/>
      <c r="K6" s="280"/>
      <c r="L6" s="280"/>
      <c r="M6" s="280">
        <v>182.0</v>
      </c>
      <c r="N6" s="280">
        <v>1.0</v>
      </c>
      <c r="O6" s="280">
        <v>1.0</v>
      </c>
      <c r="P6" s="280"/>
      <c r="Q6" s="280"/>
      <c r="R6" s="290" t="s">
        <v>622</v>
      </c>
      <c r="S6" s="281"/>
      <c r="T6" s="291"/>
    </row>
    <row r="7">
      <c r="A7" s="25"/>
      <c r="B7" s="288" t="s">
        <v>623</v>
      </c>
      <c r="C7" s="280" t="s">
        <v>621</v>
      </c>
      <c r="D7" s="289">
        <f>ROUND((F7*'Pawn Weights'!$K$3)+(G7*'Pawn Weights'!$K$4)+(H7*'Pawn Weights'!$K$5)+(I7*'Pawn Weights'!$K$6)+(J7*'Pawn Weights'!$K$7)+(K7*'Pawn Weights'!$K$8)+(L7*'Pawn Weights'!$K$9)+(M7*'Pawn Weights'!$K$10)+(N7*'Pawn Weights'!$K$11)+(O7*'Pawn Weights'!$K$12)+(P7*'Pawn Weights'!$K$13)+(Q7*'Pawn Weights'!$K$14)+3.636, 2)</f>
        <v>198.58</v>
      </c>
      <c r="E7" s="280">
        <v>67.0</v>
      </c>
      <c r="F7" s="280">
        <v>61.0</v>
      </c>
      <c r="G7" s="280"/>
      <c r="H7" s="280"/>
      <c r="I7" s="280">
        <v>40.0</v>
      </c>
      <c r="J7" s="280"/>
      <c r="K7" s="280"/>
      <c r="L7" s="280"/>
      <c r="M7" s="280">
        <v>231.0</v>
      </c>
      <c r="N7" s="280">
        <v>1.0</v>
      </c>
      <c r="O7" s="280">
        <v>1.0</v>
      </c>
      <c r="P7" s="280"/>
      <c r="Q7" s="280"/>
      <c r="R7" s="290" t="s">
        <v>624</v>
      </c>
      <c r="S7" s="281"/>
      <c r="T7" s="291"/>
    </row>
    <row r="8">
      <c r="A8" s="25"/>
      <c r="B8" s="288" t="s">
        <v>625</v>
      </c>
      <c r="C8" s="280" t="s">
        <v>621</v>
      </c>
      <c r="D8" s="289">
        <f>ROUND((F8*'Pawn Weights'!$K$3)+(G8*'Pawn Weights'!$K$4)+(H8*'Pawn Weights'!$K$5)+(I8*'Pawn Weights'!$K$6)+(J8*'Pawn Weights'!$K$7)+(K8*'Pawn Weights'!$K$8)+(L8*'Pawn Weights'!$K$9)+(M8*'Pawn Weights'!$K$10)+(N8*'Pawn Weights'!$K$11)+(O8*'Pawn Weights'!$K$12)+(P8*'Pawn Weights'!$K$13)+(Q8*'Pawn Weights'!$K$14)+2.32, 2)</f>
        <v>187.32</v>
      </c>
      <c r="E8" s="280">
        <v>57.0</v>
      </c>
      <c r="F8" s="280"/>
      <c r="G8" s="280">
        <v>43.0</v>
      </c>
      <c r="H8" s="280">
        <v>126.0</v>
      </c>
      <c r="I8" s="280"/>
      <c r="J8" s="280">
        <v>30.0</v>
      </c>
      <c r="K8" s="280">
        <v>34.0</v>
      </c>
      <c r="L8" s="280"/>
      <c r="M8" s="281"/>
      <c r="N8" s="280">
        <v>1.0</v>
      </c>
      <c r="O8" s="280">
        <v>1.0</v>
      </c>
      <c r="P8" s="280"/>
      <c r="Q8" s="280"/>
      <c r="R8" s="290" t="s">
        <v>626</v>
      </c>
      <c r="S8" s="281"/>
      <c r="T8" s="291"/>
    </row>
    <row r="9" ht="17.25" customHeight="1">
      <c r="A9" s="25" t="s">
        <v>627</v>
      </c>
      <c r="B9" s="288" t="s">
        <v>628</v>
      </c>
      <c r="C9" s="280" t="s">
        <v>629</v>
      </c>
      <c r="D9" s="289">
        <f>ROUND((F9*'Pawn Weights'!$K$3)+(G9*'Pawn Weights'!$K$4)+(H9*'Pawn Weights'!$K$5)+(I9*'Pawn Weights'!$K$6)+(J9*'Pawn Weights'!$K$7)+(K9*'Pawn Weights'!$K$8)+(L9*'Pawn Weights'!$K$9)+(M9*'Pawn Weights'!$K$10)+(N9*'Pawn Weights'!$K$11)+(O9*'Pawn Weights'!$K$12)+(P9*'Pawn Weights'!$K$13)+(Q9*'Pawn Weights'!$K$14), 2)</f>
        <v>176.44</v>
      </c>
      <c r="E9" s="280">
        <v>47.0</v>
      </c>
      <c r="F9" s="280">
        <v>62.0</v>
      </c>
      <c r="G9" s="280"/>
      <c r="H9" s="280"/>
      <c r="I9" s="280">
        <v>51.0</v>
      </c>
      <c r="J9" s="280">
        <v>26.0</v>
      </c>
      <c r="K9" s="280"/>
      <c r="L9" s="280"/>
      <c r="M9" s="281"/>
      <c r="N9" s="280">
        <v>1.0</v>
      </c>
      <c r="O9" s="280"/>
      <c r="P9" s="280"/>
      <c r="Q9" s="280">
        <v>1.0</v>
      </c>
      <c r="R9" s="290" t="s">
        <v>624</v>
      </c>
      <c r="S9" s="281"/>
      <c r="T9" s="291" t="s">
        <v>630</v>
      </c>
    </row>
    <row r="10">
      <c r="A10" s="25"/>
      <c r="B10" s="288" t="s">
        <v>631</v>
      </c>
      <c r="C10" s="280" t="s">
        <v>632</v>
      </c>
      <c r="D10" s="289">
        <f>ROUND((F10*'Pawn Weights'!$K$3)+(G10*'Pawn Weights'!$K$4)+(H10*'Pawn Weights'!$K$5)+(I10*'Pawn Weights'!$K$6)+(J10*'Pawn Weights'!$K$7)+(K10*'Pawn Weights'!$K$8)+(L10*'Pawn Weights'!$K$9)+(M10*'Pawn Weights'!$K$10)+(N10*'Pawn Weights'!$K$11)+(O10*'Pawn Weights'!$K$12)+(P10*'Pawn Weights'!$K$13)+(Q10*'Pawn Weights'!$K$14), 2)</f>
        <v>174.78</v>
      </c>
      <c r="E10" s="280">
        <v>46.0</v>
      </c>
      <c r="F10" s="280"/>
      <c r="G10" s="280">
        <v>39.0</v>
      </c>
      <c r="H10" s="280">
        <v>108.0</v>
      </c>
      <c r="I10" s="280">
        <v>38.0</v>
      </c>
      <c r="J10" s="280">
        <v>21.0</v>
      </c>
      <c r="K10" s="280"/>
      <c r="L10" s="280"/>
      <c r="M10" s="281"/>
      <c r="N10" s="280">
        <v>1.0</v>
      </c>
      <c r="O10" s="280"/>
      <c r="P10" s="280">
        <v>1.0</v>
      </c>
      <c r="Q10" s="280"/>
      <c r="R10" s="290" t="s">
        <v>633</v>
      </c>
      <c r="S10" s="281"/>
      <c r="T10" s="291" t="s">
        <v>634</v>
      </c>
    </row>
    <row r="11">
      <c r="A11" s="25" t="s">
        <v>635</v>
      </c>
      <c r="B11" s="288" t="s">
        <v>636</v>
      </c>
      <c r="C11" s="280" t="s">
        <v>637</v>
      </c>
      <c r="D11" s="289">
        <f>ROUND((F11*'Pawn Weights'!$K$3)+(G11*'Pawn Weights'!$K$4)+(H11*'Pawn Weights'!$K$5)+(I11*'Pawn Weights'!$K$6)+(J11*'Pawn Weights'!$K$7)+(K11*'Pawn Weights'!$K$8)+(L11*'Pawn Weights'!$K$9)+(M11*'Pawn Weights'!$K$10)+(N11*'Pawn Weights'!$K$11)+(O11*'Pawn Weights'!$K$12)+(P11*'Pawn Weights'!$K$13)+(Q11*'Pawn Weights'!$K$14)-10+9.545+3.636, 2)</f>
        <v>165.1</v>
      </c>
      <c r="E11" s="280">
        <v>68.0</v>
      </c>
      <c r="F11" s="280">
        <v>45.0</v>
      </c>
      <c r="G11" s="280"/>
      <c r="H11" s="280"/>
      <c r="I11" s="280">
        <v>41.0</v>
      </c>
      <c r="J11" s="280">
        <v>18.0</v>
      </c>
      <c r="K11" s="280"/>
      <c r="L11" s="280"/>
      <c r="M11" s="280">
        <v>84.0</v>
      </c>
      <c r="N11" s="280">
        <v>1.0</v>
      </c>
      <c r="O11" s="280"/>
      <c r="P11" s="280">
        <v>1.0</v>
      </c>
      <c r="Q11" s="280"/>
      <c r="R11" s="290" t="s">
        <v>624</v>
      </c>
      <c r="S11" s="281"/>
      <c r="T11" s="291"/>
    </row>
    <row r="12">
      <c r="A12" s="25"/>
      <c r="B12" s="288" t="s">
        <v>638</v>
      </c>
      <c r="C12" s="280" t="s">
        <v>639</v>
      </c>
      <c r="D12" s="289">
        <f>ROUND((F12*'Pawn Weights'!$K$3)+(G12*'Pawn Weights'!$K$4)+(H12*'Pawn Weights'!$K$5)+(I12*'Pawn Weights'!$K$6)+(J12*'Pawn Weights'!$K$7)+(K12*'Pawn Weights'!$K$8)+(L12*'Pawn Weights'!$K$9)+(M12*'Pawn Weights'!$K$10)+(N12*'Pawn Weights'!$K$11)+(O12*'Pawn Weights'!$K$12)+(P12*'Pawn Weights'!$K$13)+(Q12*'Pawn Weights'!$K$14), 2)</f>
        <v>161.9</v>
      </c>
      <c r="E12" s="280">
        <v>29.0</v>
      </c>
      <c r="F12" s="280">
        <v>51.0</v>
      </c>
      <c r="G12" s="280"/>
      <c r="H12" s="280"/>
      <c r="I12" s="280">
        <v>42.0</v>
      </c>
      <c r="J12" s="280">
        <v>34.0</v>
      </c>
      <c r="K12" s="280"/>
      <c r="L12" s="280"/>
      <c r="M12" s="281"/>
      <c r="N12" s="280">
        <v>1.0</v>
      </c>
      <c r="O12" s="280"/>
      <c r="P12" s="280">
        <v>1.0</v>
      </c>
      <c r="Q12" s="280"/>
      <c r="R12" s="290" t="s">
        <v>633</v>
      </c>
      <c r="S12" s="281"/>
      <c r="T12" s="291"/>
    </row>
    <row r="13">
      <c r="A13" s="25" t="s">
        <v>640</v>
      </c>
      <c r="B13" s="288" t="s">
        <v>641</v>
      </c>
      <c r="C13" s="280" t="s">
        <v>642</v>
      </c>
      <c r="D13" s="289">
        <f>ROUND((F13*'Pawn Weights'!$K$3)+(G13*'Pawn Weights'!$K$4)+(H13*'Pawn Weights'!$K$5)+(I13*'Pawn Weights'!$K$6)+(J13*'Pawn Weights'!$K$7)+(K13*'Pawn Weights'!$K$8)+(L13*'Pawn Weights'!$K$9)+(M13*'Pawn Weights'!$K$10)+(N13*'Pawn Weights'!$K$11)+(O13*'Pawn Weights'!$K$12)+(P13*'Pawn Weights'!$K$13)+(Q13*'Pawn Weights'!$K$14)+4, 2)</f>
        <v>158.57</v>
      </c>
      <c r="E13" s="280">
        <v>54.0</v>
      </c>
      <c r="F13" s="280">
        <v>54.0</v>
      </c>
      <c r="G13" s="280">
        <v>41.0</v>
      </c>
      <c r="H13" s="280"/>
      <c r="I13" s="280"/>
      <c r="J13" s="280"/>
      <c r="K13" s="280"/>
      <c r="L13" s="280"/>
      <c r="M13" s="280">
        <v>105.0</v>
      </c>
      <c r="N13" s="280">
        <v>1.0</v>
      </c>
      <c r="O13" s="280">
        <v>1.0</v>
      </c>
      <c r="P13" s="280"/>
      <c r="Q13" s="280"/>
      <c r="R13" s="290" t="s">
        <v>643</v>
      </c>
      <c r="S13" s="281"/>
      <c r="T13" s="291"/>
    </row>
    <row r="14">
      <c r="A14" s="25" t="s">
        <v>644</v>
      </c>
      <c r="B14" s="288" t="s">
        <v>645</v>
      </c>
      <c r="C14" s="280" t="s">
        <v>646</v>
      </c>
      <c r="D14" s="289">
        <f>ROUND((F14*'Pawn Weights'!$K$3)+(G14*'Pawn Weights'!$K$4)+(H14*'Pawn Weights'!$K$5)+(I14*'Pawn Weights'!$K$6)+(J14*'Pawn Weights'!$K$7)+(K14*'Pawn Weights'!$K$8)+(L14*'Pawn Weights'!$K$9)+(M14*'Pawn Weights'!$K$10)+(N14*'Pawn Weights'!$K$11)+(O14*'Pawn Weights'!$K$12)+(P14*'Pawn Weights'!$K$13)+(Q14*'Pawn Weights'!$K$14)-10+9.545+3.636, 2)</f>
        <v>150.17</v>
      </c>
      <c r="E14" s="280">
        <v>61.0</v>
      </c>
      <c r="F14" s="280">
        <v>39.0</v>
      </c>
      <c r="G14" s="280"/>
      <c r="H14" s="280"/>
      <c r="I14" s="280">
        <v>35.0</v>
      </c>
      <c r="J14" s="280">
        <v>12.0</v>
      </c>
      <c r="K14" s="280"/>
      <c r="L14" s="280"/>
      <c r="M14" s="280">
        <v>84.0</v>
      </c>
      <c r="N14" s="280">
        <v>1.0</v>
      </c>
      <c r="O14" s="280"/>
      <c r="P14" s="280">
        <v>1.0</v>
      </c>
      <c r="Q14" s="280"/>
      <c r="R14" s="290" t="s">
        <v>624</v>
      </c>
      <c r="S14" s="281"/>
      <c r="T14" s="291"/>
    </row>
    <row r="15">
      <c r="A15" s="25" t="s">
        <v>647</v>
      </c>
      <c r="B15" s="288" t="s">
        <v>648</v>
      </c>
      <c r="C15" s="280" t="s">
        <v>649</v>
      </c>
      <c r="D15" s="289">
        <f>ROUND((F15*'Pawn Weights'!$K$3)+(G15*'Pawn Weights'!$K$4)+(H15*'Pawn Weights'!$K$5)+(I15*'Pawn Weights'!$K$6)+(J15*'Pawn Weights'!$K$7)+(K15*'Pawn Weights'!$K$8)+(L15*'Pawn Weights'!$K$9)+(M15*'Pawn Weights'!$K$10)+(N15*'Pawn Weights'!$K$11)+(O15*'Pawn Weights'!$K$12)+(P15*'Pawn Weights'!$K$13)+(Q15*'Pawn Weights'!$K$14), 2)</f>
        <v>144.9</v>
      </c>
      <c r="E15" s="280">
        <v>45.0</v>
      </c>
      <c r="F15" s="280">
        <v>47.0</v>
      </c>
      <c r="G15" s="280"/>
      <c r="H15" s="280"/>
      <c r="I15" s="280">
        <v>36.0</v>
      </c>
      <c r="J15" s="280">
        <v>21.0</v>
      </c>
      <c r="K15" s="280"/>
      <c r="L15" s="280"/>
      <c r="M15" s="281"/>
      <c r="N15" s="280">
        <v>1.0</v>
      </c>
      <c r="O15" s="280"/>
      <c r="P15" s="280"/>
      <c r="Q15" s="280">
        <v>1.0</v>
      </c>
      <c r="R15" s="290" t="s">
        <v>643</v>
      </c>
      <c r="S15" s="281"/>
      <c r="T15" s="291"/>
    </row>
    <row r="16">
      <c r="A16" s="292"/>
      <c r="B16" s="288" t="s">
        <v>650</v>
      </c>
      <c r="C16" s="154" t="s">
        <v>639</v>
      </c>
      <c r="D16" s="289">
        <f>ROUND((F16*'Pawn Weights'!$K$3)+(G16*'Pawn Weights'!$K$4)+(H16*'Pawn Weights'!$K$5)+(I16*'Pawn Weights'!$K$6)+(J16*'Pawn Weights'!$K$7)+(K16*'Pawn Weights'!$K$8)+(L16*'Pawn Weights'!$K$9)+(M16*'Pawn Weights'!$K$10)+(N16*'Pawn Weights'!$K$11)+(O16*'Pawn Weights'!$K$12)+(P16*'Pawn Weights'!$K$13)+(Q16*'Pawn Weights'!$K$14), 2)</f>
        <v>144.6</v>
      </c>
      <c r="E16" s="280">
        <v>29.0</v>
      </c>
      <c r="F16" s="280"/>
      <c r="G16" s="280">
        <v>42.0</v>
      </c>
      <c r="H16" s="280">
        <v>100.0</v>
      </c>
      <c r="I16" s="280">
        <v>20.0</v>
      </c>
      <c r="J16" s="280"/>
      <c r="K16" s="280"/>
      <c r="L16" s="280"/>
      <c r="M16" s="281"/>
      <c r="N16" s="280">
        <v>1.0</v>
      </c>
      <c r="O16" s="280">
        <v>1.0</v>
      </c>
      <c r="P16" s="280"/>
      <c r="Q16" s="280"/>
      <c r="R16" s="290" t="s">
        <v>651</v>
      </c>
      <c r="S16" s="281"/>
      <c r="T16" s="291"/>
    </row>
    <row r="17">
      <c r="A17" s="292" t="s">
        <v>627</v>
      </c>
      <c r="B17" s="288" t="s">
        <v>652</v>
      </c>
      <c r="C17" s="154" t="s">
        <v>653</v>
      </c>
      <c r="D17" s="289">
        <f>ROUND((F17*'Pawn Weights'!$K$3)+(G17*'Pawn Weights'!$K$4)+(H17*'Pawn Weights'!$K$5)+(I17*'Pawn Weights'!$K$6)+(J17*'Pawn Weights'!$K$7)+(K17*'Pawn Weights'!$K$8)+(L17*'Pawn Weights'!$K$9)+(M17*'Pawn Weights'!$K$10)+(N17*'Pawn Weights'!$K$11)+(O17*'Pawn Weights'!$K$12)+(P17*'Pawn Weights'!$K$13)+(Q17*'Pawn Weights'!$K$14), 2)</f>
        <v>143.08</v>
      </c>
      <c r="E17" s="280">
        <v>28.0</v>
      </c>
      <c r="F17" s="280">
        <v>48.0</v>
      </c>
      <c r="G17" s="280"/>
      <c r="H17" s="280"/>
      <c r="I17" s="280">
        <v>38.0</v>
      </c>
      <c r="J17" s="280">
        <v>13.0</v>
      </c>
      <c r="K17" s="280"/>
      <c r="L17" s="280"/>
      <c r="M17" s="281"/>
      <c r="N17" s="280">
        <v>1.0</v>
      </c>
      <c r="O17" s="280"/>
      <c r="P17" s="280"/>
      <c r="Q17" s="280">
        <v>1.0</v>
      </c>
      <c r="R17" s="290" t="s">
        <v>624</v>
      </c>
      <c r="S17" s="281"/>
      <c r="T17" s="291"/>
    </row>
    <row r="18">
      <c r="A18" s="25" t="s">
        <v>654</v>
      </c>
      <c r="B18" s="288" t="s">
        <v>655</v>
      </c>
      <c r="C18" s="280" t="s">
        <v>656</v>
      </c>
      <c r="D18" s="289">
        <f>ROUND((F18*'Pawn Weights'!$K$3)+(G18*'Pawn Weights'!$K$4)+(H18*'Pawn Weights'!$K$5)+(I18*'Pawn Weights'!$K$6)+(J18*'Pawn Weights'!$K$7)+(K18*'Pawn Weights'!$K$8)+(L18*'Pawn Weights'!$K$9)+(M18*'Pawn Weights'!$K$10)+(N18*'Pawn Weights'!$K$11)+(O18*'Pawn Weights'!$K$12)+(P18*'Pawn Weights'!$K$13)+(Q18*'Pawn Weights'!$K$14)-10+9.545+2.32, 2)</f>
        <v>129.8</v>
      </c>
      <c r="E18" s="280">
        <v>45.0</v>
      </c>
      <c r="F18" s="280">
        <v>45.0</v>
      </c>
      <c r="G18" s="280"/>
      <c r="H18" s="280"/>
      <c r="I18" s="280">
        <v>24.0</v>
      </c>
      <c r="J18" s="280">
        <v>14.0</v>
      </c>
      <c r="K18" s="280"/>
      <c r="L18" s="280"/>
      <c r="M18" s="281"/>
      <c r="N18" s="280">
        <v>1.0</v>
      </c>
      <c r="O18" s="280"/>
      <c r="P18" s="280">
        <v>1.0</v>
      </c>
      <c r="Q18" s="280"/>
      <c r="R18" s="290" t="s">
        <v>626</v>
      </c>
      <c r="S18" s="281"/>
      <c r="T18" s="291"/>
    </row>
    <row r="19">
      <c r="A19" s="272" t="s">
        <v>657</v>
      </c>
      <c r="B19" s="281"/>
      <c r="C19" s="281"/>
      <c r="D19" s="293"/>
      <c r="E19" s="281"/>
      <c r="F19" s="281"/>
      <c r="G19" s="281"/>
      <c r="H19" s="281"/>
      <c r="I19" s="281"/>
      <c r="J19" s="281"/>
      <c r="K19" s="281"/>
      <c r="L19" s="281"/>
      <c r="M19" s="281"/>
      <c r="N19" s="281"/>
      <c r="O19" s="281"/>
      <c r="P19" s="281"/>
      <c r="Q19" s="281"/>
      <c r="R19" s="282"/>
      <c r="S19" s="281"/>
      <c r="T19" s="285"/>
    </row>
    <row r="20" ht="16.5" customHeight="1">
      <c r="A20" s="292" t="s">
        <v>627</v>
      </c>
      <c r="B20" s="288" t="s">
        <v>658</v>
      </c>
      <c r="C20" s="280" t="s">
        <v>659</v>
      </c>
      <c r="D20" s="289">
        <f>ROUND((F20*'Pawn Weights'!$K$3)+(G20*'Pawn Weights'!$K$4)+(H20*'Pawn Weights'!$K$5)+(I20*'Pawn Weights'!$K$6)+(J20*'Pawn Weights'!$K$7)+(K20*'Pawn Weights'!$K$8)+(L20*'Pawn Weights'!$K$9)+(M20*'Pawn Weights'!$K$10)+(N20*'Pawn Weights'!$K$11)+(O20*'Pawn Weights'!$K$12)+(P20*'Pawn Weights'!$K$13)+(Q20*'Pawn Weights'!$K$14)-10+9.545+1.818, 2)</f>
        <v>91.15</v>
      </c>
      <c r="E20" s="280">
        <v>42.0</v>
      </c>
      <c r="F20" s="280"/>
      <c r="G20" s="280"/>
      <c r="H20" s="280">
        <v>58.0</v>
      </c>
      <c r="I20" s="280"/>
      <c r="J20" s="280"/>
      <c r="K20" s="280">
        <v>29.0</v>
      </c>
      <c r="L20" s="280"/>
      <c r="M20" s="280">
        <v>150.0</v>
      </c>
      <c r="N20" s="280"/>
      <c r="O20" s="280"/>
      <c r="P20" s="280">
        <v>1.0</v>
      </c>
      <c r="Q20" s="280"/>
      <c r="R20" s="290" t="s">
        <v>660</v>
      </c>
      <c r="S20" s="281"/>
      <c r="T20" s="294" t="s">
        <v>661</v>
      </c>
      <c r="U20" s="281"/>
      <c r="X20" s="281"/>
    </row>
    <row r="21">
      <c r="A21" s="281"/>
      <c r="B21" s="288" t="s">
        <v>662</v>
      </c>
      <c r="C21" s="280" t="s">
        <v>663</v>
      </c>
      <c r="D21" s="289">
        <f>ROUND((F21*'Pawn Weights'!$K$3)+(G21*'Pawn Weights'!$K$4)+(H21*'Pawn Weights'!$K$5)+(I21*'Pawn Weights'!$K$6)+(J21*'Pawn Weights'!$K$7)+(K21*'Pawn Weights'!$K$8)+(L21*'Pawn Weights'!$K$9)+(M21*'Pawn Weights'!$K$10)+(N21*'Pawn Weights'!$K$11)+(O21*'Pawn Weights'!$K$12)+(P21*'Pawn Weights'!$K$13)+(Q21*'Pawn Weights'!$K$14), 2)</f>
        <v>71.06</v>
      </c>
      <c r="E21" s="280">
        <v>33.0</v>
      </c>
      <c r="F21" s="280"/>
      <c r="G21" s="280">
        <v>25.0</v>
      </c>
      <c r="H21" s="280">
        <v>64.0</v>
      </c>
      <c r="I21" s="280"/>
      <c r="J21" s="280"/>
      <c r="K21" s="280">
        <v>30.0</v>
      </c>
      <c r="L21" s="280"/>
      <c r="M21" s="280"/>
      <c r="N21" s="280"/>
      <c r="O21" s="280"/>
      <c r="P21" s="280"/>
      <c r="Q21" s="280"/>
      <c r="R21" s="290"/>
      <c r="S21" s="281"/>
      <c r="T21" s="294"/>
      <c r="U21" s="281"/>
      <c r="X21" s="281"/>
    </row>
    <row r="22">
      <c r="A22" s="281"/>
      <c r="B22" s="288" t="s">
        <v>664</v>
      </c>
      <c r="C22" s="280" t="s">
        <v>665</v>
      </c>
      <c r="D22" s="289">
        <f>ROUND((F22*'Pawn Weights'!$K$3)+(G22*'Pawn Weights'!$K$4)+(H22*'Pawn Weights'!$K$5)+(I22*'Pawn Weights'!$K$6)+(J22*'Pawn Weights'!$K$7)+(K22*'Pawn Weights'!$K$8)+(L22*'Pawn Weights'!$K$9)+(M22*'Pawn Weights'!$K$10)+(N22*'Pawn Weights'!$K$11)+(O22*'Pawn Weights'!$K$12)+(P22*'Pawn Weights'!$K$13)+(Q22*'Pawn Weights'!$K$14), 2)</f>
        <v>69.45</v>
      </c>
      <c r="E22" s="280"/>
      <c r="F22" s="280"/>
      <c r="G22" s="280"/>
      <c r="H22" s="280">
        <v>72.0</v>
      </c>
      <c r="I22" s="280">
        <v>27.0</v>
      </c>
      <c r="J22" s="280">
        <v>21.0</v>
      </c>
      <c r="K22" s="280"/>
      <c r="L22" s="280"/>
      <c r="M22" s="280"/>
      <c r="N22" s="280"/>
      <c r="O22" s="280"/>
      <c r="P22" s="280"/>
      <c r="Q22" s="280"/>
      <c r="R22" s="290"/>
      <c r="S22" s="281"/>
      <c r="T22" s="222"/>
      <c r="U22" s="281"/>
      <c r="X22" s="281"/>
    </row>
    <row r="23">
      <c r="A23" s="281"/>
      <c r="B23" s="288" t="s">
        <v>666</v>
      </c>
      <c r="C23" s="280" t="s">
        <v>667</v>
      </c>
      <c r="D23" s="289">
        <f>ROUND((F23*'Pawn Weights'!$K$3)+(G23*'Pawn Weights'!$K$4)+(H23*'Pawn Weights'!$K$5)+(I23*'Pawn Weights'!$K$6)+(J23*'Pawn Weights'!$K$7)+(K23*'Pawn Weights'!$K$8)+(L23*'Pawn Weights'!$K$9)+(M23*'Pawn Weights'!$K$10)+(N23*'Pawn Weights'!$K$11)+(O23*'Pawn Weights'!$K$12)+(P23*'Pawn Weights'!$K$13)+(Q23*'Pawn Weights'!$K$14), 2)</f>
        <v>65.59</v>
      </c>
      <c r="E23" s="280">
        <v>37.0</v>
      </c>
      <c r="F23" s="280"/>
      <c r="G23" s="280"/>
      <c r="H23" s="280">
        <v>70.0</v>
      </c>
      <c r="I23" s="280"/>
      <c r="J23" s="280"/>
      <c r="K23" s="280"/>
      <c r="L23" s="280"/>
      <c r="M23" s="280">
        <v>175.0</v>
      </c>
      <c r="N23" s="280"/>
      <c r="O23" s="280"/>
      <c r="P23" s="280"/>
      <c r="Q23" s="280"/>
      <c r="R23" s="290"/>
      <c r="S23" s="281"/>
      <c r="T23" s="222"/>
      <c r="U23" s="281"/>
      <c r="V23" s="281"/>
      <c r="W23" s="281"/>
      <c r="X23" s="281"/>
    </row>
    <row r="24">
      <c r="A24" s="281"/>
      <c r="B24" s="288" t="s">
        <v>668</v>
      </c>
      <c r="C24" s="280" t="s">
        <v>669</v>
      </c>
      <c r="D24" s="289">
        <f>ROUND((F24*'Pawn Weights'!$K$3)+(G24*'Pawn Weights'!$K$4)+(H24*'Pawn Weights'!$K$5)+(I24*'Pawn Weights'!$K$6)+(J24*'Pawn Weights'!$K$7)+(K24*'Pawn Weights'!$K$8)+(L24*'Pawn Weights'!$K$9)+(M24*'Pawn Weights'!$K$10)+(N24*'Pawn Weights'!$K$11)+(O24*'Pawn Weights'!$K$12)+(P24*'Pawn Weights'!$K$13)+(Q24*'Pawn Weights'!$K$14), 2)</f>
        <v>61.81</v>
      </c>
      <c r="E24" s="280">
        <v>18.0</v>
      </c>
      <c r="F24" s="280"/>
      <c r="G24" s="280"/>
      <c r="H24" s="280">
        <v>58.0</v>
      </c>
      <c r="I24" s="280">
        <v>28.0</v>
      </c>
      <c r="J24" s="280"/>
      <c r="K24" s="280"/>
      <c r="L24" s="280"/>
      <c r="M24" s="280"/>
      <c r="N24" s="280"/>
      <c r="O24" s="280"/>
      <c r="P24" s="280"/>
      <c r="Q24" s="280">
        <v>1.0</v>
      </c>
      <c r="R24" s="290" t="s">
        <v>660</v>
      </c>
      <c r="S24" s="281"/>
      <c r="T24" s="294" t="s">
        <v>670</v>
      </c>
      <c r="U24" s="281"/>
      <c r="V24" s="281"/>
      <c r="W24" s="281"/>
      <c r="X24" s="281"/>
    </row>
    <row r="25" ht="16.5" customHeight="1">
      <c r="A25" s="292" t="s">
        <v>671</v>
      </c>
      <c r="B25" s="288" t="s">
        <v>672</v>
      </c>
      <c r="C25" s="280" t="s">
        <v>673</v>
      </c>
      <c r="D25" s="289">
        <f>ROUND((F25*'Pawn Weights'!$K$3)+(G25*'Pawn Weights'!$K$4)+(H25*'Pawn Weights'!$K$5)+(I25*'Pawn Weights'!$K$6)+(J25*'Pawn Weights'!$K$7)+(K25*'Pawn Weights'!$K$8)+(L25*'Pawn Weights'!$K$9)+(M25*'Pawn Weights'!$K$10)+(N25*'Pawn Weights'!$K$11)+(O25*'Pawn Weights'!$K$12)+(P25*'Pawn Weights'!$K$13)+(Q25*'Pawn Weights'!$K$14), 2)</f>
        <v>60</v>
      </c>
      <c r="E25" s="280">
        <v>39.0</v>
      </c>
      <c r="F25" s="280"/>
      <c r="G25" s="280"/>
      <c r="H25" s="280">
        <v>58.0</v>
      </c>
      <c r="I25" s="280">
        <v>26.0</v>
      </c>
      <c r="J25" s="280"/>
      <c r="K25" s="280"/>
      <c r="L25" s="280"/>
      <c r="M25" s="281"/>
      <c r="N25" s="280"/>
      <c r="O25" s="280"/>
      <c r="P25" s="280">
        <v>1.0</v>
      </c>
      <c r="Q25" s="280"/>
      <c r="R25" s="290" t="s">
        <v>674</v>
      </c>
      <c r="S25" s="281"/>
      <c r="T25" s="294" t="s">
        <v>675</v>
      </c>
      <c r="U25" s="281"/>
      <c r="V25" s="281"/>
      <c r="W25" s="281"/>
      <c r="X25" s="281"/>
    </row>
    <row r="26" ht="16.5" customHeight="1">
      <c r="A26" s="292" t="s">
        <v>676</v>
      </c>
      <c r="B26" s="288" t="s">
        <v>677</v>
      </c>
      <c r="C26" s="280" t="s">
        <v>678</v>
      </c>
      <c r="D26" s="289">
        <f>ROUND((F26*'Pawn Weights'!$K$3)+(G26*'Pawn Weights'!$K$4)+(H26*'Pawn Weights'!$K$5)+(I26*'Pawn Weights'!$K$6)+(J26*'Pawn Weights'!$K$7)+(K26*'Pawn Weights'!$K$8)+(L26*'Pawn Weights'!$K$9)+(M26*'Pawn Weights'!$K$10)+(N26*'Pawn Weights'!$K$11)+(O26*'Pawn Weights'!$K$12)+(P26*'Pawn Weights'!$K$13)+(Q26*'Pawn Weights'!$K$14)+17.82, 2)</f>
        <v>58.9</v>
      </c>
      <c r="E26" s="280">
        <v>19.0</v>
      </c>
      <c r="F26" s="280"/>
      <c r="G26" s="280">
        <v>18.0</v>
      </c>
      <c r="H26" s="280">
        <v>64.0</v>
      </c>
      <c r="I26" s="280"/>
      <c r="J26" s="280"/>
      <c r="K26" s="280"/>
      <c r="L26" s="280"/>
      <c r="M26" s="281"/>
      <c r="N26" s="280"/>
      <c r="O26" s="280"/>
      <c r="P26" s="280"/>
      <c r="Q26" s="280"/>
      <c r="R26" s="290"/>
      <c r="S26" s="281"/>
      <c r="T26" s="294" t="s">
        <v>679</v>
      </c>
      <c r="U26" s="281"/>
      <c r="V26" s="281"/>
      <c r="W26" s="281"/>
      <c r="X26" s="281"/>
    </row>
    <row r="27">
      <c r="A27" s="281"/>
      <c r="B27" s="288" t="s">
        <v>680</v>
      </c>
      <c r="C27" s="280" t="s">
        <v>681</v>
      </c>
      <c r="D27" s="289">
        <f>ROUND((F27*'Pawn Weights'!$K$3)+(G27*'Pawn Weights'!$K$4)+(H27*'Pawn Weights'!$K$5)+(I27*'Pawn Weights'!$K$6)+(J27*'Pawn Weights'!$K$7)+(K27*'Pawn Weights'!$K$8)+(L27*'Pawn Weights'!$K$9)+(M27*'Pawn Weights'!$K$10)+(N27*'Pawn Weights'!$K$11)+(O27*'Pawn Weights'!$K$12)+(P27*'Pawn Weights'!$K$13)+(Q27*'Pawn Weights'!$K$14), 2)</f>
        <v>52.91</v>
      </c>
      <c r="E27" s="280">
        <v>24.0</v>
      </c>
      <c r="F27" s="280">
        <v>32.0</v>
      </c>
      <c r="G27" s="280"/>
      <c r="H27" s="280"/>
      <c r="I27" s="280">
        <v>23.0</v>
      </c>
      <c r="J27" s="280"/>
      <c r="K27" s="280"/>
      <c r="L27" s="280"/>
      <c r="M27" s="280"/>
      <c r="N27" s="280"/>
      <c r="O27" s="280"/>
      <c r="P27" s="280"/>
      <c r="Q27" s="280"/>
      <c r="R27" s="290"/>
      <c r="S27" s="281"/>
      <c r="T27" s="222"/>
      <c r="U27" s="281"/>
      <c r="V27" s="281"/>
      <c r="W27" s="281"/>
      <c r="X27" s="281"/>
    </row>
    <row r="28">
      <c r="A28" s="281"/>
      <c r="B28" s="288" t="s">
        <v>682</v>
      </c>
      <c r="C28" s="280" t="s">
        <v>683</v>
      </c>
      <c r="D28" s="289">
        <f>ROUND((F28*'Pawn Weights'!$K$3)+(G28*'Pawn Weights'!$K$4)+(H28*'Pawn Weights'!$K$5)+(I28*'Pawn Weights'!$K$6)+(J28*'Pawn Weights'!$K$7)+(K28*'Pawn Weights'!$K$8)+(L28*'Pawn Weights'!$K$9)+(M28*'Pawn Weights'!$K$10)+(N28*'Pawn Weights'!$K$11)+(O28*'Pawn Weights'!$K$12)+(P28*'Pawn Weights'!$K$13)+(Q28*'Pawn Weights'!$K$14), 2)</f>
        <v>50</v>
      </c>
      <c r="E28" s="280">
        <v>24.0</v>
      </c>
      <c r="F28" s="280"/>
      <c r="G28" s="280"/>
      <c r="H28" s="280">
        <v>64.0</v>
      </c>
      <c r="I28" s="280">
        <v>23.0</v>
      </c>
      <c r="J28" s="280"/>
      <c r="K28" s="280"/>
      <c r="L28" s="280"/>
      <c r="M28" s="281"/>
      <c r="N28" s="280"/>
      <c r="O28" s="280"/>
      <c r="P28" s="280"/>
      <c r="Q28" s="280"/>
      <c r="R28" s="290"/>
      <c r="S28" s="281"/>
      <c r="T28" s="294"/>
      <c r="U28" s="281"/>
      <c r="V28" s="281"/>
      <c r="W28" s="281"/>
      <c r="X28" s="281"/>
    </row>
    <row r="29" ht="16.5" customHeight="1">
      <c r="A29" s="281"/>
      <c r="B29" s="288" t="s">
        <v>684</v>
      </c>
      <c r="C29" s="280" t="s">
        <v>685</v>
      </c>
      <c r="D29" s="289">
        <f>ROUND((F29*'Pawn Weights'!$K$3)+(G29*'Pawn Weights'!$K$4)+(H29*'Pawn Weights'!$K$5)+(I29*'Pawn Weights'!$K$6)+(J29*'Pawn Weights'!$K$7)+(K29*'Pawn Weights'!$K$8)+(L29*'Pawn Weights'!$K$9)+(M29*'Pawn Weights'!$K$10)+(N29*'Pawn Weights'!$K$11)+(O29*'Pawn Weights'!$K$12)+(P29*'Pawn Weights'!$K$13)+(Q29*'Pawn Weights'!$K$14), 2)</f>
        <v>49.8</v>
      </c>
      <c r="E29" s="280">
        <v>26.0</v>
      </c>
      <c r="F29" s="280"/>
      <c r="G29" s="280">
        <v>27.0</v>
      </c>
      <c r="H29" s="280">
        <v>70.0</v>
      </c>
      <c r="I29" s="280"/>
      <c r="J29" s="280"/>
      <c r="K29" s="280"/>
      <c r="L29" s="280"/>
      <c r="M29" s="281"/>
      <c r="N29" s="280"/>
      <c r="O29" s="280"/>
      <c r="P29" s="280"/>
      <c r="Q29" s="280"/>
      <c r="R29" s="290"/>
      <c r="S29" s="281"/>
      <c r="T29" s="222"/>
      <c r="U29" s="281"/>
      <c r="V29" s="281"/>
      <c r="W29" s="281"/>
      <c r="X29" s="281"/>
    </row>
    <row r="30" ht="16.5" customHeight="1">
      <c r="A30" s="295"/>
      <c r="B30" s="296" t="s">
        <v>686</v>
      </c>
      <c r="C30" s="297" t="s">
        <v>687</v>
      </c>
      <c r="D30" s="289">
        <f>ROUND((F30*'Pawn Weights'!$K$3)+(G30*'Pawn Weights'!$K$4)+(H30*'Pawn Weights'!$K$5)+(I30*'Pawn Weights'!$K$6)+(J30*'Pawn Weights'!$K$7)+(K30*'Pawn Weights'!$K$8)+(L30*'Pawn Weights'!$K$9)+(M30*'Pawn Weights'!$K$10)+(N30*'Pawn Weights'!$K$11)+(O30*'Pawn Weights'!$K$12)+(P30*'Pawn Weights'!$K$13)+(Q30*'Pawn Weights'!$K$14), 2)</f>
        <v>42.85</v>
      </c>
      <c r="E30" s="298">
        <v>18.0</v>
      </c>
      <c r="F30" s="297"/>
      <c r="G30" s="298">
        <v>20.0</v>
      </c>
      <c r="H30" s="298">
        <v>42.0</v>
      </c>
      <c r="I30" s="297"/>
      <c r="J30" s="298">
        <v>18.0</v>
      </c>
      <c r="K30" s="297"/>
      <c r="L30" s="297"/>
      <c r="M30" s="137"/>
      <c r="N30" s="297"/>
      <c r="O30" s="297"/>
      <c r="P30" s="297"/>
      <c r="Q30" s="297"/>
      <c r="R30" s="295"/>
      <c r="S30" s="137"/>
      <c r="T30" s="299"/>
      <c r="U30" s="137"/>
      <c r="V30" s="137"/>
      <c r="W30" s="137"/>
      <c r="X30" s="137"/>
      <c r="Y30" s="137"/>
      <c r="Z30" s="137"/>
    </row>
    <row r="31" ht="16.5" customHeight="1">
      <c r="A31" s="292" t="s">
        <v>676</v>
      </c>
      <c r="B31" s="288" t="s">
        <v>688</v>
      </c>
      <c r="C31" s="280" t="s">
        <v>678</v>
      </c>
      <c r="D31" s="289">
        <f>ROUND((F31*'Pawn Weights'!$K$3)+(G31*'Pawn Weights'!$K$4)+(H31*'Pawn Weights'!$K$5)+(I31*'Pawn Weights'!$K$6)+(J31*'Pawn Weights'!$K$7)+(K31*'Pawn Weights'!$K$8)+(L31*'Pawn Weights'!$K$9)+(M31*'Pawn Weights'!$K$10)+(N31*'Pawn Weights'!$K$11)+(O31*'Pawn Weights'!$K$12)+(P31*'Pawn Weights'!$K$13)+(Q31*'Pawn Weights'!$K$14), 2)</f>
        <v>41.08</v>
      </c>
      <c r="E31" s="280">
        <v>19.0</v>
      </c>
      <c r="F31" s="280"/>
      <c r="G31" s="280">
        <v>18.0</v>
      </c>
      <c r="H31" s="280">
        <v>64.0</v>
      </c>
      <c r="I31" s="280"/>
      <c r="J31" s="280"/>
      <c r="K31" s="280"/>
      <c r="L31" s="280"/>
      <c r="M31" s="281"/>
      <c r="N31" s="280"/>
      <c r="O31" s="280"/>
      <c r="P31" s="280"/>
      <c r="Q31" s="280"/>
      <c r="R31" s="290"/>
      <c r="S31" s="281"/>
      <c r="T31" s="294" t="s">
        <v>689</v>
      </c>
      <c r="U31" s="281"/>
      <c r="V31" s="281"/>
      <c r="W31" s="281"/>
      <c r="X31" s="281"/>
    </row>
    <row r="32" ht="16.5" customHeight="1">
      <c r="A32" s="281"/>
      <c r="B32" s="288" t="s">
        <v>690</v>
      </c>
      <c r="C32" s="280" t="s">
        <v>691</v>
      </c>
      <c r="D32" s="289">
        <f>ROUND((F32*'Pawn Weights'!$K$3)+(G32*'Pawn Weights'!$K$4)+(H32*'Pawn Weights'!$K$5)+(I32*'Pawn Weights'!$K$6)+(J32*'Pawn Weights'!$K$7)+(K32*'Pawn Weights'!$K$8)+(L32*'Pawn Weights'!$K$9)+(M32*'Pawn Weights'!$K$10)+(N32*'Pawn Weights'!$K$11)+(O32*'Pawn Weights'!$K$12)+(P32*'Pawn Weights'!$K$13)+(Q32*'Pawn Weights'!$K$14), 2)</f>
        <v>40.06</v>
      </c>
      <c r="E32" s="280"/>
      <c r="F32" s="280"/>
      <c r="G32" s="280"/>
      <c r="H32" s="280"/>
      <c r="I32" s="280"/>
      <c r="J32" s="280">
        <v>22.0</v>
      </c>
      <c r="K32" s="280"/>
      <c r="L32" s="280">
        <v>21.0</v>
      </c>
      <c r="M32" s="281"/>
      <c r="N32" s="280"/>
      <c r="O32" s="280"/>
      <c r="P32" s="280"/>
      <c r="Q32" s="280"/>
      <c r="R32" s="290"/>
      <c r="S32" s="281"/>
      <c r="T32" s="294"/>
      <c r="U32" s="281"/>
      <c r="X32" s="281"/>
    </row>
    <row r="33">
      <c r="A33" s="272" t="s">
        <v>692</v>
      </c>
      <c r="B33" s="281"/>
      <c r="C33" s="281"/>
      <c r="D33" s="293"/>
      <c r="E33" s="281"/>
      <c r="F33" s="281"/>
      <c r="G33" s="281"/>
      <c r="H33" s="281"/>
      <c r="I33" s="281"/>
      <c r="J33" s="281"/>
      <c r="K33" s="281"/>
      <c r="L33" s="281"/>
      <c r="M33" s="281"/>
      <c r="N33" s="281"/>
      <c r="O33" s="281"/>
      <c r="P33" s="281"/>
      <c r="Q33" s="281"/>
      <c r="R33" s="282"/>
      <c r="S33" s="281"/>
      <c r="T33" s="285"/>
      <c r="U33" s="281"/>
      <c r="V33" s="281"/>
      <c r="W33" s="281"/>
    </row>
    <row r="34">
      <c r="A34" s="300" t="s">
        <v>693</v>
      </c>
      <c r="B34" s="288" t="s">
        <v>694</v>
      </c>
      <c r="C34" s="280" t="s">
        <v>669</v>
      </c>
      <c r="D34" s="289">
        <f>ROUND((F34*'Pawn Weights'!$K$3)+(G34*'Pawn Weights'!$K$4)+(H34*'Pawn Weights'!$K$5)+(I34*'Pawn Weights'!$K$6)+(J34*'Pawn Weights'!$K$7)+(K34*'Pawn Weights'!$K$8)+(L34*'Pawn Weights'!$K$9)+(M34*'Pawn Weights'!$K$10)+(N34*'Pawn Weights'!$K$11)+(O34*'Pawn Weights'!$K$12)+(P34*'Pawn Weights'!$K$13)+(Q34*'Pawn Weights'!$K$14), 2)</f>
        <v>121.75</v>
      </c>
      <c r="E34" s="280">
        <v>38.0</v>
      </c>
      <c r="F34" s="280">
        <v>38.0</v>
      </c>
      <c r="G34" s="280">
        <v>38.0</v>
      </c>
      <c r="H34" s="280"/>
      <c r="I34" s="280">
        <v>20.0</v>
      </c>
      <c r="J34" s="280"/>
      <c r="K34" s="280"/>
      <c r="L34" s="280"/>
      <c r="M34" s="280">
        <v>105.0</v>
      </c>
      <c r="N34" s="280"/>
      <c r="O34" s="280">
        <v>1.0</v>
      </c>
      <c r="P34" s="280"/>
      <c r="Q34" s="280">
        <v>1.0</v>
      </c>
      <c r="R34" s="290" t="s">
        <v>695</v>
      </c>
      <c r="S34" s="281"/>
      <c r="T34" s="291"/>
      <c r="U34" s="281"/>
      <c r="V34" s="281"/>
      <c r="W34" s="281"/>
    </row>
    <row r="35">
      <c r="A35" s="301"/>
      <c r="B35" s="288" t="s">
        <v>696</v>
      </c>
      <c r="C35" s="280" t="s">
        <v>669</v>
      </c>
      <c r="D35" s="289">
        <f>ROUND((F35*'Pawn Weights'!$K$3)+(G35*'Pawn Weights'!$K$4)+(H35*'Pawn Weights'!$K$5)+(I35*'Pawn Weights'!$K$6)+(J35*'Pawn Weights'!$K$7)+(K35*'Pawn Weights'!$K$8)+(L35*'Pawn Weights'!$K$9)+(M35*'Pawn Weights'!$K$10)+(N35*'Pawn Weights'!$K$11)+(O35*'Pawn Weights'!$K$12)+(P35*'Pawn Weights'!$K$13)+(Q35*'Pawn Weights'!$K$14)+1.998, 2)</f>
        <v>119.27</v>
      </c>
      <c r="E35" s="280">
        <v>40.0</v>
      </c>
      <c r="F35" s="280"/>
      <c r="G35" s="280">
        <v>40.0</v>
      </c>
      <c r="H35" s="280">
        <v>90.0</v>
      </c>
      <c r="I35" s="280"/>
      <c r="J35" s="280"/>
      <c r="K35" s="280"/>
      <c r="L35" s="280"/>
      <c r="M35" s="280">
        <v>154.0</v>
      </c>
      <c r="N35" s="280"/>
      <c r="O35" s="280">
        <v>2.0</v>
      </c>
      <c r="P35" s="280"/>
      <c r="Q35" s="280"/>
      <c r="R35" s="290" t="s">
        <v>695</v>
      </c>
      <c r="S35" s="281"/>
      <c r="T35" s="291"/>
      <c r="U35" s="281"/>
      <c r="V35" s="281"/>
      <c r="W35" s="281"/>
      <c r="X35" s="281"/>
    </row>
    <row r="36">
      <c r="A36" s="300" t="s">
        <v>693</v>
      </c>
      <c r="B36" s="288" t="s">
        <v>697</v>
      </c>
      <c r="C36" s="280" t="s">
        <v>669</v>
      </c>
      <c r="D36" s="289">
        <f>ROUND((F36*'Pawn Weights'!$K$3)+(G36*'Pawn Weights'!$K$4)+(H36*'Pawn Weights'!$K$5)+(I36*'Pawn Weights'!$K$6)+(J36*'Pawn Weights'!$K$7)+(K36*'Pawn Weights'!$K$8)+(L36*'Pawn Weights'!$K$9)+(M36*'Pawn Weights'!$K$10)+(N36*'Pawn Weights'!$K$11)+(O36*'Pawn Weights'!$K$12)+(P36*'Pawn Weights'!$K$13)+(Q36*'Pawn Weights'!$K$14)-10+9.545+3, 2)</f>
        <v>117.6</v>
      </c>
      <c r="E36" s="280">
        <v>48.0</v>
      </c>
      <c r="F36" s="280">
        <v>45.0</v>
      </c>
      <c r="G36" s="280"/>
      <c r="H36" s="280"/>
      <c r="I36" s="280">
        <v>30.0</v>
      </c>
      <c r="J36" s="280"/>
      <c r="K36" s="280">
        <v>27.0</v>
      </c>
      <c r="L36" s="280"/>
      <c r="M36" s="281"/>
      <c r="N36" s="280"/>
      <c r="O36" s="280">
        <v>1.0</v>
      </c>
      <c r="P36" s="280">
        <v>1.0</v>
      </c>
      <c r="Q36" s="280"/>
      <c r="R36" s="290" t="s">
        <v>698</v>
      </c>
      <c r="S36" s="281"/>
      <c r="T36" s="291"/>
      <c r="U36" s="281"/>
      <c r="V36" s="281"/>
      <c r="W36" s="281"/>
    </row>
    <row r="37">
      <c r="A37" s="301"/>
      <c r="B37" s="288" t="s">
        <v>699</v>
      </c>
      <c r="C37" s="280" t="s">
        <v>669</v>
      </c>
      <c r="D37" s="289">
        <f>ROUND((F37*'Pawn Weights'!$K$3)+(G37*'Pawn Weights'!$K$4)+(H37*'Pawn Weights'!$K$5)+(I37*'Pawn Weights'!$K$6)+(J37*'Pawn Weights'!$K$7)+(K37*'Pawn Weights'!$K$8)+(L37*'Pawn Weights'!$K$9)+(M37*'Pawn Weights'!$K$10)+(N37*'Pawn Weights'!$K$11)+(O37*'Pawn Weights'!$K$12)+(P37*'Pawn Weights'!$K$13)+(Q37*'Pawn Weights'!$K$14), 2)</f>
        <v>103.28</v>
      </c>
      <c r="E37" s="280">
        <v>45.0</v>
      </c>
      <c r="F37" s="280"/>
      <c r="G37" s="280">
        <v>33.0</v>
      </c>
      <c r="H37" s="280">
        <v>90.0</v>
      </c>
      <c r="I37" s="280"/>
      <c r="J37" s="280">
        <v>26.0</v>
      </c>
      <c r="K37" s="280">
        <v>30.0</v>
      </c>
      <c r="L37" s="280"/>
      <c r="M37" s="280"/>
      <c r="N37" s="280"/>
      <c r="O37" s="280"/>
      <c r="P37" s="280"/>
      <c r="Q37" s="280"/>
      <c r="R37" s="290"/>
      <c r="S37" s="281"/>
      <c r="T37" s="291"/>
      <c r="U37" s="281"/>
      <c r="V37" s="281"/>
      <c r="W37" s="281"/>
    </row>
    <row r="38">
      <c r="A38" s="301"/>
      <c r="B38" s="288" t="s">
        <v>700</v>
      </c>
      <c r="C38" s="280" t="s">
        <v>701</v>
      </c>
      <c r="D38" s="289">
        <f>ROUND((F38*'Pawn Weights'!$K$3)+(G38*'Pawn Weights'!$K$4)+(H38*'Pawn Weights'!$K$5)+(I38*'Pawn Weights'!$K$6)+(J38*'Pawn Weights'!$K$7)+(K38*'Pawn Weights'!$K$8)+(L38*'Pawn Weights'!$K$9)+(M38*'Pawn Weights'!$K$10)+(N38*'Pawn Weights'!$K$11)+(O38*'Pawn Weights'!$K$12)+(P38*'Pawn Weights'!$K$13)+(Q38*'Pawn Weights'!$K$14), 2)</f>
        <v>102.54</v>
      </c>
      <c r="E38" s="280">
        <v>34.0</v>
      </c>
      <c r="F38" s="280">
        <v>39.0</v>
      </c>
      <c r="G38" s="280">
        <v>39.0</v>
      </c>
      <c r="H38" s="280"/>
      <c r="I38" s="280"/>
      <c r="J38" s="280"/>
      <c r="K38" s="280"/>
      <c r="L38" s="280"/>
      <c r="M38" s="280">
        <v>91.0</v>
      </c>
      <c r="N38" s="280"/>
      <c r="O38" s="280"/>
      <c r="P38" s="280">
        <v>1.0</v>
      </c>
      <c r="Q38" s="280">
        <v>1.0</v>
      </c>
      <c r="R38" s="290" t="s">
        <v>702</v>
      </c>
      <c r="S38" s="281"/>
      <c r="T38" s="291"/>
      <c r="U38" s="281"/>
      <c r="V38" s="281"/>
      <c r="W38" s="281"/>
    </row>
    <row r="39">
      <c r="A39" s="301" t="s">
        <v>635</v>
      </c>
      <c r="B39" s="288" t="s">
        <v>703</v>
      </c>
      <c r="C39" s="280" t="s">
        <v>637</v>
      </c>
      <c r="D39" s="289">
        <f>ROUND((F39*'Pawn Weights'!$K$3)+(G39*'Pawn Weights'!$K$4)+(H39*'Pawn Weights'!$K$5)+(I39*'Pawn Weights'!$K$6)+(J39*'Pawn Weights'!$K$7)+(K39*'Pawn Weights'!$K$8)+(L39*'Pawn Weights'!$K$9)+(M39*'Pawn Weights'!$K$10)+(N39*'Pawn Weights'!$K$11)+(O39*'Pawn Weights'!$K$12)+(P39*'Pawn Weights'!$K$13)+(Q39*'Pawn Weights'!$K$14)-10+9.4545+2.727, 2)</f>
        <v>92</v>
      </c>
      <c r="E39" s="280">
        <v>64.0</v>
      </c>
      <c r="F39" s="280">
        <v>38.0</v>
      </c>
      <c r="G39" s="280"/>
      <c r="H39" s="280"/>
      <c r="I39" s="280">
        <v>35.0</v>
      </c>
      <c r="J39" s="280"/>
      <c r="K39" s="280"/>
      <c r="L39" s="280"/>
      <c r="M39" s="281"/>
      <c r="N39" s="280"/>
      <c r="O39" s="280">
        <v>1.0</v>
      </c>
      <c r="P39" s="280">
        <v>1.0</v>
      </c>
      <c r="Q39" s="280"/>
      <c r="R39" s="290" t="s">
        <v>702</v>
      </c>
      <c r="S39" s="281"/>
      <c r="T39" s="291" t="s">
        <v>704</v>
      </c>
      <c r="U39" s="281"/>
      <c r="V39" s="281"/>
      <c r="W39" s="281"/>
    </row>
    <row r="40" ht="12.75" customHeight="1">
      <c r="A40" s="301"/>
      <c r="B40" s="288" t="s">
        <v>705</v>
      </c>
      <c r="C40" s="280" t="s">
        <v>706</v>
      </c>
      <c r="D40" s="289">
        <f>ROUND((F40*'Pawn Weights'!$K$3)+(G40*'Pawn Weights'!$K$4)+(H40*'Pawn Weights'!$K$5)+(I40*'Pawn Weights'!$K$6)+(J40*'Pawn Weights'!$K$7)+(K40*'Pawn Weights'!$K$8)+(L40*'Pawn Weights'!$K$9)+(M40*'Pawn Weights'!$K$10)+(N40*'Pawn Weights'!$K$11)+(O40*'Pawn Weights'!$K$12)+(P40*'Pawn Weights'!$K$13)+(Q40*'Pawn Weights'!$K$14), 2)</f>
        <v>89.43</v>
      </c>
      <c r="E40" s="280">
        <v>34.0</v>
      </c>
      <c r="F40" s="280">
        <v>47.0</v>
      </c>
      <c r="G40" s="280"/>
      <c r="H40" s="280"/>
      <c r="I40" s="280">
        <v>32.0</v>
      </c>
      <c r="J40" s="280">
        <v>23.0</v>
      </c>
      <c r="K40" s="280"/>
      <c r="L40" s="280"/>
      <c r="M40" s="281"/>
      <c r="N40" s="280"/>
      <c r="O40" s="280"/>
      <c r="P40" s="280"/>
      <c r="Q40" s="280"/>
      <c r="R40" s="290"/>
      <c r="S40" s="281"/>
      <c r="T40" s="291"/>
      <c r="U40" s="281"/>
      <c r="V40" s="281"/>
      <c r="W40" s="281"/>
    </row>
    <row r="41">
      <c r="A41" s="301"/>
      <c r="B41" s="288" t="s">
        <v>707</v>
      </c>
      <c r="C41" s="280" t="s">
        <v>708</v>
      </c>
      <c r="D41" s="289">
        <f>ROUND((F41*'Pawn Weights'!$K$3)+(G41*'Pawn Weights'!$K$4)+(H41*'Pawn Weights'!$K$5)+(I41*'Pawn Weights'!$K$6)+(J41*'Pawn Weights'!$K$7)+(K41*'Pawn Weights'!$K$8)+(L41*'Pawn Weights'!$K$9)+(M41*'Pawn Weights'!$K$10)+(N41*'Pawn Weights'!$K$11)+(O41*'Pawn Weights'!$K$12)+(P41*'Pawn Weights'!$K$13)+(Q41*'Pawn Weights'!$K$14)-20+19.09+3, 2)</f>
        <v>88.63</v>
      </c>
      <c r="E41" s="280"/>
      <c r="F41" s="280">
        <v>39.0</v>
      </c>
      <c r="G41" s="280"/>
      <c r="H41" s="280"/>
      <c r="I41" s="280">
        <v>22.0</v>
      </c>
      <c r="J41" s="280">
        <v>13.0</v>
      </c>
      <c r="K41" s="280"/>
      <c r="L41" s="280"/>
      <c r="M41" s="281"/>
      <c r="N41" s="280"/>
      <c r="O41" s="280"/>
      <c r="P41" s="280">
        <v>2.0</v>
      </c>
      <c r="Q41" s="280"/>
      <c r="R41" s="290" t="s">
        <v>698</v>
      </c>
      <c r="S41" s="281"/>
      <c r="T41" s="291"/>
      <c r="U41" s="281"/>
      <c r="V41" s="281"/>
      <c r="W41" s="281"/>
    </row>
    <row r="42" ht="12.0" customHeight="1">
      <c r="A42" s="301"/>
      <c r="B42" s="288" t="s">
        <v>709</v>
      </c>
      <c r="C42" s="280" t="s">
        <v>710</v>
      </c>
      <c r="D42" s="289">
        <f>ROUND((F42*'Pawn Weights'!$K$3)+(G42*'Pawn Weights'!$K$4)+(H42*'Pawn Weights'!$K$5)+(I42*'Pawn Weights'!$K$6)+(J42*'Pawn Weights'!$K$7)+(K42*'Pawn Weights'!$K$8)+(L42*'Pawn Weights'!$K$9)+(M42*'Pawn Weights'!$K$10)+(N42*'Pawn Weights'!$K$11)+(O42*'Pawn Weights'!$K$12)+(P42*'Pawn Weights'!$K$13)+(Q42*'Pawn Weights'!$K$14)+1.332, 2)</f>
        <v>88.12</v>
      </c>
      <c r="E42" s="280">
        <v>28.0</v>
      </c>
      <c r="F42" s="280"/>
      <c r="G42" s="280">
        <v>33.0</v>
      </c>
      <c r="H42" s="280">
        <v>60.0</v>
      </c>
      <c r="I42" s="280">
        <v>16.0</v>
      </c>
      <c r="J42" s="280"/>
      <c r="K42" s="280"/>
      <c r="L42" s="280">
        <v>10.0</v>
      </c>
      <c r="M42" s="281"/>
      <c r="N42" s="280"/>
      <c r="O42" s="280">
        <v>1.0</v>
      </c>
      <c r="P42" s="280"/>
      <c r="Q42" s="280"/>
      <c r="R42" s="290" t="s">
        <v>711</v>
      </c>
      <c r="S42" s="281"/>
      <c r="T42" s="291" t="s">
        <v>712</v>
      </c>
      <c r="U42" s="281"/>
      <c r="V42" s="281"/>
      <c r="W42" s="281"/>
    </row>
    <row r="43">
      <c r="A43" s="301" t="s">
        <v>627</v>
      </c>
      <c r="B43" s="288" t="s">
        <v>713</v>
      </c>
      <c r="C43" s="280" t="s">
        <v>714</v>
      </c>
      <c r="D43" s="289">
        <f>ROUND((F43*'Pawn Weights'!$K$3)+(G43*'Pawn Weights'!$K$4)+(H43*'Pawn Weights'!$K$5)+(I43*'Pawn Weights'!$K$6)+(J43*'Pawn Weights'!$K$7)+(K43*'Pawn Weights'!$K$8)+(L43*'Pawn Weights'!$K$9)+(M43*'Pawn Weights'!$K$10)+(N43*'Pawn Weights'!$K$11)+(O43*'Pawn Weights'!$K$12)+(P43*'Pawn Weights'!$K$13)+(Q43*'Pawn Weights'!$K$14), 2)</f>
        <v>87.56</v>
      </c>
      <c r="E43" s="280">
        <v>29.0</v>
      </c>
      <c r="F43" s="280">
        <v>47.0</v>
      </c>
      <c r="G43" s="280"/>
      <c r="H43" s="280"/>
      <c r="I43" s="280"/>
      <c r="J43" s="280">
        <v>19.0</v>
      </c>
      <c r="K43" s="280">
        <v>35.0</v>
      </c>
      <c r="L43" s="280"/>
      <c r="M43" s="281"/>
      <c r="N43" s="280"/>
      <c r="O43" s="280"/>
      <c r="P43" s="280"/>
      <c r="Q43" s="280"/>
      <c r="R43" s="290"/>
      <c r="S43" s="281"/>
      <c r="T43" s="291"/>
      <c r="U43" s="281"/>
      <c r="V43" s="281"/>
      <c r="W43" s="281"/>
    </row>
    <row r="44">
      <c r="A44" s="301"/>
      <c r="B44" s="288" t="s">
        <v>715</v>
      </c>
      <c r="C44" s="280" t="s">
        <v>716</v>
      </c>
      <c r="D44" s="289">
        <f>ROUND((F44*'Pawn Weights'!$K$3)+(G44*'Pawn Weights'!$K$4)+(H44*'Pawn Weights'!$K$5)+(I44*'Pawn Weights'!$K$6)+(J44*'Pawn Weights'!$K$7)+(K44*'Pawn Weights'!$K$8)+(L44*'Pawn Weights'!$K$9)+(M44*'Pawn Weights'!$K$10)+(N44*'Pawn Weights'!$K$11)+(O44*'Pawn Weights'!$K$12)+(P44*'Pawn Weights'!$K$13)+(Q44*'Pawn Weights'!$K$14), 2)</f>
        <v>85.48</v>
      </c>
      <c r="E44" s="280">
        <v>34.0</v>
      </c>
      <c r="F44" s="280"/>
      <c r="G44" s="280"/>
      <c r="H44" s="280">
        <v>94.0</v>
      </c>
      <c r="I44" s="280">
        <v>33.0</v>
      </c>
      <c r="J44" s="280">
        <v>22.0</v>
      </c>
      <c r="K44" s="280"/>
      <c r="L44" s="280"/>
      <c r="M44" s="281"/>
      <c r="N44" s="280"/>
      <c r="O44" s="280"/>
      <c r="P44" s="280"/>
      <c r="Q44" s="280"/>
      <c r="R44" s="290"/>
      <c r="S44" s="281"/>
      <c r="T44" s="291"/>
      <c r="U44" s="281"/>
      <c r="V44" s="281"/>
      <c r="W44" s="281"/>
    </row>
    <row r="45">
      <c r="A45" s="301"/>
      <c r="B45" s="288" t="s">
        <v>717</v>
      </c>
      <c r="C45" s="280" t="s">
        <v>718</v>
      </c>
      <c r="D45" s="289">
        <f>ROUND((F45*'Pawn Weights'!$K$3)+(G45*'Pawn Weights'!$K$4)+(H45*'Pawn Weights'!$K$5)+(I45*'Pawn Weights'!$K$6)+(J45*'Pawn Weights'!$K$7)+(K45*'Pawn Weights'!$K$8)+(L45*'Pawn Weights'!$K$9)+(M45*'Pawn Weights'!$K$10)+(N45*'Pawn Weights'!$K$11)+(O45*'Pawn Weights'!$K$12)+(P45*'Pawn Weights'!$K$13)+(Q45*'Pawn Weights'!$K$14), 2)</f>
        <v>85.06</v>
      </c>
      <c r="E45" s="280">
        <v>33.0</v>
      </c>
      <c r="F45" s="280">
        <v>42.0</v>
      </c>
      <c r="G45" s="280"/>
      <c r="H45" s="280"/>
      <c r="I45" s="280"/>
      <c r="J45" s="280">
        <v>23.0</v>
      </c>
      <c r="K45" s="280"/>
      <c r="L45" s="280"/>
      <c r="M45" s="280">
        <v>154.0</v>
      </c>
      <c r="N45" s="280"/>
      <c r="O45" s="280"/>
      <c r="P45" s="280"/>
      <c r="Q45" s="280"/>
      <c r="R45" s="290"/>
      <c r="S45" s="281"/>
      <c r="T45" s="291"/>
      <c r="U45" s="281"/>
      <c r="V45" s="281"/>
      <c r="W45" s="281"/>
    </row>
    <row r="46">
      <c r="A46" s="301" t="s">
        <v>647</v>
      </c>
      <c r="B46" s="288" t="s">
        <v>719</v>
      </c>
      <c r="C46" s="280" t="s">
        <v>720</v>
      </c>
      <c r="D46" s="289">
        <f>ROUND((F46*'Pawn Weights'!$K$3)+(G46*'Pawn Weights'!$K$4)+(H46*'Pawn Weights'!$K$5)+(I46*'Pawn Weights'!$K$6)+(J46*'Pawn Weights'!$K$7)+(K46*'Pawn Weights'!$K$8)+(L46*'Pawn Weights'!$K$9)+(M46*'Pawn Weights'!$K$10)+(N46*'Pawn Weights'!$K$11)+(O46*'Pawn Weights'!$K$12)+(P46*'Pawn Weights'!$K$13)+(Q46*'Pawn Weights'!$K$14), 2)</f>
        <v>84.62</v>
      </c>
      <c r="E46" s="280">
        <v>38.0</v>
      </c>
      <c r="F46" s="280">
        <v>36.0</v>
      </c>
      <c r="G46" s="280"/>
      <c r="H46" s="280"/>
      <c r="I46" s="280">
        <v>20.0</v>
      </c>
      <c r="J46" s="280">
        <v>18.0</v>
      </c>
      <c r="K46" s="280"/>
      <c r="L46" s="280"/>
      <c r="M46" s="281"/>
      <c r="N46" s="280"/>
      <c r="O46" s="280"/>
      <c r="P46" s="280">
        <v>1.0</v>
      </c>
      <c r="Q46" s="280">
        <v>1.0</v>
      </c>
      <c r="R46" s="290" t="s">
        <v>698</v>
      </c>
      <c r="S46" s="281"/>
      <c r="T46" s="291"/>
      <c r="U46" s="281"/>
      <c r="V46" s="281"/>
      <c r="W46" s="281"/>
      <c r="X46" s="281"/>
    </row>
    <row r="47">
      <c r="A47" s="301"/>
      <c r="B47" s="288" t="s">
        <v>721</v>
      </c>
      <c r="C47" s="280" t="s">
        <v>710</v>
      </c>
      <c r="D47" s="289">
        <f>ROUND((F47*'Pawn Weights'!$K$3)+(G47*'Pawn Weights'!$K$4)+(H47*'Pawn Weights'!$K$5)+(I47*'Pawn Weights'!$K$6)+(J47*'Pawn Weights'!$K$7)+(K47*'Pawn Weights'!$K$8)+(L47*'Pawn Weights'!$K$9)+(M47*'Pawn Weights'!$K$10)+(N47*'Pawn Weights'!$K$11)+(O47*'Pawn Weights'!$K$12)+(P47*'Pawn Weights'!$K$13)+(Q47*'Pawn Weights'!$K$14), 2)</f>
        <v>84.36</v>
      </c>
      <c r="E47" s="280">
        <v>21.0</v>
      </c>
      <c r="F47" s="280">
        <v>38.0</v>
      </c>
      <c r="G47" s="280"/>
      <c r="H47" s="280"/>
      <c r="I47" s="280">
        <v>29.0</v>
      </c>
      <c r="J47" s="280"/>
      <c r="K47" s="280"/>
      <c r="L47" s="280"/>
      <c r="M47" s="281"/>
      <c r="N47" s="280"/>
      <c r="O47" s="280">
        <v>1.0</v>
      </c>
      <c r="P47" s="280"/>
      <c r="Q47" s="280">
        <v>1.0</v>
      </c>
      <c r="R47" s="290" t="s">
        <v>702</v>
      </c>
      <c r="S47" s="281"/>
      <c r="T47" s="291"/>
      <c r="U47" s="281"/>
      <c r="V47" s="281"/>
      <c r="W47" s="281"/>
    </row>
    <row r="48">
      <c r="A48" s="301"/>
      <c r="B48" s="288" t="s">
        <v>722</v>
      </c>
      <c r="C48" s="280" t="s">
        <v>723</v>
      </c>
      <c r="D48" s="289">
        <f>ROUND((F48*'Pawn Weights'!$K$3)+(G48*'Pawn Weights'!$K$4)+(H48*'Pawn Weights'!$K$5)+(I48*'Pawn Weights'!$K$6)+(J48*'Pawn Weights'!$K$7)+(K48*'Pawn Weights'!$K$8)+(L48*'Pawn Weights'!$K$9)+(M48*'Pawn Weights'!$K$10)+(N48*'Pawn Weights'!$K$11)+(O48*'Pawn Weights'!$K$12)+(P48*'Pawn Weights'!$K$13)+(Q48*'Pawn Weights'!$K$14), 2)</f>
        <v>83.48</v>
      </c>
      <c r="E48" s="280">
        <v>37.0</v>
      </c>
      <c r="F48" s="280"/>
      <c r="G48" s="280">
        <v>38.0</v>
      </c>
      <c r="H48" s="280">
        <v>76.0</v>
      </c>
      <c r="I48" s="280">
        <v>26.0</v>
      </c>
      <c r="J48" s="280"/>
      <c r="K48" s="280"/>
      <c r="L48" s="280"/>
      <c r="M48" s="281"/>
      <c r="N48" s="280"/>
      <c r="O48" s="280"/>
      <c r="P48" s="280"/>
      <c r="Q48" s="280"/>
      <c r="R48" s="290"/>
      <c r="S48" s="281"/>
      <c r="T48" s="291"/>
      <c r="U48" s="281"/>
      <c r="V48" s="281"/>
      <c r="W48" s="281"/>
      <c r="X48" s="281"/>
    </row>
    <row r="49">
      <c r="A49" s="272" t="s">
        <v>724</v>
      </c>
      <c r="B49" s="281"/>
      <c r="C49" s="281"/>
      <c r="D49" s="293"/>
      <c r="E49" s="281"/>
      <c r="F49" s="281"/>
      <c r="G49" s="281"/>
      <c r="H49" s="281"/>
      <c r="I49" s="281"/>
      <c r="J49" s="281"/>
      <c r="K49" s="281"/>
      <c r="L49" s="281"/>
      <c r="M49" s="281"/>
      <c r="N49" s="281"/>
      <c r="O49" s="281"/>
      <c r="P49" s="281"/>
      <c r="Q49" s="281"/>
      <c r="R49" s="282"/>
      <c r="S49" s="281"/>
      <c r="T49" s="285"/>
      <c r="U49" s="281"/>
      <c r="V49" s="281"/>
      <c r="W49" s="281"/>
    </row>
    <row r="50">
      <c r="A50" s="281"/>
      <c r="B50" s="302" t="s">
        <v>725</v>
      </c>
      <c r="C50" s="280" t="s">
        <v>621</v>
      </c>
      <c r="D50" s="289">
        <f>ROUND((F50*'Pawn Weights'!$K$3)+(G50*'Pawn Weights'!$K$4)+(H50*'Pawn Weights'!$K$5)+(I50*'Pawn Weights'!$K$6)+(J50*'Pawn Weights'!$K$7)+(K50*'Pawn Weights'!$K$8)+(L50*'Pawn Weights'!$K$9)+(M50*'Pawn Weights'!$K$10)+(N50*'Pawn Weights'!$K$11)+(O50*'Pawn Weights'!$K$12)+(P50*'Pawn Weights'!$K$13)+(Q50*'Pawn Weights'!$K$14)-10+9.545+1.818, 2)</f>
        <v>88.41</v>
      </c>
      <c r="E50" s="280">
        <v>25.0</v>
      </c>
      <c r="F50" s="280"/>
      <c r="G50" s="280">
        <v>26.0</v>
      </c>
      <c r="H50" s="280">
        <v>72.0</v>
      </c>
      <c r="I50" s="280"/>
      <c r="J50" s="280"/>
      <c r="K50" s="280">
        <v>32.0</v>
      </c>
      <c r="L50" s="280"/>
      <c r="M50" s="280"/>
      <c r="N50" s="280"/>
      <c r="O50" s="280"/>
      <c r="P50" s="280">
        <v>1.0</v>
      </c>
      <c r="Q50" s="280"/>
      <c r="R50" s="290" t="s">
        <v>660</v>
      </c>
      <c r="S50" s="281"/>
      <c r="T50" s="222"/>
      <c r="U50" s="281"/>
      <c r="V50" s="281"/>
      <c r="W50" s="281"/>
      <c r="X50" s="281"/>
    </row>
    <row r="51">
      <c r="A51" s="281"/>
      <c r="B51" s="302" t="s">
        <v>726</v>
      </c>
      <c r="C51" s="280" t="s">
        <v>727</v>
      </c>
      <c r="D51" s="289">
        <f>ROUND((F51*'Pawn Weights'!$K$3)+(G51*'Pawn Weights'!$K$4)+(H51*'Pawn Weights'!$K$5)+(I51*'Pawn Weights'!$K$6)+(J51*'Pawn Weights'!$K$7)+(K51*'Pawn Weights'!$K$8)+(L51*'Pawn Weights'!$K$9)+(M51*'Pawn Weights'!$K$10)+(N51*'Pawn Weights'!$K$11)+(O51*'Pawn Weights'!$K$12)+(P51*'Pawn Weights'!$K$13)+(Q51*'Pawn Weights'!$K$14), 2)</f>
        <v>64.4</v>
      </c>
      <c r="E51" s="280">
        <v>24.0</v>
      </c>
      <c r="F51" s="280"/>
      <c r="G51" s="280"/>
      <c r="H51" s="280">
        <v>72.0</v>
      </c>
      <c r="I51" s="280">
        <v>24.0</v>
      </c>
      <c r="J51" s="280">
        <v>17.0</v>
      </c>
      <c r="K51" s="280"/>
      <c r="L51" s="280"/>
      <c r="M51" s="280"/>
      <c r="N51" s="280"/>
      <c r="O51" s="280"/>
      <c r="P51" s="280"/>
      <c r="Q51" s="280"/>
      <c r="R51" s="290"/>
      <c r="S51" s="281"/>
      <c r="T51" s="222"/>
      <c r="U51" s="281"/>
      <c r="V51" s="281"/>
      <c r="W51" s="281"/>
      <c r="X51" s="281"/>
    </row>
    <row r="52">
      <c r="A52" s="281"/>
      <c r="B52" s="302" t="s">
        <v>728</v>
      </c>
      <c r="C52" s="280" t="s">
        <v>718</v>
      </c>
      <c r="D52" s="289">
        <f>ROUND((F52*'Pawn Weights'!$K$3)+(G52*'Pawn Weights'!$K$4)+(H52*'Pawn Weights'!$K$5)+(I52*'Pawn Weights'!$K$6)+(J52*'Pawn Weights'!$K$7)+(K52*'Pawn Weights'!$K$8)+(L52*'Pawn Weights'!$K$9)+(M52*'Pawn Weights'!$K$10)+(N52*'Pawn Weights'!$K$11)+(O52*'Pawn Weights'!$K$12)+(P52*'Pawn Weights'!$K$13)+(Q52*'Pawn Weights'!$K$14), 2)</f>
        <v>60.7</v>
      </c>
      <c r="E52" s="280">
        <v>34.0</v>
      </c>
      <c r="F52" s="280"/>
      <c r="G52" s="280"/>
      <c r="H52" s="280">
        <v>46.0</v>
      </c>
      <c r="I52" s="280">
        <v>20.0</v>
      </c>
      <c r="J52" s="280"/>
      <c r="K52" s="280"/>
      <c r="L52" s="280"/>
      <c r="M52" s="280">
        <v>112.0</v>
      </c>
      <c r="N52" s="280"/>
      <c r="O52" s="280"/>
      <c r="P52" s="280"/>
      <c r="Q52" s="280"/>
      <c r="R52" s="290"/>
      <c r="S52" s="281"/>
      <c r="T52" s="294" t="s">
        <v>704</v>
      </c>
      <c r="U52" s="281"/>
      <c r="V52" s="281"/>
      <c r="W52" s="281"/>
      <c r="X52" s="281"/>
    </row>
    <row r="53">
      <c r="A53" s="292" t="s">
        <v>627</v>
      </c>
      <c r="B53" s="288" t="s">
        <v>729</v>
      </c>
      <c r="C53" s="280" t="s">
        <v>730</v>
      </c>
      <c r="D53" s="289">
        <f>ROUND((F53*'Pawn Weights'!$K$3)+(G53*'Pawn Weights'!$K$4)+(H53*'Pawn Weights'!$K$5)+(I53*'Pawn Weights'!$K$6)+(J53*'Pawn Weights'!$K$7)+(K53*'Pawn Weights'!$K$8)+(L53*'Pawn Weights'!$K$9)+(M53*'Pawn Weights'!$K$10)+(N53*'Pawn Weights'!$K$11)+(O53*'Pawn Weights'!$K$12)+(P53*'Pawn Weights'!$K$13)+(Q53*'Pawn Weights'!$K$14)+1.16, 2)</f>
        <v>55.7</v>
      </c>
      <c r="E53" s="280"/>
      <c r="F53" s="280"/>
      <c r="G53" s="280"/>
      <c r="H53" s="280">
        <v>52.0</v>
      </c>
      <c r="I53" s="280">
        <v>23.0</v>
      </c>
      <c r="J53" s="280"/>
      <c r="K53" s="280"/>
      <c r="L53" s="280"/>
      <c r="M53" s="281"/>
      <c r="N53" s="280"/>
      <c r="O53" s="280">
        <v>1.0</v>
      </c>
      <c r="P53" s="280"/>
      <c r="Q53" s="280"/>
      <c r="R53" s="290" t="s">
        <v>731</v>
      </c>
      <c r="S53" s="281"/>
      <c r="T53" s="222"/>
      <c r="U53" s="281"/>
      <c r="V53" s="281"/>
      <c r="W53" s="281"/>
      <c r="X53" s="281"/>
    </row>
    <row r="54">
      <c r="A54" s="303"/>
      <c r="B54" s="302" t="s">
        <v>732</v>
      </c>
      <c r="C54" s="154" t="s">
        <v>733</v>
      </c>
      <c r="D54" s="289">
        <f>ROUND((F54*'Pawn Weights'!$K$3)+(G54*'Pawn Weights'!$K$4)+(H54*'Pawn Weights'!$K$5)+(I54*'Pawn Weights'!$K$6)+(J54*'Pawn Weights'!$K$7)+(K54*'Pawn Weights'!$K$8)+(L54*'Pawn Weights'!$K$9)+(M54*'Pawn Weights'!$K$10)+(N54*'Pawn Weights'!$K$11)+(O54*'Pawn Weights'!$K$12)+(P54*'Pawn Weights'!$K$13)+(Q54*'Pawn Weights'!$K$14), 2)</f>
        <v>55.33</v>
      </c>
      <c r="E54" s="280">
        <v>22.0</v>
      </c>
      <c r="F54" s="280"/>
      <c r="G54" s="280">
        <v>20.0</v>
      </c>
      <c r="H54" s="280">
        <v>46.0</v>
      </c>
      <c r="I54" s="280"/>
      <c r="J54" s="280"/>
      <c r="K54" s="280">
        <v>25.0</v>
      </c>
      <c r="L54" s="280"/>
      <c r="M54" s="281"/>
      <c r="N54" s="280"/>
      <c r="O54" s="280"/>
      <c r="P54" s="280"/>
      <c r="Q54" s="280"/>
      <c r="R54" s="290"/>
      <c r="S54" s="281"/>
      <c r="T54" s="291"/>
      <c r="U54" s="281"/>
      <c r="V54" s="281"/>
      <c r="W54" s="281"/>
      <c r="X54" s="304"/>
      <c r="Y54" s="304"/>
      <c r="Z54" s="304"/>
    </row>
    <row r="55">
      <c r="A55" s="303" t="s">
        <v>627</v>
      </c>
      <c r="B55" s="302" t="s">
        <v>734</v>
      </c>
      <c r="C55" s="154" t="s">
        <v>735</v>
      </c>
      <c r="D55" s="289">
        <f>ROUND((F55*'Pawn Weights'!$K$3)+(G55*'Pawn Weights'!$K$4)+(H55*'Pawn Weights'!$K$5)+(I55*'Pawn Weights'!$K$6)+(J55*'Pawn Weights'!$K$7)+(K55*'Pawn Weights'!$K$8)+(L55*'Pawn Weights'!$K$9)+(M55*'Pawn Weights'!$K$10)+(N55*'Pawn Weights'!$K$11)+(O55*'Pawn Weights'!$K$12)+(P55*'Pawn Weights'!$K$13)+(Q55*'Pawn Weights'!$K$14), 2)</f>
        <v>54.82</v>
      </c>
      <c r="E55" s="280">
        <v>25.0</v>
      </c>
      <c r="F55" s="280">
        <v>23.0</v>
      </c>
      <c r="G55" s="280"/>
      <c r="H55" s="280"/>
      <c r="I55" s="280">
        <v>24.0</v>
      </c>
      <c r="J55" s="280"/>
      <c r="K55" s="280"/>
      <c r="L55" s="280"/>
      <c r="M55" s="281"/>
      <c r="N55" s="280"/>
      <c r="O55" s="280"/>
      <c r="P55" s="280"/>
      <c r="Q55" s="280">
        <v>1.0</v>
      </c>
      <c r="R55" s="290" t="s">
        <v>736</v>
      </c>
      <c r="S55" s="281"/>
      <c r="T55" s="291" t="s">
        <v>737</v>
      </c>
      <c r="U55" s="281"/>
      <c r="V55" s="281"/>
      <c r="W55" s="281"/>
      <c r="X55" s="304"/>
      <c r="Y55" s="304"/>
      <c r="Z55" s="304"/>
    </row>
    <row r="56">
      <c r="A56" s="281"/>
      <c r="B56" s="302" t="s">
        <v>738</v>
      </c>
      <c r="C56" s="280" t="s">
        <v>739</v>
      </c>
      <c r="D56" s="289">
        <f>ROUND((F56*'Pawn Weights'!$K$3)+(G56*'Pawn Weights'!$K$4)+(H56*'Pawn Weights'!$K$5)+(I56*'Pawn Weights'!$K$6)+(J56*'Pawn Weights'!$K$7)+(K56*'Pawn Weights'!$K$8)+(L56*'Pawn Weights'!$K$9)+(M56*'Pawn Weights'!$K$10)+(N56*'Pawn Weights'!$K$11)+(O56*'Pawn Weights'!$K$12)+(P56*'Pawn Weights'!$K$13)+(Q56*'Pawn Weights'!$K$14), 2)</f>
        <v>54.54</v>
      </c>
      <c r="E56" s="280"/>
      <c r="F56" s="280"/>
      <c r="G56" s="280"/>
      <c r="H56" s="280">
        <v>60.0</v>
      </c>
      <c r="I56" s="280">
        <v>30.0</v>
      </c>
      <c r="J56" s="280"/>
      <c r="K56" s="280"/>
      <c r="L56" s="280"/>
      <c r="M56" s="280"/>
      <c r="N56" s="280"/>
      <c r="O56" s="280"/>
      <c r="P56" s="280"/>
      <c r="Q56" s="280"/>
      <c r="R56" s="290"/>
      <c r="S56" s="281"/>
      <c r="T56" s="222"/>
      <c r="U56" s="281"/>
      <c r="V56" s="281"/>
      <c r="W56" s="281"/>
      <c r="X56" s="281"/>
    </row>
    <row r="57" ht="1.5" customHeight="1">
      <c r="A57" s="281"/>
      <c r="B57" s="302" t="s">
        <v>740</v>
      </c>
      <c r="C57" s="280" t="s">
        <v>741</v>
      </c>
      <c r="D57" s="289">
        <f>ROUND((F57*'Pawn Weights'!$K$3)+(G57*'Pawn Weights'!$K$4)+(H57*'Pawn Weights'!$K$5)+(I57*'Pawn Weights'!$K$6)+(J57*'Pawn Weights'!$K$7)+(K57*'Pawn Weights'!$K$8)+(L57*'Pawn Weights'!$K$9)+(M57*'Pawn Weights'!$K$10)+(N57*'Pawn Weights'!$K$11)+(O57*'Pawn Weights'!$K$12)+(P57*'Pawn Weights'!$K$13)+(Q57*'Pawn Weights'!$K$14), 2)</f>
        <v>49.55</v>
      </c>
      <c r="E57" s="280">
        <v>28.0</v>
      </c>
      <c r="F57" s="280"/>
      <c r="G57" s="280">
        <v>28.0</v>
      </c>
      <c r="H57" s="280">
        <v>68.0</v>
      </c>
      <c r="I57" s="280"/>
      <c r="J57" s="280"/>
      <c r="K57" s="280"/>
      <c r="L57" s="280"/>
      <c r="M57" s="280"/>
      <c r="N57" s="280"/>
      <c r="O57" s="280"/>
      <c r="P57" s="280"/>
      <c r="Q57" s="280"/>
      <c r="R57" s="290"/>
      <c r="S57" s="281"/>
      <c r="T57" s="222"/>
      <c r="U57" s="281"/>
      <c r="V57" s="281"/>
      <c r="W57" s="281"/>
      <c r="X57" s="281"/>
    </row>
    <row r="58">
      <c r="A58" s="272" t="s">
        <v>742</v>
      </c>
      <c r="B58" s="281"/>
      <c r="C58" s="281"/>
      <c r="D58" s="293"/>
      <c r="E58" s="281"/>
      <c r="F58" s="281"/>
      <c r="G58" s="281"/>
      <c r="H58" s="281"/>
      <c r="I58" s="281"/>
      <c r="J58" s="281"/>
      <c r="K58" s="281"/>
      <c r="L58" s="281"/>
      <c r="M58" s="281"/>
      <c r="N58" s="281"/>
      <c r="O58" s="281"/>
      <c r="P58" s="281"/>
      <c r="Q58" s="281"/>
      <c r="R58" s="282"/>
      <c r="S58" s="281"/>
      <c r="T58" s="222"/>
      <c r="U58" s="281"/>
      <c r="V58" s="281"/>
      <c r="W58" s="281"/>
    </row>
    <row r="59" ht="5.25" customHeight="1">
      <c r="A59" s="300" t="s">
        <v>693</v>
      </c>
      <c r="B59" s="305" t="s">
        <v>743</v>
      </c>
      <c r="C59" s="280" t="s">
        <v>744</v>
      </c>
      <c r="D59" s="289">
        <f>ROUND((F59*'Pawn Weights'!$K$3)+(G59*'Pawn Weights'!$K$4)+(H59*'Pawn Weights'!$K$5)+(I59*'Pawn Weights'!$K$6)+(J59*'Pawn Weights'!$K$7)+(K59*'Pawn Weights'!$K$8)+(L59*'Pawn Weights'!$K$9)+(M59*'Pawn Weights'!$K$10)+(N59*'Pawn Weights'!$K$11)+(O59*'Pawn Weights'!$K$12)+(P59*'Pawn Weights'!$K$13)+(Q59*'Pawn Weights'!$K$14), 2)</f>
        <v>187.58</v>
      </c>
      <c r="E59" s="280">
        <v>45.0</v>
      </c>
      <c r="F59" s="280"/>
      <c r="G59" s="280">
        <v>42.0</v>
      </c>
      <c r="H59" s="280">
        <v>120.0</v>
      </c>
      <c r="I59" s="280">
        <v>38.0</v>
      </c>
      <c r="J59" s="280"/>
      <c r="K59" s="280"/>
      <c r="L59" s="280"/>
      <c r="M59" s="280">
        <v>210.0</v>
      </c>
      <c r="N59" s="280"/>
      <c r="O59" s="280">
        <v>1.0</v>
      </c>
      <c r="P59" s="280">
        <v>1.0</v>
      </c>
      <c r="Q59" s="280">
        <v>1.0</v>
      </c>
      <c r="R59" s="290" t="s">
        <v>745</v>
      </c>
      <c r="S59" s="281"/>
      <c r="T59" s="291"/>
      <c r="U59" s="281"/>
      <c r="V59" s="281"/>
      <c r="W59" s="281"/>
    </row>
    <row r="60">
      <c r="A60" s="292" t="s">
        <v>627</v>
      </c>
      <c r="B60" s="305" t="s">
        <v>746</v>
      </c>
      <c r="C60" s="280" t="s">
        <v>747</v>
      </c>
      <c r="D60" s="289">
        <f>ROUND((F60*'Pawn Weights'!$K$3)+(G60*'Pawn Weights'!$K$4)+(H60*'Pawn Weights'!$K$5)+(I60*'Pawn Weights'!$K$6)+(J60*'Pawn Weights'!$K$7)+(K60*'Pawn Weights'!$K$8)+(L60*'Pawn Weights'!$K$9)+(M60*'Pawn Weights'!$K$10)+(N60*'Pawn Weights'!$K$11)+(O60*'Pawn Weights'!$K$12)+(P60*'Pawn Weights'!$K$13)+(Q60*'Pawn Weights'!$K$14)+3.636, 2)</f>
        <v>185.95</v>
      </c>
      <c r="E60" s="280">
        <v>55.0</v>
      </c>
      <c r="F60" s="280">
        <v>61.0</v>
      </c>
      <c r="G60" s="280"/>
      <c r="H60" s="280"/>
      <c r="I60" s="280">
        <v>41.0</v>
      </c>
      <c r="J60" s="280"/>
      <c r="K60" s="280"/>
      <c r="L60" s="280"/>
      <c r="M60" s="280">
        <v>280.0</v>
      </c>
      <c r="N60" s="280"/>
      <c r="O60" s="280">
        <v>3.0</v>
      </c>
      <c r="P60" s="280"/>
      <c r="Q60" s="280"/>
      <c r="R60" s="290" t="s">
        <v>624</v>
      </c>
      <c r="S60" s="281"/>
      <c r="T60" s="291" t="s">
        <v>748</v>
      </c>
      <c r="U60" s="281"/>
      <c r="V60" s="281"/>
      <c r="W60" s="281"/>
    </row>
    <row r="61">
      <c r="A61" s="292"/>
      <c r="B61" s="305" t="s">
        <v>749</v>
      </c>
      <c r="C61" s="280" t="s">
        <v>750</v>
      </c>
      <c r="D61" s="289">
        <f>ROUND((F61*'Pawn Weights'!$K$3)+(G61*'Pawn Weights'!$K$4)+(H61*'Pawn Weights'!$K$5)+(I61*'Pawn Weights'!$K$6)+(J61*'Pawn Weights'!$K$7)+(K61*'Pawn Weights'!$K$8)+(L61*'Pawn Weights'!$K$9)+(M61*'Pawn Weights'!$K$10)+(N61*'Pawn Weights'!$K$11)+(O61*'Pawn Weights'!$K$12)+(P61*'Pawn Weights'!$K$13)+(Q61*'Pawn Weights'!$K$14)-10+9.545+3.636, 2)</f>
        <v>165.17</v>
      </c>
      <c r="E61" s="280">
        <v>45.0</v>
      </c>
      <c r="F61" s="280"/>
      <c r="G61" s="280">
        <v>42.0</v>
      </c>
      <c r="H61" s="280">
        <v>120.0</v>
      </c>
      <c r="I61" s="280"/>
      <c r="J61" s="280">
        <v>30.0</v>
      </c>
      <c r="K61" s="280">
        <v>38.0</v>
      </c>
      <c r="L61" s="280"/>
      <c r="M61" s="281"/>
      <c r="N61" s="280"/>
      <c r="O61" s="280">
        <v>2.0</v>
      </c>
      <c r="P61" s="280">
        <v>1.0</v>
      </c>
      <c r="Q61" s="280"/>
      <c r="R61" s="290" t="s">
        <v>745</v>
      </c>
      <c r="S61" s="281"/>
      <c r="T61" s="306" t="s">
        <v>748</v>
      </c>
      <c r="U61" s="281"/>
      <c r="V61" s="281"/>
      <c r="W61" s="281"/>
    </row>
    <row r="62">
      <c r="A62" s="301"/>
      <c r="B62" s="305" t="s">
        <v>751</v>
      </c>
      <c r="C62" s="280" t="s">
        <v>744</v>
      </c>
      <c r="D62" s="289">
        <f>ROUND((F62*'Pawn Weights'!$K$3)+(G62*'Pawn Weights'!$K$4)+(H62*'Pawn Weights'!$K$5)+(I62*'Pawn Weights'!$K$6)+(J62*'Pawn Weights'!$K$7)+(K62*'Pawn Weights'!$K$8)+(L62*'Pawn Weights'!$K$9)+(M62*'Pawn Weights'!$K$10)+(N62*'Pawn Weights'!$K$11)+(O62*'Pawn Weights'!$K$12)+(P62*'Pawn Weights'!$K$13)+(Q62*'Pawn Weights'!$K$14)-20+19.9+4, 2)</f>
        <v>159.18</v>
      </c>
      <c r="E62" s="280">
        <v>67.0</v>
      </c>
      <c r="F62" s="280">
        <v>61.0</v>
      </c>
      <c r="G62" s="280"/>
      <c r="H62" s="280"/>
      <c r="I62" s="280">
        <v>41.0</v>
      </c>
      <c r="J62" s="280"/>
      <c r="K62" s="280">
        <v>32.0</v>
      </c>
      <c r="L62" s="280"/>
      <c r="M62" s="281"/>
      <c r="N62" s="280"/>
      <c r="O62" s="280">
        <v>1.0</v>
      </c>
      <c r="P62" s="280">
        <v>2.0</v>
      </c>
      <c r="Q62" s="280"/>
      <c r="R62" s="290" t="s">
        <v>643</v>
      </c>
      <c r="S62" s="281"/>
      <c r="T62" s="291"/>
      <c r="U62" s="281"/>
      <c r="V62" s="281"/>
      <c r="W62" s="281"/>
    </row>
    <row r="63">
      <c r="A63" s="292"/>
      <c r="B63" s="305" t="s">
        <v>752</v>
      </c>
      <c r="C63" s="280" t="s">
        <v>744</v>
      </c>
      <c r="D63" s="289">
        <f>ROUND((F63*'Pawn Weights'!$K$3)+(G63*'Pawn Weights'!$K$4)+(H63*'Pawn Weights'!$K$5)+(I63*'Pawn Weights'!$K$6)+(J63*'Pawn Weights'!$K$7)+(K63*'Pawn Weights'!$K$8)+(L63*'Pawn Weights'!$K$9)+(M63*'Pawn Weights'!$K$10)+(N63*'Pawn Weights'!$K$11)+(O63*'Pawn Weights'!$K$12)+(P63*'Pawn Weights'!$K$13)+(Q63*'Pawn Weights'!$K$14), 2)</f>
        <v>149.13</v>
      </c>
      <c r="E63" s="280">
        <v>64.0</v>
      </c>
      <c r="F63" s="280">
        <v>52.0</v>
      </c>
      <c r="G63" s="280">
        <v>44.0</v>
      </c>
      <c r="H63" s="280"/>
      <c r="I63" s="280"/>
      <c r="J63" s="280"/>
      <c r="K63" s="280"/>
      <c r="L63" s="280"/>
      <c r="M63" s="280">
        <v>196.0</v>
      </c>
      <c r="N63" s="280"/>
      <c r="O63" s="280">
        <v>1.0</v>
      </c>
      <c r="P63" s="280">
        <v>1.0</v>
      </c>
      <c r="Q63" s="280">
        <v>1.0</v>
      </c>
      <c r="R63" s="290" t="s">
        <v>622</v>
      </c>
      <c r="S63" s="281"/>
      <c r="T63" s="291"/>
      <c r="U63" s="281"/>
      <c r="V63" s="281"/>
      <c r="W63" s="281"/>
    </row>
    <row r="64">
      <c r="A64" s="292" t="s">
        <v>627</v>
      </c>
      <c r="B64" s="305" t="s">
        <v>753</v>
      </c>
      <c r="C64" s="280" t="s">
        <v>750</v>
      </c>
      <c r="D64" s="289">
        <f>ROUND((F64*'Pawn Weights'!$K$3)+(G64*'Pawn Weights'!$K$4)+(H64*'Pawn Weights'!$K$5)+(I64*'Pawn Weights'!$K$6)+(J64*'Pawn Weights'!$K$7)+(K64*'Pawn Weights'!$K$8)+(L64*'Pawn Weights'!$K$9)+(M64*'Pawn Weights'!$K$10)+(N64*'Pawn Weights'!$K$11)+(O64*'Pawn Weights'!$K$12)+(P64*'Pawn Weights'!$K$13)+(Q64*'Pawn Weights'!$K$14)+3.636, 2)</f>
        <v>147.34</v>
      </c>
      <c r="E64" s="280">
        <v>43.0</v>
      </c>
      <c r="F64" s="280"/>
      <c r="G64" s="280">
        <v>44.0</v>
      </c>
      <c r="H64" s="280">
        <v>104.0</v>
      </c>
      <c r="I64" s="280"/>
      <c r="J64" s="280"/>
      <c r="K64" s="280">
        <v>44.0</v>
      </c>
      <c r="L64" s="280"/>
      <c r="M64" s="281"/>
      <c r="N64" s="280"/>
      <c r="O64" s="280">
        <v>3.0</v>
      </c>
      <c r="P64" s="280"/>
      <c r="Q64" s="280"/>
      <c r="R64" s="290" t="s">
        <v>745</v>
      </c>
      <c r="S64" s="281"/>
      <c r="T64" s="306" t="s">
        <v>748</v>
      </c>
      <c r="U64" s="281"/>
      <c r="V64" s="281"/>
      <c r="W64" s="281"/>
    </row>
    <row r="65">
      <c r="A65" s="292" t="s">
        <v>635</v>
      </c>
      <c r="B65" s="305" t="s">
        <v>754</v>
      </c>
      <c r="C65" s="280" t="s">
        <v>637</v>
      </c>
      <c r="D65" s="289">
        <f>ROUND((F65*'Pawn Weights'!$K$3)+(G65*'Pawn Weights'!$K$4)+(H65*'Pawn Weights'!$K$5)+(I65*'Pawn Weights'!$K$6)+(J65*'Pawn Weights'!$K$7)+(K65*'Pawn Weights'!$K$8)+(L65*'Pawn Weights'!$K$9)+(M65*'Pawn Weights'!$K$10)+(N65*'Pawn Weights'!$K$11)+(O65*'Pawn Weights'!$K$12)+(P65*'Pawn Weights'!$K$13)+(Q65*'Pawn Weights'!$K$14)-10+9.545+3.636, 2)</f>
        <v>145.74</v>
      </c>
      <c r="E65" s="280">
        <v>76.0</v>
      </c>
      <c r="F65" s="280">
        <v>45.0</v>
      </c>
      <c r="G65" s="280"/>
      <c r="H65" s="280"/>
      <c r="I65" s="280">
        <v>45.0</v>
      </c>
      <c r="J65" s="280">
        <v>18.0</v>
      </c>
      <c r="K65" s="280"/>
      <c r="L65" s="280"/>
      <c r="M65" s="280">
        <v>84.0</v>
      </c>
      <c r="N65" s="280"/>
      <c r="O65" s="280">
        <v>2.0</v>
      </c>
      <c r="P65" s="280">
        <v>1.0</v>
      </c>
      <c r="Q65" s="280"/>
      <c r="R65" s="290" t="s">
        <v>624</v>
      </c>
      <c r="S65" s="281"/>
      <c r="T65" s="291" t="s">
        <v>755</v>
      </c>
      <c r="U65" s="281"/>
      <c r="V65" s="281"/>
      <c r="W65" s="281"/>
    </row>
    <row r="66">
      <c r="A66" s="281"/>
      <c r="B66" s="305" t="s">
        <v>756</v>
      </c>
      <c r="C66" s="307" t="s">
        <v>744</v>
      </c>
      <c r="D66" s="289">
        <f>ROUND((F66*'Pawn Weights'!$K$3)+(G66*'Pawn Weights'!$K$4)+(H66*'Pawn Weights'!$K$5)+(I66*'Pawn Weights'!$K$6)+(J66*'Pawn Weights'!$K$7)+(K66*'Pawn Weights'!$K$8)+(L66*'Pawn Weights'!$K$9)+(M66*'Pawn Weights'!$K$10)+(N66*'Pawn Weights'!$K$11)+(O66*'Pawn Weights'!$K$12)+(P66*'Pawn Weights'!$K$13)+(Q66*'Pawn Weights'!$K$14), 2)</f>
        <v>143.7</v>
      </c>
      <c r="E66" s="280">
        <v>64.0</v>
      </c>
      <c r="F66" s="280"/>
      <c r="G66" s="280">
        <v>47.0</v>
      </c>
      <c r="H66" s="280">
        <v>104.0</v>
      </c>
      <c r="I66" s="280"/>
      <c r="J66" s="280"/>
      <c r="K66" s="280"/>
      <c r="L66" s="280"/>
      <c r="M66" s="280">
        <v>182.0</v>
      </c>
      <c r="N66" s="280"/>
      <c r="O66" s="280">
        <v>1.0</v>
      </c>
      <c r="P66" s="280">
        <v>1.0</v>
      </c>
      <c r="Q66" s="280">
        <v>1.0</v>
      </c>
      <c r="R66" s="290" t="s">
        <v>745</v>
      </c>
      <c r="S66" s="281"/>
      <c r="T66" s="291"/>
      <c r="U66" s="281"/>
      <c r="V66" s="281"/>
      <c r="W66" s="281"/>
    </row>
    <row r="67">
      <c r="A67" s="292" t="s">
        <v>640</v>
      </c>
      <c r="B67" s="305" t="s">
        <v>757</v>
      </c>
      <c r="C67" s="280" t="s">
        <v>632</v>
      </c>
      <c r="D67" s="289">
        <f>ROUND((F67*'Pawn Weights'!$K$3)+(G67*'Pawn Weights'!$K$4)+(H67*'Pawn Weights'!$K$5)+(I67*'Pawn Weights'!$K$6)+(J67*'Pawn Weights'!$K$7)+(K67*'Pawn Weights'!$K$8)+(L67*'Pawn Weights'!$K$9)+(M67*'Pawn Weights'!$K$10)+(N67*'Pawn Weights'!$K$11)+(O67*'Pawn Weights'!$K$12)+(P67*'Pawn Weights'!$K$13)+(Q67*'Pawn Weights'!$K$14), 2)</f>
        <v>139.24</v>
      </c>
      <c r="E67" s="280">
        <v>54.0</v>
      </c>
      <c r="F67" s="280">
        <v>53.0</v>
      </c>
      <c r="G67" s="280">
        <v>34.0</v>
      </c>
      <c r="H67" s="280"/>
      <c r="I67" s="280"/>
      <c r="J67" s="280">
        <v>16.0</v>
      </c>
      <c r="K67" s="280"/>
      <c r="L67" s="280"/>
      <c r="M67" s="280">
        <v>126.0</v>
      </c>
      <c r="N67" s="280"/>
      <c r="O67" s="280">
        <v>1.0</v>
      </c>
      <c r="P67" s="280"/>
      <c r="Q67" s="280">
        <v>2.0</v>
      </c>
      <c r="R67" s="290" t="s">
        <v>624</v>
      </c>
      <c r="S67" s="281"/>
      <c r="T67" s="291"/>
      <c r="U67" s="281"/>
      <c r="V67" s="281"/>
      <c r="W67" s="281"/>
    </row>
    <row r="68">
      <c r="A68" s="292"/>
      <c r="B68" s="305" t="s">
        <v>758</v>
      </c>
      <c r="C68" s="280" t="s">
        <v>642</v>
      </c>
      <c r="D68" s="289">
        <f>ROUND((F68*'Pawn Weights'!$K$3)+(G68*'Pawn Weights'!$K$4)+(H68*'Pawn Weights'!$K$5)+(I68*'Pawn Weights'!$K$6)+(J68*'Pawn Weights'!$K$7)+(K68*'Pawn Weights'!$K$8)+(L68*'Pawn Weights'!$K$9)+(M68*'Pawn Weights'!$K$10)+(N68*'Pawn Weights'!$K$11)+(O68*'Pawn Weights'!$K$12)+(P68*'Pawn Weights'!$K$13)+(Q68*'Pawn Weights'!$K$14), 2)</f>
        <v>136.81</v>
      </c>
      <c r="E68" s="280">
        <v>64.0</v>
      </c>
      <c r="F68" s="280"/>
      <c r="G68" s="280"/>
      <c r="H68" s="280">
        <v>106.0</v>
      </c>
      <c r="I68" s="280">
        <v>46.0</v>
      </c>
      <c r="J68" s="280">
        <v>29.0</v>
      </c>
      <c r="K68" s="280"/>
      <c r="L68" s="280"/>
      <c r="M68" s="281"/>
      <c r="N68" s="280"/>
      <c r="O68" s="280">
        <v>1.0</v>
      </c>
      <c r="P68" s="280">
        <v>1.0</v>
      </c>
      <c r="Q68" s="280">
        <v>1.0</v>
      </c>
      <c r="R68" s="290" t="s">
        <v>745</v>
      </c>
      <c r="S68" s="281"/>
      <c r="T68" s="291"/>
      <c r="U68" s="281"/>
      <c r="V68" s="281"/>
      <c r="W68" s="281"/>
    </row>
    <row r="69">
      <c r="A69" s="292" t="s">
        <v>644</v>
      </c>
      <c r="B69" s="305" t="s">
        <v>759</v>
      </c>
      <c r="C69" s="280" t="s">
        <v>646</v>
      </c>
      <c r="D69" s="289">
        <f>ROUND((F69*'Pawn Weights'!$K$3)+(G69*'Pawn Weights'!$K$4)+(H69*'Pawn Weights'!$K$5)+(I69*'Pawn Weights'!$K$6)+(J69*'Pawn Weights'!$K$7)+(K69*'Pawn Weights'!$K$8)+(L69*'Pawn Weights'!$K$9)+(M69*'Pawn Weights'!$K$10)+(N69*'Pawn Weights'!$K$11)+(O69*'Pawn Weights'!$K$12)+(P69*'Pawn Weights'!$K$13)+(Q69*'Pawn Weights'!$K$14)-10+9.545+3.636, 2)</f>
        <v>130.8</v>
      </c>
      <c r="E69" s="280">
        <v>67.0</v>
      </c>
      <c r="F69" s="280">
        <v>39.0</v>
      </c>
      <c r="G69" s="280"/>
      <c r="H69" s="280"/>
      <c r="I69" s="280">
        <v>39.0</v>
      </c>
      <c r="J69" s="280">
        <v>12.0</v>
      </c>
      <c r="K69" s="280"/>
      <c r="L69" s="280"/>
      <c r="M69" s="280">
        <v>84.0</v>
      </c>
      <c r="N69" s="280"/>
      <c r="O69" s="280">
        <v>2.0</v>
      </c>
      <c r="P69" s="280">
        <v>1.0</v>
      </c>
      <c r="Q69" s="280"/>
      <c r="R69" s="290" t="s">
        <v>624</v>
      </c>
      <c r="S69" s="281"/>
      <c r="T69" s="291" t="s">
        <v>755</v>
      </c>
      <c r="U69" s="281"/>
      <c r="V69" s="281"/>
      <c r="W69" s="281"/>
    </row>
    <row r="70" ht="16.5" customHeight="1">
      <c r="A70" s="292" t="s">
        <v>627</v>
      </c>
      <c r="B70" s="305" t="s">
        <v>760</v>
      </c>
      <c r="C70" s="280" t="s">
        <v>761</v>
      </c>
      <c r="D70" s="289">
        <f>ROUND((F70*'Pawn Weights'!$K$3)+(G70*'Pawn Weights'!$K$4)+(H70*'Pawn Weights'!$K$5)+(I70*'Pawn Weights'!$K$6)+(J70*'Pawn Weights'!$K$7)+(K70*'Pawn Weights'!$K$8)+(L70*'Pawn Weights'!$K$9)+(M70*'Pawn Weights'!$K$10)+(N70*'Pawn Weights'!$K$11)+(O70*'Pawn Weights'!$K$12)+(P70*'Pawn Weights'!$K$13)+(Q70*'Pawn Weights'!$K$14), 2)</f>
        <v>121.77</v>
      </c>
      <c r="E70" s="280">
        <v>56.0</v>
      </c>
      <c r="F70" s="280">
        <v>40.0</v>
      </c>
      <c r="G70" s="280"/>
      <c r="H70" s="280"/>
      <c r="I70" s="280">
        <v>41.0</v>
      </c>
      <c r="J70" s="280">
        <v>25.0</v>
      </c>
      <c r="K70" s="280"/>
      <c r="L70" s="280"/>
      <c r="M70" s="281"/>
      <c r="N70" s="280"/>
      <c r="O70" s="280"/>
      <c r="P70" s="280">
        <v>2.0</v>
      </c>
      <c r="Q70" s="280">
        <v>1.0</v>
      </c>
      <c r="R70" s="290" t="s">
        <v>624</v>
      </c>
      <c r="S70" s="281"/>
      <c r="T70" s="291" t="s">
        <v>762</v>
      </c>
      <c r="U70" s="281"/>
      <c r="V70" s="281"/>
      <c r="W70" s="281"/>
    </row>
    <row r="71">
      <c r="A71" s="292"/>
      <c r="B71" s="305" t="s">
        <v>763</v>
      </c>
      <c r="C71" s="280" t="s">
        <v>701</v>
      </c>
      <c r="D71" s="289">
        <f>ROUND((F71*'Pawn Weights'!$K$3)+(G71*'Pawn Weights'!$K$4)+(H71*'Pawn Weights'!$K$5)+(I71*'Pawn Weights'!$K$6)+(J71*'Pawn Weights'!$K$7)+(K71*'Pawn Weights'!$K$8)+(L71*'Pawn Weights'!$K$9)+(M71*'Pawn Weights'!$K$10)+(N71*'Pawn Weights'!$K$11)+(O71*'Pawn Weights'!$K$12)+(P71*'Pawn Weights'!$K$13)+(Q71*'Pawn Weights'!$K$14), 2)</f>
        <v>120.4</v>
      </c>
      <c r="E71" s="280">
        <v>45.0</v>
      </c>
      <c r="F71" s="280">
        <v>63.0</v>
      </c>
      <c r="G71" s="280"/>
      <c r="H71" s="280"/>
      <c r="I71" s="280">
        <v>44.0</v>
      </c>
      <c r="J71" s="280">
        <v>30.0</v>
      </c>
      <c r="K71" s="280"/>
      <c r="L71" s="280"/>
      <c r="M71" s="281"/>
      <c r="N71" s="280"/>
      <c r="O71" s="280"/>
      <c r="P71" s="280"/>
      <c r="Q71" s="280"/>
      <c r="R71" s="290"/>
      <c r="S71" s="281"/>
      <c r="T71" s="291"/>
      <c r="U71" s="281"/>
      <c r="V71" s="281"/>
      <c r="W71" s="281"/>
    </row>
    <row r="72">
      <c r="A72" s="281"/>
      <c r="B72" s="305" t="s">
        <v>764</v>
      </c>
      <c r="C72" s="307" t="s">
        <v>765</v>
      </c>
      <c r="D72" s="289">
        <f>ROUND((F72*'Pawn Weights'!$K$3)+(G72*'Pawn Weights'!$K$4)+(H72*'Pawn Weights'!$K$5)+(I72*'Pawn Weights'!$K$6)+(J72*'Pawn Weights'!$K$7)+(K72*'Pawn Weights'!$K$8)+(L72*'Pawn Weights'!$K$9)+(M72*'Pawn Weights'!$K$10)+(N72*'Pawn Weights'!$K$11)+(O72*'Pawn Weights'!$K$12)+(P72*'Pawn Weights'!$K$13)+(Q72*'Pawn Weights'!$K$14), 2)</f>
        <v>120.2</v>
      </c>
      <c r="E72" s="280">
        <v>24.0</v>
      </c>
      <c r="F72" s="280"/>
      <c r="G72" s="280"/>
      <c r="H72" s="280">
        <v>92.0</v>
      </c>
      <c r="I72" s="280">
        <v>36.0</v>
      </c>
      <c r="J72" s="280">
        <v>27.0</v>
      </c>
      <c r="K72" s="280"/>
      <c r="L72" s="280"/>
      <c r="M72" s="281"/>
      <c r="N72" s="280"/>
      <c r="O72" s="280"/>
      <c r="P72" s="280">
        <v>2.0</v>
      </c>
      <c r="Q72" s="280">
        <v>1.0</v>
      </c>
      <c r="R72" s="290" t="s">
        <v>745</v>
      </c>
      <c r="S72" s="281"/>
      <c r="T72" s="291"/>
      <c r="U72" s="281"/>
      <c r="V72" s="281"/>
      <c r="W72" s="281"/>
    </row>
    <row r="73">
      <c r="A73" s="292" t="s">
        <v>647</v>
      </c>
      <c r="B73" s="305" t="s">
        <v>766</v>
      </c>
      <c r="C73" s="280" t="s">
        <v>741</v>
      </c>
      <c r="D73" s="289">
        <f>ROUND((F73*'Pawn Weights'!$K$3)+(G73*'Pawn Weights'!$K$4)+(H73*'Pawn Weights'!$K$5)+(I73*'Pawn Weights'!$K$6)+(J73*'Pawn Weights'!$K$7)+(K73*'Pawn Weights'!$K$8)+(L73*'Pawn Weights'!$K$9)+(M73*'Pawn Weights'!$K$10)+(N73*'Pawn Weights'!$K$11)+(O73*'Pawn Weights'!$K$12)+(P73*'Pawn Weights'!$K$13)+(Q73*'Pawn Weights'!$K$14), 2)</f>
        <v>118.7</v>
      </c>
      <c r="E73" s="280">
        <v>48.0</v>
      </c>
      <c r="F73" s="280">
        <v>50.0</v>
      </c>
      <c r="G73" s="280"/>
      <c r="H73" s="280"/>
      <c r="I73" s="280">
        <v>33.0</v>
      </c>
      <c r="J73" s="280">
        <v>15.0</v>
      </c>
      <c r="K73" s="280"/>
      <c r="L73" s="280"/>
      <c r="M73" s="281"/>
      <c r="N73" s="280"/>
      <c r="O73" s="280">
        <v>1.0</v>
      </c>
      <c r="P73" s="280">
        <v>1.0</v>
      </c>
      <c r="Q73" s="280">
        <v>1.0</v>
      </c>
      <c r="R73" s="290" t="s">
        <v>643</v>
      </c>
      <c r="S73" s="281"/>
      <c r="T73" s="291"/>
      <c r="U73" s="281"/>
      <c r="V73" s="281"/>
      <c r="W73" s="281"/>
    </row>
    <row r="74">
      <c r="A74" s="292"/>
      <c r="B74" s="305" t="s">
        <v>767</v>
      </c>
      <c r="C74" s="280" t="s">
        <v>665</v>
      </c>
      <c r="D74" s="289">
        <f>ROUND((F74*'Pawn Weights'!$K$3)+(G74*'Pawn Weights'!$K$4)+(H74*'Pawn Weights'!$K$5)+(I74*'Pawn Weights'!$K$6)+(J74*'Pawn Weights'!$K$7)+(K74*'Pawn Weights'!$K$8)+(L74*'Pawn Weights'!$K$9)+(M74*'Pawn Weights'!$K$10)+(N74*'Pawn Weights'!$K$11)+(O74*'Pawn Weights'!$K$12)+(P74*'Pawn Weights'!$K$13)+(Q74*'Pawn Weights'!$K$14), 2)</f>
        <v>113.36</v>
      </c>
      <c r="E74" s="280">
        <v>52.0</v>
      </c>
      <c r="F74" s="280"/>
      <c r="G74" s="280">
        <v>36.0</v>
      </c>
      <c r="H74" s="280">
        <v>86.0</v>
      </c>
      <c r="I74" s="280"/>
      <c r="J74" s="280">
        <v>35.0</v>
      </c>
      <c r="K74" s="280"/>
      <c r="L74" s="280"/>
      <c r="M74" s="281"/>
      <c r="N74" s="280"/>
      <c r="O74" s="280">
        <v>1.0</v>
      </c>
      <c r="P74" s="280">
        <v>1.0</v>
      </c>
      <c r="Q74" s="280">
        <v>1.0</v>
      </c>
      <c r="R74" s="290" t="s">
        <v>745</v>
      </c>
      <c r="S74" s="281"/>
      <c r="T74" s="291"/>
      <c r="U74" s="281"/>
      <c r="V74" s="281"/>
      <c r="W74" s="281"/>
    </row>
    <row r="75">
      <c r="A75" s="292"/>
      <c r="B75" s="305" t="s">
        <v>768</v>
      </c>
      <c r="C75" s="280" t="s">
        <v>769</v>
      </c>
      <c r="D75" s="289">
        <f>ROUND((F75*'Pawn Weights'!$K$3)+(G75*'Pawn Weights'!$K$4)+(H75*'Pawn Weights'!$K$5)+(I75*'Pawn Weights'!$K$6)+(J75*'Pawn Weights'!$K$7)+(K75*'Pawn Weights'!$K$8)+(L75*'Pawn Weights'!$K$9)+(M75*'Pawn Weights'!$K$10)+(N75*'Pawn Weights'!$K$11)+(O75*'Pawn Weights'!$K$12)+(P75*'Pawn Weights'!$K$13)+(Q75*'Pawn Weights'!$K$14), 2)</f>
        <v>112.31</v>
      </c>
      <c r="E75" s="280">
        <v>46.0</v>
      </c>
      <c r="F75" s="280"/>
      <c r="G75" s="280">
        <v>45.0</v>
      </c>
      <c r="H75" s="280">
        <v>92.0</v>
      </c>
      <c r="I75" s="280"/>
      <c r="J75" s="280"/>
      <c r="K75" s="280"/>
      <c r="L75" s="280"/>
      <c r="M75" s="280">
        <v>210.0</v>
      </c>
      <c r="N75" s="280"/>
      <c r="O75" s="280"/>
      <c r="P75" s="280"/>
      <c r="Q75" s="280"/>
      <c r="R75" s="290"/>
      <c r="S75" s="281"/>
      <c r="T75" s="291"/>
      <c r="U75" s="281"/>
      <c r="V75" s="281"/>
      <c r="W75" s="281"/>
    </row>
    <row r="76">
      <c r="A76" s="292" t="s">
        <v>627</v>
      </c>
      <c r="B76" s="305" t="s">
        <v>770</v>
      </c>
      <c r="C76" s="280" t="s">
        <v>771</v>
      </c>
      <c r="D76" s="289">
        <f>ROUND((F76*'Pawn Weights'!$K$3)+(G76*'Pawn Weights'!$K$4)+(H76*'Pawn Weights'!$K$5)+(I76*'Pawn Weights'!$K$6)+(J76*'Pawn Weights'!$K$7)+(K76*'Pawn Weights'!$K$8)+(L76*'Pawn Weights'!$K$9)+(M76*'Pawn Weights'!$K$10)+(N76*'Pawn Weights'!$K$11)+(O76*'Pawn Weights'!$K$12)+(P76*'Pawn Weights'!$K$13)+(Q76*'Pawn Weights'!$K$14), 2)</f>
        <v>111.97</v>
      </c>
      <c r="E76" s="280">
        <v>55.0</v>
      </c>
      <c r="F76" s="280">
        <v>35.0</v>
      </c>
      <c r="G76" s="280"/>
      <c r="H76" s="280"/>
      <c r="I76" s="280">
        <v>37.0</v>
      </c>
      <c r="J76" s="280">
        <v>23.0</v>
      </c>
      <c r="K76" s="280"/>
      <c r="L76" s="280"/>
      <c r="M76" s="281"/>
      <c r="N76" s="280"/>
      <c r="O76" s="280"/>
      <c r="P76" s="280">
        <v>2.0</v>
      </c>
      <c r="Q76" s="280">
        <v>1.0</v>
      </c>
      <c r="R76" s="290" t="s">
        <v>624</v>
      </c>
      <c r="S76" s="281"/>
      <c r="T76" s="291" t="s">
        <v>762</v>
      </c>
      <c r="U76" s="281"/>
      <c r="V76" s="281"/>
      <c r="W76" s="281"/>
    </row>
    <row r="77">
      <c r="A77" s="292"/>
      <c r="B77" s="305" t="s">
        <v>772</v>
      </c>
      <c r="C77" s="280" t="s">
        <v>773</v>
      </c>
      <c r="D77" s="289">
        <f>ROUND((F77*'Pawn Weights'!$K$3)+(G77*'Pawn Weights'!$K$4)+(H77*'Pawn Weights'!$K$5)+(I77*'Pawn Weights'!$K$6)+(J77*'Pawn Weights'!$K$7)+(K77*'Pawn Weights'!$K$8)+(L77*'Pawn Weights'!$K$9)+(M77*'Pawn Weights'!$K$10)+(N77*'Pawn Weights'!$K$11)+(O77*'Pawn Weights'!$K$12)+(P77*'Pawn Weights'!$K$13)+(Q77*'Pawn Weights'!$K$14), 2)</f>
        <v>111.71</v>
      </c>
      <c r="E77" s="280">
        <v>42.0</v>
      </c>
      <c r="F77" s="280">
        <v>44.0</v>
      </c>
      <c r="G77" s="280"/>
      <c r="H77" s="280"/>
      <c r="I77" s="280">
        <v>30.0</v>
      </c>
      <c r="J77" s="280">
        <v>18.0</v>
      </c>
      <c r="K77" s="280"/>
      <c r="L77" s="280"/>
      <c r="M77" s="280"/>
      <c r="N77" s="280"/>
      <c r="O77" s="280">
        <v>1.0</v>
      </c>
      <c r="P77" s="280">
        <v>1.0</v>
      </c>
      <c r="Q77" s="280">
        <v>1.0</v>
      </c>
      <c r="R77" s="290" t="s">
        <v>643</v>
      </c>
      <c r="S77" s="281"/>
      <c r="T77" s="291"/>
      <c r="U77" s="281"/>
      <c r="V77" s="281"/>
      <c r="W77" s="281"/>
    </row>
    <row r="78">
      <c r="A78" s="292"/>
      <c r="B78" s="305" t="s">
        <v>774</v>
      </c>
      <c r="C78" s="280" t="s">
        <v>775</v>
      </c>
      <c r="D78" s="289">
        <f>ROUND((F78*'Pawn Weights'!$K$3)+(G78*'Pawn Weights'!$K$4)+(H78*'Pawn Weights'!$K$5)+(I78*'Pawn Weights'!$K$6)+(J78*'Pawn Weights'!$K$7)+(K78*'Pawn Weights'!$K$8)+(L78*'Pawn Weights'!$K$9)+(M78*'Pawn Weights'!$K$10)+(N78*'Pawn Weights'!$K$11)+(O78*'Pawn Weights'!$K$12)+(P78*'Pawn Weights'!$K$13)+(Q78*'Pawn Weights'!$K$14)-10+9.545+1.818, 2)</f>
        <v>110.12</v>
      </c>
      <c r="E78" s="280">
        <v>39.0</v>
      </c>
      <c r="F78" s="280"/>
      <c r="G78" s="280">
        <v>47.0</v>
      </c>
      <c r="H78" s="280">
        <v>102.0</v>
      </c>
      <c r="I78" s="280"/>
      <c r="J78" s="280"/>
      <c r="K78" s="280">
        <v>25.0</v>
      </c>
      <c r="L78" s="280"/>
      <c r="M78" s="280"/>
      <c r="N78" s="280"/>
      <c r="O78" s="280"/>
      <c r="P78" s="280">
        <v>1.0</v>
      </c>
      <c r="Q78" s="280"/>
      <c r="R78" s="290" t="s">
        <v>660</v>
      </c>
      <c r="S78" s="281"/>
      <c r="T78" s="291"/>
      <c r="U78" s="281"/>
      <c r="V78" s="281"/>
      <c r="W78" s="281"/>
    </row>
    <row r="79">
      <c r="A79" s="292"/>
      <c r="B79" s="308" t="s">
        <v>776</v>
      </c>
      <c r="C79" s="297" t="s">
        <v>739</v>
      </c>
      <c r="D79" s="289">
        <f>ROUND((F79*'Pawn Weights'!$K$3)+(G79*'Pawn Weights'!$K$4)+(H79*'Pawn Weights'!$K$5)+(I79*'Pawn Weights'!$K$6)+(J79*'Pawn Weights'!$K$7)+(K79*'Pawn Weights'!$K$8)+(L79*'Pawn Weights'!$K$9)+(M79*'Pawn Weights'!$K$10)+(N79*'Pawn Weights'!$K$11)+(O79*'Pawn Weights'!$K$12)+(P79*'Pawn Weights'!$K$13)+(Q79*'Pawn Weights'!$K$14), 2)</f>
        <v>108.54</v>
      </c>
      <c r="E79" s="297"/>
      <c r="F79" s="297"/>
      <c r="G79" s="297"/>
      <c r="H79" s="298">
        <v>96.0</v>
      </c>
      <c r="I79" s="298">
        <v>25.0</v>
      </c>
      <c r="J79" s="298">
        <v>21.0</v>
      </c>
      <c r="K79" s="297"/>
      <c r="L79" s="297"/>
      <c r="M79" s="295"/>
      <c r="N79" s="297"/>
      <c r="O79" s="298">
        <v>1.0</v>
      </c>
      <c r="P79" s="298">
        <v>2.0</v>
      </c>
      <c r="Q79" s="297"/>
      <c r="R79" s="298" t="s">
        <v>624</v>
      </c>
      <c r="S79" s="137"/>
      <c r="T79" s="295"/>
      <c r="U79" s="137"/>
      <c r="V79" s="137"/>
      <c r="W79" s="137"/>
      <c r="X79" s="137"/>
      <c r="Y79" s="137"/>
      <c r="Z79" s="137"/>
    </row>
    <row r="80">
      <c r="A80" s="292"/>
      <c r="B80" s="305" t="s">
        <v>777</v>
      </c>
      <c r="C80" s="280" t="s">
        <v>775</v>
      </c>
      <c r="D80" s="289">
        <f>ROUND((F80*'Pawn Weights'!$K$3)+(G80*'Pawn Weights'!$K$4)+(H80*'Pawn Weights'!$K$5)+(I80*'Pawn Weights'!$K$6)+(J80*'Pawn Weights'!$K$7)+(K80*'Pawn Weights'!$K$8)+(L80*'Pawn Weights'!$K$9)+(M80*'Pawn Weights'!$K$10)+(N80*'Pawn Weights'!$K$11)+(O80*'Pawn Weights'!$K$12)+(P80*'Pawn Weights'!$K$13)+(Q80*'Pawn Weights'!$K$14), 2)</f>
        <v>105.38</v>
      </c>
      <c r="E80" s="280">
        <v>51.0</v>
      </c>
      <c r="F80" s="280"/>
      <c r="G80" s="280">
        <v>44.0</v>
      </c>
      <c r="H80" s="280">
        <v>102.0</v>
      </c>
      <c r="I80" s="280"/>
      <c r="J80" s="280">
        <v>34.0</v>
      </c>
      <c r="K80" s="280"/>
      <c r="L80" s="280"/>
      <c r="M80" s="280"/>
      <c r="N80" s="280"/>
      <c r="O80" s="280">
        <v>1.0</v>
      </c>
      <c r="P80" s="280"/>
      <c r="Q80" s="280"/>
      <c r="R80" s="290" t="s">
        <v>674</v>
      </c>
      <c r="S80" s="281"/>
      <c r="T80" s="291"/>
      <c r="U80" s="281"/>
      <c r="V80" s="281"/>
      <c r="W80" s="281"/>
    </row>
    <row r="81">
      <c r="A81" s="292"/>
      <c r="B81" s="305" t="s">
        <v>778</v>
      </c>
      <c r="C81" s="280" t="s">
        <v>775</v>
      </c>
      <c r="D81" s="289">
        <f>ROUND((F81*'Pawn Weights'!$K$3)+(G81*'Pawn Weights'!$K$4)+(H81*'Pawn Weights'!$K$5)+(I81*'Pawn Weights'!$K$6)+(J81*'Pawn Weights'!$K$7)+(K81*'Pawn Weights'!$K$8)+(L81*'Pawn Weights'!$K$9)+(M81*'Pawn Weights'!$K$10)+(N81*'Pawn Weights'!$K$11)+(O81*'Pawn Weights'!$K$12)+(P81*'Pawn Weights'!$K$13)+(Q81*'Pawn Weights'!$K$14), 2)</f>
        <v>105.04</v>
      </c>
      <c r="E81" s="280">
        <v>65.0</v>
      </c>
      <c r="F81" s="280">
        <v>52.0</v>
      </c>
      <c r="G81" s="280"/>
      <c r="H81" s="280"/>
      <c r="I81" s="280"/>
      <c r="J81" s="280"/>
      <c r="K81" s="280">
        <v>51.0</v>
      </c>
      <c r="L81" s="280"/>
      <c r="M81" s="280"/>
      <c r="N81" s="280"/>
      <c r="O81" s="280">
        <v>1.0</v>
      </c>
      <c r="P81" s="280"/>
      <c r="Q81" s="280"/>
      <c r="R81" s="290" t="s">
        <v>674</v>
      </c>
      <c r="S81" s="281"/>
      <c r="T81" s="291"/>
      <c r="U81" s="281"/>
      <c r="V81" s="281"/>
      <c r="W81" s="281"/>
    </row>
    <row r="82">
      <c r="A82" s="272" t="s">
        <v>779</v>
      </c>
      <c r="B82" s="281"/>
      <c r="C82" s="281"/>
      <c r="D82" s="293"/>
      <c r="E82" s="281"/>
      <c r="F82" s="281"/>
      <c r="G82" s="281"/>
      <c r="H82" s="281"/>
      <c r="I82" s="281"/>
      <c r="J82" s="281"/>
      <c r="K82" s="281"/>
      <c r="L82" s="281"/>
      <c r="M82" s="281"/>
      <c r="N82" s="281"/>
      <c r="O82" s="281"/>
      <c r="P82" s="281"/>
      <c r="Q82" s="281"/>
      <c r="R82" s="282"/>
      <c r="S82" s="281"/>
      <c r="T82" s="285"/>
      <c r="U82" s="281"/>
      <c r="V82" s="281"/>
      <c r="W82" s="281"/>
    </row>
    <row r="83">
      <c r="A83" s="292" t="s">
        <v>640</v>
      </c>
      <c r="B83" s="288" t="s">
        <v>780</v>
      </c>
      <c r="C83" s="280" t="s">
        <v>781</v>
      </c>
      <c r="D83" s="289">
        <f>ROUND((F83*'Pawn Weights'!$K$3)+(G83*'Pawn Weights'!$K$4)+(H83*'Pawn Weights'!$K$5)+(I83*'Pawn Weights'!$K$6)+(J83*'Pawn Weights'!$K$7)+(K83*'Pawn Weights'!$K$8)+(L83*'Pawn Weights'!$K$9)+(M83*'Pawn Weights'!$K$10)+(N83*'Pawn Weights'!$K$11)+(O83*'Pawn Weights'!$K$12)+(P83*'Pawn Weights'!$K$13)+(Q83*'Pawn Weights'!$K$14), 2)</f>
        <v>106.57</v>
      </c>
      <c r="E83" s="280"/>
      <c r="F83" s="280">
        <v>33.0</v>
      </c>
      <c r="G83" s="280"/>
      <c r="H83" s="280"/>
      <c r="I83" s="280">
        <v>30.0</v>
      </c>
      <c r="J83" s="280">
        <v>16.0</v>
      </c>
      <c r="K83" s="280"/>
      <c r="L83" s="280"/>
      <c r="M83" s="280">
        <v>140.0</v>
      </c>
      <c r="N83" s="280"/>
      <c r="O83" s="280">
        <v>1.0</v>
      </c>
      <c r="P83" s="280"/>
      <c r="Q83" s="280"/>
      <c r="R83" s="290" t="s">
        <v>674</v>
      </c>
      <c r="S83" s="281"/>
      <c r="T83" s="294"/>
      <c r="U83" s="281"/>
      <c r="V83" s="281"/>
      <c r="W83" s="281"/>
      <c r="X83" s="281"/>
    </row>
    <row r="84">
      <c r="A84" s="281"/>
      <c r="B84" s="288" t="s">
        <v>782</v>
      </c>
      <c r="C84" s="280" t="s">
        <v>706</v>
      </c>
      <c r="D84" s="289">
        <f>ROUND((F84*'Pawn Weights'!$K$3)+(G84*'Pawn Weights'!$K$4)+(H84*'Pawn Weights'!$K$5)+(I84*'Pawn Weights'!$K$6)+(J84*'Pawn Weights'!$K$7)+(K84*'Pawn Weights'!$K$8)+(L84*'Pawn Weights'!$K$9)+(M84*'Pawn Weights'!$K$10)+(N84*'Pawn Weights'!$K$11)+(O84*'Pawn Weights'!$K$12)+(P84*'Pawn Weights'!$K$13)+(Q84*'Pawn Weights'!$K$14), 2)</f>
        <v>68.77</v>
      </c>
      <c r="E84" s="280">
        <v>28.0</v>
      </c>
      <c r="F84" s="280"/>
      <c r="G84" s="280"/>
      <c r="H84" s="280">
        <v>58.0</v>
      </c>
      <c r="I84" s="280">
        <v>28.0</v>
      </c>
      <c r="J84" s="280">
        <v>12.0</v>
      </c>
      <c r="K84" s="280"/>
      <c r="L84" s="280"/>
      <c r="M84" s="280"/>
      <c r="N84" s="280"/>
      <c r="O84" s="280"/>
      <c r="P84" s="280">
        <v>1.0</v>
      </c>
      <c r="Q84" s="280"/>
      <c r="R84" s="290" t="s">
        <v>674</v>
      </c>
      <c r="S84" s="281"/>
      <c r="T84" s="222"/>
      <c r="U84" s="281"/>
      <c r="V84" s="281"/>
      <c r="W84" s="281"/>
      <c r="X84" s="281"/>
    </row>
    <row r="85">
      <c r="A85" s="281"/>
      <c r="B85" s="288" t="s">
        <v>783</v>
      </c>
      <c r="C85" s="280" t="s">
        <v>683</v>
      </c>
      <c r="D85" s="289">
        <f>ROUND((F85*'Pawn Weights'!$K$3)+(G85*'Pawn Weights'!$K$4)+(H85*'Pawn Weights'!$K$5)+(I85*'Pawn Weights'!$K$6)+(J85*'Pawn Weights'!$K$7)+(K85*'Pawn Weights'!$K$8)+(L85*'Pawn Weights'!$K$9)+(M85*'Pawn Weights'!$K$10)+(N85*'Pawn Weights'!$K$11)+(O85*'Pawn Weights'!$K$12)+(P85*'Pawn Weights'!$K$13)+(Q85*'Pawn Weights'!$K$14), 2)</f>
        <v>66.68</v>
      </c>
      <c r="E85" s="280">
        <v>12.0</v>
      </c>
      <c r="F85" s="280">
        <v>25.0</v>
      </c>
      <c r="G85" s="280"/>
      <c r="H85" s="280"/>
      <c r="I85" s="280">
        <v>24.0</v>
      </c>
      <c r="J85" s="280">
        <v>17.0</v>
      </c>
      <c r="K85" s="280"/>
      <c r="L85" s="280"/>
      <c r="M85" s="280"/>
      <c r="N85" s="280"/>
      <c r="O85" s="280"/>
      <c r="P85" s="280"/>
      <c r="Q85" s="280">
        <v>1.0</v>
      </c>
      <c r="R85" s="290" t="s">
        <v>784</v>
      </c>
      <c r="S85" s="281"/>
      <c r="T85" s="222"/>
      <c r="U85" s="281"/>
      <c r="V85" s="281"/>
      <c r="W85" s="281"/>
      <c r="X85" s="281"/>
    </row>
    <row r="86">
      <c r="A86" s="281"/>
      <c r="B86" s="288" t="s">
        <v>785</v>
      </c>
      <c r="C86" s="280" t="s">
        <v>727</v>
      </c>
      <c r="D86" s="289">
        <f>ROUND((F86*'Pawn Weights'!$K$3)+(G86*'Pawn Weights'!$K$4)+(H86*'Pawn Weights'!$K$5)+(I86*'Pawn Weights'!$K$6)+(J86*'Pawn Weights'!$K$7)+(K86*'Pawn Weights'!$K$8)+(L86*'Pawn Weights'!$K$9)+(M86*'Pawn Weights'!$K$10)+(N86*'Pawn Weights'!$K$11)+(O86*'Pawn Weights'!$K$12)+(P86*'Pawn Weights'!$K$13)+(Q86*'Pawn Weights'!$K$14)-10+9.545+1.332, 2)</f>
        <v>62.85</v>
      </c>
      <c r="E86" s="280">
        <v>28.0</v>
      </c>
      <c r="F86" s="280"/>
      <c r="G86" s="280">
        <v>28.0</v>
      </c>
      <c r="H86" s="280">
        <v>58.0</v>
      </c>
      <c r="I86" s="280"/>
      <c r="J86" s="280">
        <v>12.0</v>
      </c>
      <c r="K86" s="280"/>
      <c r="L86" s="280"/>
      <c r="M86" s="280"/>
      <c r="N86" s="280"/>
      <c r="O86" s="280"/>
      <c r="P86" s="280">
        <v>1.0</v>
      </c>
      <c r="Q86" s="280"/>
      <c r="R86" s="290" t="s">
        <v>711</v>
      </c>
      <c r="S86" s="281"/>
      <c r="T86" s="222"/>
      <c r="U86" s="281"/>
      <c r="V86" s="281"/>
      <c r="W86" s="281"/>
      <c r="X86" s="281"/>
    </row>
    <row r="87">
      <c r="A87" s="281"/>
      <c r="B87" s="288" t="s">
        <v>786</v>
      </c>
      <c r="C87" s="280" t="s">
        <v>706</v>
      </c>
      <c r="D87" s="289">
        <f>ROUND((F87*'Pawn Weights'!$K$3)+(G87*'Pawn Weights'!$K$4)+(H87*'Pawn Weights'!$K$5)+(I87*'Pawn Weights'!$K$6)+(J87*'Pawn Weights'!$K$7)+(K87*'Pawn Weights'!$K$8)+(L87*'Pawn Weights'!$K$9)+(M87*'Pawn Weights'!$K$10)+(N87*'Pawn Weights'!$K$11)+(O87*'Pawn Weights'!$K$12)+(P87*'Pawn Weights'!$K$13)+(Q87*'Pawn Weights'!$K$14), 2)</f>
        <v>62.27</v>
      </c>
      <c r="E87" s="280">
        <v>28.0</v>
      </c>
      <c r="F87" s="280">
        <v>35.0</v>
      </c>
      <c r="G87" s="280"/>
      <c r="H87" s="280"/>
      <c r="I87" s="280">
        <v>19.0</v>
      </c>
      <c r="J87" s="280"/>
      <c r="K87" s="280"/>
      <c r="L87" s="280"/>
      <c r="M87" s="280"/>
      <c r="N87" s="280"/>
      <c r="O87" s="280"/>
      <c r="P87" s="280">
        <v>1.0</v>
      </c>
      <c r="Q87" s="280"/>
      <c r="R87" s="290" t="s">
        <v>674</v>
      </c>
      <c r="S87" s="281"/>
      <c r="T87" s="222"/>
      <c r="U87" s="281"/>
      <c r="V87" s="281"/>
      <c r="W87" s="281"/>
      <c r="X87" s="281"/>
    </row>
    <row r="88">
      <c r="A88" s="292" t="s">
        <v>627</v>
      </c>
      <c r="B88" s="288" t="s">
        <v>787</v>
      </c>
      <c r="C88" s="280" t="s">
        <v>788</v>
      </c>
      <c r="D88" s="289">
        <f>ROUND((F88*'Pawn Weights'!$K$3)+(G88*'Pawn Weights'!$K$4)+(H88*'Pawn Weights'!$K$5)+(I88*'Pawn Weights'!$K$6)+(J88*'Pawn Weights'!$K$7)+(K88*'Pawn Weights'!$K$8)+(L88*'Pawn Weights'!$K$9)+(M88*'Pawn Weights'!$K$10)+(N88*'Pawn Weights'!$K$11)+(O88*'Pawn Weights'!$K$12)+(P88*'Pawn Weights'!$K$13)+(Q88*'Pawn Weights'!$K$14), 2)</f>
        <v>62.23</v>
      </c>
      <c r="E88" s="280">
        <v>15.0</v>
      </c>
      <c r="F88" s="280"/>
      <c r="G88" s="280">
        <v>21.0</v>
      </c>
      <c r="H88" s="280">
        <v>56.0</v>
      </c>
      <c r="I88" s="280"/>
      <c r="J88" s="280"/>
      <c r="K88" s="280">
        <v>27.0</v>
      </c>
      <c r="L88" s="280"/>
      <c r="M88" s="280"/>
      <c r="N88" s="280"/>
      <c r="O88" s="280"/>
      <c r="P88" s="280"/>
      <c r="Q88" s="280"/>
      <c r="R88" s="290"/>
      <c r="S88" s="281"/>
      <c r="T88" s="294"/>
      <c r="U88" s="281"/>
      <c r="V88" s="281"/>
      <c r="W88" s="281"/>
      <c r="X88" s="281"/>
    </row>
    <row r="89">
      <c r="A89" s="281"/>
      <c r="B89" s="288" t="s">
        <v>789</v>
      </c>
      <c r="C89" s="280" t="s">
        <v>790</v>
      </c>
      <c r="D89" s="289">
        <f>ROUND((F89*'Pawn Weights'!$K$3)+(G89*'Pawn Weights'!$K$4)+(H89*'Pawn Weights'!$K$5)+(I89*'Pawn Weights'!$K$6)+(J89*'Pawn Weights'!$K$7)+(K89*'Pawn Weights'!$K$8)+(L89*'Pawn Weights'!$K$9)+(M89*'Pawn Weights'!$K$10)+(N89*'Pawn Weights'!$K$11)+(O89*'Pawn Weights'!$K$12)+(P89*'Pawn Weights'!$K$13)+(Q89*'Pawn Weights'!$K$14), 2)</f>
        <v>61.82</v>
      </c>
      <c r="E89" s="280">
        <v>16.0</v>
      </c>
      <c r="F89" s="280">
        <v>20.0</v>
      </c>
      <c r="G89" s="280"/>
      <c r="H89" s="280"/>
      <c r="I89" s="280">
        <v>24.0</v>
      </c>
      <c r="J89" s="280"/>
      <c r="K89" s="280"/>
      <c r="L89" s="280"/>
      <c r="M89" s="280"/>
      <c r="N89" s="280"/>
      <c r="O89" s="280">
        <v>1.0</v>
      </c>
      <c r="P89" s="280"/>
      <c r="Q89" s="280">
        <v>1.0</v>
      </c>
      <c r="R89" s="290" t="s">
        <v>698</v>
      </c>
      <c r="S89" s="281"/>
      <c r="T89" s="222"/>
      <c r="U89" s="281"/>
      <c r="V89" s="281"/>
      <c r="W89" s="281"/>
      <c r="X89" s="281"/>
    </row>
    <row r="90">
      <c r="A90" s="292" t="s">
        <v>671</v>
      </c>
      <c r="B90" s="288" t="s">
        <v>791</v>
      </c>
      <c r="C90" s="280" t="s">
        <v>792</v>
      </c>
      <c r="D90" s="289">
        <f>ROUND((F90*'Pawn Weights'!$K$3)+(G90*'Pawn Weights'!$K$4)+(H90*'Pawn Weights'!$K$5)+(I90*'Pawn Weights'!$K$6)+(J90*'Pawn Weights'!$K$7)+(K90*'Pawn Weights'!$K$8)+(L90*'Pawn Weights'!$K$9)+(M90*'Pawn Weights'!$K$10)+(N90*'Pawn Weights'!$K$11)+(O90*'Pawn Weights'!$K$12)+(P90*'Pawn Weights'!$K$13)+(Q90*'Pawn Weights'!$K$14)-10+9.545+2, 2)</f>
        <v>61.36</v>
      </c>
      <c r="E90" s="280">
        <v>40.0</v>
      </c>
      <c r="F90" s="280">
        <v>28.0</v>
      </c>
      <c r="G90" s="280"/>
      <c r="H90" s="280"/>
      <c r="I90" s="280">
        <v>24.0</v>
      </c>
      <c r="J90" s="280"/>
      <c r="K90" s="280"/>
      <c r="L90" s="280"/>
      <c r="M90" s="280"/>
      <c r="N90" s="280"/>
      <c r="O90" s="280"/>
      <c r="P90" s="280">
        <v>1.0</v>
      </c>
      <c r="Q90" s="280"/>
      <c r="R90" s="290" t="s">
        <v>784</v>
      </c>
      <c r="S90" s="281"/>
      <c r="T90" s="294" t="s">
        <v>793</v>
      </c>
      <c r="U90" s="281"/>
      <c r="V90" s="281"/>
      <c r="W90" s="281"/>
      <c r="X90" s="281"/>
    </row>
    <row r="91">
      <c r="A91" s="292"/>
      <c r="B91" s="288" t="s">
        <v>794</v>
      </c>
      <c r="C91" s="280" t="s">
        <v>691</v>
      </c>
      <c r="D91" s="289">
        <f>ROUND((F91*'Pawn Weights'!$K$3)+(G91*'Pawn Weights'!$K$4)+(H91*'Pawn Weights'!$K$5)+(I91*'Pawn Weights'!$K$6)+(J91*'Pawn Weights'!$K$7)+(K91*'Pawn Weights'!$K$8)+(L91*'Pawn Weights'!$K$9)+(M91*'Pawn Weights'!$K$10)+(N91*'Pawn Weights'!$K$11)+(O91*'Pawn Weights'!$K$12)+(P91*'Pawn Weights'!$K$13)+(Q91*'Pawn Weights'!$K$14), 2)</f>
        <v>60.95</v>
      </c>
      <c r="E91" s="280">
        <v>32.0</v>
      </c>
      <c r="F91" s="280">
        <v>32.0</v>
      </c>
      <c r="G91" s="280"/>
      <c r="H91" s="280"/>
      <c r="I91" s="280"/>
      <c r="J91" s="280"/>
      <c r="K91" s="280"/>
      <c r="L91" s="280"/>
      <c r="M91" s="280">
        <v>150.0</v>
      </c>
      <c r="N91" s="280"/>
      <c r="O91" s="280"/>
      <c r="P91" s="280"/>
      <c r="Q91" s="280"/>
      <c r="R91" s="290"/>
      <c r="S91" s="281"/>
      <c r="T91" s="294"/>
      <c r="U91" s="281"/>
      <c r="V91" s="281"/>
      <c r="W91" s="281"/>
      <c r="X91" s="281"/>
    </row>
    <row r="92">
      <c r="A92" s="281"/>
      <c r="B92" s="288" t="s">
        <v>795</v>
      </c>
      <c r="C92" s="280" t="s">
        <v>691</v>
      </c>
      <c r="D92" s="289">
        <f>ROUND((F92*'Pawn Weights'!$K$3)+(G92*'Pawn Weights'!$K$4)+(H92*'Pawn Weights'!$K$5)+(I92*'Pawn Weights'!$K$6)+(J92*'Pawn Weights'!$K$7)+(K92*'Pawn Weights'!$K$8)+(L92*'Pawn Weights'!$K$9)+(M92*'Pawn Weights'!$K$10)+(N92*'Pawn Weights'!$K$11)+(O92*'Pawn Weights'!$K$12)+(P92*'Pawn Weights'!$K$13)+(Q92*'Pawn Weights'!$K$14), 2)</f>
        <v>60.41</v>
      </c>
      <c r="E92" s="280">
        <v>22.0</v>
      </c>
      <c r="F92" s="280"/>
      <c r="G92" s="280">
        <v>17.0</v>
      </c>
      <c r="H92" s="280">
        <v>50.0</v>
      </c>
      <c r="I92" s="280">
        <v>18.0</v>
      </c>
      <c r="J92" s="280"/>
      <c r="K92" s="280"/>
      <c r="L92" s="280"/>
      <c r="M92" s="280"/>
      <c r="N92" s="280"/>
      <c r="O92" s="280"/>
      <c r="P92" s="280">
        <v>1.0</v>
      </c>
      <c r="Q92" s="280"/>
      <c r="R92" s="290" t="s">
        <v>736</v>
      </c>
      <c r="S92" s="281"/>
      <c r="T92" s="222"/>
      <c r="U92" s="281"/>
      <c r="V92" s="281"/>
      <c r="W92" s="281"/>
      <c r="X92" s="281"/>
    </row>
    <row r="93">
      <c r="A93" s="292" t="s">
        <v>627</v>
      </c>
      <c r="B93" s="288" t="s">
        <v>796</v>
      </c>
      <c r="C93" s="280" t="s">
        <v>788</v>
      </c>
      <c r="D93" s="289">
        <f>ROUND((F93*'Pawn Weights'!$K$3)+(G93*'Pawn Weights'!$K$4)+(H93*'Pawn Weights'!$K$5)+(I93*'Pawn Weights'!$K$6)+(J93*'Pawn Weights'!$K$7)+(K93*'Pawn Weights'!$K$8)+(L93*'Pawn Weights'!$K$9)+(M93*'Pawn Weights'!$K$10)+(N93*'Pawn Weights'!$K$11)+(O93*'Pawn Weights'!$K$12)+(P93*'Pawn Weights'!$K$13)+(Q93*'Pawn Weights'!$K$14), 2)</f>
        <v>58.83</v>
      </c>
      <c r="E93" s="280">
        <v>34.0</v>
      </c>
      <c r="F93" s="280"/>
      <c r="G93" s="280">
        <v>20.0</v>
      </c>
      <c r="H93" s="280">
        <v>50.0</v>
      </c>
      <c r="I93" s="280"/>
      <c r="J93" s="280"/>
      <c r="K93" s="280">
        <v>27.0</v>
      </c>
      <c r="L93" s="280"/>
      <c r="M93" s="280"/>
      <c r="N93" s="280"/>
      <c r="O93" s="280"/>
      <c r="P93" s="280"/>
      <c r="Q93" s="280"/>
      <c r="R93" s="290"/>
      <c r="S93" s="281"/>
      <c r="T93" s="222"/>
      <c r="U93" s="281"/>
      <c r="V93" s="281"/>
      <c r="W93" s="281"/>
      <c r="X93" s="281"/>
    </row>
    <row r="94">
      <c r="A94" s="292" t="s">
        <v>627</v>
      </c>
      <c r="B94" s="288" t="s">
        <v>797</v>
      </c>
      <c r="C94" s="280" t="s">
        <v>798</v>
      </c>
      <c r="D94" s="289">
        <f>ROUND((F94*'Pawn Weights'!$K$3)+(G94*'Pawn Weights'!$K$4)+(H94*'Pawn Weights'!$K$5)+(I94*'Pawn Weights'!$K$6)+(J94*'Pawn Weights'!$K$7)+(K94*'Pawn Weights'!$K$8)+(L94*'Pawn Weights'!$K$9)+(M94*'Pawn Weights'!$K$10)+(N94*'Pawn Weights'!$K$11)+(O94*'Pawn Weights'!$K$12)+(P94*'Pawn Weights'!$K$13)+(Q94*'Pawn Weights'!$K$14), 2)</f>
        <v>57.79</v>
      </c>
      <c r="E94" s="280">
        <v>32.0</v>
      </c>
      <c r="F94" s="280">
        <v>35.0</v>
      </c>
      <c r="G94" s="280"/>
      <c r="H94" s="280"/>
      <c r="I94" s="280"/>
      <c r="J94" s="280"/>
      <c r="K94" s="280">
        <v>27.0</v>
      </c>
      <c r="L94" s="280"/>
      <c r="M94" s="280"/>
      <c r="N94" s="280"/>
      <c r="O94" s="280"/>
      <c r="P94" s="280"/>
      <c r="Q94" s="280"/>
      <c r="R94" s="290"/>
      <c r="S94" s="281"/>
      <c r="T94" s="294"/>
      <c r="U94" s="281"/>
      <c r="V94" s="281"/>
      <c r="W94" s="281"/>
      <c r="X94" s="281"/>
    </row>
    <row r="95">
      <c r="A95" s="281"/>
      <c r="B95" s="288" t="s">
        <v>799</v>
      </c>
      <c r="C95" s="280" t="s">
        <v>691</v>
      </c>
      <c r="D95" s="289">
        <f>ROUND((F95*'Pawn Weights'!$K$3)+(G95*'Pawn Weights'!$K$4)+(H95*'Pawn Weights'!$K$5)+(I95*'Pawn Weights'!$K$6)+(J95*'Pawn Weights'!$K$7)+(K95*'Pawn Weights'!$K$8)+(L95*'Pawn Weights'!$K$9)+(M95*'Pawn Weights'!$K$10)+(N95*'Pawn Weights'!$K$11)+(O95*'Pawn Weights'!$K$12)+(P95*'Pawn Weights'!$K$13)+(Q95*'Pawn Weights'!$K$14), 2)</f>
        <v>54.98</v>
      </c>
      <c r="E95" s="280">
        <v>21.0</v>
      </c>
      <c r="F95" s="280"/>
      <c r="G95" s="280">
        <v>18.0</v>
      </c>
      <c r="H95" s="280">
        <v>50.0</v>
      </c>
      <c r="I95" s="280"/>
      <c r="J95" s="280"/>
      <c r="K95" s="280"/>
      <c r="L95" s="280"/>
      <c r="M95" s="280">
        <v>105.0</v>
      </c>
      <c r="N95" s="280"/>
      <c r="O95" s="280"/>
      <c r="P95" s="280"/>
      <c r="Q95" s="280"/>
      <c r="R95" s="290"/>
      <c r="S95" s="281"/>
      <c r="T95" s="294"/>
      <c r="U95" s="281"/>
      <c r="V95" s="281"/>
      <c r="W95" s="281"/>
      <c r="X95" s="281"/>
    </row>
    <row r="96">
      <c r="A96" s="272" t="s">
        <v>800</v>
      </c>
      <c r="B96" s="281"/>
      <c r="C96" s="281"/>
      <c r="D96" s="293"/>
      <c r="E96" s="281"/>
      <c r="F96" s="281"/>
      <c r="G96" s="281"/>
      <c r="H96" s="281"/>
      <c r="I96" s="281"/>
      <c r="J96" s="281"/>
      <c r="K96" s="281"/>
      <c r="L96" s="281"/>
      <c r="M96" s="281"/>
      <c r="N96" s="281"/>
      <c r="O96" s="281"/>
      <c r="P96" s="281"/>
      <c r="Q96" s="281"/>
      <c r="R96" s="282"/>
      <c r="S96" s="281"/>
      <c r="T96" s="285"/>
      <c r="U96" s="281"/>
      <c r="V96" s="281"/>
      <c r="W96" s="281"/>
    </row>
    <row r="97">
      <c r="A97" s="25" t="s">
        <v>627</v>
      </c>
      <c r="B97" s="288" t="s">
        <v>801</v>
      </c>
      <c r="C97" s="280" t="s">
        <v>802</v>
      </c>
      <c r="D97" s="289">
        <f>ROUND((F97*'Pawn Weights'!$K$3)+(G97*'Pawn Weights'!$K$4)+(H97*'Pawn Weights'!$K$5)+(I97*'Pawn Weights'!$K$6)+(J97*'Pawn Weights'!$K$7)+(K97*'Pawn Weights'!$K$8)+(L97*'Pawn Weights'!$K$9)+(M97*'Pawn Weights'!$K$10)+(N97*'Pawn Weights'!$K$11)+(O97*'Pawn Weights'!$K$12)+(P97*'Pawn Weights'!$K$13)+(Q97*'Pawn Weights'!$K$14)+2.727, 2)</f>
        <v>140.6</v>
      </c>
      <c r="E97" s="280">
        <v>33.0</v>
      </c>
      <c r="F97" s="280"/>
      <c r="G97" s="280">
        <v>30.0</v>
      </c>
      <c r="H97" s="280">
        <v>90.0</v>
      </c>
      <c r="I97" s="280">
        <v>30.0</v>
      </c>
      <c r="J97" s="280"/>
      <c r="K97" s="280"/>
      <c r="L97" s="280"/>
      <c r="M97" s="280">
        <v>154.0</v>
      </c>
      <c r="N97" s="280"/>
      <c r="O97" s="280">
        <v>2.0</v>
      </c>
      <c r="P97" s="280"/>
      <c r="Q97" s="280"/>
      <c r="R97" s="290" t="s">
        <v>702</v>
      </c>
      <c r="S97" s="281"/>
      <c r="T97" s="291"/>
      <c r="U97" s="281"/>
      <c r="V97" s="281"/>
      <c r="W97" s="281"/>
    </row>
    <row r="98">
      <c r="A98" s="25"/>
      <c r="B98" s="288" t="s">
        <v>803</v>
      </c>
      <c r="C98" s="280" t="s">
        <v>621</v>
      </c>
      <c r="D98" s="289">
        <f>ROUND((F98*'Pawn Weights'!$K$3)+(G98*'Pawn Weights'!$K$4)+(H98*'Pawn Weights'!$K$5)+(I98*'Pawn Weights'!$K$6)+(J98*'Pawn Weights'!$K$7)+(K98*'Pawn Weights'!$K$8)+(L98*'Pawn Weights'!$K$9)+(M98*'Pawn Weights'!$K$10)+(N98*'Pawn Weights'!$K$11)+(O98*'Pawn Weights'!$K$12)+(P98*'Pawn Weights'!$K$13)+(Q98*'Pawn Weights'!$K$14)-10+9.545+1.998, 2)</f>
        <v>140.58</v>
      </c>
      <c r="E98" s="280">
        <v>43.0</v>
      </c>
      <c r="F98" s="280"/>
      <c r="G98" s="280">
        <v>40.0</v>
      </c>
      <c r="H98" s="280">
        <v>80.0</v>
      </c>
      <c r="I98" s="280">
        <v>23.0</v>
      </c>
      <c r="J98" s="280"/>
      <c r="K98" s="280"/>
      <c r="L98" s="280"/>
      <c r="M98" s="280">
        <v>182.0</v>
      </c>
      <c r="N98" s="280"/>
      <c r="O98" s="280">
        <v>1.0</v>
      </c>
      <c r="P98" s="280">
        <v>1.0</v>
      </c>
      <c r="Q98" s="280"/>
      <c r="R98" s="290" t="s">
        <v>695</v>
      </c>
      <c r="S98" s="281"/>
      <c r="T98" s="291"/>
      <c r="U98" s="281"/>
      <c r="V98" s="281"/>
      <c r="W98" s="281"/>
    </row>
    <row r="99">
      <c r="A99" s="25"/>
      <c r="B99" s="288" t="s">
        <v>804</v>
      </c>
      <c r="C99" s="280" t="s">
        <v>621</v>
      </c>
      <c r="D99" s="289">
        <f>ROUND((F99*'Pawn Weights'!$K$3)+(G99*'Pawn Weights'!$K$4)+(H99*'Pawn Weights'!$K$5)+(I99*'Pawn Weights'!$K$6)+(J99*'Pawn Weights'!$K$7)+(K99*'Pawn Weights'!$K$8)+(L99*'Pawn Weights'!$K$9)+(M99*'Pawn Weights'!$K$10)+(N99*'Pawn Weights'!$K$11)+(O99*'Pawn Weights'!$K$12)+(P99*'Pawn Weights'!$K$13)+(Q99*'Pawn Weights'!$K$14), 2)</f>
        <v>133.52</v>
      </c>
      <c r="E99" s="280">
        <v>48.0</v>
      </c>
      <c r="F99" s="280">
        <v>47.0</v>
      </c>
      <c r="G99" s="280"/>
      <c r="H99" s="280"/>
      <c r="I99" s="280">
        <v>39.0</v>
      </c>
      <c r="J99" s="280"/>
      <c r="K99" s="280"/>
      <c r="L99" s="280"/>
      <c r="M99" s="280">
        <v>161.0</v>
      </c>
      <c r="N99" s="280"/>
      <c r="O99" s="280">
        <v>1.0</v>
      </c>
      <c r="P99" s="280"/>
      <c r="Q99" s="280">
        <v>1.0</v>
      </c>
      <c r="R99" s="290" t="s">
        <v>698</v>
      </c>
      <c r="S99" s="281"/>
      <c r="T99" s="291"/>
      <c r="U99" s="281"/>
      <c r="V99" s="281"/>
      <c r="W99" s="281"/>
    </row>
    <row r="100">
      <c r="A100" s="25" t="s">
        <v>627</v>
      </c>
      <c r="B100" s="288" t="s">
        <v>805</v>
      </c>
      <c r="C100" s="280" t="s">
        <v>806</v>
      </c>
      <c r="D100" s="289">
        <f>ROUND((F100*'Pawn Weights'!$K$3)+(G100*'Pawn Weights'!$K$4)+(H100*'Pawn Weights'!$K$5)+(I100*'Pawn Weights'!$K$6)+(J100*'Pawn Weights'!$K$7)+(K100*'Pawn Weights'!$K$8)+(L100*'Pawn Weights'!$K$9)+(M100*'Pawn Weights'!$K$10)+(N100*'Pawn Weights'!$K$11)+(O100*'Pawn Weights'!$K$12)+(P100*'Pawn Weights'!$K$13)+(Q100*'Pawn Weights'!$K$14)-10+9.545+3, 2)</f>
        <v>111.27</v>
      </c>
      <c r="E100" s="280">
        <v>45.0</v>
      </c>
      <c r="F100" s="280">
        <v>45.0</v>
      </c>
      <c r="G100" s="280"/>
      <c r="H100" s="280"/>
      <c r="I100" s="280"/>
      <c r="J100" s="280">
        <v>23.0</v>
      </c>
      <c r="K100" s="280">
        <v>36.0</v>
      </c>
      <c r="L100" s="280"/>
      <c r="M100" s="281"/>
      <c r="N100" s="280"/>
      <c r="O100" s="280">
        <v>1.0</v>
      </c>
      <c r="P100" s="280">
        <v>1.0</v>
      </c>
      <c r="Q100" s="280"/>
      <c r="R100" s="290" t="s">
        <v>698</v>
      </c>
      <c r="S100" s="281"/>
      <c r="T100" s="291"/>
      <c r="U100" s="281"/>
      <c r="V100" s="281"/>
      <c r="W100" s="281"/>
    </row>
    <row r="101">
      <c r="A101" s="25"/>
      <c r="B101" s="288" t="s">
        <v>807</v>
      </c>
      <c r="C101" s="280" t="s">
        <v>744</v>
      </c>
      <c r="D101" s="289">
        <f>ROUND((F101*'Pawn Weights'!$K$3)+(G101*'Pawn Weights'!$K$4)+(H101*'Pawn Weights'!$K$5)+(I101*'Pawn Weights'!$K$6)+(J101*'Pawn Weights'!$K$7)+(K101*'Pawn Weights'!$K$8)+(L101*'Pawn Weights'!$K$9)+(M101*'Pawn Weights'!$K$10)+(N101*'Pawn Weights'!$K$11)+(O101*'Pawn Weights'!$K$12)+(P101*'Pawn Weights'!$K$13)+(Q101*'Pawn Weights'!$K$14), 2)</f>
        <v>109.9</v>
      </c>
      <c r="E101" s="280">
        <v>33.0</v>
      </c>
      <c r="F101" s="280"/>
      <c r="G101" s="280">
        <v>41.0</v>
      </c>
      <c r="H101" s="280">
        <v>82.0</v>
      </c>
      <c r="I101" s="280"/>
      <c r="J101" s="280"/>
      <c r="K101" s="280">
        <v>30.0</v>
      </c>
      <c r="L101" s="280"/>
      <c r="M101" s="281"/>
      <c r="N101" s="280"/>
      <c r="O101" s="280">
        <v>1.0</v>
      </c>
      <c r="P101" s="280"/>
      <c r="Q101" s="280">
        <v>1.0</v>
      </c>
      <c r="R101" s="290" t="s">
        <v>695</v>
      </c>
      <c r="S101" s="281"/>
      <c r="T101" s="291"/>
      <c r="U101" s="281"/>
      <c r="V101" s="281"/>
      <c r="W101" s="281"/>
    </row>
    <row r="102">
      <c r="A102" s="25" t="s">
        <v>627</v>
      </c>
      <c r="B102" s="288" t="s">
        <v>808</v>
      </c>
      <c r="C102" s="280" t="s">
        <v>802</v>
      </c>
      <c r="D102" s="289">
        <f>ROUND((F102*'Pawn Weights'!$K$3)+(G102*'Pawn Weights'!$K$4)+(H102*'Pawn Weights'!$K$5)+(I102*'Pawn Weights'!$K$6)+(J102*'Pawn Weights'!$K$7)+(K102*'Pawn Weights'!$K$8)+(L102*'Pawn Weights'!$K$9)+(M102*'Pawn Weights'!$K$10)+(N102*'Pawn Weights'!$K$11)+(O102*'Pawn Weights'!$K$12)+(P102*'Pawn Weights'!$K$13)+(Q102*'Pawn Weights'!$K$14)-20+19.09+2.727, 2)</f>
        <v>105.04</v>
      </c>
      <c r="E102" s="280">
        <v>33.0</v>
      </c>
      <c r="F102" s="280"/>
      <c r="G102" s="280">
        <v>30.0</v>
      </c>
      <c r="H102" s="280">
        <v>76.0</v>
      </c>
      <c r="I102" s="280"/>
      <c r="J102" s="280"/>
      <c r="K102" s="280">
        <v>34.0</v>
      </c>
      <c r="L102" s="280"/>
      <c r="M102" s="281"/>
      <c r="N102" s="280"/>
      <c r="O102" s="280"/>
      <c r="P102" s="280">
        <v>2.0</v>
      </c>
      <c r="Q102" s="280"/>
      <c r="R102" s="290" t="s">
        <v>809</v>
      </c>
      <c r="S102" s="281"/>
      <c r="T102" s="291"/>
      <c r="U102" s="281"/>
      <c r="V102" s="281"/>
      <c r="W102" s="281"/>
    </row>
    <row r="103">
      <c r="A103" s="25"/>
      <c r="B103" s="288" t="s">
        <v>810</v>
      </c>
      <c r="C103" s="280" t="s">
        <v>744</v>
      </c>
      <c r="D103" s="289">
        <f>ROUND((F103*'Pawn Weights'!$K$3)+(G103*'Pawn Weights'!$K$4)+(H103*'Pawn Weights'!$K$5)+(I103*'Pawn Weights'!$K$6)+(J103*'Pawn Weights'!$K$7)+(K103*'Pawn Weights'!$K$8)+(L103*'Pawn Weights'!$K$9)+(M103*'Pawn Weights'!$K$10)+(N103*'Pawn Weights'!$K$11)+(O103*'Pawn Weights'!$K$12)+(P103*'Pawn Weights'!$K$13)+(Q103*'Pawn Weights'!$K$14), 2)</f>
        <v>103.66</v>
      </c>
      <c r="E103" s="280">
        <v>45.0</v>
      </c>
      <c r="F103" s="280">
        <v>34.0</v>
      </c>
      <c r="G103" s="280">
        <v>34.0</v>
      </c>
      <c r="H103" s="280"/>
      <c r="I103" s="280"/>
      <c r="J103" s="280"/>
      <c r="K103" s="280"/>
      <c r="L103" s="280"/>
      <c r="M103" s="280">
        <v>140.0</v>
      </c>
      <c r="N103" s="280"/>
      <c r="O103" s="280">
        <v>1.0</v>
      </c>
      <c r="P103" s="280"/>
      <c r="Q103" s="280">
        <v>1.0</v>
      </c>
      <c r="R103" s="290" t="s">
        <v>695</v>
      </c>
      <c r="S103" s="281"/>
      <c r="T103" s="291"/>
      <c r="U103" s="281"/>
      <c r="V103" s="281"/>
      <c r="W103" s="281"/>
    </row>
    <row r="104">
      <c r="A104" s="25"/>
      <c r="B104" s="288" t="s">
        <v>811</v>
      </c>
      <c r="C104" s="280" t="s">
        <v>723</v>
      </c>
      <c r="D104" s="289">
        <f>ROUND((F104*'Pawn Weights'!$K$3)+(G104*'Pawn Weights'!$K$4)+(H104*'Pawn Weights'!$K$5)+(I104*'Pawn Weights'!$K$6)+(J104*'Pawn Weights'!$K$7)+(K104*'Pawn Weights'!$K$8)+(L104*'Pawn Weights'!$K$9)+(M104*'Pawn Weights'!$K$10)+(N104*'Pawn Weights'!$K$11)+(O104*'Pawn Weights'!$K$12)+(P104*'Pawn Weights'!$K$13)+(Q104*'Pawn Weights'!$K$14), 2)</f>
        <v>102.48</v>
      </c>
      <c r="E104" s="280">
        <v>37.0</v>
      </c>
      <c r="F104" s="280">
        <v>40.0</v>
      </c>
      <c r="G104" s="280"/>
      <c r="H104" s="280"/>
      <c r="I104" s="280"/>
      <c r="J104" s="280">
        <v>15.0</v>
      </c>
      <c r="K104" s="280"/>
      <c r="L104" s="280"/>
      <c r="M104" s="280">
        <v>175.0</v>
      </c>
      <c r="N104" s="280"/>
      <c r="O104" s="280">
        <v>2.0</v>
      </c>
      <c r="P104" s="280"/>
      <c r="Q104" s="280"/>
      <c r="R104" s="290" t="s">
        <v>812</v>
      </c>
      <c r="S104" s="281"/>
      <c r="T104" s="291"/>
      <c r="U104" s="281"/>
      <c r="V104" s="281"/>
      <c r="W104" s="281"/>
    </row>
    <row r="105">
      <c r="A105" s="25"/>
      <c r="B105" s="288" t="s">
        <v>813</v>
      </c>
      <c r="C105" s="280" t="s">
        <v>814</v>
      </c>
      <c r="D105" s="289">
        <f>ROUND((F105*'Pawn Weights'!$K$3)+(G105*'Pawn Weights'!$K$4)+(H105*'Pawn Weights'!$K$5)+(I105*'Pawn Weights'!$K$6)+(J105*'Pawn Weights'!$K$7)+(K105*'Pawn Weights'!$K$8)+(L105*'Pawn Weights'!$K$9)+(M105*'Pawn Weights'!$K$10)+(N105*'Pawn Weights'!$K$11)+(O105*'Pawn Weights'!$K$12)+(P105*'Pawn Weights'!$K$13)+(Q105*'Pawn Weights'!$K$14)+1.818, 2)</f>
        <v>90.36</v>
      </c>
      <c r="E105" s="280">
        <v>49.0</v>
      </c>
      <c r="F105" s="280">
        <v>41.0</v>
      </c>
      <c r="G105" s="280">
        <v>30.0</v>
      </c>
      <c r="H105" s="280"/>
      <c r="I105" s="280"/>
      <c r="J105" s="280"/>
      <c r="K105" s="280"/>
      <c r="L105" s="280"/>
      <c r="M105" s="280">
        <v>91.0</v>
      </c>
      <c r="N105" s="280"/>
      <c r="O105" s="280">
        <v>1.0</v>
      </c>
      <c r="P105" s="280"/>
      <c r="Q105" s="280"/>
      <c r="R105" s="290" t="s">
        <v>736</v>
      </c>
      <c r="S105" s="281"/>
      <c r="T105" s="291"/>
      <c r="U105" s="281"/>
      <c r="V105" s="281"/>
      <c r="W105" s="281"/>
    </row>
    <row r="106">
      <c r="A106" s="25"/>
      <c r="B106" s="288" t="s">
        <v>815</v>
      </c>
      <c r="C106" s="280" t="s">
        <v>816</v>
      </c>
      <c r="D106" s="289">
        <f>ROUND((F106*'Pawn Weights'!$K$3)+(G106*'Pawn Weights'!$K$4)+(H106*'Pawn Weights'!$K$5)+(I106*'Pawn Weights'!$K$6)+(J106*'Pawn Weights'!$K$7)+(K106*'Pawn Weights'!$K$8)+(L106*'Pawn Weights'!$K$9)+(M106*'Pawn Weights'!$K$10)+(N106*'Pawn Weights'!$K$11)+(O106*'Pawn Weights'!$K$12)+(P106*'Pawn Weights'!$K$13)+(Q106*'Pawn Weights'!$K$14), 2)</f>
        <v>83.75</v>
      </c>
      <c r="E106" s="280">
        <v>38.0</v>
      </c>
      <c r="F106" s="280"/>
      <c r="G106" s="280">
        <v>27.0</v>
      </c>
      <c r="H106" s="280">
        <v>76.0</v>
      </c>
      <c r="I106" s="280"/>
      <c r="J106" s="280"/>
      <c r="K106" s="280">
        <v>37.0</v>
      </c>
      <c r="L106" s="280"/>
      <c r="M106" s="280"/>
      <c r="N106" s="280"/>
      <c r="O106" s="280"/>
      <c r="P106" s="280"/>
      <c r="Q106" s="280"/>
      <c r="R106" s="290"/>
      <c r="S106" s="281"/>
      <c r="T106" s="291"/>
      <c r="U106" s="281"/>
      <c r="V106" s="281"/>
      <c r="W106" s="281"/>
    </row>
    <row r="107">
      <c r="A107" s="301"/>
      <c r="B107" s="288" t="s">
        <v>817</v>
      </c>
      <c r="C107" s="280" t="s">
        <v>818</v>
      </c>
      <c r="D107" s="289">
        <f>ROUND((F107*'Pawn Weights'!$K$3)+(G107*'Pawn Weights'!$K$4)+(H107*'Pawn Weights'!$K$5)+(I107*'Pawn Weights'!$K$6)+(J107*'Pawn Weights'!$K$7)+(K107*'Pawn Weights'!$K$8)+(L107*'Pawn Weights'!$K$9)+(M107*'Pawn Weights'!$K$10)+(N107*'Pawn Weights'!$K$11)+(O107*'Pawn Weights'!$K$12)+(P107*'Pawn Weights'!$K$13)+(Q107*'Pawn Weights'!$K$14)-10+9.545+1.332, 2)</f>
        <v>83.52</v>
      </c>
      <c r="E107" s="280">
        <v>30.0</v>
      </c>
      <c r="F107" s="280"/>
      <c r="G107" s="280">
        <v>34.0</v>
      </c>
      <c r="H107" s="280">
        <v>78.0</v>
      </c>
      <c r="I107" s="280">
        <v>16.0</v>
      </c>
      <c r="J107" s="280"/>
      <c r="K107" s="280"/>
      <c r="L107" s="280"/>
      <c r="M107" s="281"/>
      <c r="N107" s="280"/>
      <c r="O107" s="280"/>
      <c r="P107" s="280">
        <v>1.0</v>
      </c>
      <c r="Q107" s="280"/>
      <c r="R107" s="290" t="s">
        <v>711</v>
      </c>
      <c r="S107" s="281"/>
      <c r="T107" s="291"/>
      <c r="U107" s="281"/>
      <c r="V107" s="281"/>
      <c r="W107" s="281"/>
    </row>
    <row r="108">
      <c r="A108" s="25"/>
      <c r="B108" s="288" t="s">
        <v>819</v>
      </c>
      <c r="C108" s="280" t="s">
        <v>716</v>
      </c>
      <c r="D108" s="289">
        <f>ROUND((F108*'Pawn Weights'!$K$3)+(G108*'Pawn Weights'!$K$4)+(H108*'Pawn Weights'!$K$5)+(I108*'Pawn Weights'!$K$6)+(J108*'Pawn Weights'!$K$7)+(K108*'Pawn Weights'!$K$8)+(L108*'Pawn Weights'!$K$9)+(M108*'Pawn Weights'!$K$10)+(N108*'Pawn Weights'!$K$11)+(O108*'Pawn Weights'!$K$12)+(P108*'Pawn Weights'!$K$13)+(Q108*'Pawn Weights'!$K$14), 2)</f>
        <v>82.42</v>
      </c>
      <c r="E108" s="280">
        <v>24.0</v>
      </c>
      <c r="F108" s="280"/>
      <c r="G108" s="280">
        <v>25.0</v>
      </c>
      <c r="H108" s="280">
        <v>76.0</v>
      </c>
      <c r="I108" s="280"/>
      <c r="J108" s="280"/>
      <c r="K108" s="280">
        <v>37.0</v>
      </c>
      <c r="L108" s="280"/>
      <c r="M108" s="281"/>
      <c r="N108" s="280"/>
      <c r="O108" s="280"/>
      <c r="P108" s="280"/>
      <c r="Q108" s="280"/>
      <c r="R108" s="290"/>
      <c r="S108" s="281"/>
      <c r="T108" s="291"/>
      <c r="U108" s="281"/>
      <c r="V108" s="281"/>
      <c r="W108" s="281"/>
    </row>
    <row r="109">
      <c r="A109" s="25"/>
      <c r="B109" s="288" t="s">
        <v>820</v>
      </c>
      <c r="C109" s="280" t="s">
        <v>821</v>
      </c>
      <c r="D109" s="289">
        <f>ROUND((F109*'Pawn Weights'!$K$3)+(G109*'Pawn Weights'!$K$4)+(H109*'Pawn Weights'!$K$5)+(I109*'Pawn Weights'!$K$6)+(J109*'Pawn Weights'!$K$7)+(K109*'Pawn Weights'!$K$8)+(L109*'Pawn Weights'!$K$9)+(M109*'Pawn Weights'!$K$10)+(N109*'Pawn Weights'!$K$11)+(O109*'Pawn Weights'!$K$12)+(P109*'Pawn Weights'!$K$13)+(Q109*'Pawn Weights'!$K$14), 2)</f>
        <v>80.51</v>
      </c>
      <c r="E109" s="280">
        <v>45.0</v>
      </c>
      <c r="F109" s="280">
        <v>38.0</v>
      </c>
      <c r="G109" s="280"/>
      <c r="H109" s="280"/>
      <c r="I109" s="280"/>
      <c r="J109" s="280">
        <v>18.0</v>
      </c>
      <c r="K109" s="280">
        <v>38.0</v>
      </c>
      <c r="L109" s="280"/>
      <c r="M109" s="280"/>
      <c r="N109" s="280"/>
      <c r="O109" s="280"/>
      <c r="P109" s="280"/>
      <c r="Q109" s="280"/>
      <c r="R109" s="290"/>
      <c r="S109" s="281"/>
      <c r="T109" s="291"/>
      <c r="U109" s="281"/>
      <c r="V109" s="281"/>
      <c r="W109" s="281"/>
    </row>
    <row r="110">
      <c r="A110" s="25"/>
      <c r="B110" s="288" t="s">
        <v>822</v>
      </c>
      <c r="C110" s="280" t="s">
        <v>823</v>
      </c>
      <c r="D110" s="289">
        <f>ROUND((F110*'Pawn Weights'!$K$3)+(G110*'Pawn Weights'!$K$4)+(H110*'Pawn Weights'!$K$5)+(I110*'Pawn Weights'!$K$6)+(J110*'Pawn Weights'!$K$7)+(K110*'Pawn Weights'!$K$8)+(L110*'Pawn Weights'!$K$9)+(M110*'Pawn Weights'!$K$10)+(N110*'Pawn Weights'!$K$11)+(O110*'Pawn Weights'!$K$12)+(P110*'Pawn Weights'!$K$13)+(Q110*'Pawn Weights'!$K$14), 2)</f>
        <v>76.91</v>
      </c>
      <c r="E110" s="280">
        <v>34.0</v>
      </c>
      <c r="F110" s="280">
        <v>36.0</v>
      </c>
      <c r="G110" s="280"/>
      <c r="H110" s="280"/>
      <c r="I110" s="280">
        <v>23.0</v>
      </c>
      <c r="J110" s="280"/>
      <c r="K110" s="280"/>
      <c r="L110" s="280"/>
      <c r="M110" s="281"/>
      <c r="N110" s="280"/>
      <c r="O110" s="280"/>
      <c r="P110" s="280">
        <v>1.0</v>
      </c>
      <c r="Q110" s="280">
        <v>1.0</v>
      </c>
      <c r="R110" s="290" t="s">
        <v>698</v>
      </c>
      <c r="S110" s="281"/>
      <c r="T110" s="291"/>
      <c r="U110" s="281"/>
      <c r="V110" s="281"/>
      <c r="W110" s="281"/>
    </row>
    <row r="111">
      <c r="A111" s="301"/>
      <c r="B111" s="288" t="s">
        <v>824</v>
      </c>
      <c r="C111" s="280" t="s">
        <v>825</v>
      </c>
      <c r="D111" s="289">
        <f>ROUND((F111*'Pawn Weights'!$K$3)+(G111*'Pawn Weights'!$K$4)+(H111*'Pawn Weights'!$K$5)+(I111*'Pawn Weights'!$K$6)+(J111*'Pawn Weights'!$K$7)+(K111*'Pawn Weights'!$K$8)+(L111*'Pawn Weights'!$K$9)+(M111*'Pawn Weights'!$K$10)+(N111*'Pawn Weights'!$K$11)+(O111*'Pawn Weights'!$K$12)+(P111*'Pawn Weights'!$K$13)+(Q111*'Pawn Weights'!$K$14), 2)</f>
        <v>76.36</v>
      </c>
      <c r="E111" s="280">
        <v>31.0</v>
      </c>
      <c r="F111" s="280"/>
      <c r="G111" s="280"/>
      <c r="H111" s="280">
        <v>72.0</v>
      </c>
      <c r="I111" s="280">
        <v>26.0</v>
      </c>
      <c r="J111" s="280"/>
      <c r="K111" s="280"/>
      <c r="L111" s="280"/>
      <c r="M111" s="281"/>
      <c r="N111" s="280"/>
      <c r="O111" s="280"/>
      <c r="P111" s="280"/>
      <c r="Q111" s="280">
        <v>2.0</v>
      </c>
      <c r="R111" s="290" t="s">
        <v>702</v>
      </c>
      <c r="S111" s="281"/>
      <c r="T111" s="291"/>
      <c r="U111" s="281"/>
      <c r="V111" s="281"/>
      <c r="W111" s="281"/>
    </row>
    <row r="112">
      <c r="A112" s="301" t="s">
        <v>635</v>
      </c>
      <c r="B112" s="288" t="s">
        <v>826</v>
      </c>
      <c r="C112" s="280" t="s">
        <v>637</v>
      </c>
      <c r="D112" s="289">
        <f>ROUND((F112*'Pawn Weights'!$K$3)+(G112*'Pawn Weights'!$K$4)+(H112*'Pawn Weights'!$K$5)+(I112*'Pawn Weights'!$K$6)+(J112*'Pawn Weights'!$K$7)+(K112*'Pawn Weights'!$K$8)+(L112*'Pawn Weights'!$K$9)+(M112*'Pawn Weights'!$K$10)+(N112*'Pawn Weights'!$K$11)+(O112*'Pawn Weights'!$K$12)+(P112*'Pawn Weights'!$K$13)+(Q112*'Pawn Weights'!$K$14), 2)</f>
        <v>75.63</v>
      </c>
      <c r="E112" s="280">
        <v>59.0</v>
      </c>
      <c r="F112" s="280">
        <v>42.0</v>
      </c>
      <c r="G112" s="280"/>
      <c r="H112" s="280"/>
      <c r="I112" s="280">
        <v>37.0</v>
      </c>
      <c r="J112" s="280"/>
      <c r="K112" s="280"/>
      <c r="L112" s="280"/>
      <c r="M112" s="281"/>
      <c r="N112" s="280"/>
      <c r="O112" s="280"/>
      <c r="P112" s="280"/>
      <c r="Q112" s="280"/>
      <c r="R112" s="290"/>
      <c r="S112" s="281"/>
      <c r="T112" s="291" t="s">
        <v>827</v>
      </c>
      <c r="U112" s="281"/>
      <c r="V112" s="281"/>
      <c r="W112" s="281"/>
    </row>
    <row r="113">
      <c r="A113" s="272" t="s">
        <v>828</v>
      </c>
      <c r="B113" s="281"/>
      <c r="C113" s="281"/>
      <c r="D113" s="293"/>
      <c r="E113" s="281"/>
      <c r="F113" s="281"/>
      <c r="G113" s="281"/>
      <c r="H113" s="281"/>
      <c r="I113" s="281"/>
      <c r="J113" s="281"/>
      <c r="K113" s="281"/>
      <c r="L113" s="281"/>
      <c r="M113" s="281"/>
      <c r="N113" s="281"/>
      <c r="O113" s="281"/>
      <c r="P113" s="281"/>
      <c r="Q113" s="281"/>
      <c r="R113" s="282"/>
      <c r="S113" s="281"/>
      <c r="T113" s="285"/>
      <c r="U113" s="281"/>
      <c r="V113" s="281"/>
      <c r="W113" s="281"/>
    </row>
    <row r="114">
      <c r="A114" s="292" t="s">
        <v>640</v>
      </c>
      <c r="B114" s="288" t="s">
        <v>829</v>
      </c>
      <c r="C114" s="280" t="s">
        <v>663</v>
      </c>
      <c r="D114" s="289">
        <f>ROUND((F114*'Pawn Weights'!$K$3)+(G114*'Pawn Weights'!$K$4)+(H114*'Pawn Weights'!$K$5)+(I114*'Pawn Weights'!$K$6)+(J114*'Pawn Weights'!$K$7)+(K114*'Pawn Weights'!$K$8)+(L114*'Pawn Weights'!$K$9)+(M114*'Pawn Weights'!$K$10)+(N114*'Pawn Weights'!$K$11)+(O114*'Pawn Weights'!$K$12)+(P114*'Pawn Weights'!$K$13)+(Q114*'Pawn Weights'!$K$14)-10+9.545+2, 2)</f>
        <v>146.65</v>
      </c>
      <c r="E114" s="280"/>
      <c r="F114" s="280">
        <v>43.0</v>
      </c>
      <c r="G114" s="280"/>
      <c r="H114" s="280"/>
      <c r="I114" s="280">
        <v>40.0</v>
      </c>
      <c r="J114" s="280"/>
      <c r="K114" s="280">
        <v>26.0</v>
      </c>
      <c r="L114" s="280">
        <v>26.0</v>
      </c>
      <c r="M114" s="281"/>
      <c r="N114" s="280"/>
      <c r="O114" s="280"/>
      <c r="P114" s="280">
        <v>1.0</v>
      </c>
      <c r="Q114" s="280"/>
      <c r="R114" s="290" t="s">
        <v>784</v>
      </c>
      <c r="S114" s="281"/>
      <c r="T114" s="291"/>
      <c r="U114" s="281"/>
      <c r="V114" s="281"/>
      <c r="W114" s="281"/>
    </row>
    <row r="115">
      <c r="A115" s="292"/>
      <c r="B115" s="288" t="s">
        <v>830</v>
      </c>
      <c r="C115" s="280" t="s">
        <v>649</v>
      </c>
      <c r="D115" s="289">
        <f>ROUND((F115*'Pawn Weights'!$K$3)+(G115*'Pawn Weights'!$K$4)+(H115*'Pawn Weights'!$K$5)+(I115*'Pawn Weights'!$K$6)+(J115*'Pawn Weights'!$K$7)+(K115*'Pawn Weights'!$K$8)+(L115*'Pawn Weights'!$K$9)+(M115*'Pawn Weights'!$K$10)+(N115*'Pawn Weights'!$K$11)+(O115*'Pawn Weights'!$K$12)+(P115*'Pawn Weights'!$K$13)+(Q115*'Pawn Weights'!$K$14), 2)</f>
        <v>105.45</v>
      </c>
      <c r="E115" s="280">
        <v>25.0</v>
      </c>
      <c r="F115" s="280"/>
      <c r="G115" s="280">
        <v>29.0</v>
      </c>
      <c r="H115" s="280">
        <v>74.0</v>
      </c>
      <c r="I115" s="280"/>
      <c r="J115" s="280"/>
      <c r="K115" s="280"/>
      <c r="L115" s="280">
        <v>25.0</v>
      </c>
      <c r="M115" s="281"/>
      <c r="N115" s="280"/>
      <c r="O115" s="280">
        <v>1.0</v>
      </c>
      <c r="P115" s="280"/>
      <c r="Q115" s="280">
        <v>1.0</v>
      </c>
      <c r="R115" s="290" t="s">
        <v>695</v>
      </c>
      <c r="S115" s="281"/>
      <c r="T115" s="291" t="s">
        <v>712</v>
      </c>
      <c r="U115" s="281"/>
      <c r="V115" s="281"/>
      <c r="W115" s="281"/>
    </row>
    <row r="116">
      <c r="A116" s="292"/>
      <c r="B116" s="288" t="s">
        <v>831</v>
      </c>
      <c r="C116" s="280" t="s">
        <v>718</v>
      </c>
      <c r="D116" s="289">
        <f>ROUND((F116*'Pawn Weights'!$K$3)+(G116*'Pawn Weights'!$K$4)+(H116*'Pawn Weights'!$K$5)+(I116*'Pawn Weights'!$K$6)+(J116*'Pawn Weights'!$K$7)+(K116*'Pawn Weights'!$K$8)+(L116*'Pawn Weights'!$K$9)+(M116*'Pawn Weights'!$K$10)+(N116*'Pawn Weights'!$K$11)+(O116*'Pawn Weights'!$K$12)+(P116*'Pawn Weights'!$K$13)+(Q116*'Pawn Weights'!$K$14), 2)</f>
        <v>91.84</v>
      </c>
      <c r="E116" s="280">
        <v>37.0</v>
      </c>
      <c r="F116" s="280">
        <v>34.0</v>
      </c>
      <c r="G116" s="280"/>
      <c r="H116" s="280"/>
      <c r="I116" s="280"/>
      <c r="J116" s="280">
        <v>14.0</v>
      </c>
      <c r="K116" s="280"/>
      <c r="L116" s="280"/>
      <c r="M116" s="280">
        <v>154.0</v>
      </c>
      <c r="N116" s="280"/>
      <c r="O116" s="280">
        <v>1.0</v>
      </c>
      <c r="P116" s="280"/>
      <c r="Q116" s="280">
        <v>1.0</v>
      </c>
      <c r="R116" s="290" t="s">
        <v>832</v>
      </c>
      <c r="S116" s="281"/>
      <c r="T116" s="291"/>
      <c r="U116" s="281"/>
      <c r="V116" s="281"/>
      <c r="W116" s="281"/>
    </row>
    <row r="117">
      <c r="A117" s="292"/>
      <c r="B117" s="288" t="s">
        <v>833</v>
      </c>
      <c r="C117" s="280" t="s">
        <v>816</v>
      </c>
      <c r="D117" s="289">
        <f>ROUND((F117*'Pawn Weights'!$K$3)+(G117*'Pawn Weights'!$K$4)+(H117*'Pawn Weights'!$K$5)+(I117*'Pawn Weights'!$K$6)+(J117*'Pawn Weights'!$K$7)+(K117*'Pawn Weights'!$K$8)+(L117*'Pawn Weights'!$K$9)+(M117*'Pawn Weights'!$K$10)+(N117*'Pawn Weights'!$K$11)+(O117*'Pawn Weights'!$K$12)+(P117*'Pawn Weights'!$K$13)+(Q117*'Pawn Weights'!$K$14), 2)</f>
        <v>91.53</v>
      </c>
      <c r="E117" s="280"/>
      <c r="F117" s="280"/>
      <c r="G117" s="280">
        <v>38.0</v>
      </c>
      <c r="H117" s="280">
        <v>76.0</v>
      </c>
      <c r="I117" s="280">
        <v>24.0</v>
      </c>
      <c r="J117" s="280">
        <v>17.0</v>
      </c>
      <c r="K117" s="280"/>
      <c r="L117" s="280"/>
      <c r="M117" s="281"/>
      <c r="N117" s="280"/>
      <c r="O117" s="280"/>
      <c r="P117" s="280"/>
      <c r="Q117" s="280"/>
      <c r="R117" s="290"/>
      <c r="S117" s="281"/>
      <c r="T117" s="291"/>
      <c r="U117" s="281"/>
      <c r="V117" s="281"/>
      <c r="W117" s="281"/>
    </row>
    <row r="118">
      <c r="A118" s="292"/>
      <c r="B118" s="288" t="s">
        <v>834</v>
      </c>
      <c r="C118" s="280" t="s">
        <v>835</v>
      </c>
      <c r="D118" s="289">
        <f>ROUND((F118*'Pawn Weights'!$K$3)+(G118*'Pawn Weights'!$K$4)+(H118*'Pawn Weights'!$K$5)+(I118*'Pawn Weights'!$K$6)+(J118*'Pawn Weights'!$K$7)+(K118*'Pawn Weights'!$K$8)+(L118*'Pawn Weights'!$K$9)+(M118*'Pawn Weights'!$K$10)+(N118*'Pawn Weights'!$K$11)+(O118*'Pawn Weights'!$K$12)+(P118*'Pawn Weights'!$K$13)+(Q118*'Pawn Weights'!$K$14), 2)</f>
        <v>91.13</v>
      </c>
      <c r="E118" s="280">
        <v>37.0</v>
      </c>
      <c r="F118" s="280"/>
      <c r="G118" s="280">
        <v>29.0</v>
      </c>
      <c r="H118" s="280">
        <v>76.0</v>
      </c>
      <c r="I118" s="280">
        <v>19.0</v>
      </c>
      <c r="J118" s="280"/>
      <c r="K118" s="280"/>
      <c r="L118" s="280"/>
      <c r="M118" s="281"/>
      <c r="N118" s="280"/>
      <c r="O118" s="280">
        <v>1.0</v>
      </c>
      <c r="P118" s="280">
        <v>1.0</v>
      </c>
      <c r="Q118" s="280"/>
      <c r="R118" s="290" t="s">
        <v>812</v>
      </c>
      <c r="S118" s="281"/>
      <c r="T118" s="291"/>
      <c r="U118" s="281"/>
      <c r="V118" s="281"/>
      <c r="W118" s="281"/>
    </row>
    <row r="119">
      <c r="A119" s="292" t="s">
        <v>627</v>
      </c>
      <c r="B119" s="288" t="s">
        <v>836</v>
      </c>
      <c r="C119" s="280" t="s">
        <v>837</v>
      </c>
      <c r="D119" s="289">
        <f>ROUND((F119*'Pawn Weights'!$K$3)+(G119*'Pawn Weights'!$K$4)+(H119*'Pawn Weights'!$K$5)+(I119*'Pawn Weights'!$K$6)+(J119*'Pawn Weights'!$K$7)+(K119*'Pawn Weights'!$K$8)+(L119*'Pawn Weights'!$K$9)+(M119*'Pawn Weights'!$K$10)+(N119*'Pawn Weights'!$K$11)+(O119*'Pawn Weights'!$K$12)+(P119*'Pawn Weights'!$K$13)+(Q119*'Pawn Weights'!$K$14), 2)</f>
        <v>90.94</v>
      </c>
      <c r="E119" s="280">
        <v>21.0</v>
      </c>
      <c r="F119" s="280">
        <v>41.0</v>
      </c>
      <c r="G119" s="280"/>
      <c r="H119" s="280"/>
      <c r="I119" s="280">
        <v>24.0</v>
      </c>
      <c r="J119" s="280">
        <v>14.0</v>
      </c>
      <c r="K119" s="280"/>
      <c r="L119" s="280"/>
      <c r="M119" s="281"/>
      <c r="N119" s="280"/>
      <c r="O119" s="280"/>
      <c r="P119" s="280">
        <v>1.0</v>
      </c>
      <c r="Q119" s="280">
        <v>1.0</v>
      </c>
      <c r="R119" s="290" t="s">
        <v>702</v>
      </c>
      <c r="S119" s="281"/>
      <c r="T119" s="291"/>
      <c r="U119" s="281"/>
      <c r="V119" s="281"/>
      <c r="W119" s="281"/>
    </row>
    <row r="120">
      <c r="A120" s="292"/>
      <c r="B120" s="288" t="s">
        <v>838</v>
      </c>
      <c r="C120" s="280" t="s">
        <v>839</v>
      </c>
      <c r="D120" s="289">
        <f>ROUND((F120*'Pawn Weights'!$K$3)+(G120*'Pawn Weights'!$K$4)+(H120*'Pawn Weights'!$K$5)+(I120*'Pawn Weights'!$K$6)+(J120*'Pawn Weights'!$K$7)+(K120*'Pawn Weights'!$K$8)+(L120*'Pawn Weights'!$K$9)+(M120*'Pawn Weights'!$K$10)+(N120*'Pawn Weights'!$K$11)+(O120*'Pawn Weights'!$K$12)+(P120*'Pawn Weights'!$K$13)+(Q120*'Pawn Weights'!$K$14), 2)</f>
        <v>86.96</v>
      </c>
      <c r="E120" s="280">
        <v>27.0</v>
      </c>
      <c r="F120" s="280"/>
      <c r="G120" s="280">
        <v>25.0</v>
      </c>
      <c r="H120" s="280">
        <v>58.0</v>
      </c>
      <c r="I120" s="280">
        <v>21.0</v>
      </c>
      <c r="J120" s="280"/>
      <c r="K120" s="280"/>
      <c r="L120" s="280"/>
      <c r="M120" s="280">
        <v>77.0</v>
      </c>
      <c r="N120" s="280"/>
      <c r="O120" s="280"/>
      <c r="P120" s="280"/>
      <c r="Q120" s="280">
        <v>1.0</v>
      </c>
      <c r="R120" s="290" t="s">
        <v>660</v>
      </c>
      <c r="S120" s="281"/>
      <c r="T120" s="291"/>
      <c r="U120" s="281"/>
      <c r="V120" s="281"/>
      <c r="W120" s="281"/>
    </row>
    <row r="121">
      <c r="A121" s="292"/>
      <c r="B121" s="288" t="s">
        <v>840</v>
      </c>
      <c r="C121" s="280" t="s">
        <v>723</v>
      </c>
      <c r="D121" s="289">
        <f>ROUND((F121*'Pawn Weights'!$K$3)+(G121*'Pawn Weights'!$K$4)+(H121*'Pawn Weights'!$K$5)+(I121*'Pawn Weights'!$K$6)+(J121*'Pawn Weights'!$K$7)+(K121*'Pawn Weights'!$K$8)+(L121*'Pawn Weights'!$K$9)+(M121*'Pawn Weights'!$K$10)+(N121*'Pawn Weights'!$K$11)+(O121*'Pawn Weights'!$K$12)+(P121*'Pawn Weights'!$K$13)+(Q121*'Pawn Weights'!$K$14), 2)</f>
        <v>83.75</v>
      </c>
      <c r="E121" s="280">
        <v>38.0</v>
      </c>
      <c r="F121" s="280"/>
      <c r="G121" s="280">
        <v>27.0</v>
      </c>
      <c r="H121" s="280">
        <v>76.0</v>
      </c>
      <c r="I121" s="280"/>
      <c r="J121" s="280"/>
      <c r="K121" s="280">
        <v>37.0</v>
      </c>
      <c r="L121" s="280"/>
      <c r="M121" s="281"/>
      <c r="N121" s="280"/>
      <c r="O121" s="280"/>
      <c r="P121" s="280"/>
      <c r="Q121" s="280"/>
      <c r="R121" s="290"/>
      <c r="S121" s="281"/>
      <c r="T121" s="291"/>
      <c r="U121" s="281"/>
      <c r="V121" s="281"/>
      <c r="W121" s="281"/>
    </row>
    <row r="122">
      <c r="A122" s="292"/>
      <c r="B122" s="288" t="s">
        <v>841</v>
      </c>
      <c r="C122" s="280" t="s">
        <v>842</v>
      </c>
      <c r="D122" s="289">
        <f>ROUND((F122*'Pawn Weights'!$K$3)+(G122*'Pawn Weights'!$K$4)+(H122*'Pawn Weights'!$K$5)+(I122*'Pawn Weights'!$K$6)+(J122*'Pawn Weights'!$K$7)+(K122*'Pawn Weights'!$K$8)+(L122*'Pawn Weights'!$K$9)+(M122*'Pawn Weights'!$K$10)+(N122*'Pawn Weights'!$K$11)+(O122*'Pawn Weights'!$K$12)+(P122*'Pawn Weights'!$K$13)+(Q122*'Pawn Weights'!$K$14), 2)</f>
        <v>82.91</v>
      </c>
      <c r="E122" s="280">
        <v>25.0</v>
      </c>
      <c r="F122" s="280"/>
      <c r="G122" s="280">
        <v>27.0</v>
      </c>
      <c r="H122" s="280">
        <v>76.0</v>
      </c>
      <c r="I122" s="280"/>
      <c r="J122" s="280"/>
      <c r="K122" s="280">
        <v>36.0</v>
      </c>
      <c r="L122" s="280"/>
      <c r="M122" s="281"/>
      <c r="N122" s="280"/>
      <c r="O122" s="280"/>
      <c r="P122" s="280"/>
      <c r="Q122" s="280"/>
      <c r="R122" s="290"/>
      <c r="S122" s="281"/>
      <c r="T122" s="291"/>
      <c r="U122" s="281"/>
      <c r="V122" s="281"/>
      <c r="W122" s="281"/>
    </row>
    <row r="123">
      <c r="A123" s="292"/>
      <c r="B123" s="288" t="s">
        <v>843</v>
      </c>
      <c r="C123" s="280" t="s">
        <v>844</v>
      </c>
      <c r="D123" s="289">
        <f>ROUND((F123*'Pawn Weights'!$K$3)+(G123*'Pawn Weights'!$K$4)+(H123*'Pawn Weights'!$K$5)+(I123*'Pawn Weights'!$K$6)+(J123*'Pawn Weights'!$K$7)+(K123*'Pawn Weights'!$K$8)+(L123*'Pawn Weights'!$K$9)+(M123*'Pawn Weights'!$K$10)+(N123*'Pawn Weights'!$K$11)+(O123*'Pawn Weights'!$K$12)+(P123*'Pawn Weights'!$K$13)+(Q123*'Pawn Weights'!$K$14)-10+9.545+1.332, 2)</f>
        <v>82.31</v>
      </c>
      <c r="E123" s="280">
        <v>33.0</v>
      </c>
      <c r="F123" s="280"/>
      <c r="G123" s="280">
        <v>34.0</v>
      </c>
      <c r="H123" s="280">
        <v>78.0</v>
      </c>
      <c r="I123" s="280"/>
      <c r="J123" s="280">
        <v>23.0</v>
      </c>
      <c r="K123" s="280"/>
      <c r="L123" s="280"/>
      <c r="M123" s="281"/>
      <c r="N123" s="280"/>
      <c r="O123" s="280"/>
      <c r="P123" s="280">
        <v>1.0</v>
      </c>
      <c r="Q123" s="280"/>
      <c r="R123" s="290" t="s">
        <v>711</v>
      </c>
      <c r="S123" s="281"/>
      <c r="T123" s="291"/>
      <c r="U123" s="281"/>
      <c r="V123" s="281"/>
      <c r="W123" s="281"/>
    </row>
    <row r="124">
      <c r="A124" s="292" t="s">
        <v>627</v>
      </c>
      <c r="B124" s="288" t="s">
        <v>845</v>
      </c>
      <c r="C124" s="280" t="s">
        <v>846</v>
      </c>
      <c r="D124" s="289">
        <f>ROUND((F124*'Pawn Weights'!$K$3)+(G124*'Pawn Weights'!$K$4)+(H124*'Pawn Weights'!$K$5)+(I124*'Pawn Weights'!$K$6)+(J124*'Pawn Weights'!$K$7)+(K124*'Pawn Weights'!$K$8)+(L124*'Pawn Weights'!$K$9)+(M124*'Pawn Weights'!$K$10)+(N124*'Pawn Weights'!$K$11)+(O124*'Pawn Weights'!$K$12)+(P124*'Pawn Weights'!$K$13)+(Q124*'Pawn Weights'!$K$14), 2)</f>
        <v>81.75</v>
      </c>
      <c r="E124" s="280">
        <v>14.0</v>
      </c>
      <c r="F124" s="280"/>
      <c r="G124" s="280">
        <v>32.0</v>
      </c>
      <c r="H124" s="280">
        <v>66.0</v>
      </c>
      <c r="I124" s="280"/>
      <c r="J124" s="280">
        <v>18.0</v>
      </c>
      <c r="K124" s="280"/>
      <c r="L124" s="280"/>
      <c r="M124" s="281"/>
      <c r="N124" s="280"/>
      <c r="O124" s="280"/>
      <c r="P124" s="280"/>
      <c r="Q124" s="280">
        <v>2.0</v>
      </c>
      <c r="R124" s="290" t="s">
        <v>695</v>
      </c>
      <c r="S124" s="281"/>
      <c r="T124" s="291"/>
      <c r="U124" s="281"/>
      <c r="V124" s="281"/>
      <c r="W124" s="281"/>
    </row>
    <row r="125">
      <c r="A125" s="281"/>
      <c r="B125" s="288" t="s">
        <v>847</v>
      </c>
      <c r="C125" s="280" t="s">
        <v>825</v>
      </c>
      <c r="D125" s="289">
        <f>ROUND((F125*'Pawn Weights'!$K$3)+(G125*'Pawn Weights'!$K$4)+(H125*'Pawn Weights'!$K$5)+(I125*'Pawn Weights'!$K$6)+(J125*'Pawn Weights'!$K$7)+(K125*'Pawn Weights'!$K$8)+(L125*'Pawn Weights'!$K$9)+(M125*'Pawn Weights'!$K$10)+(N125*'Pawn Weights'!$K$11)+(O125*'Pawn Weights'!$K$12)+(P125*'Pawn Weights'!$K$13)+(Q125*'Pawn Weights'!$K$14), 2)</f>
        <v>79.45</v>
      </c>
      <c r="E125" s="280">
        <v>30.0</v>
      </c>
      <c r="F125" s="280">
        <v>34.0</v>
      </c>
      <c r="G125" s="280"/>
      <c r="H125" s="280"/>
      <c r="I125" s="280">
        <v>28.0</v>
      </c>
      <c r="J125" s="280"/>
      <c r="K125" s="280"/>
      <c r="L125" s="280"/>
      <c r="M125" s="281"/>
      <c r="N125" s="280"/>
      <c r="O125" s="280">
        <v>1.0</v>
      </c>
      <c r="P125" s="280"/>
      <c r="Q125" s="280">
        <v>1.0</v>
      </c>
      <c r="R125" s="290" t="s">
        <v>702</v>
      </c>
      <c r="S125" s="281"/>
      <c r="T125" s="291"/>
      <c r="U125" s="281"/>
      <c r="V125" s="281"/>
      <c r="W125" s="281"/>
    </row>
    <row r="126">
      <c r="A126" s="292" t="s">
        <v>671</v>
      </c>
      <c r="B126" s="288" t="s">
        <v>848</v>
      </c>
      <c r="C126" s="280" t="s">
        <v>849</v>
      </c>
      <c r="D126" s="289">
        <f>ROUND((F126*'Pawn Weights'!$K$3)+(G126*'Pawn Weights'!$K$4)+(H126*'Pawn Weights'!$K$5)+(I126*'Pawn Weights'!$K$6)+(J126*'Pawn Weights'!$K$7)+(K126*'Pawn Weights'!$K$8)+(L126*'Pawn Weights'!$K$9)+(M126*'Pawn Weights'!$K$10)+(N126*'Pawn Weights'!$K$11)+(O126*'Pawn Weights'!$K$12)+(P126*'Pawn Weights'!$K$13)+(Q126*'Pawn Weights'!$K$14), 2)</f>
        <v>76.36</v>
      </c>
      <c r="E126" s="280">
        <v>56.0</v>
      </c>
      <c r="F126" s="280">
        <v>40.0</v>
      </c>
      <c r="G126" s="280"/>
      <c r="H126" s="280"/>
      <c r="I126" s="280">
        <v>40.0</v>
      </c>
      <c r="J126" s="280"/>
      <c r="K126" s="280"/>
      <c r="L126" s="280"/>
      <c r="M126" s="281"/>
      <c r="N126" s="280"/>
      <c r="O126" s="280"/>
      <c r="P126" s="280"/>
      <c r="Q126" s="280"/>
      <c r="R126" s="290"/>
      <c r="S126" s="281"/>
      <c r="T126" s="291" t="s">
        <v>850</v>
      </c>
      <c r="U126" s="281"/>
      <c r="V126" s="281"/>
      <c r="W126" s="281"/>
    </row>
    <row r="127">
      <c r="A127" s="281"/>
      <c r="B127" s="288" t="s">
        <v>851</v>
      </c>
      <c r="C127" s="280" t="s">
        <v>844</v>
      </c>
      <c r="D127" s="289">
        <f>ROUND((F127*'Pawn Weights'!$K$3)+(G127*'Pawn Weights'!$K$4)+(H127*'Pawn Weights'!$K$5)+(I127*'Pawn Weights'!$K$6)+(J127*'Pawn Weights'!$K$7)+(K127*'Pawn Weights'!$K$8)+(L127*'Pawn Weights'!$K$9)+(M127*'Pawn Weights'!$K$10)+(N127*'Pawn Weights'!$K$11)+(O127*'Pawn Weights'!$K$12)+(P127*'Pawn Weights'!$K$13)+(Q127*'Pawn Weights'!$K$14), 2)</f>
        <v>75.32</v>
      </c>
      <c r="E127" s="280">
        <v>55.0</v>
      </c>
      <c r="F127" s="280">
        <v>40.0</v>
      </c>
      <c r="G127" s="280"/>
      <c r="H127" s="280"/>
      <c r="I127" s="280"/>
      <c r="J127" s="280"/>
      <c r="K127" s="280">
        <v>30.0</v>
      </c>
      <c r="L127" s="280"/>
      <c r="M127" s="281"/>
      <c r="N127" s="280"/>
      <c r="O127" s="280"/>
      <c r="P127" s="280"/>
      <c r="Q127" s="280">
        <v>1.0</v>
      </c>
      <c r="R127" s="290" t="s">
        <v>784</v>
      </c>
      <c r="S127" s="281"/>
      <c r="T127" s="291"/>
      <c r="U127" s="281"/>
      <c r="V127" s="281"/>
      <c r="W127" s="281"/>
    </row>
    <row r="128">
      <c r="A128" s="272" t="s">
        <v>852</v>
      </c>
      <c r="B128" s="281"/>
      <c r="C128" s="281"/>
      <c r="D128" s="293"/>
      <c r="E128" s="281"/>
      <c r="F128" s="281"/>
      <c r="G128" s="281"/>
      <c r="H128" s="281"/>
      <c r="I128" s="281"/>
      <c r="J128" s="281"/>
      <c r="K128" s="281"/>
      <c r="L128" s="281"/>
      <c r="M128" s="281"/>
      <c r="N128" s="281"/>
      <c r="O128" s="281"/>
      <c r="P128" s="281"/>
      <c r="Q128" s="281"/>
      <c r="R128" s="282"/>
      <c r="S128" s="281"/>
      <c r="T128" s="285"/>
      <c r="U128" s="281"/>
      <c r="V128" s="281"/>
      <c r="W128" s="281"/>
    </row>
    <row r="129">
      <c r="A129" s="309"/>
      <c r="B129" s="288" t="s">
        <v>853</v>
      </c>
      <c r="C129" s="280" t="s">
        <v>854</v>
      </c>
      <c r="D129" s="289">
        <f>ROUND((F129*'Pawn Weights'!$K$3)+(G129*'Pawn Weights'!$K$4)+(H129*'Pawn Weights'!$K$5)+(I129*'Pawn Weights'!$K$6)+(J129*'Pawn Weights'!$K$7)+(K129*'Pawn Weights'!$K$8)+(L129*'Pawn Weights'!$K$9)+(M129*'Pawn Weights'!$K$10)+(N129*'Pawn Weights'!$K$11)+(O129*'Pawn Weights'!$K$12)+(P129*'Pawn Weights'!$K$13)+(Q129*'Pawn Weights'!$K$14)+2.664, 2)</f>
        <v>178.12</v>
      </c>
      <c r="E129" s="280">
        <v>48.0</v>
      </c>
      <c r="F129" s="280"/>
      <c r="G129" s="280">
        <v>41.0</v>
      </c>
      <c r="H129" s="280">
        <v>124.0</v>
      </c>
      <c r="I129" s="280"/>
      <c r="J129" s="280">
        <v>32.0</v>
      </c>
      <c r="K129" s="280"/>
      <c r="L129" s="280"/>
      <c r="M129" s="280">
        <v>224.0</v>
      </c>
      <c r="N129" s="280"/>
      <c r="O129" s="280">
        <v>3.0</v>
      </c>
      <c r="P129" s="280"/>
      <c r="Q129" s="280"/>
      <c r="R129" s="290" t="s">
        <v>622</v>
      </c>
      <c r="S129" s="281"/>
      <c r="T129" s="291"/>
      <c r="U129" s="281"/>
      <c r="V129" s="281"/>
      <c r="W129" s="281"/>
    </row>
    <row r="130">
      <c r="A130" s="301"/>
      <c r="B130" s="288" t="s">
        <v>855</v>
      </c>
      <c r="C130" s="280" t="s">
        <v>663</v>
      </c>
      <c r="D130" s="289">
        <f>ROUND((F130*'Pawn Weights'!$K$3)+(G130*'Pawn Weights'!$K$4)+(H130*'Pawn Weights'!$K$5)+(I130*'Pawn Weights'!$K$6)+(J130*'Pawn Weights'!$K$7)+(K130*'Pawn Weights'!$K$8)+(L130*'Pawn Weights'!$K$9)+(M130*'Pawn Weights'!$K$10)+(N130*'Pawn Weights'!$K$11)+(O130*'Pawn Weights'!$K$12)+(P130*'Pawn Weights'!$K$13)+(Q130*'Pawn Weights'!$K$14), 2)</f>
        <v>164.11</v>
      </c>
      <c r="E130" s="280">
        <v>48.0</v>
      </c>
      <c r="F130" s="280">
        <v>61.0</v>
      </c>
      <c r="G130" s="280"/>
      <c r="H130" s="280"/>
      <c r="I130" s="280">
        <v>34.0</v>
      </c>
      <c r="J130" s="280"/>
      <c r="K130" s="280">
        <v>50.0</v>
      </c>
      <c r="L130" s="280"/>
      <c r="M130" s="280"/>
      <c r="N130" s="280"/>
      <c r="O130" s="280">
        <v>1.0</v>
      </c>
      <c r="P130" s="280">
        <v>1.0</v>
      </c>
      <c r="Q130" s="280">
        <v>1.0</v>
      </c>
      <c r="R130" s="290" t="s">
        <v>643</v>
      </c>
      <c r="S130" s="281"/>
      <c r="T130" s="294"/>
      <c r="U130" s="281"/>
      <c r="V130" s="281"/>
      <c r="W130" s="281"/>
      <c r="X130" s="281"/>
    </row>
    <row r="131">
      <c r="A131" s="301"/>
      <c r="B131" s="288" t="s">
        <v>856</v>
      </c>
      <c r="C131" s="280" t="s">
        <v>857</v>
      </c>
      <c r="D131" s="289">
        <f>ROUND((F131*'Pawn Weights'!$K$3)+(G131*'Pawn Weights'!$K$4)+(H131*'Pawn Weights'!$K$5)+(I131*'Pawn Weights'!$K$6)+(J131*'Pawn Weights'!$K$7)+(K131*'Pawn Weights'!$K$8)+(L131*'Pawn Weights'!$K$9)+(M131*'Pawn Weights'!$K$10)+(N131*'Pawn Weights'!$K$11)+(O131*'Pawn Weights'!$K$12)+(P131*'Pawn Weights'!$K$13)+(Q131*'Pawn Weights'!$K$14), 2)</f>
        <v>150.37</v>
      </c>
      <c r="E131" s="280">
        <v>51.0</v>
      </c>
      <c r="F131" s="280">
        <v>51.0</v>
      </c>
      <c r="G131" s="280"/>
      <c r="H131" s="280"/>
      <c r="I131" s="280">
        <v>35.0</v>
      </c>
      <c r="J131" s="280"/>
      <c r="K131" s="280"/>
      <c r="L131" s="280"/>
      <c r="M131" s="280">
        <v>350.0</v>
      </c>
      <c r="N131" s="280"/>
      <c r="O131" s="280"/>
      <c r="P131" s="280"/>
      <c r="Q131" s="280"/>
      <c r="R131" s="290"/>
      <c r="S131" s="281"/>
      <c r="T131" s="294"/>
      <c r="U131" s="281"/>
      <c r="V131" s="281"/>
      <c r="W131" s="281"/>
      <c r="X131" s="281"/>
    </row>
    <row r="132">
      <c r="A132" s="300" t="s">
        <v>693</v>
      </c>
      <c r="B132" s="288" t="s">
        <v>858</v>
      </c>
      <c r="C132" s="280" t="s">
        <v>854</v>
      </c>
      <c r="D132" s="289">
        <f>ROUND((F132*'Pawn Weights'!$K$3)+(G132*'Pawn Weights'!$K$4)+(H132*'Pawn Weights'!$K$5)+(I132*'Pawn Weights'!$K$6)+(J132*'Pawn Weights'!$K$7)+(K132*'Pawn Weights'!$K$8)+(L132*'Pawn Weights'!$K$9)+(M132*'Pawn Weights'!$K$10)+(N132*'Pawn Weights'!$K$11)+(O132*'Pawn Weights'!$K$12)+(P132*'Pawn Weights'!$K$13)+(Q132*'Pawn Weights'!$K$14), 2)</f>
        <v>141.11</v>
      </c>
      <c r="E132" s="280">
        <v>66.0</v>
      </c>
      <c r="F132" s="280">
        <v>44.0</v>
      </c>
      <c r="G132" s="280">
        <v>46.0</v>
      </c>
      <c r="H132" s="280"/>
      <c r="I132" s="280"/>
      <c r="J132" s="280"/>
      <c r="K132" s="280"/>
      <c r="L132" s="280"/>
      <c r="M132" s="280">
        <v>189.0</v>
      </c>
      <c r="N132" s="280"/>
      <c r="O132" s="280">
        <v>2.0</v>
      </c>
      <c r="P132" s="280"/>
      <c r="Q132" s="280">
        <v>1.0</v>
      </c>
      <c r="R132" s="290" t="s">
        <v>622</v>
      </c>
      <c r="S132" s="281"/>
      <c r="T132" s="294"/>
      <c r="U132" s="281"/>
      <c r="V132" s="281"/>
      <c r="W132" s="281"/>
      <c r="X132" s="281"/>
    </row>
    <row r="133">
      <c r="A133" s="301"/>
      <c r="B133" s="288" t="s">
        <v>859</v>
      </c>
      <c r="C133" s="280" t="s">
        <v>781</v>
      </c>
      <c r="D133" s="289">
        <f>ROUND((F133*'Pawn Weights'!$K$3)+(G133*'Pawn Weights'!$K$4)+(H133*'Pawn Weights'!$K$5)+(I133*'Pawn Weights'!$K$6)+(J133*'Pawn Weights'!$K$7)+(K133*'Pawn Weights'!$K$8)+(L133*'Pawn Weights'!$K$9)+(M133*'Pawn Weights'!$K$10)+(N133*'Pawn Weights'!$K$11)+(O133*'Pawn Weights'!$K$12)+(P133*'Pawn Weights'!$K$13)+(Q133*'Pawn Weights'!$K$14), 2)</f>
        <v>134.1</v>
      </c>
      <c r="E133" s="280">
        <v>49.0</v>
      </c>
      <c r="F133" s="280"/>
      <c r="G133" s="280">
        <v>57.0</v>
      </c>
      <c r="H133" s="280">
        <v>120.0</v>
      </c>
      <c r="I133" s="280"/>
      <c r="J133" s="280">
        <v>20.0</v>
      </c>
      <c r="K133" s="280"/>
      <c r="L133" s="280"/>
      <c r="M133" s="280"/>
      <c r="N133" s="280"/>
      <c r="O133" s="280"/>
      <c r="P133" s="280">
        <v>1.0</v>
      </c>
      <c r="Q133" s="280">
        <v>2.0</v>
      </c>
      <c r="R133" s="290" t="s">
        <v>745</v>
      </c>
      <c r="S133" s="281"/>
      <c r="T133" s="294"/>
      <c r="U133" s="281"/>
      <c r="V133" s="281"/>
      <c r="W133" s="281"/>
      <c r="X133" s="281"/>
    </row>
    <row r="134">
      <c r="A134" s="301" t="s">
        <v>635</v>
      </c>
      <c r="B134" s="288" t="s">
        <v>860</v>
      </c>
      <c r="C134" s="280" t="s">
        <v>637</v>
      </c>
      <c r="D134" s="289">
        <f>ROUND((F134*'Pawn Weights'!$K$3)+(G134*'Pawn Weights'!$K$4)+(H134*'Pawn Weights'!$K$5)+(I134*'Pawn Weights'!$K$6)+(J134*'Pawn Weights'!$K$7)+(K134*'Pawn Weights'!$K$8)+(L134*'Pawn Weights'!$K$9)+(M134*'Pawn Weights'!$K$10)+(N134*'Pawn Weights'!$K$11)+(O134*'Pawn Weights'!$K$12)+(P134*'Pawn Weights'!$K$13)+(Q134*'Pawn Weights'!$K$14), 2)</f>
        <v>131.83</v>
      </c>
      <c r="E134" s="280">
        <v>77.0</v>
      </c>
      <c r="F134" s="280">
        <v>57.0</v>
      </c>
      <c r="G134" s="280"/>
      <c r="H134" s="280"/>
      <c r="I134" s="280">
        <v>53.0</v>
      </c>
      <c r="J134" s="280">
        <v>18.0</v>
      </c>
      <c r="K134" s="280"/>
      <c r="L134" s="280"/>
      <c r="M134" s="280">
        <v>84.0</v>
      </c>
      <c r="N134" s="280"/>
      <c r="O134" s="280"/>
      <c r="P134" s="280"/>
      <c r="Q134" s="280"/>
      <c r="R134" s="290"/>
      <c r="S134" s="281"/>
      <c r="T134" s="294" t="s">
        <v>861</v>
      </c>
      <c r="U134" s="281"/>
      <c r="V134" s="281"/>
      <c r="W134" s="281"/>
      <c r="X134" s="281"/>
    </row>
    <row r="135">
      <c r="A135" s="301" t="s">
        <v>640</v>
      </c>
      <c r="B135" s="288" t="s">
        <v>862</v>
      </c>
      <c r="C135" s="280" t="s">
        <v>639</v>
      </c>
      <c r="D135" s="289">
        <f>ROUND((F135*'Pawn Weights'!$K$3)+(G135*'Pawn Weights'!$K$4)+(H135*'Pawn Weights'!$K$5)+(I135*'Pawn Weights'!$K$6)+(J135*'Pawn Weights'!$K$7)+(K135*'Pawn Weights'!$K$8)+(L135*'Pawn Weights'!$K$9)+(M135*'Pawn Weights'!$K$10)+(N135*'Pawn Weights'!$K$11)+(O135*'Pawn Weights'!$K$12)+(P135*'Pawn Weights'!$K$13)+(Q135*'Pawn Weights'!$K$14), 2)</f>
        <v>127.69</v>
      </c>
      <c r="E135" s="280">
        <v>55.0</v>
      </c>
      <c r="F135" s="280">
        <v>62.0</v>
      </c>
      <c r="G135" s="280">
        <v>41.0</v>
      </c>
      <c r="H135" s="280"/>
      <c r="I135" s="280"/>
      <c r="J135" s="280">
        <v>14.0</v>
      </c>
      <c r="K135" s="280"/>
      <c r="L135" s="280"/>
      <c r="M135" s="280">
        <v>105.0</v>
      </c>
      <c r="N135" s="280"/>
      <c r="O135" s="280"/>
      <c r="P135" s="280"/>
      <c r="Q135" s="280">
        <v>1.0</v>
      </c>
      <c r="R135" s="290" t="s">
        <v>784</v>
      </c>
      <c r="S135" s="281"/>
      <c r="T135" s="294"/>
      <c r="U135" s="281"/>
      <c r="V135" s="281"/>
      <c r="W135" s="281"/>
      <c r="X135" s="281"/>
    </row>
    <row r="136">
      <c r="A136" s="301"/>
      <c r="B136" s="288" t="s">
        <v>863</v>
      </c>
      <c r="C136" s="280" t="s">
        <v>642</v>
      </c>
      <c r="D136" s="289">
        <f>ROUND((F136*'Pawn Weights'!$K$3)+(G136*'Pawn Weights'!$K$4)+(H136*'Pawn Weights'!$K$5)+(I136*'Pawn Weights'!$K$6)+(J136*'Pawn Weights'!$K$7)+(K136*'Pawn Weights'!$K$8)+(L136*'Pawn Weights'!$K$9)+(M136*'Pawn Weights'!$K$10)+(N136*'Pawn Weights'!$K$11)+(O136*'Pawn Weights'!$K$12)+(P136*'Pawn Weights'!$K$13)+(Q136*'Pawn Weights'!$K$14), 2)</f>
        <v>122.83</v>
      </c>
      <c r="E136" s="280">
        <v>61.0</v>
      </c>
      <c r="F136" s="280">
        <v>70.0</v>
      </c>
      <c r="G136" s="280"/>
      <c r="H136" s="280"/>
      <c r="I136" s="280">
        <v>46.0</v>
      </c>
      <c r="J136" s="280">
        <v>19.0</v>
      </c>
      <c r="K136" s="280"/>
      <c r="L136" s="280"/>
      <c r="M136" s="280"/>
      <c r="N136" s="280"/>
      <c r="O136" s="280"/>
      <c r="P136" s="280"/>
      <c r="Q136" s="280"/>
      <c r="R136" s="290"/>
      <c r="S136" s="281"/>
      <c r="T136" s="294"/>
      <c r="U136" s="281"/>
      <c r="V136" s="281"/>
      <c r="W136" s="281"/>
      <c r="X136" s="281"/>
    </row>
    <row r="137">
      <c r="A137" s="301"/>
      <c r="B137" s="288" t="s">
        <v>864</v>
      </c>
      <c r="C137" s="280" t="s">
        <v>865</v>
      </c>
      <c r="D137" s="289">
        <f>ROUND((F137*'Pawn Weights'!$K$3)+(G137*'Pawn Weights'!$K$4)+(H137*'Pawn Weights'!$K$5)+(I137*'Pawn Weights'!$K$6)+(J137*'Pawn Weights'!$K$7)+(K137*'Pawn Weights'!$K$8)+(L137*'Pawn Weights'!$K$9)+(M137*'Pawn Weights'!$K$10)+(N137*'Pawn Weights'!$K$11)+(O137*'Pawn Weights'!$K$12)+(P137*'Pawn Weights'!$K$13)+(Q137*'Pawn Weights'!$K$14), 2)</f>
        <v>122.79</v>
      </c>
      <c r="E137" s="280">
        <v>48.0</v>
      </c>
      <c r="F137" s="280">
        <v>52.0</v>
      </c>
      <c r="G137" s="280"/>
      <c r="H137" s="280"/>
      <c r="I137" s="280"/>
      <c r="J137" s="280">
        <v>25.0</v>
      </c>
      <c r="K137" s="280">
        <v>43.0</v>
      </c>
      <c r="L137" s="280"/>
      <c r="M137" s="280"/>
      <c r="N137" s="280"/>
      <c r="O137" s="280"/>
      <c r="P137" s="280">
        <v>1.0</v>
      </c>
      <c r="Q137" s="280">
        <v>1.0</v>
      </c>
      <c r="R137" s="290" t="s">
        <v>698</v>
      </c>
      <c r="S137" s="281"/>
      <c r="T137" s="294"/>
      <c r="U137" s="281"/>
      <c r="V137" s="281"/>
      <c r="W137" s="281"/>
      <c r="X137" s="281"/>
    </row>
    <row r="138">
      <c r="A138" s="301"/>
      <c r="B138" s="288" t="s">
        <v>866</v>
      </c>
      <c r="C138" s="280" t="s">
        <v>814</v>
      </c>
      <c r="D138" s="289">
        <f>ROUND((F138*'Pawn Weights'!$K$3)+(G138*'Pawn Weights'!$K$4)+(H138*'Pawn Weights'!$K$5)+(I138*'Pawn Weights'!$K$6)+(J138*'Pawn Weights'!$K$7)+(K138*'Pawn Weights'!$K$8)+(L138*'Pawn Weights'!$K$9)+(M138*'Pawn Weights'!$K$10)+(N138*'Pawn Weights'!$K$11)+(O138*'Pawn Weights'!$K$12)+(P138*'Pawn Weights'!$K$13)+(Q138*'Pawn Weights'!$K$14), 2)</f>
        <v>121.6</v>
      </c>
      <c r="E138" s="280">
        <v>28.0</v>
      </c>
      <c r="F138" s="280"/>
      <c r="G138" s="280">
        <v>42.0</v>
      </c>
      <c r="H138" s="280">
        <v>100.0</v>
      </c>
      <c r="I138" s="280">
        <v>20.0</v>
      </c>
      <c r="J138" s="280"/>
      <c r="K138" s="280"/>
      <c r="L138" s="280"/>
      <c r="M138" s="280"/>
      <c r="N138" s="280"/>
      <c r="O138" s="280">
        <v>1.0</v>
      </c>
      <c r="P138" s="280">
        <v>1.0</v>
      </c>
      <c r="Q138" s="280">
        <v>1.0</v>
      </c>
      <c r="R138" s="290" t="s">
        <v>624</v>
      </c>
      <c r="S138" s="281"/>
      <c r="T138" s="294"/>
      <c r="U138" s="281"/>
      <c r="V138" s="281"/>
      <c r="W138" s="281"/>
      <c r="X138" s="281"/>
    </row>
    <row r="139">
      <c r="A139" s="301" t="s">
        <v>644</v>
      </c>
      <c r="B139" s="288" t="s">
        <v>867</v>
      </c>
      <c r="C139" s="280" t="s">
        <v>646</v>
      </c>
      <c r="D139" s="289">
        <f>ROUND((F139*'Pawn Weights'!$K$3)+(G139*'Pawn Weights'!$K$4)+(H139*'Pawn Weights'!$K$5)+(I139*'Pawn Weights'!$K$6)+(J139*'Pawn Weights'!$K$7)+(K139*'Pawn Weights'!$K$8)+(L139*'Pawn Weights'!$K$9)+(M139*'Pawn Weights'!$K$10)+(N139*'Pawn Weights'!$K$11)+(O139*'Pawn Weights'!$K$12)+(P139*'Pawn Weights'!$K$13)+(Q139*'Pawn Weights'!$K$14), 2)</f>
        <v>116.9</v>
      </c>
      <c r="E139" s="280">
        <v>70.0</v>
      </c>
      <c r="F139" s="280">
        <v>51.0</v>
      </c>
      <c r="G139" s="280"/>
      <c r="H139" s="280"/>
      <c r="I139" s="280">
        <v>47.0</v>
      </c>
      <c r="J139" s="280">
        <v>12.0</v>
      </c>
      <c r="K139" s="280"/>
      <c r="L139" s="280"/>
      <c r="M139" s="280">
        <v>84.0</v>
      </c>
      <c r="N139" s="280"/>
      <c r="O139" s="280"/>
      <c r="P139" s="280"/>
      <c r="Q139" s="280"/>
      <c r="R139" s="290"/>
      <c r="S139" s="281"/>
      <c r="T139" s="294"/>
      <c r="U139" s="281"/>
      <c r="V139" s="281"/>
      <c r="W139" s="281"/>
      <c r="X139" s="281"/>
    </row>
    <row r="140">
      <c r="A140" s="301"/>
      <c r="B140" s="288" t="s">
        <v>868</v>
      </c>
      <c r="C140" s="280" t="s">
        <v>814</v>
      </c>
      <c r="D140" s="289">
        <f>ROUND((F140*'Pawn Weights'!$K$3)+(G140*'Pawn Weights'!$K$4)+(H140*'Pawn Weights'!$K$5)+(I140*'Pawn Weights'!$K$6)+(J140*'Pawn Weights'!$K$7)+(K140*'Pawn Weights'!$K$8)+(L140*'Pawn Weights'!$K$9)+(M140*'Pawn Weights'!$K$10)+(N140*'Pawn Weights'!$K$11)+(O140*'Pawn Weights'!$K$12)+(P140*'Pawn Weights'!$K$13)+(Q140*'Pawn Weights'!$K$14), 2)</f>
        <v>113.43</v>
      </c>
      <c r="E140" s="280">
        <v>61.0</v>
      </c>
      <c r="F140" s="280"/>
      <c r="G140" s="280">
        <v>50.0</v>
      </c>
      <c r="H140" s="280">
        <v>102.0</v>
      </c>
      <c r="I140" s="280"/>
      <c r="J140" s="280"/>
      <c r="K140" s="280"/>
      <c r="L140" s="280"/>
      <c r="M140" s="280">
        <v>175.0</v>
      </c>
      <c r="N140" s="280"/>
      <c r="O140" s="280"/>
      <c r="P140" s="280"/>
      <c r="Q140" s="280"/>
      <c r="R140" s="290"/>
      <c r="S140" s="281"/>
      <c r="T140" s="294"/>
      <c r="U140" s="281"/>
      <c r="V140" s="281"/>
      <c r="W140" s="281"/>
      <c r="X140" s="281"/>
    </row>
    <row r="141">
      <c r="A141" s="301"/>
      <c r="B141" s="288" t="s">
        <v>869</v>
      </c>
      <c r="C141" s="280" t="s">
        <v>865</v>
      </c>
      <c r="D141" s="289">
        <f>ROUND((F141*'Pawn Weights'!$K$3)+(G141*'Pawn Weights'!$K$4)+(H141*'Pawn Weights'!$K$5)+(I141*'Pawn Weights'!$K$6)+(J141*'Pawn Weights'!$K$7)+(K141*'Pawn Weights'!$K$8)+(L141*'Pawn Weights'!$K$9)+(M141*'Pawn Weights'!$K$10)+(N141*'Pawn Weights'!$K$11)+(O141*'Pawn Weights'!$K$12)+(P141*'Pawn Weights'!$K$13)+(Q141*'Pawn Weights'!$K$14), 2)</f>
        <v>113.31</v>
      </c>
      <c r="E141" s="280">
        <v>45.0</v>
      </c>
      <c r="F141" s="280"/>
      <c r="G141" s="280">
        <v>43.0</v>
      </c>
      <c r="H141" s="280">
        <v>104.0</v>
      </c>
      <c r="I141" s="280"/>
      <c r="J141" s="280">
        <v>30.0</v>
      </c>
      <c r="K141" s="280"/>
      <c r="L141" s="280"/>
      <c r="M141" s="280"/>
      <c r="N141" s="280"/>
      <c r="O141" s="280"/>
      <c r="P141" s="280">
        <v>1.0</v>
      </c>
      <c r="Q141" s="280">
        <v>1.0</v>
      </c>
      <c r="R141" s="290" t="s">
        <v>832</v>
      </c>
      <c r="S141" s="281"/>
      <c r="T141" s="294"/>
      <c r="U141" s="281"/>
      <c r="V141" s="281"/>
      <c r="W141" s="281"/>
      <c r="X141" s="281"/>
    </row>
    <row r="142">
      <c r="A142" s="301"/>
      <c r="B142" s="288" t="s">
        <v>870</v>
      </c>
      <c r="C142" s="280" t="s">
        <v>871</v>
      </c>
      <c r="D142" s="289">
        <f>ROUND((F142*'Pawn Weights'!$K$3)+(G142*'Pawn Weights'!$K$4)+(H142*'Pawn Weights'!$K$5)+(I142*'Pawn Weights'!$K$6)+(J142*'Pawn Weights'!$K$7)+(K142*'Pawn Weights'!$K$8)+(L142*'Pawn Weights'!$K$9)+(M142*'Pawn Weights'!$K$10)+(N142*'Pawn Weights'!$K$11)+(O142*'Pawn Weights'!$K$12)+(P142*'Pawn Weights'!$K$13)+(Q142*'Pawn Weights'!$K$14), 2)</f>
        <v>107.18</v>
      </c>
      <c r="E142" s="280">
        <v>46.0</v>
      </c>
      <c r="F142" s="280">
        <v>49.0</v>
      </c>
      <c r="G142" s="280"/>
      <c r="H142" s="280"/>
      <c r="I142" s="280">
        <v>31.0</v>
      </c>
      <c r="J142" s="280"/>
      <c r="K142" s="280"/>
      <c r="L142" s="280"/>
      <c r="M142" s="280"/>
      <c r="N142" s="280"/>
      <c r="O142" s="280">
        <v>1.0</v>
      </c>
      <c r="P142" s="280">
        <v>1.0</v>
      </c>
      <c r="Q142" s="280">
        <v>1.0</v>
      </c>
      <c r="R142" s="290" t="s">
        <v>643</v>
      </c>
      <c r="S142" s="281"/>
      <c r="T142" s="294"/>
      <c r="U142" s="281"/>
      <c r="V142" s="281"/>
      <c r="W142" s="281"/>
      <c r="X142" s="281"/>
    </row>
    <row r="143">
      <c r="A143" s="301" t="s">
        <v>647</v>
      </c>
      <c r="B143" s="288" t="s">
        <v>872</v>
      </c>
      <c r="C143" s="280" t="s">
        <v>873</v>
      </c>
      <c r="D143" s="289">
        <f>ROUND((F143*'Pawn Weights'!$K$3)+(G143*'Pawn Weights'!$K$4)+(H143*'Pawn Weights'!$K$5)+(I143*'Pawn Weights'!$K$6)+(J143*'Pawn Weights'!$K$7)+(K143*'Pawn Weights'!$K$8)+(L143*'Pawn Weights'!$K$9)+(M143*'Pawn Weights'!$K$10)+(N143*'Pawn Weights'!$K$11)+(O143*'Pawn Weights'!$K$12)+(P143*'Pawn Weights'!$K$13)+(Q143*'Pawn Weights'!$K$14)+1.818, 2)</f>
        <v>105.67</v>
      </c>
      <c r="E143" s="280">
        <v>57.0</v>
      </c>
      <c r="F143" s="280">
        <v>52.0</v>
      </c>
      <c r="G143" s="280"/>
      <c r="H143" s="280"/>
      <c r="I143" s="280">
        <v>32.0</v>
      </c>
      <c r="J143" s="280">
        <v>22.0</v>
      </c>
      <c r="K143" s="280"/>
      <c r="L143" s="280"/>
      <c r="M143" s="280"/>
      <c r="N143" s="280"/>
      <c r="O143" s="280">
        <v>1.0</v>
      </c>
      <c r="P143" s="280"/>
      <c r="Q143" s="280"/>
      <c r="R143" s="290" t="s">
        <v>736</v>
      </c>
      <c r="S143" s="281"/>
      <c r="T143" s="294"/>
      <c r="U143" s="281"/>
      <c r="V143" s="281"/>
      <c r="W143" s="281"/>
      <c r="X143" s="281"/>
    </row>
    <row r="144">
      <c r="A144" s="301"/>
      <c r="B144" s="288" t="s">
        <v>874</v>
      </c>
      <c r="C144" s="280" t="s">
        <v>741</v>
      </c>
      <c r="D144" s="289">
        <f>ROUND((F144*'Pawn Weights'!$K$3)+(G144*'Pawn Weights'!$K$4)+(H144*'Pawn Weights'!$K$5)+(I144*'Pawn Weights'!$K$6)+(J144*'Pawn Weights'!$K$7)+(K144*'Pawn Weights'!$K$8)+(L144*'Pawn Weights'!$K$9)+(M144*'Pawn Weights'!$K$10)+(N144*'Pawn Weights'!$K$11)+(O144*'Pawn Weights'!$K$12)+(P144*'Pawn Weights'!$K$13)+(Q144*'Pawn Weights'!$K$14), 2)</f>
        <v>105.42</v>
      </c>
      <c r="E144" s="280">
        <v>31.0</v>
      </c>
      <c r="F144" s="280"/>
      <c r="G144" s="280">
        <v>45.0</v>
      </c>
      <c r="H144" s="280">
        <v>92.0</v>
      </c>
      <c r="I144" s="280">
        <v>37.0</v>
      </c>
      <c r="J144" s="280"/>
      <c r="K144" s="280"/>
      <c r="L144" s="280"/>
      <c r="M144" s="280"/>
      <c r="N144" s="280"/>
      <c r="O144" s="280"/>
      <c r="P144" s="280"/>
      <c r="Q144" s="280"/>
      <c r="R144" s="290"/>
      <c r="S144" s="281"/>
      <c r="T144" s="294"/>
      <c r="U144" s="281"/>
      <c r="V144" s="281"/>
      <c r="W144" s="281"/>
      <c r="X144" s="281"/>
    </row>
    <row r="145">
      <c r="A145" s="301"/>
      <c r="B145" s="288" t="s">
        <v>875</v>
      </c>
      <c r="C145" s="280" t="s">
        <v>865</v>
      </c>
      <c r="D145" s="289">
        <f>ROUND((F145*'Pawn Weights'!$K$3)+(G145*'Pawn Weights'!$K$4)+(H145*'Pawn Weights'!$K$5)+(I145*'Pawn Weights'!$K$6)+(J145*'Pawn Weights'!$K$7)+(K145*'Pawn Weights'!$K$8)+(L145*'Pawn Weights'!$K$9)+(M145*'Pawn Weights'!$K$10)+(N145*'Pawn Weights'!$K$11)+(O145*'Pawn Weights'!$K$12)+(P145*'Pawn Weights'!$K$13)+(Q145*'Pawn Weights'!$K$14), 2)</f>
        <v>105.27</v>
      </c>
      <c r="E145" s="280">
        <v>36.0</v>
      </c>
      <c r="F145" s="280"/>
      <c r="G145" s="280">
        <v>44.0</v>
      </c>
      <c r="H145" s="280">
        <v>104.0</v>
      </c>
      <c r="I145" s="280"/>
      <c r="J145" s="280">
        <v>15.0</v>
      </c>
      <c r="K145" s="280"/>
      <c r="L145" s="280"/>
      <c r="M145" s="280"/>
      <c r="N145" s="280"/>
      <c r="O145" s="280"/>
      <c r="P145" s="280">
        <v>1.0</v>
      </c>
      <c r="Q145" s="280">
        <v>1.0</v>
      </c>
      <c r="R145" s="290" t="s">
        <v>695</v>
      </c>
      <c r="S145" s="281"/>
      <c r="T145" s="294"/>
      <c r="U145" s="281"/>
      <c r="V145" s="281"/>
      <c r="W145" s="281"/>
      <c r="X145" s="281"/>
    </row>
    <row r="146">
      <c r="A146" s="301"/>
      <c r="B146" s="288" t="s">
        <v>876</v>
      </c>
      <c r="C146" s="280" t="s">
        <v>865</v>
      </c>
      <c r="D146" s="289">
        <f>ROUND((F146*'Pawn Weights'!$K$3)+(G146*'Pawn Weights'!$K$4)+(H146*'Pawn Weights'!$K$5)+(I146*'Pawn Weights'!$K$6)+(J146*'Pawn Weights'!$K$7)+(K146*'Pawn Weights'!$K$8)+(L146*'Pawn Weights'!$K$9)+(M146*'Pawn Weights'!$K$10)+(N146*'Pawn Weights'!$K$11)+(O146*'Pawn Weights'!$K$12)+(P146*'Pawn Weights'!$K$13)+(Q146*'Pawn Weights'!$K$14), 2)</f>
        <v>98.83</v>
      </c>
      <c r="E146" s="280">
        <v>52.0</v>
      </c>
      <c r="F146" s="280">
        <v>39.0</v>
      </c>
      <c r="G146" s="280">
        <v>45.0</v>
      </c>
      <c r="H146" s="280"/>
      <c r="I146" s="280"/>
      <c r="J146" s="280">
        <v>17.0</v>
      </c>
      <c r="K146" s="280"/>
      <c r="L146" s="280"/>
      <c r="M146" s="280"/>
      <c r="N146" s="280"/>
      <c r="O146" s="280">
        <v>1.0</v>
      </c>
      <c r="P146" s="280">
        <v>1.0</v>
      </c>
      <c r="Q146" s="280"/>
      <c r="R146" s="290" t="s">
        <v>812</v>
      </c>
      <c r="S146" s="281"/>
      <c r="T146" s="294"/>
      <c r="U146" s="281"/>
      <c r="V146" s="281"/>
      <c r="W146" s="281"/>
      <c r="X146" s="281"/>
    </row>
    <row r="147">
      <c r="A147" s="301"/>
      <c r="B147" s="288" t="s">
        <v>877</v>
      </c>
      <c r="C147" s="280" t="s">
        <v>708</v>
      </c>
      <c r="D147" s="289">
        <f>ROUND((F147*'Pawn Weights'!$K$3)+(G147*'Pawn Weights'!$K$4)+(H147*'Pawn Weights'!$K$5)+(I147*'Pawn Weights'!$K$6)+(J147*'Pawn Weights'!$K$7)+(K147*'Pawn Weights'!$K$8)+(L147*'Pawn Weights'!$K$9)+(M147*'Pawn Weights'!$K$10)+(N147*'Pawn Weights'!$K$11)+(O147*'Pawn Weights'!$K$12)+(P147*'Pawn Weights'!$K$13)+(Q147*'Pawn Weights'!$K$14), 2)</f>
        <v>98.46</v>
      </c>
      <c r="E147" s="280"/>
      <c r="F147" s="280"/>
      <c r="G147" s="280">
        <v>37.0</v>
      </c>
      <c r="H147" s="280">
        <v>76.0</v>
      </c>
      <c r="I147" s="280"/>
      <c r="J147" s="280">
        <v>16.0</v>
      </c>
      <c r="K147" s="280"/>
      <c r="L147" s="280"/>
      <c r="M147" s="280"/>
      <c r="N147" s="280"/>
      <c r="O147" s="280">
        <v>3.0</v>
      </c>
      <c r="P147" s="280"/>
      <c r="Q147" s="280"/>
      <c r="R147" s="290" t="s">
        <v>622</v>
      </c>
      <c r="S147" s="290"/>
      <c r="T147" s="285"/>
      <c r="U147" s="310"/>
      <c r="V147" s="281"/>
      <c r="W147" s="281"/>
      <c r="X147" s="281"/>
      <c r="Y147" s="281"/>
    </row>
    <row r="148">
      <c r="A148" s="301"/>
      <c r="B148" s="288" t="s">
        <v>878</v>
      </c>
      <c r="C148" s="280" t="s">
        <v>879</v>
      </c>
      <c r="D148" s="289">
        <f>ROUND((F148*'Pawn Weights'!$K$3)+(G148*'Pawn Weights'!$K$4)+(H148*'Pawn Weights'!$K$5)+(I148*'Pawn Weights'!$K$6)+(J148*'Pawn Weights'!$K$7)+(K148*'Pawn Weights'!$K$8)+(L148*'Pawn Weights'!$K$9)+(M148*'Pawn Weights'!$K$10)+(N148*'Pawn Weights'!$K$11)+(O148*'Pawn Weights'!$K$12)+(P148*'Pawn Weights'!$K$13)+(Q148*'Pawn Weights'!$K$14), 2)</f>
        <v>98.04</v>
      </c>
      <c r="E148" s="280">
        <v>43.0</v>
      </c>
      <c r="F148" s="280">
        <v>46.0</v>
      </c>
      <c r="G148" s="280"/>
      <c r="H148" s="280"/>
      <c r="I148" s="280"/>
      <c r="J148" s="280">
        <v>38.0</v>
      </c>
      <c r="K148" s="280"/>
      <c r="L148" s="280"/>
      <c r="M148" s="280"/>
      <c r="N148" s="280"/>
      <c r="O148" s="280">
        <v>1.0</v>
      </c>
      <c r="P148" s="280">
        <v>1.0</v>
      </c>
      <c r="Q148" s="280">
        <v>1.0</v>
      </c>
      <c r="R148" s="290" t="s">
        <v>643</v>
      </c>
      <c r="S148" s="281"/>
      <c r="T148" s="294"/>
      <c r="U148" s="281"/>
      <c r="V148" s="281"/>
      <c r="W148" s="281"/>
      <c r="X148" s="281"/>
    </row>
    <row r="149">
      <c r="A149" s="301"/>
      <c r="B149" s="288" t="s">
        <v>880</v>
      </c>
      <c r="C149" s="280" t="s">
        <v>881</v>
      </c>
      <c r="D149" s="289">
        <f>ROUND((F149*'Pawn Weights'!$K$3)+(G149*'Pawn Weights'!$K$4)+(H149*'Pawn Weights'!$K$5)+(I149*'Pawn Weights'!$K$6)+(J149*'Pawn Weights'!$K$7)+(K149*'Pawn Weights'!$K$8)+(L149*'Pawn Weights'!$K$9)+(M149*'Pawn Weights'!$K$10)+(N149*'Pawn Weights'!$K$11)+(O149*'Pawn Weights'!$K$12)+(P149*'Pawn Weights'!$K$13)+(Q149*'Pawn Weights'!$K$14), 2)</f>
        <v>96.64</v>
      </c>
      <c r="E149" s="280">
        <v>28.0</v>
      </c>
      <c r="F149" s="280"/>
      <c r="G149" s="280">
        <v>32.0</v>
      </c>
      <c r="H149" s="280">
        <v>64.0</v>
      </c>
      <c r="I149" s="280"/>
      <c r="J149" s="280">
        <v>28.0</v>
      </c>
      <c r="K149" s="280"/>
      <c r="L149" s="280"/>
      <c r="M149" s="280"/>
      <c r="N149" s="280"/>
      <c r="O149" s="280">
        <v>2.0</v>
      </c>
      <c r="P149" s="280"/>
      <c r="Q149" s="280">
        <v>1.0</v>
      </c>
      <c r="R149" s="290" t="s">
        <v>882</v>
      </c>
      <c r="S149" s="281"/>
      <c r="T149" s="294"/>
      <c r="U149" s="281"/>
      <c r="V149" s="281"/>
      <c r="W149" s="281"/>
      <c r="X149" s="281"/>
    </row>
    <row r="150">
      <c r="A150" s="272" t="s">
        <v>883</v>
      </c>
      <c r="B150" s="281"/>
      <c r="C150" s="281"/>
      <c r="D150" s="293"/>
      <c r="E150" s="281"/>
      <c r="F150" s="281"/>
      <c r="G150" s="281"/>
      <c r="H150" s="281"/>
      <c r="I150" s="281"/>
      <c r="J150" s="281"/>
      <c r="K150" s="281"/>
      <c r="L150" s="281"/>
      <c r="M150" s="281"/>
      <c r="N150" s="281"/>
      <c r="O150" s="281"/>
      <c r="P150" s="281"/>
      <c r="Q150" s="281"/>
      <c r="R150" s="282"/>
      <c r="S150" s="281"/>
      <c r="T150" s="285"/>
      <c r="U150" s="281"/>
      <c r="V150" s="281"/>
      <c r="W150" s="281"/>
    </row>
    <row r="151">
      <c r="A151" s="301" t="s">
        <v>640</v>
      </c>
      <c r="B151" s="288" t="s">
        <v>884</v>
      </c>
      <c r="C151" s="280" t="s">
        <v>854</v>
      </c>
      <c r="D151" s="289">
        <f>ROUND((F151*'Pawn Weights'!$K$3)+(G151*'Pawn Weights'!$K$4)+(H151*'Pawn Weights'!$K$5)+(I151*'Pawn Weights'!$K$6)+(J151*'Pawn Weights'!$K$7)+(K151*'Pawn Weights'!$K$8)+(L151*'Pawn Weights'!$K$9)+(M151*'Pawn Weights'!$K$10)+(N151*'Pawn Weights'!$K$11)+(O151*'Pawn Weights'!$K$12)+(P151*'Pawn Weights'!$K$13)+(Q151*'Pawn Weights'!$K$14)-10+9.545+2, 2)</f>
        <v>128.09</v>
      </c>
      <c r="E151" s="280"/>
      <c r="F151" s="280">
        <v>44.0</v>
      </c>
      <c r="G151" s="280"/>
      <c r="H151" s="280"/>
      <c r="I151" s="280">
        <v>36.0</v>
      </c>
      <c r="J151" s="280">
        <v>25.0</v>
      </c>
      <c r="K151" s="280">
        <v>30.0</v>
      </c>
      <c r="L151" s="280"/>
      <c r="M151" s="281"/>
      <c r="N151" s="280"/>
      <c r="O151" s="280"/>
      <c r="P151" s="280">
        <v>1.0</v>
      </c>
      <c r="Q151" s="280"/>
      <c r="R151" s="290" t="s">
        <v>784</v>
      </c>
      <c r="S151" s="281"/>
      <c r="T151" s="291"/>
      <c r="U151" s="281"/>
      <c r="V151" s="281"/>
      <c r="W151" s="281"/>
    </row>
    <row r="152">
      <c r="A152" s="301"/>
      <c r="B152" s="288" t="s">
        <v>885</v>
      </c>
      <c r="C152" s="280" t="s">
        <v>816</v>
      </c>
      <c r="D152" s="289">
        <f>ROUND((F152*'Pawn Weights'!$K$3)+(G152*'Pawn Weights'!$K$4)+(H152*'Pawn Weights'!$K$5)+(I152*'Pawn Weights'!$K$6)+(J152*'Pawn Weights'!$K$7)+(K152*'Pawn Weights'!$K$8)+(L152*'Pawn Weights'!$K$9)+(M152*'Pawn Weights'!$K$10)+(N152*'Pawn Weights'!$K$11)+(O152*'Pawn Weights'!$K$12)+(P152*'Pawn Weights'!$K$13)+(Q152*'Pawn Weights'!$K$14)-20+19.09+3, 2)</f>
        <v>97.8</v>
      </c>
      <c r="E152" s="280">
        <v>40.0</v>
      </c>
      <c r="F152" s="280">
        <v>38.0</v>
      </c>
      <c r="G152" s="280"/>
      <c r="H152" s="280"/>
      <c r="I152" s="280">
        <v>30.0</v>
      </c>
      <c r="J152" s="280">
        <v>18.0</v>
      </c>
      <c r="K152" s="280"/>
      <c r="L152" s="280"/>
      <c r="M152" s="281"/>
      <c r="N152" s="280"/>
      <c r="O152" s="280"/>
      <c r="P152" s="280">
        <v>2.0</v>
      </c>
      <c r="Q152" s="280"/>
      <c r="R152" s="290" t="s">
        <v>698</v>
      </c>
      <c r="S152" s="281"/>
      <c r="T152" s="291"/>
      <c r="U152" s="281"/>
      <c r="V152" s="281"/>
      <c r="W152" s="281"/>
    </row>
    <row r="153">
      <c r="A153" s="301"/>
      <c r="B153" s="288" t="s">
        <v>886</v>
      </c>
      <c r="C153" s="280" t="s">
        <v>701</v>
      </c>
      <c r="D153" s="289">
        <f>ROUND((F153*'Pawn Weights'!$K$3)+(G153*'Pawn Weights'!$K$4)+(H153*'Pawn Weights'!$K$5)+(I153*'Pawn Weights'!$K$6)+(J153*'Pawn Weights'!$K$7)+(K153*'Pawn Weights'!$K$8)+(L153*'Pawn Weights'!$K$9)+(M153*'Pawn Weights'!$K$10)+(N153*'Pawn Weights'!$K$11)+(O153*'Pawn Weights'!$K$12)+(P153*'Pawn Weights'!$K$13)+(Q153*'Pawn Weights'!$K$14)-10+9.545+2.727, 2)</f>
        <v>92.25</v>
      </c>
      <c r="E153" s="280">
        <v>38.0</v>
      </c>
      <c r="F153" s="280"/>
      <c r="G153" s="280">
        <v>30.0</v>
      </c>
      <c r="H153" s="280">
        <v>76.0</v>
      </c>
      <c r="I153" s="280">
        <v>17.0</v>
      </c>
      <c r="J153" s="280"/>
      <c r="K153" s="280"/>
      <c r="L153" s="280"/>
      <c r="M153" s="281"/>
      <c r="N153" s="280"/>
      <c r="O153" s="280">
        <v>1.0</v>
      </c>
      <c r="P153" s="280">
        <v>1.0</v>
      </c>
      <c r="Q153" s="280"/>
      <c r="R153" s="290" t="s">
        <v>702</v>
      </c>
      <c r="S153" s="281"/>
      <c r="T153" s="291"/>
      <c r="U153" s="281"/>
      <c r="V153" s="281"/>
      <c r="W153" s="281"/>
    </row>
    <row r="154">
      <c r="A154" s="301"/>
      <c r="B154" s="288" t="s">
        <v>887</v>
      </c>
      <c r="C154" s="280" t="s">
        <v>727</v>
      </c>
      <c r="D154" s="289">
        <f>ROUND((F154*'Pawn Weights'!$K$3)+(G154*'Pawn Weights'!$K$4)+(H154*'Pawn Weights'!$K$5)+(I154*'Pawn Weights'!$K$6)+(J154*'Pawn Weights'!$K$7)+(K154*'Pawn Weights'!$K$8)+(L154*'Pawn Weights'!$K$9)+(M154*'Pawn Weights'!$K$10)+(N154*'Pawn Weights'!$K$11)+(O154*'Pawn Weights'!$K$12)+(P154*'Pawn Weights'!$K$13)+(Q154*'Pawn Weights'!$K$14), 2)</f>
        <v>86.02</v>
      </c>
      <c r="E154" s="280"/>
      <c r="F154" s="280"/>
      <c r="G154" s="280">
        <v>27.0</v>
      </c>
      <c r="H154" s="280">
        <v>76.0</v>
      </c>
      <c r="I154" s="280">
        <v>26.0</v>
      </c>
      <c r="J154" s="280">
        <v>17.0</v>
      </c>
      <c r="K154" s="280"/>
      <c r="L154" s="280"/>
      <c r="M154" s="281"/>
      <c r="N154" s="280"/>
      <c r="O154" s="280"/>
      <c r="P154" s="280"/>
      <c r="Q154" s="280"/>
      <c r="R154" s="290"/>
      <c r="S154" s="281"/>
      <c r="T154" s="291"/>
      <c r="U154" s="281"/>
      <c r="V154" s="281"/>
      <c r="W154" s="281"/>
    </row>
    <row r="155">
      <c r="A155" s="301"/>
      <c r="B155" s="288" t="s">
        <v>888</v>
      </c>
      <c r="C155" s="280" t="s">
        <v>889</v>
      </c>
      <c r="D155" s="289">
        <f>ROUND((F155*'Pawn Weights'!$K$3)+(G155*'Pawn Weights'!$K$4)+(H155*'Pawn Weights'!$K$5)+(I155*'Pawn Weights'!$K$6)+(J155*'Pawn Weights'!$K$7)+(K155*'Pawn Weights'!$K$8)+(L155*'Pawn Weights'!$K$9)+(M155*'Pawn Weights'!$K$10)+(N155*'Pawn Weights'!$K$11)+(O155*'Pawn Weights'!$K$12)+(P155*'Pawn Weights'!$K$13)+(Q155*'Pawn Weights'!$K$14), 2)</f>
        <v>79.34</v>
      </c>
      <c r="E155" s="280">
        <v>21.0</v>
      </c>
      <c r="F155" s="280"/>
      <c r="G155" s="280">
        <v>29.0</v>
      </c>
      <c r="H155" s="280">
        <v>60.0</v>
      </c>
      <c r="I155" s="280"/>
      <c r="J155" s="280">
        <v>22.0</v>
      </c>
      <c r="K155" s="280"/>
      <c r="L155" s="280"/>
      <c r="M155" s="281"/>
      <c r="N155" s="280"/>
      <c r="O155" s="280">
        <v>1.0</v>
      </c>
      <c r="P155" s="280"/>
      <c r="Q155" s="280">
        <v>1.0</v>
      </c>
      <c r="R155" s="290" t="s">
        <v>832</v>
      </c>
      <c r="S155" s="281"/>
      <c r="T155" s="291"/>
      <c r="U155" s="281"/>
      <c r="V155" s="281"/>
      <c r="W155" s="281"/>
    </row>
    <row r="156">
      <c r="A156" s="301"/>
      <c r="B156" s="288" t="s">
        <v>890</v>
      </c>
      <c r="C156" s="280" t="s">
        <v>773</v>
      </c>
      <c r="D156" s="289">
        <f>ROUND((F156*'Pawn Weights'!$K$3)+(G156*'Pawn Weights'!$K$4)+(H156*'Pawn Weights'!$K$5)+(I156*'Pawn Weights'!$K$6)+(J156*'Pawn Weights'!$K$7)+(K156*'Pawn Weights'!$K$8)+(L156*'Pawn Weights'!$K$9)+(M156*'Pawn Weights'!$K$10)+(N156*'Pawn Weights'!$K$11)+(O156*'Pawn Weights'!$K$12)+(P156*'Pawn Weights'!$K$13)+(Q156*'Pawn Weights'!$K$14), 2)</f>
        <v>79.33</v>
      </c>
      <c r="E156" s="280">
        <v>28.0</v>
      </c>
      <c r="F156" s="280"/>
      <c r="G156" s="280">
        <v>28.0</v>
      </c>
      <c r="H156" s="280">
        <v>58.0</v>
      </c>
      <c r="I156" s="280"/>
      <c r="J156" s="280"/>
      <c r="K156" s="280"/>
      <c r="L156" s="280"/>
      <c r="M156" s="280">
        <v>126.0</v>
      </c>
      <c r="N156" s="280"/>
      <c r="O156" s="280">
        <v>1.0</v>
      </c>
      <c r="P156" s="280"/>
      <c r="Q156" s="280"/>
      <c r="R156" s="290" t="s">
        <v>674</v>
      </c>
      <c r="S156" s="281"/>
      <c r="T156" s="291"/>
      <c r="U156" s="281"/>
      <c r="V156" s="281"/>
      <c r="W156" s="281"/>
    </row>
    <row r="157">
      <c r="A157" s="301" t="s">
        <v>671</v>
      </c>
      <c r="B157" s="288" t="s">
        <v>891</v>
      </c>
      <c r="C157" s="280" t="s">
        <v>892</v>
      </c>
      <c r="D157" s="289">
        <f>ROUND((F157*'Pawn Weights'!$K$3)+(G157*'Pawn Weights'!$K$4)+(H157*'Pawn Weights'!$K$5)+(I157*'Pawn Weights'!$K$6)+(J157*'Pawn Weights'!$K$7)+(K157*'Pawn Weights'!$K$8)+(L157*'Pawn Weights'!$K$9)+(M157*'Pawn Weights'!$K$10)+(N157*'Pawn Weights'!$K$11)+(O157*'Pawn Weights'!$K$12)+(P157*'Pawn Weights'!$K$13)+(Q157*'Pawn Weights'!$K$14), 2)</f>
        <v>76.36</v>
      </c>
      <c r="E157" s="280">
        <v>56.0</v>
      </c>
      <c r="F157" s="280">
        <v>40.0</v>
      </c>
      <c r="G157" s="280"/>
      <c r="H157" s="280"/>
      <c r="I157" s="280">
        <v>40.0</v>
      </c>
      <c r="J157" s="280"/>
      <c r="K157" s="280"/>
      <c r="L157" s="280"/>
      <c r="M157" s="281"/>
      <c r="N157" s="280"/>
      <c r="O157" s="280"/>
      <c r="P157" s="280"/>
      <c r="Q157" s="280"/>
      <c r="R157" s="290"/>
      <c r="S157" s="281"/>
      <c r="T157" s="291" t="s">
        <v>850</v>
      </c>
      <c r="U157" s="281"/>
      <c r="V157" s="281"/>
      <c r="W157" s="281"/>
    </row>
    <row r="158">
      <c r="A158" s="301"/>
      <c r="B158" s="288" t="s">
        <v>893</v>
      </c>
      <c r="C158" s="280" t="s">
        <v>894</v>
      </c>
      <c r="D158" s="289">
        <f>ROUND((F158*'Pawn Weights'!$K$3)+(G158*'Pawn Weights'!$K$4)+(H158*'Pawn Weights'!$K$5)+(I158*'Pawn Weights'!$K$6)+(J158*'Pawn Weights'!$K$7)+(K158*'Pawn Weights'!$K$8)+(L158*'Pawn Weights'!$K$9)+(M158*'Pawn Weights'!$K$10)+(N158*'Pawn Weights'!$K$11)+(O158*'Pawn Weights'!$K$12)+(P158*'Pawn Weights'!$K$13)+(Q158*'Pawn Weights'!$K$14), 2)</f>
        <v>76.36</v>
      </c>
      <c r="E158" s="280">
        <v>37.0</v>
      </c>
      <c r="F158" s="280">
        <v>30.0</v>
      </c>
      <c r="G158" s="280"/>
      <c r="H158" s="280"/>
      <c r="I158" s="280">
        <v>29.0</v>
      </c>
      <c r="J158" s="280"/>
      <c r="K158" s="280"/>
      <c r="L158" s="280"/>
      <c r="M158" s="281"/>
      <c r="N158" s="280"/>
      <c r="O158" s="280">
        <v>1.0</v>
      </c>
      <c r="P158" s="280"/>
      <c r="Q158" s="280">
        <v>1.0</v>
      </c>
      <c r="R158" s="290" t="s">
        <v>736</v>
      </c>
      <c r="S158" s="281"/>
      <c r="T158" s="291"/>
      <c r="U158" s="281"/>
      <c r="V158" s="281"/>
      <c r="W158" s="281"/>
    </row>
    <row r="159">
      <c r="A159" s="301"/>
      <c r="B159" s="288" t="s">
        <v>895</v>
      </c>
      <c r="C159" s="280" t="s">
        <v>773</v>
      </c>
      <c r="D159" s="289">
        <f>ROUND((F159*'Pawn Weights'!$K$3)+(G159*'Pawn Weights'!$K$4)+(H159*'Pawn Weights'!$K$5)+(I159*'Pawn Weights'!$K$6)+(J159*'Pawn Weights'!$K$7)+(K159*'Pawn Weights'!$K$8)+(L159*'Pawn Weights'!$K$9)+(M159*'Pawn Weights'!$K$10)+(N159*'Pawn Weights'!$K$11)+(O159*'Pawn Weights'!$K$12)+(P159*'Pawn Weights'!$K$13)+(Q159*'Pawn Weights'!$K$14), 2)</f>
        <v>76.02</v>
      </c>
      <c r="E159" s="280">
        <v>30.0</v>
      </c>
      <c r="F159" s="280">
        <v>29.0</v>
      </c>
      <c r="G159" s="280"/>
      <c r="H159" s="280"/>
      <c r="I159" s="280"/>
      <c r="J159" s="280"/>
      <c r="K159" s="280"/>
      <c r="L159" s="280"/>
      <c r="M159" s="280">
        <v>140.0</v>
      </c>
      <c r="N159" s="280"/>
      <c r="O159" s="280">
        <v>1.0</v>
      </c>
      <c r="P159" s="280"/>
      <c r="Q159" s="280">
        <v>1.0</v>
      </c>
      <c r="R159" s="290" t="s">
        <v>698</v>
      </c>
      <c r="S159" s="281"/>
      <c r="T159" s="291"/>
      <c r="U159" s="281"/>
      <c r="V159" s="281"/>
      <c r="W159" s="281"/>
    </row>
    <row r="160">
      <c r="A160" s="301"/>
      <c r="B160" s="288" t="s">
        <v>896</v>
      </c>
      <c r="C160" s="280" t="s">
        <v>835</v>
      </c>
      <c r="D160" s="289">
        <f>ROUND((F160*'Pawn Weights'!$K$3)+(G160*'Pawn Weights'!$K$4)+(H160*'Pawn Weights'!$K$5)+(I160*'Pawn Weights'!$K$6)+(J160*'Pawn Weights'!$K$7)+(K160*'Pawn Weights'!$K$8)+(L160*'Pawn Weights'!$K$9)+(M160*'Pawn Weights'!$K$10)+(N160*'Pawn Weights'!$K$11)+(O160*'Pawn Weights'!$K$12)+(P160*'Pawn Weights'!$K$13)+(Q160*'Pawn Weights'!$K$14)-10+9.545+1.998, 2)</f>
        <v>75.25</v>
      </c>
      <c r="E160" s="280">
        <v>30.0</v>
      </c>
      <c r="F160" s="280"/>
      <c r="G160" s="280">
        <v>28.0</v>
      </c>
      <c r="H160" s="280">
        <v>58.0</v>
      </c>
      <c r="I160" s="280"/>
      <c r="J160" s="280">
        <v>15.0</v>
      </c>
      <c r="K160" s="280"/>
      <c r="L160" s="280"/>
      <c r="M160" s="281"/>
      <c r="N160" s="280"/>
      <c r="O160" s="280">
        <v>1.0</v>
      </c>
      <c r="P160" s="280">
        <v>1.0</v>
      </c>
      <c r="Q160" s="280"/>
      <c r="R160" s="290" t="s">
        <v>695</v>
      </c>
      <c r="S160" s="281"/>
      <c r="T160" s="291"/>
      <c r="U160" s="281"/>
      <c r="V160" s="281"/>
      <c r="W160" s="281"/>
    </row>
    <row r="161">
      <c r="A161" s="301" t="s">
        <v>627</v>
      </c>
      <c r="B161" s="288" t="s">
        <v>897</v>
      </c>
      <c r="C161" s="280" t="s">
        <v>898</v>
      </c>
      <c r="D161" s="289">
        <f>ROUND((F161*'Pawn Weights'!$K$3)+(G161*'Pawn Weights'!$K$4)+(H161*'Pawn Weights'!$K$5)+(I161*'Pawn Weights'!$K$6)+(J161*'Pawn Weights'!$K$7)+(K161*'Pawn Weights'!$K$8)+(L161*'Pawn Weights'!$K$9)+(M161*'Pawn Weights'!$K$10)+(N161*'Pawn Weights'!$K$11)+(O161*'Pawn Weights'!$K$12)+(P161*'Pawn Weights'!$K$13)+(Q161*'Pawn Weights'!$K$14), 2)</f>
        <v>72.43</v>
      </c>
      <c r="E161" s="280">
        <v>34.0</v>
      </c>
      <c r="F161" s="280"/>
      <c r="G161" s="280"/>
      <c r="H161" s="280">
        <v>66.0</v>
      </c>
      <c r="I161" s="280">
        <v>32.0</v>
      </c>
      <c r="J161" s="280">
        <v>23.0</v>
      </c>
      <c r="K161" s="280"/>
      <c r="L161" s="280"/>
      <c r="M161" s="281"/>
      <c r="N161" s="280"/>
      <c r="O161" s="280"/>
      <c r="P161" s="280"/>
      <c r="Q161" s="280"/>
      <c r="R161" s="290"/>
      <c r="S161" s="281"/>
      <c r="T161" s="291"/>
      <c r="U161" s="281"/>
      <c r="V161" s="281"/>
      <c r="W161" s="281"/>
    </row>
    <row r="162">
      <c r="A162" s="301"/>
      <c r="B162" s="288" t="s">
        <v>899</v>
      </c>
      <c r="C162" s="280" t="s">
        <v>900</v>
      </c>
      <c r="D162" s="289">
        <f>ROUND((F162*'Pawn Weights'!$K$3)+(G162*'Pawn Weights'!$K$4)+(H162*'Pawn Weights'!$K$5)+(I162*'Pawn Weights'!$K$6)+(J162*'Pawn Weights'!$K$7)+(K162*'Pawn Weights'!$K$8)+(L162*'Pawn Weights'!$K$9)+(M162*'Pawn Weights'!$K$10)+(N162*'Pawn Weights'!$K$11)+(O162*'Pawn Weights'!$K$12)+(P162*'Pawn Weights'!$K$13)+(Q162*'Pawn Weights'!$K$14), 2)</f>
        <v>72.18</v>
      </c>
      <c r="E162" s="280">
        <v>29.0</v>
      </c>
      <c r="F162" s="280">
        <v>44.0</v>
      </c>
      <c r="G162" s="280"/>
      <c r="H162" s="280"/>
      <c r="I162" s="280">
        <v>31.0</v>
      </c>
      <c r="J162" s="280"/>
      <c r="K162" s="280"/>
      <c r="L162" s="280"/>
      <c r="M162" s="281"/>
      <c r="N162" s="280"/>
      <c r="O162" s="280"/>
      <c r="P162" s="280"/>
      <c r="Q162" s="280"/>
      <c r="R162" s="290"/>
      <c r="S162" s="281"/>
      <c r="T162" s="291"/>
      <c r="U162" s="281"/>
      <c r="V162" s="281"/>
      <c r="W162" s="281"/>
    </row>
    <row r="163">
      <c r="A163" s="301"/>
      <c r="B163" s="288" t="s">
        <v>901</v>
      </c>
      <c r="C163" s="280" t="s">
        <v>649</v>
      </c>
      <c r="D163" s="289">
        <f>ROUND((F163*'Pawn Weights'!$K$3)+(G163*'Pawn Weights'!$K$4)+(H163*'Pawn Weights'!$K$5)+(I163*'Pawn Weights'!$K$6)+(J163*'Pawn Weights'!$K$7)+(K163*'Pawn Weights'!$K$8)+(L163*'Pawn Weights'!$K$9)+(M163*'Pawn Weights'!$K$10)+(N163*'Pawn Weights'!$K$11)+(O163*'Pawn Weights'!$K$12)+(P163*'Pawn Weights'!$K$13)+(Q163*'Pawn Weights'!$K$14), 2)</f>
        <v>71.98</v>
      </c>
      <c r="E163" s="280">
        <v>25.0</v>
      </c>
      <c r="F163" s="280"/>
      <c r="G163" s="280">
        <v>33.0</v>
      </c>
      <c r="H163" s="280">
        <v>66.0</v>
      </c>
      <c r="I163" s="280"/>
      <c r="J163" s="280"/>
      <c r="K163" s="280"/>
      <c r="L163" s="280"/>
      <c r="M163" s="281"/>
      <c r="N163" s="280"/>
      <c r="O163" s="280">
        <v>1.0</v>
      </c>
      <c r="P163" s="280"/>
      <c r="Q163" s="280">
        <v>1.0</v>
      </c>
      <c r="R163" s="290" t="s">
        <v>695</v>
      </c>
      <c r="S163" s="281"/>
      <c r="T163" s="291"/>
      <c r="U163" s="281"/>
      <c r="V163" s="281"/>
      <c r="W163" s="281"/>
    </row>
    <row r="164">
      <c r="A164" s="301"/>
      <c r="B164" s="288" t="s">
        <v>902</v>
      </c>
      <c r="C164" s="280" t="s">
        <v>871</v>
      </c>
      <c r="D164" s="289">
        <f>ROUND((F164*'Pawn Weights'!$K$3)+(G164*'Pawn Weights'!$K$4)+(H164*'Pawn Weights'!$K$5)+(I164*'Pawn Weights'!$K$6)+(J164*'Pawn Weights'!$K$7)+(K164*'Pawn Weights'!$K$8)+(L164*'Pawn Weights'!$K$9)+(M164*'Pawn Weights'!$K$10)+(N164*'Pawn Weights'!$K$11)+(O164*'Pawn Weights'!$K$12)+(P164*'Pawn Weights'!$K$13)+(Q164*'Pawn Weights'!$K$14), 2)</f>
        <v>71.98</v>
      </c>
      <c r="E164" s="280">
        <v>13.0</v>
      </c>
      <c r="F164" s="280"/>
      <c r="G164" s="280">
        <v>33.0</v>
      </c>
      <c r="H164" s="280">
        <v>66.0</v>
      </c>
      <c r="I164" s="280"/>
      <c r="J164" s="280"/>
      <c r="K164" s="280"/>
      <c r="L164" s="280"/>
      <c r="M164" s="281"/>
      <c r="N164" s="280"/>
      <c r="O164" s="280"/>
      <c r="P164" s="280"/>
      <c r="Q164" s="280">
        <v>2.0</v>
      </c>
      <c r="R164" s="290" t="s">
        <v>809</v>
      </c>
      <c r="S164" s="281"/>
      <c r="T164" s="291"/>
      <c r="U164" s="281"/>
      <c r="V164" s="281"/>
      <c r="W164" s="281"/>
    </row>
    <row r="165">
      <c r="A165" s="301" t="s">
        <v>627</v>
      </c>
      <c r="B165" s="311" t="s">
        <v>903</v>
      </c>
      <c r="C165" s="280" t="s">
        <v>904</v>
      </c>
      <c r="D165" s="289">
        <f>ROUND((F165*'Pawn Weights'!$K$3)+(G165*'Pawn Weights'!$K$4)+(H165*'Pawn Weights'!$K$5)+(I165*'Pawn Weights'!$K$6)+(J165*'Pawn Weights'!$K$7)+(K165*'Pawn Weights'!$K$8)+(L165*'Pawn Weights'!$K$9)+(M165*'Pawn Weights'!$K$10)+(N165*'Pawn Weights'!$K$11)+(O165*'Pawn Weights'!$K$12)+(P165*'Pawn Weights'!$K$13)+(Q165*'Pawn Weights'!$K$14)-10+9.545+2.727, 2)</f>
        <v>68.59</v>
      </c>
      <c r="E165" s="280"/>
      <c r="F165" s="280"/>
      <c r="G165" s="280"/>
      <c r="H165" s="280">
        <v>36.0</v>
      </c>
      <c r="I165" s="280">
        <v>17.0</v>
      </c>
      <c r="J165" s="280">
        <v>25.0</v>
      </c>
      <c r="K165" s="280"/>
      <c r="L165" s="280"/>
      <c r="M165" s="281"/>
      <c r="N165" s="280"/>
      <c r="O165" s="280">
        <v>1.0</v>
      </c>
      <c r="P165" s="280">
        <v>1.0</v>
      </c>
      <c r="Q165" s="280"/>
      <c r="R165" s="290" t="s">
        <v>809</v>
      </c>
      <c r="S165" s="281"/>
      <c r="T165" s="291"/>
      <c r="U165" s="281"/>
      <c r="V165" s="281"/>
      <c r="W165" s="281"/>
    </row>
    <row r="166">
      <c r="A166" s="224" t="s">
        <v>905</v>
      </c>
      <c r="B166" s="281"/>
      <c r="C166" s="281"/>
      <c r="D166" s="293"/>
      <c r="E166" s="281"/>
      <c r="F166" s="281"/>
      <c r="G166" s="281"/>
      <c r="H166" s="281"/>
      <c r="I166" s="281"/>
      <c r="J166" s="281"/>
      <c r="K166" s="281"/>
      <c r="L166" s="281"/>
      <c r="M166" s="281"/>
      <c r="N166" s="281"/>
      <c r="O166" s="281"/>
      <c r="P166" s="281"/>
      <c r="Q166" s="281"/>
      <c r="R166" s="282"/>
      <c r="S166" s="281"/>
      <c r="T166" s="285"/>
      <c r="U166" s="281"/>
      <c r="V166" s="281"/>
      <c r="W166" s="281"/>
    </row>
    <row r="167">
      <c r="A167" s="281"/>
      <c r="B167" s="288" t="s">
        <v>906</v>
      </c>
      <c r="C167" s="280" t="s">
        <v>669</v>
      </c>
      <c r="D167" s="289">
        <f>ROUND((F167*'Pawn Weights'!$K$3)+(G167*'Pawn Weights'!$K$4)+(H167*'Pawn Weights'!$K$5)+(I167*'Pawn Weights'!$K$6)+(J167*'Pawn Weights'!$K$7)+(K167*'Pawn Weights'!$K$8)+(L167*'Pawn Weights'!$K$9)+(M167*'Pawn Weights'!$K$10)+(N167*'Pawn Weights'!$K$11)+(O167*'Pawn Weights'!$K$12)+(P167*'Pawn Weights'!$K$13)+(Q167*'Pawn Weights'!$K$14), 2)</f>
        <v>90.16</v>
      </c>
      <c r="E167" s="280">
        <v>30.0</v>
      </c>
      <c r="F167" s="280"/>
      <c r="G167" s="280"/>
      <c r="H167" s="280">
        <v>66.0</v>
      </c>
      <c r="I167" s="280">
        <v>32.0</v>
      </c>
      <c r="J167" s="280"/>
      <c r="K167" s="280"/>
      <c r="L167" s="280"/>
      <c r="M167" s="280">
        <v>161.0</v>
      </c>
      <c r="N167" s="280"/>
      <c r="O167" s="280"/>
      <c r="P167" s="280"/>
      <c r="Q167" s="280"/>
      <c r="R167" s="290"/>
      <c r="S167" s="281"/>
      <c r="T167" s="291"/>
      <c r="U167" s="281"/>
      <c r="V167" s="281"/>
      <c r="W167" s="281"/>
    </row>
    <row r="168">
      <c r="A168" s="281"/>
      <c r="B168" s="288" t="s">
        <v>907</v>
      </c>
      <c r="C168" s="280" t="s">
        <v>632</v>
      </c>
      <c r="D168" s="289">
        <f>ROUND((F168*'Pawn Weights'!$K$3)+(G168*'Pawn Weights'!$K$4)+(H168*'Pawn Weights'!$K$5)+(I168*'Pawn Weights'!$K$6)+(J168*'Pawn Weights'!$K$7)+(K168*'Pawn Weights'!$K$8)+(L168*'Pawn Weights'!$K$9)+(M168*'Pawn Weights'!$K$10)+(N168*'Pawn Weights'!$K$11)+(O168*'Pawn Weights'!$K$12)+(P168*'Pawn Weights'!$K$13)+(Q168*'Pawn Weights'!$K$14), 2)</f>
        <v>71.72</v>
      </c>
      <c r="E168" s="280">
        <v>33.0</v>
      </c>
      <c r="F168" s="280"/>
      <c r="G168" s="280"/>
      <c r="H168" s="280">
        <v>66.0</v>
      </c>
      <c r="I168" s="280"/>
      <c r="J168" s="280">
        <v>30.0</v>
      </c>
      <c r="K168" s="280"/>
      <c r="L168" s="280"/>
      <c r="M168" s="280">
        <v>126.0</v>
      </c>
      <c r="N168" s="280"/>
      <c r="O168" s="280"/>
      <c r="P168" s="280"/>
      <c r="Q168" s="280"/>
      <c r="R168" s="290"/>
      <c r="S168" s="281"/>
      <c r="T168" s="291"/>
      <c r="U168" s="281"/>
      <c r="V168" s="281"/>
      <c r="W168" s="281"/>
    </row>
    <row r="169">
      <c r="A169" s="281"/>
      <c r="B169" s="288" t="s">
        <v>908</v>
      </c>
      <c r="C169" s="280" t="s">
        <v>909</v>
      </c>
      <c r="D169" s="289">
        <f>ROUND((F169*'Pawn Weights'!$K$3)+(G169*'Pawn Weights'!$K$4)+(H169*'Pawn Weights'!$K$5)+(I169*'Pawn Weights'!$K$6)+(J169*'Pawn Weights'!$K$7)+(K169*'Pawn Weights'!$K$8)+(L169*'Pawn Weights'!$K$9)+(M169*'Pawn Weights'!$K$10)+(N169*'Pawn Weights'!$K$11)+(O169*'Pawn Weights'!$K$12)+(P169*'Pawn Weights'!$K$13)+(Q169*'Pawn Weights'!$K$14), 2)</f>
        <v>69.99</v>
      </c>
      <c r="E169" s="280">
        <v>28.0</v>
      </c>
      <c r="F169" s="280"/>
      <c r="G169" s="280">
        <v>29.0</v>
      </c>
      <c r="H169" s="280">
        <v>58.0</v>
      </c>
      <c r="I169" s="280"/>
      <c r="J169" s="280"/>
      <c r="K169" s="280"/>
      <c r="L169" s="280"/>
      <c r="M169" s="280">
        <v>126.0</v>
      </c>
      <c r="N169" s="280"/>
      <c r="O169" s="280"/>
      <c r="P169" s="280"/>
      <c r="Q169" s="280"/>
      <c r="R169" s="290"/>
      <c r="S169" s="281"/>
      <c r="T169" s="291"/>
      <c r="U169" s="281"/>
      <c r="V169" s="281"/>
      <c r="W169" s="281"/>
    </row>
    <row r="170">
      <c r="A170" s="292" t="s">
        <v>627</v>
      </c>
      <c r="B170" s="288" t="s">
        <v>910</v>
      </c>
      <c r="C170" s="280" t="s">
        <v>911</v>
      </c>
      <c r="D170" s="289">
        <f>ROUND((F170*'Pawn Weights'!$K$3)+(G170*'Pawn Weights'!$K$4)+(H170*'Pawn Weights'!$K$5)+(I170*'Pawn Weights'!$K$6)+(J170*'Pawn Weights'!$K$7)+(K170*'Pawn Weights'!$K$8)+(L170*'Pawn Weights'!$K$9)+(M170*'Pawn Weights'!$K$10)+(N170*'Pawn Weights'!$K$11)+(O170*'Pawn Weights'!$K$12)+(P170*'Pawn Weights'!$K$13)+(Q170*'Pawn Weights'!$K$14), 2)</f>
        <v>69.97</v>
      </c>
      <c r="E170" s="280">
        <v>42.0</v>
      </c>
      <c r="F170" s="280"/>
      <c r="G170" s="280">
        <v>30.0</v>
      </c>
      <c r="H170" s="280">
        <v>58.0</v>
      </c>
      <c r="I170" s="280"/>
      <c r="J170" s="280"/>
      <c r="K170" s="280">
        <v>28.0</v>
      </c>
      <c r="L170" s="280"/>
      <c r="M170" s="281"/>
      <c r="N170" s="280"/>
      <c r="O170" s="280"/>
      <c r="P170" s="280"/>
      <c r="Q170" s="280"/>
      <c r="R170" s="290"/>
      <c r="S170" s="281"/>
      <c r="T170" s="291"/>
      <c r="U170" s="281"/>
      <c r="V170" s="281"/>
      <c r="W170" s="281"/>
    </row>
    <row r="171">
      <c r="A171" s="281"/>
      <c r="B171" s="288" t="s">
        <v>912</v>
      </c>
      <c r="C171" s="280" t="s">
        <v>913</v>
      </c>
      <c r="D171" s="289">
        <f>ROUND((F171*'Pawn Weights'!$K$3)+(G171*'Pawn Weights'!$K$4)+(H171*'Pawn Weights'!$K$5)+(I171*'Pawn Weights'!$K$6)+(J171*'Pawn Weights'!$K$7)+(K171*'Pawn Weights'!$K$8)+(L171*'Pawn Weights'!$K$9)+(M171*'Pawn Weights'!$K$10)+(N171*'Pawn Weights'!$K$11)+(O171*'Pawn Weights'!$K$12)+(P171*'Pawn Weights'!$K$13)+(Q171*'Pawn Weights'!$K$14), 2)</f>
        <v>69.33</v>
      </c>
      <c r="E171" s="280">
        <v>30.0</v>
      </c>
      <c r="F171" s="280"/>
      <c r="G171" s="280">
        <v>28.0</v>
      </c>
      <c r="H171" s="280">
        <v>58.0</v>
      </c>
      <c r="I171" s="280"/>
      <c r="J171" s="280"/>
      <c r="K171" s="280"/>
      <c r="L171" s="280"/>
      <c r="M171" s="280">
        <v>126.0</v>
      </c>
      <c r="N171" s="280"/>
      <c r="O171" s="280"/>
      <c r="P171" s="280"/>
      <c r="Q171" s="280"/>
      <c r="R171" s="290"/>
      <c r="S171" s="281"/>
      <c r="T171" s="291"/>
      <c r="U171" s="281"/>
      <c r="V171" s="281"/>
      <c r="W171" s="281"/>
    </row>
    <row r="172">
      <c r="A172" s="281"/>
      <c r="B172" s="288" t="s">
        <v>914</v>
      </c>
      <c r="C172" s="280" t="s">
        <v>857</v>
      </c>
      <c r="D172" s="289">
        <f>ROUND((F172*'Pawn Weights'!$K$3)+(G172*'Pawn Weights'!$K$4)+(H172*'Pawn Weights'!$K$5)+(I172*'Pawn Weights'!$K$6)+(J172*'Pawn Weights'!$K$7)+(K172*'Pawn Weights'!$K$8)+(L172*'Pawn Weights'!$K$9)+(M172*'Pawn Weights'!$K$10)+(N172*'Pawn Weights'!$K$11)+(O172*'Pawn Weights'!$K$12)+(P172*'Pawn Weights'!$K$13)+(Q172*'Pawn Weights'!$K$14), 2)</f>
        <v>63.27</v>
      </c>
      <c r="E172" s="280">
        <v>28.0</v>
      </c>
      <c r="F172" s="280">
        <v>36.0</v>
      </c>
      <c r="G172" s="280"/>
      <c r="H172" s="280"/>
      <c r="I172" s="280">
        <v>30.0</v>
      </c>
      <c r="J172" s="280"/>
      <c r="K172" s="280"/>
      <c r="L172" s="280"/>
      <c r="M172" s="281"/>
      <c r="N172" s="280"/>
      <c r="O172" s="280"/>
      <c r="P172" s="280"/>
      <c r="Q172" s="280"/>
      <c r="R172" s="290"/>
      <c r="S172" s="281"/>
      <c r="T172" s="291"/>
      <c r="U172" s="281"/>
      <c r="V172" s="281"/>
      <c r="W172" s="281"/>
    </row>
    <row r="173">
      <c r="A173" s="292" t="s">
        <v>671</v>
      </c>
      <c r="B173" s="288" t="s">
        <v>915</v>
      </c>
      <c r="C173" s="280" t="s">
        <v>916</v>
      </c>
      <c r="D173" s="289">
        <f>ROUND((F173*'Pawn Weights'!$K$3)+(G173*'Pawn Weights'!$K$4)+(H173*'Pawn Weights'!$K$5)+(I173*'Pawn Weights'!$K$6)+(J173*'Pawn Weights'!$K$7)+(K173*'Pawn Weights'!$K$8)+(L173*'Pawn Weights'!$K$9)+(M173*'Pawn Weights'!$K$10)+(N173*'Pawn Weights'!$K$11)+(O173*'Pawn Weights'!$K$12)+(P173*'Pawn Weights'!$K$13)+(Q173*'Pawn Weights'!$K$14), 2)</f>
        <v>61.71</v>
      </c>
      <c r="E173" s="280">
        <v>38.0</v>
      </c>
      <c r="F173" s="280"/>
      <c r="G173" s="280"/>
      <c r="H173" s="280">
        <v>52.0</v>
      </c>
      <c r="I173" s="280">
        <v>30.0</v>
      </c>
      <c r="J173" s="280"/>
      <c r="K173" s="280"/>
      <c r="L173" s="280"/>
      <c r="M173" s="280">
        <v>56.0</v>
      </c>
      <c r="N173" s="280"/>
      <c r="O173" s="280"/>
      <c r="P173" s="280"/>
      <c r="Q173" s="280"/>
      <c r="R173" s="290"/>
      <c r="S173" s="281"/>
      <c r="T173" s="291" t="s">
        <v>861</v>
      </c>
      <c r="U173" s="281"/>
      <c r="V173" s="281"/>
      <c r="W173" s="281"/>
    </row>
    <row r="174">
      <c r="A174" s="281"/>
      <c r="B174" s="288" t="s">
        <v>917</v>
      </c>
      <c r="C174" s="280" t="s">
        <v>741</v>
      </c>
      <c r="D174" s="289">
        <f>ROUND((F174*'Pawn Weights'!$K$3)+(G174*'Pawn Weights'!$K$4)+(H174*'Pawn Weights'!$K$5)+(I174*'Pawn Weights'!$K$6)+(J174*'Pawn Weights'!$K$7)+(K174*'Pawn Weights'!$K$8)+(L174*'Pawn Weights'!$K$9)+(M174*'Pawn Weights'!$K$10)+(N174*'Pawn Weights'!$K$11)+(O174*'Pawn Weights'!$K$12)+(P174*'Pawn Weights'!$K$13)+(Q174*'Pawn Weights'!$K$14), 2)</f>
        <v>61.34</v>
      </c>
      <c r="E174" s="280">
        <v>27.0</v>
      </c>
      <c r="F174" s="280"/>
      <c r="G174" s="280"/>
      <c r="H174" s="280">
        <v>56.0</v>
      </c>
      <c r="I174" s="280">
        <v>28.0</v>
      </c>
      <c r="J174" s="280">
        <v>18.0</v>
      </c>
      <c r="K174" s="280"/>
      <c r="L174" s="280"/>
      <c r="M174" s="281"/>
      <c r="N174" s="280"/>
      <c r="O174" s="280"/>
      <c r="P174" s="280"/>
      <c r="Q174" s="280"/>
      <c r="R174" s="290"/>
      <c r="S174" s="281"/>
      <c r="T174" s="291"/>
      <c r="U174" s="281"/>
      <c r="V174" s="281"/>
      <c r="W174" s="281"/>
    </row>
    <row r="175">
      <c r="A175" s="281"/>
      <c r="B175" s="288" t="s">
        <v>918</v>
      </c>
      <c r="C175" s="280" t="s">
        <v>919</v>
      </c>
      <c r="D175" s="289">
        <f>ROUND((F175*'Pawn Weights'!$K$3)+(G175*'Pawn Weights'!$K$4)+(H175*'Pawn Weights'!$K$5)+(I175*'Pawn Weights'!$K$6)+(J175*'Pawn Weights'!$K$7)+(K175*'Pawn Weights'!$K$8)+(L175*'Pawn Weights'!$K$9)+(M175*'Pawn Weights'!$K$10)+(N175*'Pawn Weights'!$K$11)+(O175*'Pawn Weights'!$K$12)+(P175*'Pawn Weights'!$K$13)+(Q175*'Pawn Weights'!$K$14)+12.0897, 2)</f>
        <v>58.67</v>
      </c>
      <c r="E175" s="280">
        <v>43.0</v>
      </c>
      <c r="F175" s="280"/>
      <c r="G175" s="280">
        <v>29.0</v>
      </c>
      <c r="H175" s="280">
        <v>60.0</v>
      </c>
      <c r="I175" s="280"/>
      <c r="J175" s="280"/>
      <c r="K175" s="280"/>
      <c r="L175" s="280"/>
      <c r="M175" s="281"/>
      <c r="N175" s="280"/>
      <c r="O175" s="280"/>
      <c r="P175" s="280"/>
      <c r="Q175" s="280"/>
      <c r="R175" s="290"/>
      <c r="S175" s="281"/>
      <c r="T175" s="291" t="s">
        <v>920</v>
      </c>
      <c r="U175" s="281"/>
      <c r="V175" s="281"/>
      <c r="W175" s="281"/>
    </row>
    <row r="176">
      <c r="A176" s="281"/>
      <c r="B176" s="288" t="s">
        <v>921</v>
      </c>
      <c r="C176" s="280" t="s">
        <v>821</v>
      </c>
      <c r="D176" s="289">
        <f>ROUND((F176*'Pawn Weights'!$K$3)+(G176*'Pawn Weights'!$K$4)+(H176*'Pawn Weights'!$K$5)+(I176*'Pawn Weights'!$K$6)+(J176*'Pawn Weights'!$K$7)+(K176*'Pawn Weights'!$K$8)+(L176*'Pawn Weights'!$K$9)+(M176*'Pawn Weights'!$K$10)+(N176*'Pawn Weights'!$K$11)+(O176*'Pawn Weights'!$K$12)+(P176*'Pawn Weights'!$K$13)+(Q176*'Pawn Weights'!$K$14), 2)</f>
        <v>56.16</v>
      </c>
      <c r="E176" s="280"/>
      <c r="F176" s="280"/>
      <c r="G176" s="280"/>
      <c r="H176" s="280">
        <v>66.0</v>
      </c>
      <c r="I176" s="280"/>
      <c r="J176" s="280"/>
      <c r="K176" s="280">
        <v>31.0</v>
      </c>
      <c r="L176" s="280"/>
      <c r="M176" s="281"/>
      <c r="N176" s="280"/>
      <c r="O176" s="280"/>
      <c r="P176" s="280"/>
      <c r="Q176" s="280"/>
      <c r="R176" s="290"/>
      <c r="S176" s="281"/>
      <c r="T176" s="291"/>
      <c r="U176" s="281"/>
      <c r="V176" s="281"/>
      <c r="W176" s="281"/>
    </row>
    <row r="177">
      <c r="A177" s="281"/>
      <c r="B177" s="288" t="s">
        <v>922</v>
      </c>
      <c r="C177" s="280" t="s">
        <v>708</v>
      </c>
      <c r="D177" s="289">
        <f>ROUND((F177*'Pawn Weights'!$K$3)+(G177*'Pawn Weights'!$K$4)+(H177*'Pawn Weights'!$K$5)+(I177*'Pawn Weights'!$K$6)+(J177*'Pawn Weights'!$K$7)+(K177*'Pawn Weights'!$K$8)+(L177*'Pawn Weights'!$K$9)+(M177*'Pawn Weights'!$K$10)+(N177*'Pawn Weights'!$K$11)+(O177*'Pawn Weights'!$K$12)+(P177*'Pawn Weights'!$K$13)+(Q177*'Pawn Weights'!$K$14), 2)</f>
        <v>54.15</v>
      </c>
      <c r="E177" s="280"/>
      <c r="F177" s="280"/>
      <c r="G177" s="280"/>
      <c r="H177" s="280">
        <v>62.0</v>
      </c>
      <c r="I177" s="280">
        <v>19.0</v>
      </c>
      <c r="J177" s="280">
        <v>15.0</v>
      </c>
      <c r="K177" s="280"/>
      <c r="L177" s="280"/>
      <c r="M177" s="281"/>
      <c r="N177" s="280"/>
      <c r="O177" s="280"/>
      <c r="P177" s="280"/>
      <c r="Q177" s="280"/>
      <c r="R177" s="290"/>
      <c r="S177" s="281"/>
      <c r="T177" s="291"/>
      <c r="U177" s="281"/>
      <c r="V177" s="281"/>
      <c r="W177" s="281"/>
    </row>
    <row r="178">
      <c r="A178" s="281"/>
      <c r="B178" s="288" t="s">
        <v>923</v>
      </c>
      <c r="C178" s="280" t="s">
        <v>656</v>
      </c>
      <c r="D178" s="289">
        <f>ROUND((F178*'Pawn Weights'!$K$3)+(G178*'Pawn Weights'!$K$4)+(H178*'Pawn Weights'!$K$5)+(I178*'Pawn Weights'!$K$6)+(J178*'Pawn Weights'!$K$7)+(K178*'Pawn Weights'!$K$8)+(L178*'Pawn Weights'!$K$9)+(M178*'Pawn Weights'!$K$10)+(N178*'Pawn Weights'!$K$11)+(O178*'Pawn Weights'!$K$12)+(P178*'Pawn Weights'!$K$13)+(Q178*'Pawn Weights'!$K$14), 2)</f>
        <v>51.93</v>
      </c>
      <c r="E178" s="280">
        <v>21.0</v>
      </c>
      <c r="F178" s="280"/>
      <c r="G178" s="280"/>
      <c r="H178" s="280">
        <v>44.0</v>
      </c>
      <c r="I178" s="280">
        <v>23.0</v>
      </c>
      <c r="J178" s="280">
        <v>19.0</v>
      </c>
      <c r="K178" s="280"/>
      <c r="L178" s="280"/>
      <c r="M178" s="281"/>
      <c r="N178" s="280"/>
      <c r="O178" s="280"/>
      <c r="P178" s="280"/>
      <c r="Q178" s="280"/>
      <c r="R178" s="290"/>
      <c r="S178" s="281"/>
      <c r="T178" s="291"/>
      <c r="U178" s="281"/>
      <c r="V178" s="281"/>
      <c r="W178" s="281"/>
    </row>
    <row r="179">
      <c r="A179" s="281"/>
      <c r="B179" s="288" t="s">
        <v>924</v>
      </c>
      <c r="C179" s="280" t="s">
        <v>744</v>
      </c>
      <c r="D179" s="289">
        <f>ROUND((F179*'Pawn Weights'!$K$3)+(G179*'Pawn Weights'!$K$4)+(H179*'Pawn Weights'!$K$5)+(I179*'Pawn Weights'!$K$6)+(J179*'Pawn Weights'!$K$7)+(K179*'Pawn Weights'!$K$8)+(L179*'Pawn Weights'!$K$9)+(M179*'Pawn Weights'!$K$10)+(N179*'Pawn Weights'!$K$11)+(O179*'Pawn Weights'!$K$12)+(P179*'Pawn Weights'!$K$13)+(Q179*'Pawn Weights'!$K$14), 2)</f>
        <v>51.81</v>
      </c>
      <c r="E179" s="280">
        <v>30.0</v>
      </c>
      <c r="F179" s="280"/>
      <c r="G179" s="280"/>
      <c r="H179" s="280">
        <v>58.0</v>
      </c>
      <c r="I179" s="280">
        <v>28.0</v>
      </c>
      <c r="J179" s="280"/>
      <c r="K179" s="280"/>
      <c r="L179" s="280"/>
      <c r="M179" s="281"/>
      <c r="N179" s="280"/>
      <c r="O179" s="280"/>
      <c r="P179" s="280"/>
      <c r="Q179" s="280"/>
      <c r="R179" s="290"/>
      <c r="S179" s="281"/>
      <c r="T179" s="291" t="s">
        <v>925</v>
      </c>
      <c r="U179" s="281"/>
      <c r="V179" s="281"/>
      <c r="W179" s="281"/>
    </row>
    <row r="180">
      <c r="A180" s="281"/>
      <c r="B180" s="288" t="s">
        <v>926</v>
      </c>
      <c r="C180" s="280" t="s">
        <v>723</v>
      </c>
      <c r="D180" s="289">
        <f>ROUND((F180*'Pawn Weights'!$K$3)+(G180*'Pawn Weights'!$K$4)+(H180*'Pawn Weights'!$K$5)+(I180*'Pawn Weights'!$K$6)+(J180*'Pawn Weights'!$K$7)+(K180*'Pawn Weights'!$K$8)+(L180*'Pawn Weights'!$K$9)+(M180*'Pawn Weights'!$K$10)+(N180*'Pawn Weights'!$K$11)+(O180*'Pawn Weights'!$K$12)+(P180*'Pawn Weights'!$K$13)+(Q180*'Pawn Weights'!$K$14), 2)</f>
        <v>51.37</v>
      </c>
      <c r="E180" s="280">
        <v>42.0</v>
      </c>
      <c r="F180" s="280"/>
      <c r="G180" s="280">
        <v>21.0</v>
      </c>
      <c r="H180" s="280">
        <v>58.0</v>
      </c>
      <c r="I180" s="280"/>
      <c r="J180" s="280">
        <v>19.0</v>
      </c>
      <c r="K180" s="280"/>
      <c r="L180" s="280"/>
      <c r="M180" s="281"/>
      <c r="N180" s="280"/>
      <c r="O180" s="280"/>
      <c r="P180" s="280"/>
      <c r="Q180" s="280"/>
      <c r="R180" s="290"/>
      <c r="S180" s="281"/>
      <c r="T180" s="291"/>
      <c r="U180" s="281"/>
      <c r="V180" s="281"/>
      <c r="W180" s="281"/>
    </row>
    <row r="181">
      <c r="A181" s="281"/>
      <c r="B181" s="288" t="s">
        <v>927</v>
      </c>
      <c r="C181" s="280" t="s">
        <v>710</v>
      </c>
      <c r="D181" s="289">
        <f>ROUND((F181*'Pawn Weights'!$K$3)+(G181*'Pawn Weights'!$K$4)+(H181*'Pawn Weights'!$K$5)+(I181*'Pawn Weights'!$K$6)+(J181*'Pawn Weights'!$K$7)+(K181*'Pawn Weights'!$K$8)+(L181*'Pawn Weights'!$K$9)+(M181*'Pawn Weights'!$K$10)+(N181*'Pawn Weights'!$K$11)+(O181*'Pawn Weights'!$K$12)+(P181*'Pawn Weights'!$K$13)+(Q181*'Pawn Weights'!$K$14), 2)</f>
        <v>49.73</v>
      </c>
      <c r="E181" s="280">
        <v>19.0</v>
      </c>
      <c r="F181" s="280"/>
      <c r="G181" s="280">
        <v>24.0</v>
      </c>
      <c r="H181" s="280">
        <v>50.0</v>
      </c>
      <c r="I181" s="280"/>
      <c r="J181" s="280">
        <v>19.0</v>
      </c>
      <c r="K181" s="280"/>
      <c r="L181" s="280"/>
      <c r="M181" s="281"/>
      <c r="N181" s="280"/>
      <c r="O181" s="280"/>
      <c r="P181" s="280"/>
      <c r="Q181" s="280"/>
      <c r="R181" s="290"/>
      <c r="S181" s="281"/>
      <c r="T181" s="291"/>
      <c r="U181" s="281"/>
      <c r="V181" s="281"/>
      <c r="W181" s="281"/>
    </row>
    <row r="182">
      <c r="A182" s="224" t="s">
        <v>928</v>
      </c>
      <c r="B182" s="312" t="s">
        <v>929</v>
      </c>
      <c r="C182" s="281"/>
      <c r="D182" s="293"/>
      <c r="E182" s="313" t="s">
        <v>607</v>
      </c>
      <c r="F182" s="314" t="s">
        <v>608</v>
      </c>
      <c r="G182" s="314" t="s">
        <v>561</v>
      </c>
      <c r="H182" s="314" t="s">
        <v>930</v>
      </c>
      <c r="I182" s="314" t="s">
        <v>330</v>
      </c>
      <c r="J182" s="314" t="s">
        <v>344</v>
      </c>
      <c r="K182" s="314" t="s">
        <v>356</v>
      </c>
      <c r="L182" s="314" t="s">
        <v>563</v>
      </c>
      <c r="M182" s="314" t="s">
        <v>564</v>
      </c>
      <c r="N182" s="281"/>
      <c r="O182" s="281"/>
      <c r="P182" s="281"/>
      <c r="Q182" s="281"/>
      <c r="R182" s="282"/>
      <c r="S182" s="281"/>
      <c r="T182" s="285"/>
      <c r="U182" s="281"/>
      <c r="V182" s="281"/>
      <c r="W182" s="281"/>
    </row>
    <row r="183">
      <c r="A183" s="292" t="s">
        <v>931</v>
      </c>
      <c r="B183" s="288" t="s">
        <v>932</v>
      </c>
      <c r="C183" s="280" t="s">
        <v>871</v>
      </c>
      <c r="D183" s="315"/>
      <c r="E183" s="280">
        <v>30.0</v>
      </c>
      <c r="F183" s="280"/>
      <c r="G183" s="280"/>
      <c r="H183" s="280"/>
      <c r="I183" s="280"/>
      <c r="J183" s="280"/>
      <c r="K183" s="280"/>
      <c r="L183" s="280"/>
      <c r="M183" s="281"/>
      <c r="N183" s="280"/>
      <c r="O183" s="280"/>
      <c r="P183" s="280"/>
      <c r="Q183" s="280"/>
      <c r="R183" s="290"/>
      <c r="S183" s="281"/>
      <c r="T183" s="291" t="s">
        <v>933</v>
      </c>
      <c r="U183" s="281"/>
      <c r="V183" s="281"/>
      <c r="W183" s="281"/>
    </row>
    <row r="184">
      <c r="A184" s="281"/>
      <c r="B184" s="288" t="s">
        <v>934</v>
      </c>
      <c r="C184" s="280" t="s">
        <v>744</v>
      </c>
      <c r="D184" s="289">
        <f>ROUND((F184*'Pawn Weights'!$K$3)+(G184*'Pawn Weights'!$K$4)+(H184*'Pawn Weights'!$K$5)+(I184*'Pawn Weights'!$K$6)+(J184*'Pawn Weights'!$K$7)+(K184*'Pawn Weights'!$K$8)+(L184*'Pawn Weights'!$K$9)+(M184*'Pawn Weights'!$K$10)+(N184*'Pawn Weights'!$K$11)+(O184*'Pawn Weights'!$K$12)+(P184*'Pawn Weights'!$K$13)+(Q184*'Pawn Weights'!$K$14), 2)</f>
        <v>105.57</v>
      </c>
      <c r="E184" s="280"/>
      <c r="F184" s="280"/>
      <c r="G184" s="280"/>
      <c r="H184" s="280">
        <v>132.0</v>
      </c>
      <c r="I184" s="280"/>
      <c r="J184" s="280"/>
      <c r="K184" s="280">
        <v>54.0</v>
      </c>
      <c r="L184" s="280"/>
      <c r="M184" s="280"/>
      <c r="N184" s="280"/>
      <c r="O184" s="280"/>
      <c r="P184" s="280"/>
      <c r="Q184" s="280"/>
      <c r="R184" s="290"/>
      <c r="S184" s="281"/>
      <c r="T184" s="291" t="s">
        <v>935</v>
      </c>
      <c r="U184" s="281"/>
      <c r="V184" s="281"/>
      <c r="W184" s="281"/>
      <c r="X184" s="281"/>
    </row>
    <row r="185">
      <c r="A185" s="281"/>
      <c r="B185" s="288" t="s">
        <v>936</v>
      </c>
      <c r="C185" s="280" t="s">
        <v>823</v>
      </c>
      <c r="D185" s="289">
        <f>ROUND((F185*'Pawn Weights'!$K$3)+(G185*'Pawn Weights'!$K$4)+(H185*'Pawn Weights'!$K$5)+(I185*'Pawn Weights'!$K$6)+(J185*'Pawn Weights'!$K$7)+(K185*'Pawn Weights'!$K$8)+(L185*'Pawn Weights'!$K$9)+(M185*'Pawn Weights'!$K$10)+(N185*'Pawn Weights'!$K$11)+(O185*'Pawn Weights'!$K$12)+(P185*'Pawn Weights'!$K$13)+(Q185*'Pawn Weights'!$K$14), 2)</f>
        <v>103.21</v>
      </c>
      <c r="E185" s="280"/>
      <c r="F185" s="280"/>
      <c r="G185" s="280"/>
      <c r="H185" s="280">
        <v>40.0</v>
      </c>
      <c r="I185" s="280"/>
      <c r="J185" s="280"/>
      <c r="K185" s="280">
        <v>100.75</v>
      </c>
      <c r="L185" s="280"/>
      <c r="M185" s="281"/>
      <c r="N185" s="280"/>
      <c r="O185" s="280"/>
      <c r="P185" s="280"/>
      <c r="Q185" s="280"/>
      <c r="R185" s="290"/>
      <c r="S185" s="281"/>
      <c r="T185" s="291" t="s">
        <v>937</v>
      </c>
      <c r="U185" s="281"/>
      <c r="V185" s="281"/>
      <c r="W185" s="281"/>
    </row>
    <row r="186">
      <c r="A186" s="281"/>
      <c r="B186" s="288" t="s">
        <v>938</v>
      </c>
      <c r="C186" s="280" t="s">
        <v>939</v>
      </c>
      <c r="D186" s="289">
        <f>ROUND((F186*'Pawn Weights'!$K$3)+(G186*'Pawn Weights'!$K$4)+(H186*'Pawn Weights'!$K$5)+(I186*'Pawn Weights'!$K$6)+(J186*'Pawn Weights'!$K$7)+(K186*'Pawn Weights'!$K$8)+(L186*'Pawn Weights'!$K$9)+(M186*'Pawn Weights'!$K$10)+(N186*'Pawn Weights'!$K$11)+(O186*'Pawn Weights'!$K$12)+(P186*'Pawn Weights'!$K$13)+(Q186*'Pawn Weights'!$K$14), 2)</f>
        <v>99.01</v>
      </c>
      <c r="E186" s="280"/>
      <c r="F186" s="280"/>
      <c r="G186" s="280"/>
      <c r="H186" s="280">
        <v>92.0</v>
      </c>
      <c r="I186" s="280"/>
      <c r="J186" s="280"/>
      <c r="K186" s="280"/>
      <c r="L186" s="280">
        <v>44.0</v>
      </c>
      <c r="M186" s="281"/>
      <c r="N186" s="280"/>
      <c r="O186" s="280"/>
      <c r="P186" s="280"/>
      <c r="Q186" s="280"/>
      <c r="R186" s="290"/>
      <c r="S186" s="281"/>
      <c r="T186" s="291" t="s">
        <v>940</v>
      </c>
      <c r="U186" s="281"/>
      <c r="V186" s="281"/>
      <c r="W186" s="281"/>
    </row>
    <row r="187">
      <c r="A187" s="281"/>
      <c r="B187" s="288" t="s">
        <v>941</v>
      </c>
      <c r="C187" s="280" t="s">
        <v>639</v>
      </c>
      <c r="D187" s="289">
        <f>ROUND((F187*'Pawn Weights'!$K$3)+(G187*'Pawn Weights'!$K$4)+(H187*'Pawn Weights'!$K$5)+(I187*'Pawn Weights'!$K$6)+(J187*'Pawn Weights'!$K$7)+(K187*'Pawn Weights'!$K$8)+(L187*'Pawn Weights'!$K$9)+(M187*'Pawn Weights'!$K$10)+(N187*'Pawn Weights'!$K$11)+(O187*'Pawn Weights'!$K$12)+(P187*'Pawn Weights'!$K$13)+(Q187*'Pawn Weights'!$K$14), 2)</f>
        <v>78.73</v>
      </c>
      <c r="E187" s="280"/>
      <c r="F187" s="280"/>
      <c r="G187" s="280"/>
      <c r="H187" s="280">
        <v>84.0</v>
      </c>
      <c r="I187" s="280"/>
      <c r="J187" s="280">
        <v>20.0</v>
      </c>
      <c r="K187" s="280"/>
      <c r="L187" s="280"/>
      <c r="M187" s="316">
        <v>150.0</v>
      </c>
      <c r="N187" s="280"/>
      <c r="O187" s="280"/>
      <c r="P187" s="280"/>
      <c r="Q187" s="280"/>
      <c r="R187" s="290"/>
      <c r="S187" s="281"/>
      <c r="T187" s="291" t="s">
        <v>942</v>
      </c>
      <c r="U187" s="281"/>
      <c r="V187" s="281"/>
      <c r="W187" s="281"/>
    </row>
    <row r="188">
      <c r="A188" s="292" t="s">
        <v>943</v>
      </c>
      <c r="B188" s="288" t="s">
        <v>944</v>
      </c>
      <c r="C188" s="280" t="s">
        <v>744</v>
      </c>
      <c r="D188" s="289">
        <f>ROUND((F188*'Pawn Weights'!$K$3)+(G188*'Pawn Weights'!$K$4)+(H188*'Pawn Weights'!$K$5)+(I188*'Pawn Weights'!$K$6)+(J188*'Pawn Weights'!$K$7)+(K188*'Pawn Weights'!$K$8)+(L188*'Pawn Weights'!$K$9)+(M188*'Pawn Weights'!$K$10)+(N188*'Pawn Weights'!$K$11)+(O188*'Pawn Weights'!$K$12)+(P188*'Pawn Weights'!$K$13)+(Q188*'Pawn Weights'!$K$14), 2)</f>
        <v>70.2</v>
      </c>
      <c r="E188" s="280"/>
      <c r="F188" s="280"/>
      <c r="G188" s="280"/>
      <c r="H188" s="280"/>
      <c r="I188" s="280"/>
      <c r="J188" s="280"/>
      <c r="K188" s="280"/>
      <c r="L188" s="280">
        <v>54.0</v>
      </c>
      <c r="M188" s="281"/>
      <c r="N188" s="280"/>
      <c r="O188" s="280"/>
      <c r="P188" s="280"/>
      <c r="Q188" s="280"/>
      <c r="R188" s="290"/>
      <c r="S188" s="281"/>
      <c r="T188" s="291" t="s">
        <v>945</v>
      </c>
      <c r="U188" s="281"/>
      <c r="V188" s="281"/>
      <c r="W188" s="281"/>
    </row>
    <row r="189">
      <c r="A189" s="281"/>
      <c r="B189" s="288" t="s">
        <v>946</v>
      </c>
      <c r="C189" s="280" t="s">
        <v>947</v>
      </c>
      <c r="D189" s="289">
        <f>ROUND((F189*'Pawn Weights'!$K$3)+(G189*'Pawn Weights'!$K$4)+(H189*'Pawn Weights'!$K$5)+(I189*'Pawn Weights'!$K$6)+(J189*'Pawn Weights'!$K$7)+(K189*'Pawn Weights'!$K$8)+(L189*'Pawn Weights'!$K$9)+(M189*'Pawn Weights'!$K$10)+(N189*'Pawn Weights'!$K$11)+(O189*'Pawn Weights'!$K$12)+(P189*'Pawn Weights'!$K$13)+(Q189*'Pawn Weights'!$K$14), 2)</f>
        <v>68.18</v>
      </c>
      <c r="E189" s="280"/>
      <c r="F189" s="280"/>
      <c r="G189" s="280"/>
      <c r="H189" s="280">
        <v>150.0</v>
      </c>
      <c r="I189" s="280"/>
      <c r="J189" s="280"/>
      <c r="K189" s="280"/>
      <c r="L189" s="280"/>
      <c r="M189" s="281"/>
      <c r="N189" s="280"/>
      <c r="O189" s="280"/>
      <c r="P189" s="280"/>
      <c r="Q189" s="280"/>
      <c r="R189" s="290"/>
      <c r="S189" s="281"/>
      <c r="T189" s="291" t="s">
        <v>948</v>
      </c>
      <c r="U189" s="281"/>
      <c r="V189" s="281"/>
      <c r="W189" s="281"/>
    </row>
    <row r="190">
      <c r="A190" s="292" t="s">
        <v>949</v>
      </c>
      <c r="B190" s="288" t="s">
        <v>950</v>
      </c>
      <c r="C190" s="280" t="s">
        <v>951</v>
      </c>
      <c r="D190" s="289">
        <f>ROUND((F190*'Pawn Weights'!$K$3)+(G190*'Pawn Weights'!$K$4)+(H190*'Pawn Weights'!$K$5)+(I190*'Pawn Weights'!$K$6)+(J190*'Pawn Weights'!$K$7)+(K190*'Pawn Weights'!$K$8)+(L190*'Pawn Weights'!$K$9)+(M190*'Pawn Weights'!$K$10)+(N190*'Pawn Weights'!$K$11)+(O190*'Pawn Weights'!$K$12)+(P190*'Pawn Weights'!$K$13)+(Q190*'Pawn Weights'!$K$14), 2)</f>
        <v>68.18</v>
      </c>
      <c r="E190" s="280"/>
      <c r="F190" s="280"/>
      <c r="G190" s="280"/>
      <c r="H190" s="280">
        <v>150.0</v>
      </c>
      <c r="I190" s="280"/>
      <c r="J190" s="280"/>
      <c r="K190" s="280"/>
      <c r="L190" s="280"/>
      <c r="M190" s="281"/>
      <c r="N190" s="280"/>
      <c r="O190" s="280"/>
      <c r="P190" s="280"/>
      <c r="Q190" s="280"/>
      <c r="R190" s="290"/>
      <c r="S190" s="281"/>
      <c r="T190" s="291" t="s">
        <v>952</v>
      </c>
      <c r="U190" s="281"/>
      <c r="V190" s="281"/>
      <c r="W190" s="281"/>
    </row>
    <row r="191">
      <c r="A191" s="219" t="s">
        <v>627</v>
      </c>
      <c r="B191" s="317" t="s">
        <v>953</v>
      </c>
      <c r="C191" s="318" t="s">
        <v>954</v>
      </c>
      <c r="D191" s="289">
        <f>ROUND((F191*'Pawn Weights'!$K$3)+(G191*'Pawn Weights'!$K$4)+(H191*'Pawn Weights'!$K$5)+(I191*'Pawn Weights'!$K$6)+(J191*'Pawn Weights'!$K$7)+(K191*'Pawn Weights'!$K$8)+(L191*'Pawn Weights'!$K$9)+(M191*'Pawn Weights'!$K$10)+(N191*'Pawn Weights'!$K$11)+(O191*'Pawn Weights'!$K$12)+(P191*'Pawn Weights'!$K$13)+(Q191*'Pawn Weights'!$K$14), 2)</f>
        <v>60.6</v>
      </c>
      <c r="E191" s="297"/>
      <c r="F191" s="297"/>
      <c r="G191" s="297"/>
      <c r="H191" s="316">
        <v>133.33</v>
      </c>
      <c r="I191" s="297"/>
      <c r="J191" s="297"/>
      <c r="K191" s="297"/>
      <c r="L191" s="297"/>
      <c r="M191" s="295"/>
      <c r="N191" s="297"/>
      <c r="O191" s="297"/>
      <c r="P191" s="297"/>
      <c r="Q191" s="297"/>
      <c r="R191" s="295"/>
      <c r="S191" s="137"/>
      <c r="T191" s="318" t="s">
        <v>955</v>
      </c>
      <c r="U191" s="137"/>
      <c r="V191" s="137"/>
      <c r="W191" s="137"/>
      <c r="X191" s="137"/>
      <c r="Y191" s="137"/>
      <c r="Z191" s="137"/>
    </row>
    <row r="192">
      <c r="A192" s="281"/>
      <c r="B192" s="288" t="s">
        <v>956</v>
      </c>
      <c r="C192" s="280" t="s">
        <v>957</v>
      </c>
      <c r="D192" s="289">
        <f>ROUND((F192*'Pawn Weights'!$K$3)+(G192*'Pawn Weights'!$K$4)+(H192*'Pawn Weights'!$K$5)+(I192*'Pawn Weights'!$K$6)+(J192*'Pawn Weights'!$K$7)+(K192*'Pawn Weights'!$K$8)+(L192*'Pawn Weights'!$K$9)+(M192*'Pawn Weights'!$K$10)+(N192*'Pawn Weights'!$K$11)+(O192*'Pawn Weights'!$K$12)+(P192*'Pawn Weights'!$K$13)+(Q192*'Pawn Weights'!$K$14), 2)</f>
        <v>60.34</v>
      </c>
      <c r="E192" s="280"/>
      <c r="F192" s="280"/>
      <c r="G192" s="280"/>
      <c r="H192" s="280">
        <v>44.0</v>
      </c>
      <c r="I192" s="280">
        <v>38.0</v>
      </c>
      <c r="J192" s="280">
        <v>10.0</v>
      </c>
      <c r="K192" s="280"/>
      <c r="L192" s="280"/>
      <c r="M192" s="281"/>
      <c r="N192" s="280"/>
      <c r="O192" s="280"/>
      <c r="P192" s="280"/>
      <c r="Q192" s="280"/>
      <c r="R192" s="290"/>
      <c r="S192" s="281"/>
      <c r="T192" s="291" t="s">
        <v>958</v>
      </c>
      <c r="U192" s="281"/>
      <c r="V192" s="281"/>
      <c r="W192" s="281"/>
    </row>
    <row r="193">
      <c r="A193" s="281"/>
      <c r="B193" s="288" t="s">
        <v>959</v>
      </c>
      <c r="C193" s="154" t="s">
        <v>960</v>
      </c>
      <c r="D193" s="289">
        <f>ROUND((F193*'Pawn Weights'!$K$3)+(G193*'Pawn Weights'!$K$4)+(H193*'Pawn Weights'!$K$5)+(I193*'Pawn Weights'!$K$6)+(J193*'Pawn Weights'!$K$7)+(K193*'Pawn Weights'!$K$8)+(L193*'Pawn Weights'!$K$9)+(M193*'Pawn Weights'!$K$10)+(N193*'Pawn Weights'!$K$11)+(O193*'Pawn Weights'!$K$12)+(P193*'Pawn Weights'!$K$13)+(Q193*'Pawn Weights'!$K$14), 2)</f>
        <v>54.54</v>
      </c>
      <c r="E193" s="280"/>
      <c r="F193" s="280"/>
      <c r="G193" s="280"/>
      <c r="H193" s="280">
        <v>120.0</v>
      </c>
      <c r="I193" s="280"/>
      <c r="J193" s="280"/>
      <c r="K193" s="280"/>
      <c r="L193" s="280"/>
      <c r="M193" s="280"/>
      <c r="N193" s="280"/>
      <c r="O193" s="280"/>
      <c r="P193" s="280"/>
      <c r="Q193" s="280"/>
      <c r="R193" s="290"/>
      <c r="S193" s="281"/>
      <c r="T193" s="291" t="s">
        <v>961</v>
      </c>
      <c r="U193" s="281"/>
      <c r="V193" s="281"/>
      <c r="W193" s="281"/>
      <c r="X193" s="281"/>
    </row>
    <row r="194">
      <c r="A194" s="281"/>
      <c r="B194" s="288" t="s">
        <v>962</v>
      </c>
      <c r="C194" s="280" t="s">
        <v>963</v>
      </c>
      <c r="D194" s="289">
        <f>ROUND((F194*'Pawn Weights'!$K$3)+(G194*'Pawn Weights'!$K$4)+(H194*'Pawn Weights'!$K$5)+(I194*'Pawn Weights'!$K$6)+(J194*'Pawn Weights'!$K$7)+(K194*'Pawn Weights'!$K$8)+(L194*'Pawn Weights'!$K$9)+(M194*'Pawn Weights'!$K$10)+(N194*'Pawn Weights'!$K$11)+(O194*'Pawn Weights'!$K$12)+(P194*'Pawn Weights'!$K$13)+(Q194*'Pawn Weights'!$K$14), 2)</f>
        <v>53.63</v>
      </c>
      <c r="E194" s="280"/>
      <c r="F194" s="280"/>
      <c r="G194" s="280"/>
      <c r="H194" s="280">
        <v>118.0</v>
      </c>
      <c r="I194" s="280"/>
      <c r="J194" s="280"/>
      <c r="K194" s="280"/>
      <c r="L194" s="280"/>
      <c r="M194" s="280"/>
      <c r="N194" s="280"/>
      <c r="O194" s="280"/>
      <c r="P194" s="280"/>
      <c r="Q194" s="280"/>
      <c r="R194" s="290"/>
      <c r="S194" s="281"/>
      <c r="T194" s="291" t="s">
        <v>964</v>
      </c>
      <c r="U194" s="281"/>
      <c r="V194" s="281"/>
      <c r="W194" s="281"/>
      <c r="X194" s="281"/>
    </row>
    <row r="195">
      <c r="A195" s="292" t="s">
        <v>965</v>
      </c>
      <c r="B195" s="288" t="s">
        <v>966</v>
      </c>
      <c r="C195" s="280" t="s">
        <v>967</v>
      </c>
      <c r="D195" s="289">
        <f>ROUND((F195*'Pawn Weights'!$K$3)+(G195*'Pawn Weights'!$K$4)+(H195*'Pawn Weights'!$K$5)+(I195*'Pawn Weights'!$K$6)+(J195*'Pawn Weights'!$K$7)+(K195*'Pawn Weights'!$K$8)+(L195*'Pawn Weights'!$K$9)+(M195*'Pawn Weights'!$K$10)+(N195*'Pawn Weights'!$K$11)+(O195*'Pawn Weights'!$K$12)+(P195*'Pawn Weights'!$K$13)+(Q195*'Pawn Weights'!$K$14), 2)</f>
        <v>48.63</v>
      </c>
      <c r="E195" s="280"/>
      <c r="F195" s="280"/>
      <c r="G195" s="280"/>
      <c r="H195" s="280">
        <v>107.0</v>
      </c>
      <c r="I195" s="280"/>
      <c r="J195" s="280"/>
      <c r="K195" s="280"/>
      <c r="L195" s="280"/>
      <c r="M195" s="281"/>
      <c r="N195" s="280"/>
      <c r="O195" s="280"/>
      <c r="P195" s="280"/>
      <c r="Q195" s="280"/>
      <c r="R195" s="290"/>
      <c r="S195" s="281"/>
      <c r="T195" s="291" t="s">
        <v>968</v>
      </c>
      <c r="U195" s="281"/>
      <c r="V195" s="281"/>
      <c r="W195" s="281"/>
    </row>
    <row r="196">
      <c r="A196" s="281"/>
      <c r="B196" s="311" t="s">
        <v>969</v>
      </c>
      <c r="C196" s="280" t="s">
        <v>970</v>
      </c>
      <c r="D196" s="289">
        <f>ROUND((F196*'Pawn Weights'!$K$3)+(G196*'Pawn Weights'!$K$4)+(H196*'Pawn Weights'!$K$5)+(I196*'Pawn Weights'!$K$6)+(J196*'Pawn Weights'!$K$7)+(K196*'Pawn Weights'!$K$8)+(L196*'Pawn Weights'!$K$9)+(M196*'Pawn Weights'!$K$10)+(N196*'Pawn Weights'!$K$11)+(O196*'Pawn Weights'!$K$12)+(P196*'Pawn Weights'!$K$13)+(Q196*'Pawn Weights'!$K$14), 2)</f>
        <v>46.81</v>
      </c>
      <c r="E196" s="280"/>
      <c r="F196" s="280"/>
      <c r="G196" s="280"/>
      <c r="H196" s="280">
        <v>39.0</v>
      </c>
      <c r="I196" s="280">
        <v>32.0</v>
      </c>
      <c r="J196" s="280"/>
      <c r="K196" s="280"/>
      <c r="L196" s="280"/>
      <c r="M196" s="280"/>
      <c r="N196" s="280"/>
      <c r="O196" s="280"/>
      <c r="P196" s="280"/>
      <c r="Q196" s="280"/>
      <c r="R196" s="290"/>
      <c r="S196" s="281"/>
      <c r="T196" s="291" t="s">
        <v>971</v>
      </c>
      <c r="U196" s="281"/>
      <c r="V196" s="281"/>
      <c r="W196" s="281"/>
      <c r="X196" s="281"/>
    </row>
    <row r="197">
      <c r="A197" s="272" t="s">
        <v>972</v>
      </c>
      <c r="B197" s="281"/>
      <c r="C197" s="281"/>
      <c r="D197" s="25"/>
      <c r="E197" s="281"/>
      <c r="F197" s="281"/>
      <c r="G197" s="281"/>
      <c r="H197" s="281"/>
      <c r="I197" s="281"/>
      <c r="J197" s="281"/>
      <c r="K197" s="281"/>
      <c r="L197" s="281"/>
      <c r="M197" s="281"/>
      <c r="N197" s="281"/>
      <c r="O197" s="281"/>
      <c r="P197" s="281"/>
      <c r="Q197" s="281"/>
      <c r="R197" s="282"/>
      <c r="S197" s="281"/>
      <c r="T197" s="285"/>
      <c r="U197" s="281"/>
      <c r="V197" s="281"/>
      <c r="W197" s="281"/>
    </row>
    <row r="198">
      <c r="A198" s="292" t="s">
        <v>973</v>
      </c>
      <c r="B198" s="319" t="s">
        <v>974</v>
      </c>
      <c r="C198" s="280" t="s">
        <v>621</v>
      </c>
      <c r="D198" s="289">
        <f>ROUND((F198*'Pawn Weights'!$K$3)+(G198*'Pawn Weights'!$K$4)+(H198*'Pawn Weights'!$K$5)+(I198*'Pawn Weights'!$K$6)+(J198*'Pawn Weights'!$K$7)+(K198*'Pawn Weights'!$K$8)+(L198*'Pawn Weights'!$K$9)+(M198*'Pawn Weights'!$K$10)+(N198*'Pawn Weights'!$K$11)+(O198*'Pawn Weights'!$K$12)+(P198*'Pawn Weights'!$K$13)+(Q198*'Pawn Weights'!$K$14), 2)</f>
        <v>62.94</v>
      </c>
      <c r="E198" s="280"/>
      <c r="F198" s="280"/>
      <c r="G198" s="280">
        <v>17.0</v>
      </c>
      <c r="H198" s="280">
        <v>34.0</v>
      </c>
      <c r="I198" s="280">
        <v>16.0</v>
      </c>
      <c r="J198" s="280"/>
      <c r="K198" s="320"/>
      <c r="L198" s="320"/>
      <c r="M198" s="280">
        <v>112.0</v>
      </c>
      <c r="N198" s="320"/>
      <c r="O198" s="280"/>
      <c r="P198" s="320"/>
      <c r="Q198" s="320"/>
      <c r="R198" s="290"/>
      <c r="S198" s="281"/>
      <c r="T198" s="291"/>
      <c r="U198" s="281"/>
      <c r="V198" s="281"/>
      <c r="W198" s="281"/>
    </row>
    <row r="199">
      <c r="A199" s="281"/>
      <c r="B199" s="288" t="s">
        <v>975</v>
      </c>
      <c r="C199" s="280" t="s">
        <v>669</v>
      </c>
      <c r="D199" s="289">
        <f>ROUND((F199*'Pawn Weights'!$K$3)+(G199*'Pawn Weights'!$K$4)+(H199*'Pawn Weights'!$K$5)+(I199*'Pawn Weights'!$K$6)+(J199*'Pawn Weights'!$K$7)+(K199*'Pawn Weights'!$K$8)+(L199*'Pawn Weights'!$K$9)+(M199*'Pawn Weights'!$K$10)+(N199*'Pawn Weights'!$K$11)+(O199*'Pawn Weights'!$K$12)+(P199*'Pawn Weights'!$K$13)+(Q199*'Pawn Weights'!$K$14), 2)</f>
        <v>61.22</v>
      </c>
      <c r="E199" s="280"/>
      <c r="F199" s="280"/>
      <c r="G199" s="280">
        <v>18.0</v>
      </c>
      <c r="H199" s="280">
        <v>34.0</v>
      </c>
      <c r="I199" s="280"/>
      <c r="J199" s="280"/>
      <c r="K199" s="320"/>
      <c r="L199" s="320"/>
      <c r="M199" s="280">
        <v>175.0</v>
      </c>
      <c r="N199" s="320"/>
      <c r="O199" s="280"/>
      <c r="P199" s="320"/>
      <c r="Q199" s="320"/>
      <c r="R199" s="290"/>
      <c r="S199" s="281"/>
      <c r="T199" s="291"/>
      <c r="U199" s="281"/>
      <c r="V199" s="281"/>
      <c r="W199" s="281"/>
    </row>
    <row r="200" ht="15.0" customHeight="1">
      <c r="A200" s="281"/>
      <c r="B200" s="288" t="s">
        <v>976</v>
      </c>
      <c r="C200" s="280" t="s">
        <v>947</v>
      </c>
      <c r="D200" s="289">
        <f>ROUND((F200*'Pawn Weights'!$K$3)+(G200*'Pawn Weights'!$K$4)+(H200*'Pawn Weights'!$K$5)+(I200*'Pawn Weights'!$K$6)+(J200*'Pawn Weights'!$K$7)+(K200*'Pawn Weights'!$K$8)+(L200*'Pawn Weights'!$K$9)+(M200*'Pawn Weights'!$K$10)+(N200*'Pawn Weights'!$K$11)+(O200*'Pawn Weights'!$K$12)+(P200*'Pawn Weights'!$K$13)+(Q200*'Pawn Weights'!$K$14), 2)</f>
        <v>41.59</v>
      </c>
      <c r="E200" s="280"/>
      <c r="F200" s="280"/>
      <c r="G200" s="280"/>
      <c r="H200" s="280">
        <v>38.0</v>
      </c>
      <c r="I200" s="280"/>
      <c r="J200" s="280"/>
      <c r="K200" s="320"/>
      <c r="L200" s="320"/>
      <c r="M200" s="280">
        <v>126.0</v>
      </c>
      <c r="N200" s="320"/>
      <c r="O200" s="280"/>
      <c r="P200" s="320"/>
      <c r="Q200" s="320"/>
      <c r="R200" s="290"/>
      <c r="S200" s="281"/>
      <c r="T200" s="291"/>
      <c r="U200" s="281"/>
      <c r="V200" s="281"/>
      <c r="W200" s="281"/>
    </row>
    <row r="201">
      <c r="A201" s="281"/>
      <c r="B201" s="288" t="s">
        <v>977</v>
      </c>
      <c r="C201" s="280" t="s">
        <v>978</v>
      </c>
      <c r="D201" s="289">
        <f>ROUND((F201*'Pawn Weights'!$K$3)+(G201*'Pawn Weights'!$K$4)+(H201*'Pawn Weights'!$K$5)+(I201*'Pawn Weights'!$K$6)+(J201*'Pawn Weights'!$K$7)+(K201*'Pawn Weights'!$K$8)+(L201*'Pawn Weights'!$K$9)+(M201*'Pawn Weights'!$K$10)+(N201*'Pawn Weights'!$K$11)+(O201*'Pawn Weights'!$K$12)+(P201*'Pawn Weights'!$K$13)+(Q201*'Pawn Weights'!$K$14)-10+9.545+1.1818, 2)</f>
        <v>40.59</v>
      </c>
      <c r="E201" s="280">
        <v>19.0</v>
      </c>
      <c r="F201" s="280"/>
      <c r="G201" s="280"/>
      <c r="H201" s="280">
        <v>36.0</v>
      </c>
      <c r="I201" s="280"/>
      <c r="J201" s="280"/>
      <c r="K201" s="280">
        <v>16.0</v>
      </c>
      <c r="L201" s="280"/>
      <c r="M201" s="281"/>
      <c r="N201" s="280"/>
      <c r="O201" s="280"/>
      <c r="P201" s="280">
        <v>1.0</v>
      </c>
      <c r="Q201" s="280"/>
      <c r="R201" s="290" t="s">
        <v>660</v>
      </c>
      <c r="S201" s="281"/>
      <c r="T201" s="291"/>
      <c r="U201" s="281"/>
      <c r="V201" s="281"/>
      <c r="W201" s="281"/>
    </row>
    <row r="202" ht="13.5" customHeight="1">
      <c r="B202" s="288" t="s">
        <v>979</v>
      </c>
      <c r="C202" s="154" t="s">
        <v>980</v>
      </c>
      <c r="D202" s="289">
        <f>ROUND((F202*'Pawn Weights'!$K$3)+(G202*'Pawn Weights'!$K$4)+(H202*'Pawn Weights'!$K$5)+(I202*'Pawn Weights'!$K$6)+(J202*'Pawn Weights'!$K$7)+(K202*'Pawn Weights'!$K$8)+(L202*'Pawn Weights'!$K$9)+(M202*'Pawn Weights'!$K$10)+(N202*'Pawn Weights'!$K$11)+(O202*'Pawn Weights'!$K$12)+(P202*'Pawn Weights'!$K$13)+(Q202*'Pawn Weights'!$K$14), 2)</f>
        <v>39.03</v>
      </c>
      <c r="E202" s="280"/>
      <c r="F202" s="280"/>
      <c r="G202" s="280"/>
      <c r="H202" s="280">
        <v>32.0</v>
      </c>
      <c r="I202" s="280">
        <v>18.0</v>
      </c>
      <c r="J202" s="280">
        <v>14.0</v>
      </c>
      <c r="K202" s="280"/>
      <c r="L202" s="280"/>
      <c r="M202" s="281"/>
      <c r="N202" s="280"/>
      <c r="O202" s="280"/>
      <c r="P202" s="280"/>
      <c r="Q202" s="280"/>
      <c r="R202" s="290"/>
      <c r="S202" s="281"/>
      <c r="T202" s="291"/>
      <c r="U202" s="281"/>
      <c r="V202" s="281"/>
      <c r="W202" s="281"/>
    </row>
    <row r="203">
      <c r="A203" s="281"/>
      <c r="B203" s="288" t="s">
        <v>981</v>
      </c>
      <c r="C203" s="280" t="s">
        <v>982</v>
      </c>
      <c r="D203" s="289">
        <f>ROUND((F203*'Pawn Weights'!$K$3)+(G203*'Pawn Weights'!$K$4)+(H203*'Pawn Weights'!$K$5)+(I203*'Pawn Weights'!$K$6)+(J203*'Pawn Weights'!$K$7)+(K203*'Pawn Weights'!$K$8)+(L203*'Pawn Weights'!$K$9)+(M203*'Pawn Weights'!$K$10)+(N203*'Pawn Weights'!$K$11)+(O203*'Pawn Weights'!$K$12)+(P203*'Pawn Weights'!$K$13)+(Q203*'Pawn Weights'!$K$14)+2.727, 2)</f>
        <v>33.38</v>
      </c>
      <c r="E203" s="280"/>
      <c r="F203" s="280"/>
      <c r="G203" s="280">
        <v>16.0</v>
      </c>
      <c r="H203" s="280"/>
      <c r="I203" s="280"/>
      <c r="J203" s="280"/>
      <c r="K203" s="320"/>
      <c r="L203" s="320"/>
      <c r="M203" s="281"/>
      <c r="N203" s="320"/>
      <c r="O203" s="280">
        <v>2.0</v>
      </c>
      <c r="P203" s="320"/>
      <c r="Q203" s="320"/>
      <c r="R203" s="290" t="s">
        <v>702</v>
      </c>
      <c r="S203" s="281"/>
      <c r="T203" s="291"/>
      <c r="U203" s="281"/>
      <c r="V203" s="281"/>
      <c r="W203" s="281"/>
    </row>
    <row r="204">
      <c r="A204" s="281"/>
      <c r="B204" s="288" t="s">
        <v>983</v>
      </c>
      <c r="C204" s="280" t="s">
        <v>984</v>
      </c>
      <c r="D204" s="289">
        <f>ROUND((F204*'Pawn Weights'!$K$3)+(G204*'Pawn Weights'!$K$4)+(H204*'Pawn Weights'!$K$5)+(I204*'Pawn Weights'!$K$6)+(J204*'Pawn Weights'!$K$7)+(K204*'Pawn Weights'!$K$8)+(L204*'Pawn Weights'!$K$9)+(M204*'Pawn Weights'!$K$10)+(N204*'Pawn Weights'!$K$11)+(O204*'Pawn Weights'!$K$12)+(P204*'Pawn Weights'!$K$13)+(Q204*'Pawn Weights'!$K$14), 2)</f>
        <v>32.46</v>
      </c>
      <c r="E204" s="280"/>
      <c r="F204" s="280"/>
      <c r="G204" s="280"/>
      <c r="H204" s="280">
        <v>38.0</v>
      </c>
      <c r="I204" s="280"/>
      <c r="J204" s="280"/>
      <c r="K204" s="280">
        <v>18.0</v>
      </c>
      <c r="L204" s="320"/>
      <c r="M204" s="281"/>
      <c r="N204" s="320"/>
      <c r="O204" s="280"/>
      <c r="P204" s="320"/>
      <c r="Q204" s="320"/>
      <c r="R204" s="290"/>
      <c r="S204" s="281"/>
      <c r="T204" s="291"/>
      <c r="U204" s="281"/>
      <c r="V204" s="281"/>
      <c r="W204" s="281"/>
    </row>
    <row r="205" ht="14.25" customHeight="1">
      <c r="A205" s="295" t="s">
        <v>671</v>
      </c>
      <c r="B205" s="288" t="s">
        <v>985</v>
      </c>
      <c r="C205" s="154" t="s">
        <v>637</v>
      </c>
      <c r="D205" s="289">
        <f>ROUND((F205*'Pawn Weights'!$K$3)+(G205*'Pawn Weights'!$K$4)+(H205*'Pawn Weights'!$K$5)+(I205*'Pawn Weights'!$K$6)+(J205*'Pawn Weights'!$K$7)+(K205*'Pawn Weights'!$K$8)+(L205*'Pawn Weights'!$K$9)+(M205*'Pawn Weights'!$K$10)+(N205*'Pawn Weights'!$K$11)+(O205*'Pawn Weights'!$K$12)+(P205*'Pawn Weights'!$K$13)+(Q205*'Pawn Weights'!$K$14), 2)</f>
        <v>31.82</v>
      </c>
      <c r="E205" s="280">
        <v>27.0</v>
      </c>
      <c r="F205" s="280"/>
      <c r="G205" s="280"/>
      <c r="H205" s="280">
        <v>34.0</v>
      </c>
      <c r="I205" s="280">
        <v>18.0</v>
      </c>
      <c r="J205" s="280"/>
      <c r="K205" s="280"/>
      <c r="L205" s="280"/>
      <c r="M205" s="281"/>
      <c r="N205" s="280"/>
      <c r="O205" s="280"/>
      <c r="P205" s="280"/>
      <c r="Q205" s="280"/>
      <c r="R205" s="290"/>
      <c r="S205" s="281"/>
      <c r="T205" s="291" t="s">
        <v>986</v>
      </c>
      <c r="U205" s="281"/>
      <c r="V205" s="281"/>
      <c r="W205" s="281"/>
    </row>
    <row r="206">
      <c r="A206" s="281"/>
      <c r="B206" s="288" t="s">
        <v>987</v>
      </c>
      <c r="C206" s="280" t="s">
        <v>649</v>
      </c>
      <c r="D206" s="289">
        <f>ROUND((F206*'Pawn Weights'!$K$3)+(G206*'Pawn Weights'!$K$4)+(H206*'Pawn Weights'!$K$5)+(I206*'Pawn Weights'!$K$6)+(J206*'Pawn Weights'!$K$7)+(K206*'Pawn Weights'!$K$8)+(L206*'Pawn Weights'!$K$9)+(M206*'Pawn Weights'!$K$10)+(N206*'Pawn Weights'!$K$11)+(O206*'Pawn Weights'!$K$12)+(P206*'Pawn Weights'!$K$13)+(Q206*'Pawn Weights'!$K$14), 2)</f>
        <v>31.82</v>
      </c>
      <c r="E206" s="280">
        <v>17.0</v>
      </c>
      <c r="F206" s="280"/>
      <c r="G206" s="280"/>
      <c r="H206" s="280">
        <v>38.0</v>
      </c>
      <c r="I206" s="280">
        <v>16.0</v>
      </c>
      <c r="J206" s="280"/>
      <c r="K206" s="320"/>
      <c r="L206" s="320"/>
      <c r="M206" s="281"/>
      <c r="N206" s="320"/>
      <c r="O206" s="280"/>
      <c r="P206" s="320"/>
      <c r="Q206" s="320"/>
      <c r="R206" s="290"/>
      <c r="S206" s="281"/>
      <c r="T206" s="291"/>
      <c r="U206" s="281"/>
      <c r="V206" s="281"/>
      <c r="W206" s="281"/>
    </row>
    <row r="207">
      <c r="A207" s="281"/>
      <c r="B207" s="288" t="s">
        <v>988</v>
      </c>
      <c r="C207" s="280" t="s">
        <v>727</v>
      </c>
      <c r="D207" s="289">
        <f>ROUND((F207*'Pawn Weights'!$K$3)+(G207*'Pawn Weights'!$K$4)+(H207*'Pawn Weights'!$K$5)+(I207*'Pawn Weights'!$K$6)+(J207*'Pawn Weights'!$K$7)+(K207*'Pawn Weights'!$K$8)+(L207*'Pawn Weights'!$K$9)+(M207*'Pawn Weights'!$K$10)+(N207*'Pawn Weights'!$K$11)+(O207*'Pawn Weights'!$K$12)+(P207*'Pawn Weights'!$K$13)+(Q207*'Pawn Weights'!$K$14), 2)</f>
        <v>29.86</v>
      </c>
      <c r="E207" s="280"/>
      <c r="F207" s="280"/>
      <c r="G207" s="280">
        <v>23.0</v>
      </c>
      <c r="H207" s="280"/>
      <c r="I207" s="280">
        <v>16.0</v>
      </c>
      <c r="J207" s="280"/>
      <c r="K207" s="320"/>
      <c r="L207" s="320"/>
      <c r="M207" s="281"/>
      <c r="N207" s="320"/>
      <c r="O207" s="280"/>
      <c r="P207" s="320"/>
      <c r="Q207" s="320"/>
      <c r="R207" s="290"/>
      <c r="S207" s="281"/>
      <c r="T207" s="291"/>
      <c r="U207" s="281"/>
      <c r="V207" s="281"/>
      <c r="W207" s="281"/>
    </row>
    <row r="208">
      <c r="B208" s="288" t="s">
        <v>989</v>
      </c>
      <c r="C208" s="154" t="s">
        <v>990</v>
      </c>
      <c r="D208" s="289">
        <f>ROUND((F208*'Pawn Weights'!$K$3)+(G208*'Pawn Weights'!$K$4)+(H208*'Pawn Weights'!$K$5)+(I208*'Pawn Weights'!$K$6)+(J208*'Pawn Weights'!$K$7)+(K208*'Pawn Weights'!$K$8)+(L208*'Pawn Weights'!$K$9)+(M208*'Pawn Weights'!$K$10)+(N208*'Pawn Weights'!$K$11)+(O208*'Pawn Weights'!$K$12)+(P208*'Pawn Weights'!$K$13)+(Q208*'Pawn Weights'!$K$14), 2)</f>
        <v>29.58</v>
      </c>
      <c r="E208" s="280"/>
      <c r="F208" s="280"/>
      <c r="G208" s="280">
        <v>14.0</v>
      </c>
      <c r="H208" s="280">
        <v>26.0</v>
      </c>
      <c r="I208" s="280"/>
      <c r="J208" s="280"/>
      <c r="K208" s="280">
        <v>10.0</v>
      </c>
      <c r="L208" s="280"/>
      <c r="M208" s="281"/>
      <c r="N208" s="280"/>
      <c r="O208" s="280"/>
      <c r="P208" s="280"/>
      <c r="Q208" s="280"/>
      <c r="R208" s="290"/>
      <c r="S208" s="281"/>
      <c r="T208" s="291"/>
      <c r="U208" s="281"/>
      <c r="V208" s="281"/>
      <c r="W208" s="281"/>
    </row>
    <row r="209" ht="14.25" customHeight="1">
      <c r="A209" s="219" t="s">
        <v>991</v>
      </c>
      <c r="B209" s="288" t="s">
        <v>992</v>
      </c>
      <c r="C209" s="154" t="s">
        <v>993</v>
      </c>
      <c r="D209" s="289">
        <f>ROUND((F209*'Pawn Weights'!$K$3)+(G209*'Pawn Weights'!$K$4)+(H209*'Pawn Weights'!$K$5)+(I209*'Pawn Weights'!$K$6)+(J209*'Pawn Weights'!$K$7)+(K209*'Pawn Weights'!$K$8)+(L209*'Pawn Weights'!$K$9)+(M209*'Pawn Weights'!$K$10)+(N209*'Pawn Weights'!$K$11)+(O209*'Pawn Weights'!$K$12)+(P209*'Pawn Weights'!$K$13)+(Q209*'Pawn Weights'!$K$14), 2)</f>
        <v>29.09</v>
      </c>
      <c r="E209" s="280">
        <v>24.0</v>
      </c>
      <c r="F209" s="280"/>
      <c r="G209" s="280"/>
      <c r="H209" s="280">
        <v>30.0</v>
      </c>
      <c r="I209" s="280">
        <v>17.0</v>
      </c>
      <c r="J209" s="280"/>
      <c r="K209" s="280"/>
      <c r="L209" s="280"/>
      <c r="M209" s="281"/>
      <c r="N209" s="280"/>
      <c r="O209" s="280"/>
      <c r="P209" s="280"/>
      <c r="Q209" s="280"/>
      <c r="R209" s="290"/>
      <c r="S209" s="281"/>
      <c r="T209" s="291" t="s">
        <v>986</v>
      </c>
      <c r="U209" s="281"/>
      <c r="V209" s="281"/>
      <c r="W209" s="281"/>
    </row>
    <row r="210">
      <c r="A210" s="281"/>
      <c r="B210" s="288" t="s">
        <v>994</v>
      </c>
      <c r="C210" s="280" t="s">
        <v>656</v>
      </c>
      <c r="D210" s="289">
        <f>ROUND((F210*'Pawn Weights'!$K$3)+(G210*'Pawn Weights'!$K$4)+(H210*'Pawn Weights'!$K$5)+(I210*'Pawn Weights'!$K$6)+(J210*'Pawn Weights'!$K$7)+(K210*'Pawn Weights'!$K$8)+(L210*'Pawn Weights'!$K$9)+(M210*'Pawn Weights'!$K$10)+(N210*'Pawn Weights'!$K$11)+(O210*'Pawn Weights'!$K$12)+(P210*'Pawn Weights'!$K$13)+(Q210*'Pawn Weights'!$K$14), 2)</f>
        <v>28.11</v>
      </c>
      <c r="E210" s="280"/>
      <c r="F210" s="280"/>
      <c r="G210" s="280">
        <v>19.0</v>
      </c>
      <c r="H210" s="280">
        <v>34.0</v>
      </c>
      <c r="I210" s="280"/>
      <c r="J210" s="280"/>
      <c r="K210" s="320"/>
      <c r="L210" s="320"/>
      <c r="M210" s="281"/>
      <c r="N210" s="320"/>
      <c r="O210" s="320"/>
      <c r="P210" s="320"/>
      <c r="Q210" s="320"/>
      <c r="R210" s="321"/>
      <c r="S210" s="281"/>
      <c r="T210" s="291"/>
      <c r="U210" s="281"/>
      <c r="V210" s="281"/>
      <c r="W210" s="281"/>
    </row>
    <row r="211" ht="14.25" customHeight="1">
      <c r="A211" s="219" t="s">
        <v>995</v>
      </c>
      <c r="B211" s="288" t="s">
        <v>996</v>
      </c>
      <c r="C211" s="154" t="s">
        <v>997</v>
      </c>
      <c r="D211" s="289">
        <f>ROUND((F211*'Pawn Weights'!$K$3)+(G211*'Pawn Weights'!$K$4)+(H211*'Pawn Weights'!$K$5)+(I211*'Pawn Weights'!$K$6)+(J211*'Pawn Weights'!$K$7)+(K211*'Pawn Weights'!$K$8)+(L211*'Pawn Weights'!$K$9)+(M211*'Pawn Weights'!$K$10)+(N211*'Pawn Weights'!$K$11)+(O211*'Pawn Weights'!$K$12)+(P211*'Pawn Weights'!$K$13)+(Q211*'Pawn Weights'!$K$14), 2)</f>
        <v>27.27</v>
      </c>
      <c r="E211" s="280">
        <v>21.0</v>
      </c>
      <c r="F211" s="280"/>
      <c r="G211" s="280"/>
      <c r="H211" s="280">
        <v>28.0</v>
      </c>
      <c r="I211" s="280">
        <v>16.0</v>
      </c>
      <c r="J211" s="280"/>
      <c r="K211" s="280"/>
      <c r="L211" s="280"/>
      <c r="M211" s="281"/>
      <c r="N211" s="280"/>
      <c r="O211" s="280"/>
      <c r="P211" s="280"/>
      <c r="Q211" s="280"/>
      <c r="R211" s="290"/>
      <c r="S211" s="281"/>
      <c r="T211" s="291" t="s">
        <v>986</v>
      </c>
      <c r="U211" s="281"/>
      <c r="V211" s="281"/>
      <c r="W211" s="281"/>
    </row>
    <row r="212">
      <c r="B212" s="322" t="s">
        <v>998</v>
      </c>
      <c r="C212" s="154" t="s">
        <v>999</v>
      </c>
      <c r="D212" s="289">
        <f>ROUND((F212*'Pawn Weights'!$K$3)+(G212*'Pawn Weights'!$K$4)+(H212*'Pawn Weights'!$K$5)+(I212*'Pawn Weights'!$K$6)+(J212*'Pawn Weights'!$K$7)+(K212*'Pawn Weights'!$K$8)+(L212*'Pawn Weights'!$K$9)+(M212*'Pawn Weights'!$K$10)+(N212*'Pawn Weights'!$K$11)+(O212*'Pawn Weights'!$K$12)+(P212*'Pawn Weights'!$K$13)+(Q212*'Pawn Weights'!$K$14), 2)</f>
        <v>26.66</v>
      </c>
      <c r="E212" s="280"/>
      <c r="F212" s="280"/>
      <c r="G212" s="280">
        <v>10.0</v>
      </c>
      <c r="H212" s="280">
        <v>32.0</v>
      </c>
      <c r="I212" s="280">
        <v>6.0</v>
      </c>
      <c r="J212" s="280"/>
      <c r="K212" s="280"/>
      <c r="L212" s="280"/>
      <c r="M212" s="281"/>
      <c r="N212" s="280"/>
      <c r="O212" s="280"/>
      <c r="P212" s="280"/>
      <c r="Q212" s="280"/>
      <c r="R212" s="290"/>
      <c r="S212" s="281"/>
      <c r="T212" s="291"/>
      <c r="U212" s="281"/>
      <c r="V212" s="281"/>
      <c r="W212" s="281"/>
    </row>
    <row r="213">
      <c r="A213" s="281"/>
      <c r="B213" s="311" t="s">
        <v>1000</v>
      </c>
      <c r="C213" s="280" t="s">
        <v>1001</v>
      </c>
      <c r="D213" s="289">
        <f>ROUND((F213*'Pawn Weights'!$K$3)+(G213*'Pawn Weights'!$K$4)+(H213*'Pawn Weights'!$K$5)+(I213*'Pawn Weights'!$K$6)+(J213*'Pawn Weights'!$K$7)+(K213*'Pawn Weights'!$K$8)+(L213*'Pawn Weights'!$K$9)+(M213*'Pawn Weights'!$K$10)+(N213*'Pawn Weights'!$K$11)+(O213*'Pawn Weights'!$K$12)+(P213*'Pawn Weights'!$K$13)+(Q213*'Pawn Weights'!$K$14), 2)</f>
        <v>18.8</v>
      </c>
      <c r="E213" s="280">
        <v>16.0</v>
      </c>
      <c r="F213" s="280"/>
      <c r="G213" s="280"/>
      <c r="H213" s="280"/>
      <c r="I213" s="280"/>
      <c r="J213" s="280">
        <v>10.0</v>
      </c>
      <c r="K213" s="280"/>
      <c r="L213" s="280">
        <v>10.0</v>
      </c>
      <c r="M213" s="280"/>
      <c r="N213" s="280"/>
      <c r="O213" s="280"/>
      <c r="P213" s="280"/>
      <c r="Q213" s="280"/>
      <c r="R213" s="290"/>
      <c r="S213" s="281"/>
      <c r="T213" s="291" t="s">
        <v>971</v>
      </c>
      <c r="U213" s="281"/>
      <c r="V213" s="281"/>
      <c r="W213" s="281"/>
      <c r="X213" s="281"/>
    </row>
    <row r="214">
      <c r="A214" s="224" t="s">
        <v>1002</v>
      </c>
      <c r="B214" s="323" t="s">
        <v>604</v>
      </c>
      <c r="C214" s="323" t="s">
        <v>605</v>
      </c>
      <c r="D214" s="323" t="s">
        <v>606</v>
      </c>
      <c r="E214" s="224" t="s">
        <v>1003</v>
      </c>
      <c r="F214" s="224" t="s">
        <v>1004</v>
      </c>
      <c r="G214" s="224" t="s">
        <v>561</v>
      </c>
      <c r="H214" s="224" t="s">
        <v>562</v>
      </c>
      <c r="I214" s="224" t="s">
        <v>330</v>
      </c>
      <c r="J214" s="224" t="s">
        <v>1005</v>
      </c>
      <c r="K214" s="272" t="s">
        <v>344</v>
      </c>
      <c r="L214" s="224" t="s">
        <v>607</v>
      </c>
      <c r="M214" s="224" t="s">
        <v>564</v>
      </c>
      <c r="N214" s="224" t="s">
        <v>1006</v>
      </c>
      <c r="O214" s="274" t="s">
        <v>610</v>
      </c>
      <c r="P214" s="275" t="s">
        <v>611</v>
      </c>
      <c r="Q214" s="276" t="s">
        <v>612</v>
      </c>
      <c r="R214" s="277" t="s">
        <v>613</v>
      </c>
      <c r="S214" s="323" t="s">
        <v>356</v>
      </c>
      <c r="T214" s="277" t="s">
        <v>615</v>
      </c>
      <c r="U214" s="324"/>
      <c r="V214" s="324"/>
      <c r="W214" s="324"/>
    </row>
    <row r="215">
      <c r="A215" s="292"/>
      <c r="B215" s="325" t="s">
        <v>1007</v>
      </c>
      <c r="C215" s="326"/>
      <c r="D215" s="25"/>
      <c r="E215" s="326"/>
      <c r="F215" s="326"/>
      <c r="G215" s="154"/>
      <c r="H215" s="326"/>
      <c r="I215" s="326"/>
      <c r="J215" s="326"/>
      <c r="K215" s="326"/>
      <c r="L215" s="326"/>
      <c r="M215" s="326"/>
      <c r="N215" s="326"/>
      <c r="O215" s="326"/>
      <c r="P215" s="326"/>
      <c r="Q215" s="326"/>
      <c r="R215" s="327"/>
      <c r="S215" s="326"/>
      <c r="T215" s="328"/>
      <c r="U215" s="326"/>
      <c r="V215" s="326"/>
      <c r="W215" s="329"/>
    </row>
    <row r="216">
      <c r="A216" s="292"/>
      <c r="B216" s="288" t="s">
        <v>1008</v>
      </c>
      <c r="C216" s="326" t="s">
        <v>621</v>
      </c>
      <c r="D216" s="289">
        <f>ROUND((E216*'Pawn Weights'!$K$15)+(G216*'Pawn Weights'!$K$4)+(H216*'Pawn Weights'!$K$5)+(I216*'Pawn Weights'!$K$6)+(J216*'Pawn Weights'!$K$9)+(K216*'Pawn Weights'!$K$7)+(M216*'Pawn Weights'!$K$10)+(N216*'Pawn Weights'!$K$3)+(S216*'Pawn Weights'!$K$8)+(O216*'Pawn Weights'!$K$12)+(P216*'Pawn Weights'!$K$13)+(Q216*'Pawn Weights'!$K$14)+(F216*'Pawn Weights'!$K$16)-20+19.09+2.727, 2)</f>
        <v>647.87</v>
      </c>
      <c r="E216" s="326">
        <v>114.4</v>
      </c>
      <c r="F216" s="326">
        <v>2.6</v>
      </c>
      <c r="G216" s="326"/>
      <c r="H216" s="326">
        <v>54.0</v>
      </c>
      <c r="I216" s="326"/>
      <c r="J216" s="326"/>
      <c r="K216" s="326"/>
      <c r="L216" s="326">
        <v>28.0</v>
      </c>
      <c r="M216" s="326">
        <v>196.0</v>
      </c>
      <c r="N216" s="326"/>
      <c r="O216" s="326"/>
      <c r="P216" s="326">
        <v>2.0</v>
      </c>
      <c r="Q216" s="326"/>
      <c r="R216" s="327" t="s">
        <v>809</v>
      </c>
      <c r="S216" s="326"/>
      <c r="T216" s="328"/>
      <c r="U216" s="326"/>
      <c r="V216" s="326"/>
      <c r="W216" s="329"/>
    </row>
    <row r="217">
      <c r="A217" s="292" t="s">
        <v>973</v>
      </c>
      <c r="B217" s="319" t="s">
        <v>1009</v>
      </c>
      <c r="C217" s="326" t="s">
        <v>632</v>
      </c>
      <c r="D217" s="289">
        <f>ROUND((E217*'Pawn Weights'!$K$15)+(G217*'Pawn Weights'!$K$4)+(H217*'Pawn Weights'!$K$5)+(I217*'Pawn Weights'!$K$6)+(J217*'Pawn Weights'!$K$9)+(K217*'Pawn Weights'!$K$7)+(M217*'Pawn Weights'!$K$10)+(N217*'Pawn Weights'!$K$3)+(S217*'Pawn Weights'!$K$8)+(O217*'Pawn Weights'!$K$12)+(P217*'Pawn Weights'!$K$13)+(Q217*'Pawn Weights'!$K$14)+(F217*'Pawn Weights'!$K$16), 2)</f>
        <v>588.54</v>
      </c>
      <c r="E217" s="326">
        <v>109.3</v>
      </c>
      <c r="F217" s="326">
        <v>2.8</v>
      </c>
      <c r="G217" s="326">
        <v>22.0</v>
      </c>
      <c r="H217" s="326">
        <v>44.0</v>
      </c>
      <c r="I217" s="326"/>
      <c r="J217" s="326"/>
      <c r="K217" s="326">
        <v>21.0</v>
      </c>
      <c r="L217" s="326">
        <v>29.0</v>
      </c>
      <c r="M217" s="326"/>
      <c r="N217" s="326"/>
      <c r="O217" s="326"/>
      <c r="P217" s="326"/>
      <c r="Q217" s="326"/>
      <c r="R217" s="327"/>
      <c r="S217" s="326"/>
      <c r="T217" s="328" t="s">
        <v>1010</v>
      </c>
      <c r="U217" s="326"/>
      <c r="V217" s="326"/>
      <c r="W217" s="329"/>
    </row>
    <row r="218">
      <c r="A218" s="292" t="s">
        <v>671</v>
      </c>
      <c r="B218" s="288" t="s">
        <v>1011</v>
      </c>
      <c r="C218" s="326" t="s">
        <v>637</v>
      </c>
      <c r="D218" s="289">
        <f>ROUND((E218*'Pawn Weights'!$K$15)+(G218*'Pawn Weights'!$K$4)+(H218*'Pawn Weights'!$K$5)+(I218*'Pawn Weights'!$K$6)+(J218*'Pawn Weights'!$K$9)+(K218*'Pawn Weights'!$K$7)+(M218*'Pawn Weights'!$K$10)+(N218*'Pawn Weights'!$K$3)+(S218*'Pawn Weights'!$K$8)+(O218*'Pawn Weights'!$K$12)+(P218*'Pawn Weights'!$K$13)+(Q218*'Pawn Weights'!$K$14)+(F218*'Pawn Weights'!$K$16), 2)</f>
        <v>585.08</v>
      </c>
      <c r="E218" s="326">
        <v>107.9</v>
      </c>
      <c r="F218" s="326">
        <v>2.6</v>
      </c>
      <c r="G218" s="326"/>
      <c r="H218" s="326">
        <v>38.0</v>
      </c>
      <c r="I218" s="326">
        <v>22.0</v>
      </c>
      <c r="J218" s="326"/>
      <c r="K218" s="326">
        <v>9.0</v>
      </c>
      <c r="L218" s="326">
        <v>31.0</v>
      </c>
      <c r="M218" s="326">
        <v>49.0</v>
      </c>
      <c r="N218" s="326"/>
      <c r="O218" s="326"/>
      <c r="P218" s="326"/>
      <c r="Q218" s="326"/>
      <c r="R218" s="327"/>
      <c r="S218" s="326"/>
      <c r="T218" s="328" t="s">
        <v>986</v>
      </c>
      <c r="U218" s="326"/>
      <c r="V218" s="326"/>
      <c r="W218" s="329"/>
    </row>
    <row r="219">
      <c r="A219" s="292"/>
      <c r="B219" s="288" t="s">
        <v>1012</v>
      </c>
      <c r="C219" s="326" t="s">
        <v>744</v>
      </c>
      <c r="D219" s="289">
        <f>ROUND((E219*'Pawn Weights'!$K$15)+(G219*'Pawn Weights'!$K$4)+(H219*'Pawn Weights'!$K$5)+(I219*'Pawn Weights'!$K$6)+(J219*'Pawn Weights'!$K$9)+(K219*'Pawn Weights'!$K$7)+(M219*'Pawn Weights'!$K$10)+(N219*'Pawn Weights'!$K$3)+(S219*'Pawn Weights'!$K$8)+(O219*'Pawn Weights'!$K$12)+(P219*'Pawn Weights'!$K$13)+(Q219*'Pawn Weights'!$K$14)+(F219*'Pawn Weights'!$K$16), 2)</f>
        <v>572.53</v>
      </c>
      <c r="E219" s="326">
        <v>107.9</v>
      </c>
      <c r="F219" s="326">
        <v>2.6</v>
      </c>
      <c r="G219" s="326"/>
      <c r="H219" s="326"/>
      <c r="I219" s="326"/>
      <c r="J219" s="326"/>
      <c r="K219" s="326">
        <v>17.0</v>
      </c>
      <c r="L219" s="326">
        <v>27.0</v>
      </c>
      <c r="M219" s="326"/>
      <c r="N219" s="326"/>
      <c r="O219" s="326"/>
      <c r="P219" s="326"/>
      <c r="Q219" s="326"/>
      <c r="R219" s="327"/>
      <c r="S219" s="326">
        <v>35.0</v>
      </c>
      <c r="T219" s="328"/>
      <c r="U219" s="326"/>
      <c r="V219" s="326"/>
      <c r="W219" s="329"/>
    </row>
    <row r="220">
      <c r="A220" s="292"/>
      <c r="B220" s="288" t="s">
        <v>1013</v>
      </c>
      <c r="C220" s="326" t="s">
        <v>1014</v>
      </c>
      <c r="D220" s="289">
        <f>ROUND((E220*'Pawn Weights'!$K$15)+(G220*'Pawn Weights'!$K$4)+(H220*'Pawn Weights'!$K$5)+(I220*'Pawn Weights'!$K$6)+(J220*'Pawn Weights'!$K$9)+(K220*'Pawn Weights'!$K$7)+(M220*'Pawn Weights'!$K$10)+(N220*'Pawn Weights'!$K$3)+(S220*'Pawn Weights'!$K$8)+(O220*'Pawn Weights'!$K$12)+(P220*'Pawn Weights'!$K$13)+(Q220*'Pawn Weights'!$K$14)+(F220*'Pawn Weights'!$K$16), 2)</f>
        <v>562.14</v>
      </c>
      <c r="E220" s="326">
        <v>103.0</v>
      </c>
      <c r="F220" s="326">
        <v>2.5</v>
      </c>
      <c r="G220" s="326">
        <v>23.0</v>
      </c>
      <c r="H220" s="326">
        <v>44.0</v>
      </c>
      <c r="I220" s="326"/>
      <c r="J220" s="326"/>
      <c r="K220" s="326"/>
      <c r="L220" s="326"/>
      <c r="M220" s="326"/>
      <c r="N220" s="326"/>
      <c r="O220" s="326"/>
      <c r="P220" s="326"/>
      <c r="Q220" s="326"/>
      <c r="R220" s="327"/>
      <c r="S220" s="326">
        <v>21.0</v>
      </c>
      <c r="T220" s="328"/>
      <c r="U220" s="326"/>
      <c r="V220" s="326"/>
      <c r="W220" s="329"/>
    </row>
    <row r="221">
      <c r="A221" s="292" t="s">
        <v>627</v>
      </c>
      <c r="B221" s="288" t="s">
        <v>1015</v>
      </c>
      <c r="C221" s="326" t="s">
        <v>1016</v>
      </c>
      <c r="D221" s="289">
        <f>ROUND((E221*'Pawn Weights'!$K$15)+(G221*'Pawn Weights'!$K$4)+(H221*'Pawn Weights'!$K$5)+(I221*'Pawn Weights'!$K$6)+(J221*'Pawn Weights'!$K$9)+(K221*'Pawn Weights'!$K$7)+(M221*'Pawn Weights'!$K$10)+(N221*'Pawn Weights'!$K$3)+(S221*'Pawn Weights'!$K$8)+(O221*'Pawn Weights'!$K$12)+(P221*'Pawn Weights'!$K$13)+(Q221*'Pawn Weights'!$K$14)+(F221*'Pawn Weights'!$K$16)+(89.04*'Pawn Weights'!$K$8), 2)</f>
        <v>560.87</v>
      </c>
      <c r="E221" s="326">
        <v>97.6</v>
      </c>
      <c r="F221" s="326">
        <v>2.7</v>
      </c>
      <c r="G221" s="326"/>
      <c r="H221" s="326"/>
      <c r="I221" s="326"/>
      <c r="J221" s="326"/>
      <c r="K221" s="326"/>
      <c r="L221" s="326">
        <v>19.0</v>
      </c>
      <c r="M221" s="326"/>
      <c r="N221" s="326"/>
      <c r="O221" s="326"/>
      <c r="P221" s="326"/>
      <c r="Q221" s="326"/>
      <c r="R221" s="327"/>
      <c r="S221" s="326"/>
      <c r="T221" s="328" t="s">
        <v>1017</v>
      </c>
      <c r="U221" s="326"/>
      <c r="V221" s="326"/>
      <c r="W221" s="329"/>
    </row>
    <row r="222">
      <c r="A222" s="292" t="s">
        <v>991</v>
      </c>
      <c r="B222" s="288" t="s">
        <v>1018</v>
      </c>
      <c r="C222" s="326" t="s">
        <v>646</v>
      </c>
      <c r="D222" s="289">
        <f>ROUND((E222*'Pawn Weights'!$K$15)+(G222*'Pawn Weights'!$K$4)+(H222*'Pawn Weights'!$K$5)+(I222*'Pawn Weights'!$K$6)+(J222*'Pawn Weights'!$K$9)+(K222*'Pawn Weights'!$K$7)+(M222*'Pawn Weights'!$K$10)+(N222*'Pawn Weights'!$K$3)+(S222*'Pawn Weights'!$K$8)+(O222*'Pawn Weights'!$K$12)+(P222*'Pawn Weights'!$K$13)+(Q222*'Pawn Weights'!$K$14)+(F222*'Pawn Weights'!$K$16), 2)</f>
        <v>559.21</v>
      </c>
      <c r="E222" s="326">
        <v>103.1</v>
      </c>
      <c r="F222" s="326">
        <v>2.6</v>
      </c>
      <c r="G222" s="326"/>
      <c r="H222" s="326">
        <v>34.0</v>
      </c>
      <c r="I222" s="326">
        <v>21.0</v>
      </c>
      <c r="J222" s="326"/>
      <c r="K222" s="326">
        <v>8.0</v>
      </c>
      <c r="L222" s="326">
        <v>30.0</v>
      </c>
      <c r="M222" s="326">
        <v>49.0</v>
      </c>
      <c r="N222" s="326"/>
      <c r="O222" s="326"/>
      <c r="P222" s="326"/>
      <c r="Q222" s="326"/>
      <c r="R222" s="327"/>
      <c r="S222" s="326"/>
      <c r="T222" s="328" t="s">
        <v>986</v>
      </c>
      <c r="U222" s="326"/>
      <c r="V222" s="326"/>
      <c r="W222" s="329"/>
    </row>
    <row r="223">
      <c r="A223" s="281"/>
      <c r="B223" s="288" t="s">
        <v>1019</v>
      </c>
      <c r="C223" s="326" t="s">
        <v>835</v>
      </c>
      <c r="D223" s="289">
        <f>ROUND((E223*'Pawn Weights'!$K$15)+(G223*'Pawn Weights'!$K$4)+(H223*'Pawn Weights'!$K$5)+(I223*'Pawn Weights'!$K$6)+(J223*'Pawn Weights'!$K$9)+(K223*'Pawn Weights'!$K$7)+(M223*'Pawn Weights'!$K$10)+(N223*'Pawn Weights'!$K$3)+(S223*'Pawn Weights'!$K$8)+(O223*'Pawn Weights'!$K$12)+(P223*'Pawn Weights'!$K$13)+(Q223*'Pawn Weights'!$K$14)+(F223*'Pawn Weights'!$K$16), 2)</f>
        <v>541.04</v>
      </c>
      <c r="E223" s="326">
        <v>100.2</v>
      </c>
      <c r="F223" s="326">
        <v>2.6</v>
      </c>
      <c r="G223" s="326">
        <v>28.0</v>
      </c>
      <c r="H223" s="326">
        <v>56.0</v>
      </c>
      <c r="I223" s="326"/>
      <c r="J223" s="326"/>
      <c r="K223" s="326"/>
      <c r="L223" s="326"/>
      <c r="M223" s="326"/>
      <c r="N223" s="326"/>
      <c r="O223" s="326"/>
      <c r="P223" s="326"/>
      <c r="Q223" s="326"/>
      <c r="R223" s="327"/>
      <c r="S223" s="326"/>
      <c r="T223" s="328"/>
      <c r="U223" s="326"/>
      <c r="V223" s="326"/>
      <c r="W223" s="329"/>
    </row>
    <row r="224">
      <c r="A224" s="281"/>
      <c r="B224" s="288" t="s">
        <v>1020</v>
      </c>
      <c r="C224" s="326" t="s">
        <v>741</v>
      </c>
      <c r="D224" s="289">
        <f>ROUND((E224*'Pawn Weights'!$K$15)+(G224*'Pawn Weights'!$K$4)+(H224*'Pawn Weights'!$K$5)+(I224*'Pawn Weights'!$K$6)+(J224*'Pawn Weights'!$K$9)+(K224*'Pawn Weights'!$K$7)+(M224*'Pawn Weights'!$K$10)+(N224*'Pawn Weights'!$K$3)+(S224*'Pawn Weights'!$K$8)+(O224*'Pawn Weights'!$K$12)+(P224*'Pawn Weights'!$K$13)+(Q224*'Pawn Weights'!$K$14)+(F224*'Pawn Weights'!$K$16)+11, 2)</f>
        <v>532.57</v>
      </c>
      <c r="E224" s="326">
        <v>100.2</v>
      </c>
      <c r="F224" s="326">
        <v>2.7</v>
      </c>
      <c r="G224" s="326"/>
      <c r="H224" s="326">
        <v>52.0</v>
      </c>
      <c r="I224" s="326"/>
      <c r="J224" s="326"/>
      <c r="K224" s="326"/>
      <c r="L224" s="326"/>
      <c r="M224" s="326"/>
      <c r="N224" s="326"/>
      <c r="O224" s="326"/>
      <c r="P224" s="326"/>
      <c r="Q224" s="326"/>
      <c r="R224" s="327"/>
      <c r="S224" s="326"/>
      <c r="T224" s="328" t="s">
        <v>1021</v>
      </c>
      <c r="U224" s="326"/>
      <c r="V224" s="326"/>
      <c r="W224" s="329"/>
    </row>
    <row r="225">
      <c r="A225" s="301"/>
      <c r="B225" s="288" t="s">
        <v>1022</v>
      </c>
      <c r="C225" s="326" t="s">
        <v>665</v>
      </c>
      <c r="D225" s="289">
        <f>ROUND((E225*'Pawn Weights'!$K$15)+(G225*'Pawn Weights'!$K$4)+(H225*'Pawn Weights'!$K$5)+(I225*'Pawn Weights'!$K$6)+(J225*'Pawn Weights'!$K$9)+(K225*'Pawn Weights'!$K$7)+(M225*'Pawn Weights'!$K$10)+(N225*'Pawn Weights'!$K$3)+(S225*'Pawn Weights'!$K$8)+(O225*'Pawn Weights'!$K$12)+(P225*'Pawn Weights'!$K$13)+(Q225*'Pawn Weights'!$K$14)+(F225*'Pawn Weights'!$K$16)+10, 2)</f>
        <v>531.67</v>
      </c>
      <c r="E225" s="326">
        <v>100.2</v>
      </c>
      <c r="F225" s="326">
        <v>2.8</v>
      </c>
      <c r="G225" s="326"/>
      <c r="H225" s="326">
        <v>50.0</v>
      </c>
      <c r="I225" s="326"/>
      <c r="J225" s="326"/>
      <c r="K225" s="326"/>
      <c r="L225" s="326"/>
      <c r="M225" s="326"/>
      <c r="N225" s="326"/>
      <c r="O225" s="326"/>
      <c r="P225" s="326"/>
      <c r="Q225" s="326"/>
      <c r="R225" s="327"/>
      <c r="S225" s="326"/>
      <c r="T225" s="328" t="s">
        <v>1023</v>
      </c>
      <c r="U225" s="326"/>
      <c r="V225" s="326"/>
      <c r="W225" s="329"/>
    </row>
    <row r="226">
      <c r="A226" s="309"/>
      <c r="B226" s="288" t="s">
        <v>1024</v>
      </c>
      <c r="C226" s="326" t="s">
        <v>1025</v>
      </c>
      <c r="D226" s="289">
        <f>ROUND((E226*'Pawn Weights'!$K$15)+(G226*'Pawn Weights'!$K$4)+(H226*'Pawn Weights'!$K$5)+(I226*'Pawn Weights'!$K$6)+(J226*'Pawn Weights'!$K$9)+(K226*'Pawn Weights'!$K$7)+(M226*'Pawn Weights'!$K$10)+(N226*'Pawn Weights'!$K$3)+(S226*'Pawn Weights'!$K$8)+(O226*'Pawn Weights'!$K$12)+(P226*'Pawn Weights'!$K$13)+(Q226*'Pawn Weights'!$K$14)+(F226*'Pawn Weights'!$K$16), 2)</f>
        <v>530.16</v>
      </c>
      <c r="E226" s="326">
        <v>96.5</v>
      </c>
      <c r="F226" s="326">
        <v>2.7</v>
      </c>
      <c r="G226" s="326"/>
      <c r="H226" s="326">
        <v>52.0</v>
      </c>
      <c r="I226" s="326">
        <v>19.0</v>
      </c>
      <c r="J226" s="326"/>
      <c r="K226" s="326">
        <v>15.0</v>
      </c>
      <c r="L226" s="326"/>
      <c r="M226" s="326"/>
      <c r="N226" s="326"/>
      <c r="O226" s="326"/>
      <c r="P226" s="326"/>
      <c r="Q226" s="326"/>
      <c r="R226" s="327"/>
      <c r="S226" s="326"/>
      <c r="T226" s="328"/>
      <c r="U226" s="326"/>
      <c r="V226" s="326"/>
      <c r="W226" s="329"/>
    </row>
    <row r="227">
      <c r="A227" s="301"/>
      <c r="B227" s="288" t="s">
        <v>1026</v>
      </c>
      <c r="C227" s="326" t="s">
        <v>716</v>
      </c>
      <c r="D227" s="289">
        <f>ROUND((E227*'Pawn Weights'!$K$15)+(G227*'Pawn Weights'!$K$4)+(H227*'Pawn Weights'!$K$5)+(I227*'Pawn Weights'!$K$6)+(J227*'Pawn Weights'!$K$9)+(K227*'Pawn Weights'!$K$7)+(M227*'Pawn Weights'!$K$10)+(N227*'Pawn Weights'!$K$3)+(S227*'Pawn Weights'!$K$8)+(O227*'Pawn Weights'!$K$12)+(P227*'Pawn Weights'!$K$13)+(Q227*'Pawn Weights'!$K$14)+(F227*'Pawn Weights'!$K$16), 2)</f>
        <v>529.12</v>
      </c>
      <c r="E227" s="326">
        <v>100.2</v>
      </c>
      <c r="F227" s="326">
        <v>2.6</v>
      </c>
      <c r="G227" s="326"/>
      <c r="H227" s="326">
        <v>44.0</v>
      </c>
      <c r="I227" s="326"/>
      <c r="J227" s="326"/>
      <c r="K227" s="326">
        <v>21.0</v>
      </c>
      <c r="L227" s="326">
        <v>33.0</v>
      </c>
      <c r="M227" s="326"/>
      <c r="N227" s="326"/>
      <c r="O227" s="326"/>
      <c r="P227" s="326"/>
      <c r="Q227" s="326"/>
      <c r="R227" s="327"/>
      <c r="S227" s="326"/>
      <c r="T227" s="328" t="s">
        <v>1027</v>
      </c>
      <c r="U227" s="326"/>
      <c r="V227" s="326"/>
      <c r="W227" s="329"/>
    </row>
    <row r="228">
      <c r="A228" s="301"/>
      <c r="B228" s="288" t="s">
        <v>1028</v>
      </c>
      <c r="C228" s="326" t="s">
        <v>1029</v>
      </c>
      <c r="D228" s="289">
        <f>ROUND((E228*'Pawn Weights'!$K$15)+(G228*'Pawn Weights'!$K$4)+(H228*'Pawn Weights'!$K$5)+(I228*'Pawn Weights'!$K$6)+(J228*'Pawn Weights'!$K$9)+(K228*'Pawn Weights'!$K$7)+(M228*'Pawn Weights'!$K$10)+(N228*'Pawn Weights'!$K$3)+(S228*'Pawn Weights'!$K$8)+(O228*'Pawn Weights'!$K$12)+(P228*'Pawn Weights'!$K$13)+(Q228*'Pawn Weights'!$K$14)+(F228*'Pawn Weights'!$K$16), 2)</f>
        <v>528.53</v>
      </c>
      <c r="E228" s="326">
        <v>100.2</v>
      </c>
      <c r="F228" s="326">
        <v>2.7</v>
      </c>
      <c r="G228" s="154">
        <v>20.0</v>
      </c>
      <c r="H228" s="326">
        <v>38.0</v>
      </c>
      <c r="I228" s="326"/>
      <c r="J228" s="326"/>
      <c r="K228" s="326"/>
      <c r="L228" s="326">
        <v>28.0</v>
      </c>
      <c r="M228" s="326"/>
      <c r="N228" s="326"/>
      <c r="O228" s="326"/>
      <c r="P228" s="326"/>
      <c r="Q228" s="326"/>
      <c r="R228" s="327"/>
      <c r="S228" s="326"/>
      <c r="T228" s="328" t="s">
        <v>1030</v>
      </c>
      <c r="U228" s="326"/>
      <c r="V228" s="326"/>
      <c r="W228" s="329"/>
    </row>
    <row r="229">
      <c r="A229" s="301" t="s">
        <v>627</v>
      </c>
      <c r="B229" s="288" t="s">
        <v>1031</v>
      </c>
      <c r="C229" s="326" t="s">
        <v>1032</v>
      </c>
      <c r="D229" s="289">
        <f>ROUND((E229*'Pawn Weights'!$K$15)+(G229*'Pawn Weights'!$K$4)+(H229*'Pawn Weights'!$K$5)+(I229*'Pawn Weights'!$K$6)+(J229*'Pawn Weights'!$K$9)+(K229*'Pawn Weights'!$K$7)+(M229*'Pawn Weights'!$K$10)+(N229*'Pawn Weights'!$K$3)+(S229*'Pawn Weights'!$K$8)+(O229*'Pawn Weights'!$K$12)+(P229*'Pawn Weights'!$K$13)+(Q229*'Pawn Weights'!$K$14)+(F229*'Pawn Weights'!$K$16), 2)</f>
        <v>528.44</v>
      </c>
      <c r="E229" s="326">
        <v>97.6</v>
      </c>
      <c r="F229" s="326">
        <v>2.7</v>
      </c>
      <c r="G229" s="326"/>
      <c r="H229" s="326">
        <v>48.0</v>
      </c>
      <c r="I229" s="326">
        <v>23.0</v>
      </c>
      <c r="J229" s="326"/>
      <c r="K229" s="326"/>
      <c r="L229" s="326"/>
      <c r="M229" s="326"/>
      <c r="N229" s="326"/>
      <c r="O229" s="326"/>
      <c r="P229" s="326"/>
      <c r="Q229" s="326"/>
      <c r="R229" s="327"/>
      <c r="S229" s="326"/>
      <c r="T229" s="328" t="s">
        <v>1027</v>
      </c>
      <c r="U229" s="326"/>
      <c r="V229" s="326"/>
      <c r="W229" s="329"/>
    </row>
    <row r="230">
      <c r="A230" s="301" t="s">
        <v>995</v>
      </c>
      <c r="B230" s="288" t="s">
        <v>1033</v>
      </c>
      <c r="C230" s="326" t="s">
        <v>997</v>
      </c>
      <c r="D230" s="289">
        <f>ROUND((E230*'Pawn Weights'!$K$15)+(G230*'Pawn Weights'!$K$4)+(H230*'Pawn Weights'!$K$5)+(I230*'Pawn Weights'!$K$6)+(J230*'Pawn Weights'!$K$9)+(K230*'Pawn Weights'!$K$7)+(M230*'Pawn Weights'!$K$10)+(N230*'Pawn Weights'!$K$3)+(S230*'Pawn Weights'!$K$8)+(O230*'Pawn Weights'!$K$12)+(P230*'Pawn Weights'!$K$13)+(Q230*'Pawn Weights'!$K$14)+(F230*'Pawn Weights'!$K$16), 2)</f>
        <v>521.9</v>
      </c>
      <c r="E230" s="326">
        <v>97.7</v>
      </c>
      <c r="F230" s="326">
        <v>2.6</v>
      </c>
      <c r="G230" s="326"/>
      <c r="H230" s="326">
        <v>30.0</v>
      </c>
      <c r="I230" s="326">
        <v>19.0</v>
      </c>
      <c r="J230" s="326"/>
      <c r="K230" s="326">
        <v>10.0</v>
      </c>
      <c r="L230" s="326">
        <v>27.0</v>
      </c>
      <c r="M230" s="326"/>
      <c r="N230" s="326"/>
      <c r="O230" s="326"/>
      <c r="P230" s="326"/>
      <c r="Q230" s="326"/>
      <c r="R230" s="327"/>
      <c r="S230" s="326"/>
      <c r="T230" s="328" t="s">
        <v>1034</v>
      </c>
      <c r="U230" s="326"/>
      <c r="V230" s="326"/>
      <c r="W230" s="329"/>
    </row>
    <row r="231">
      <c r="A231" s="309"/>
      <c r="B231" s="288" t="s">
        <v>1035</v>
      </c>
      <c r="C231" s="326" t="s">
        <v>900</v>
      </c>
      <c r="D231" s="289">
        <f>ROUND((E231*'Pawn Weights'!$K$15)+(G231*'Pawn Weights'!$K$4)+(H231*'Pawn Weights'!$K$5)+(I231*'Pawn Weights'!$K$6)+(J231*'Pawn Weights'!$K$9)+(K231*'Pawn Weights'!$K$7)+(M231*'Pawn Weights'!$K$10)+(N231*'Pawn Weights'!$K$3)+(S231*'Pawn Weights'!$K$8)+(O231*'Pawn Weights'!$K$12)+(P231*'Pawn Weights'!$K$13)+(Q231*'Pawn Weights'!$K$14)+(F231*'Pawn Weights'!$K$16), 2)</f>
        <v>520.32</v>
      </c>
      <c r="E231" s="326">
        <v>96.5</v>
      </c>
      <c r="F231" s="326">
        <v>2.7</v>
      </c>
      <c r="G231" s="326">
        <v>15.0</v>
      </c>
      <c r="H231" s="326">
        <v>40.0</v>
      </c>
      <c r="I231" s="326"/>
      <c r="J231" s="326"/>
      <c r="K231" s="326">
        <v>20.0</v>
      </c>
      <c r="L231" s="326"/>
      <c r="M231" s="326"/>
      <c r="N231" s="326"/>
      <c r="O231" s="326"/>
      <c r="P231" s="326"/>
      <c r="Q231" s="326"/>
      <c r="R231" s="327"/>
      <c r="S231" s="326"/>
      <c r="T231" s="328" t="s">
        <v>1036</v>
      </c>
      <c r="U231" s="326"/>
      <c r="V231" s="326"/>
      <c r="W231" s="329"/>
    </row>
    <row r="232">
      <c r="A232" s="309"/>
      <c r="B232" s="288" t="s">
        <v>1037</v>
      </c>
      <c r="C232" s="326" t="s">
        <v>1025</v>
      </c>
      <c r="D232" s="289">
        <f>ROUND((E232*'Pawn Weights'!$K$15)+(G232*'Pawn Weights'!$K$4)+(H232*'Pawn Weights'!$K$5)+(I232*'Pawn Weights'!$K$6)+(J232*'Pawn Weights'!$K$9)+(K232*'Pawn Weights'!$K$7)+(M232*'Pawn Weights'!$K$10)+(N232*'Pawn Weights'!$K$3)+(S232*'Pawn Weights'!$K$8)+(O232*'Pawn Weights'!$K$12)+(P232*'Pawn Weights'!$K$13)+(Q232*'Pawn Weights'!$K$14)+(F232*'Pawn Weights'!$K$16), 2)</f>
        <v>514.38</v>
      </c>
      <c r="E232" s="326">
        <v>96.5</v>
      </c>
      <c r="F232" s="326">
        <v>2.6</v>
      </c>
      <c r="G232" s="326">
        <v>25.0</v>
      </c>
      <c r="H232" s="326">
        <v>40.0</v>
      </c>
      <c r="I232" s="326"/>
      <c r="J232" s="326"/>
      <c r="K232" s="326"/>
      <c r="L232" s="326">
        <v>21.0</v>
      </c>
      <c r="M232" s="326"/>
      <c r="N232" s="326"/>
      <c r="O232" s="326"/>
      <c r="P232" s="326"/>
      <c r="Q232" s="326"/>
      <c r="R232" s="327"/>
      <c r="S232" s="326"/>
      <c r="T232" s="306" t="s">
        <v>1038</v>
      </c>
      <c r="U232" s="326"/>
      <c r="V232" s="326"/>
      <c r="W232" s="329"/>
    </row>
    <row r="233">
      <c r="A233" s="292"/>
      <c r="B233" s="288" t="s">
        <v>1039</v>
      </c>
      <c r="C233" s="326" t="s">
        <v>984</v>
      </c>
      <c r="D233" s="289">
        <f>ROUND((E233*'Pawn Weights'!$K$15)+(G233*'Pawn Weights'!$K$4)+(H233*'Pawn Weights'!$K$5)+(I233*'Pawn Weights'!$K$6)+(J233*'Pawn Weights'!$K$9)+(K233*'Pawn Weights'!$K$7)+(M233*'Pawn Weights'!$K$10)+(N233*'Pawn Weights'!$K$3)+(S233*'Pawn Weights'!$K$8)+(O233*'Pawn Weights'!$K$12)+(P233*'Pawn Weights'!$K$13)+(Q233*'Pawn Weights'!$K$14)+(F233*'Pawn Weights'!$K$16), 2)</f>
        <v>510.46</v>
      </c>
      <c r="E233" s="326">
        <v>95.6</v>
      </c>
      <c r="F233" s="326">
        <v>2.6</v>
      </c>
      <c r="G233" s="326">
        <v>20.0</v>
      </c>
      <c r="H233" s="326"/>
      <c r="I233" s="326">
        <v>13.0</v>
      </c>
      <c r="J233" s="326"/>
      <c r="K233" s="326"/>
      <c r="L233" s="326">
        <v>18.0</v>
      </c>
      <c r="M233" s="326"/>
      <c r="N233" s="326"/>
      <c r="O233" s="326"/>
      <c r="P233" s="326">
        <v>1.0</v>
      </c>
      <c r="Q233" s="326"/>
      <c r="R233" s="327" t="s">
        <v>660</v>
      </c>
      <c r="S233" s="326"/>
      <c r="T233" s="328"/>
      <c r="U233" s="326"/>
      <c r="V233" s="326"/>
      <c r="W233" s="329"/>
    </row>
    <row r="234">
      <c r="A234" s="224" t="s">
        <v>1040</v>
      </c>
      <c r="B234" s="323" t="s">
        <v>604</v>
      </c>
      <c r="C234" s="323" t="s">
        <v>605</v>
      </c>
      <c r="D234" s="323" t="s">
        <v>606</v>
      </c>
      <c r="E234" s="224" t="s">
        <v>1003</v>
      </c>
      <c r="F234" s="224" t="s">
        <v>1004</v>
      </c>
      <c r="G234" s="224" t="s">
        <v>561</v>
      </c>
      <c r="H234" s="224" t="s">
        <v>562</v>
      </c>
      <c r="I234" s="224" t="s">
        <v>330</v>
      </c>
      <c r="J234" s="224" t="s">
        <v>1005</v>
      </c>
      <c r="K234" s="272" t="s">
        <v>344</v>
      </c>
      <c r="L234" s="224" t="s">
        <v>607</v>
      </c>
      <c r="M234" s="224" t="s">
        <v>564</v>
      </c>
      <c r="N234" s="224" t="s">
        <v>1006</v>
      </c>
      <c r="O234" s="274" t="s">
        <v>610</v>
      </c>
      <c r="P234" s="275" t="s">
        <v>611</v>
      </c>
      <c r="Q234" s="276" t="s">
        <v>612</v>
      </c>
      <c r="R234" s="277" t="s">
        <v>613</v>
      </c>
      <c r="S234" s="323" t="s">
        <v>356</v>
      </c>
      <c r="T234" s="277" t="s">
        <v>615</v>
      </c>
      <c r="U234" s="324"/>
      <c r="V234" s="324"/>
      <c r="W234" s="324"/>
    </row>
    <row r="235" ht="14.25" customHeight="1">
      <c r="A235" s="281"/>
      <c r="B235" s="325" t="s">
        <v>1007</v>
      </c>
      <c r="C235" s="326"/>
      <c r="D235" s="25"/>
      <c r="E235" s="326"/>
      <c r="F235" s="326"/>
      <c r="G235" s="326"/>
      <c r="H235" s="326"/>
      <c r="I235" s="326"/>
      <c r="J235" s="326"/>
      <c r="K235" s="326"/>
      <c r="L235" s="326"/>
      <c r="M235" s="326"/>
      <c r="N235" s="326"/>
      <c r="O235" s="326"/>
      <c r="P235" s="326"/>
      <c r="Q235" s="326"/>
      <c r="R235" s="327"/>
      <c r="S235" s="326"/>
      <c r="T235" s="328"/>
      <c r="U235" s="326"/>
      <c r="V235" s="326"/>
      <c r="W235" s="329"/>
    </row>
    <row r="236">
      <c r="A236" s="292"/>
      <c r="B236" s="288" t="s">
        <v>1041</v>
      </c>
      <c r="C236" s="326" t="s">
        <v>978</v>
      </c>
      <c r="D236" s="289">
        <f>ROUND((E236*'Pawn Weights'!$K$17)+(G236*'Pawn Weights'!$K$4)+(H236*'Pawn Weights'!$K$5)+(I236*'Pawn Weights'!$K$6)+(J236*'Pawn Weights'!$K$9)+(K236*'Pawn Weights'!$K$7)+(M236*'Pawn Weights'!$K$10)+(N236*'Pawn Weights'!$K$3)+(O236*'Pawn Weights'!$K$12)+(P236*'Pawn Weights'!$K$13)+(Q236*'Pawn Weights'!$K$14)+(F236*'Pawn Weights'!$K$18)+(S236*'Pawn Weights'!$K$8), 2)</f>
        <v>449.97</v>
      </c>
      <c r="E236" s="326">
        <v>107.9</v>
      </c>
      <c r="F236" s="326">
        <v>2.6</v>
      </c>
      <c r="G236" s="326"/>
      <c r="H236" s="326">
        <v>46.0</v>
      </c>
      <c r="I236" s="326"/>
      <c r="J236" s="326"/>
      <c r="K236" s="326"/>
      <c r="L236" s="326">
        <v>22.0</v>
      </c>
      <c r="M236" s="326">
        <v>140.0</v>
      </c>
      <c r="N236" s="326"/>
      <c r="O236" s="326"/>
      <c r="P236" s="326">
        <v>1.0</v>
      </c>
      <c r="Q236" s="326">
        <v>1.0</v>
      </c>
      <c r="R236" s="327" t="s">
        <v>698</v>
      </c>
      <c r="S236" s="326"/>
      <c r="T236" s="328"/>
      <c r="U236" s="326"/>
      <c r="V236" s="326"/>
      <c r="W236" s="329"/>
    </row>
    <row r="237">
      <c r="A237" s="292" t="s">
        <v>973</v>
      </c>
      <c r="B237" s="319" t="s">
        <v>1009</v>
      </c>
      <c r="C237" s="326" t="s">
        <v>632</v>
      </c>
      <c r="D237" s="289">
        <f>ROUND((E237*'Pawn Weights'!$K$17)+(G237*'Pawn Weights'!$K$4)+(H237*'Pawn Weights'!$K$5)+(I237*'Pawn Weights'!$K$6)+(J237*'Pawn Weights'!$K$9)+(K237*'Pawn Weights'!$K$7)+(M237*'Pawn Weights'!$K$10)+(N237*'Pawn Weights'!$K$3)+(O237*'Pawn Weights'!$K$12)+(P237*'Pawn Weights'!$K$13)+(Q237*'Pawn Weights'!$K$14)+(F237*'Pawn Weights'!$K$18)+(S237*'Pawn Weights'!$K$8), 2)</f>
        <v>434.69</v>
      </c>
      <c r="E237" s="326">
        <v>109.3</v>
      </c>
      <c r="F237" s="326">
        <v>1.4</v>
      </c>
      <c r="G237" s="326">
        <v>21.0</v>
      </c>
      <c r="H237" s="326">
        <v>44.0</v>
      </c>
      <c r="I237" s="326">
        <v>23.0</v>
      </c>
      <c r="J237" s="326"/>
      <c r="K237" s="326"/>
      <c r="L237" s="326">
        <v>28.0</v>
      </c>
      <c r="M237" s="326"/>
      <c r="N237" s="326"/>
      <c r="O237" s="326"/>
      <c r="P237" s="326"/>
      <c r="Q237" s="326"/>
      <c r="R237" s="327"/>
      <c r="S237" s="326"/>
      <c r="T237" s="328" t="s">
        <v>1010</v>
      </c>
      <c r="U237" s="326"/>
      <c r="V237" s="326"/>
      <c r="W237" s="329"/>
    </row>
    <row r="238" ht="14.25" customHeight="1">
      <c r="A238" s="292"/>
      <c r="B238" s="288" t="s">
        <v>1042</v>
      </c>
      <c r="C238" s="326" t="s">
        <v>669</v>
      </c>
      <c r="D238" s="289">
        <f>ROUND((E238*'Pawn Weights'!$K$17)+(G238*'Pawn Weights'!$K$4)+(H238*'Pawn Weights'!$K$5)+(I238*'Pawn Weights'!$K$6)+(J238*'Pawn Weights'!$K$9)+(K238*'Pawn Weights'!$K$7)+(M238*'Pawn Weights'!$K$10)+(N238*'Pawn Weights'!$K$3)+(O238*'Pawn Weights'!$K$12)+(P238*'Pawn Weights'!$K$13)+(Q238*'Pawn Weights'!$K$14)+(F238*'Pawn Weights'!$K$18)+(S238*'Pawn Weights'!$K$8), 2)</f>
        <v>434.63</v>
      </c>
      <c r="E238" s="326">
        <v>108.0</v>
      </c>
      <c r="F238" s="326">
        <v>1.5</v>
      </c>
      <c r="G238" s="326"/>
      <c r="H238" s="326">
        <v>46.0</v>
      </c>
      <c r="I238" s="326"/>
      <c r="J238" s="326"/>
      <c r="K238" s="326">
        <v>20.0</v>
      </c>
      <c r="L238" s="326"/>
      <c r="M238" s="326"/>
      <c r="N238" s="326"/>
      <c r="O238" s="326"/>
      <c r="P238" s="326"/>
      <c r="Q238" s="326"/>
      <c r="R238" s="327"/>
      <c r="S238" s="326">
        <v>31.0</v>
      </c>
      <c r="T238" s="328"/>
      <c r="U238" s="326"/>
      <c r="V238" s="326"/>
      <c r="W238" s="329"/>
    </row>
    <row r="239">
      <c r="A239" s="292" t="s">
        <v>671</v>
      </c>
      <c r="B239" s="288" t="s">
        <v>1011</v>
      </c>
      <c r="C239" s="326" t="s">
        <v>637</v>
      </c>
      <c r="D239" s="289">
        <f>ROUND((E239*'Pawn Weights'!$K$17)+(G239*'Pawn Weights'!$K$4)+(H239*'Pawn Weights'!$K$5)+(I239*'Pawn Weights'!$K$6)+(J239*'Pawn Weights'!$K$9)+(K239*'Pawn Weights'!$K$7)+(M239*'Pawn Weights'!$K$10)+(N239*'Pawn Weights'!$K$3)+(O239*'Pawn Weights'!$K$12)+(P239*'Pawn Weights'!$K$13)+(Q239*'Pawn Weights'!$K$14)+(F239*'Pawn Weights'!$K$18)+(S239*'Pawn Weights'!$K$8), 2)</f>
        <v>433.99</v>
      </c>
      <c r="E239" s="326">
        <v>107.9</v>
      </c>
      <c r="F239" s="326">
        <v>2.6</v>
      </c>
      <c r="G239" s="326"/>
      <c r="H239" s="326">
        <v>38.0</v>
      </c>
      <c r="I239" s="326">
        <v>22.0</v>
      </c>
      <c r="J239" s="326"/>
      <c r="K239" s="326">
        <v>9.0</v>
      </c>
      <c r="L239" s="326">
        <v>31.0</v>
      </c>
      <c r="M239" s="326">
        <v>49.0</v>
      </c>
      <c r="N239" s="326"/>
      <c r="O239" s="326"/>
      <c r="P239" s="326"/>
      <c r="Q239" s="326"/>
      <c r="R239" s="327"/>
      <c r="S239" s="326"/>
      <c r="T239" s="328" t="s">
        <v>986</v>
      </c>
      <c r="U239" s="326"/>
      <c r="V239" s="326"/>
      <c r="W239" s="329"/>
    </row>
    <row r="240" ht="14.25" customHeight="1">
      <c r="A240" s="292"/>
      <c r="B240" s="288" t="s">
        <v>1043</v>
      </c>
      <c r="C240" s="326" t="s">
        <v>781</v>
      </c>
      <c r="D240" s="289">
        <f>ROUND((E240*'Pawn Weights'!$K$17)+(G240*'Pawn Weights'!$K$4)+(H240*'Pawn Weights'!$K$5)+(I240*'Pawn Weights'!$K$6)+(J240*'Pawn Weights'!$K$9)+(K240*'Pawn Weights'!$K$7)+(M240*'Pawn Weights'!$K$10)+(N240*'Pawn Weights'!$K$3)+(O240*'Pawn Weights'!$K$12)+(P240*'Pawn Weights'!$K$13)+(Q240*'Pawn Weights'!$K$14)+(F240*'Pawn Weights'!$K$18)+(S240*'Pawn Weights'!$K$8), 2)</f>
        <v>429.56</v>
      </c>
      <c r="E240" s="326">
        <v>108.0</v>
      </c>
      <c r="F240" s="326">
        <v>1.5</v>
      </c>
      <c r="G240" s="326"/>
      <c r="H240" s="326"/>
      <c r="I240" s="326"/>
      <c r="J240" s="326">
        <v>25.0</v>
      </c>
      <c r="K240" s="326"/>
      <c r="L240" s="326">
        <v>36.0</v>
      </c>
      <c r="M240" s="326"/>
      <c r="N240" s="326"/>
      <c r="O240" s="326"/>
      <c r="P240" s="326"/>
      <c r="Q240" s="326"/>
      <c r="R240" s="327"/>
      <c r="S240" s="326">
        <v>25.0</v>
      </c>
      <c r="T240" s="328" t="s">
        <v>1044</v>
      </c>
      <c r="U240" s="326"/>
      <c r="V240" s="326"/>
      <c r="W240" s="329"/>
    </row>
    <row r="241">
      <c r="A241" s="292" t="s">
        <v>671</v>
      </c>
      <c r="B241" s="288" t="s">
        <v>1045</v>
      </c>
      <c r="C241" s="326" t="s">
        <v>637</v>
      </c>
      <c r="D241" s="289">
        <f>ROUND((E241*'Pawn Weights'!$K$17)+(G241*'Pawn Weights'!$K$4)+(H241*'Pawn Weights'!$K$5)+(I241*'Pawn Weights'!$K$6)+(J241*'Pawn Weights'!$K$9)+(K241*'Pawn Weights'!$K$7)+(M241*'Pawn Weights'!$K$10)+(N241*'Pawn Weights'!$K$3)+(O241*'Pawn Weights'!$K$12)+(P241*'Pawn Weights'!$K$13)+(Q241*'Pawn Weights'!$K$14)+(F241*'Pawn Weights'!$K$18)+(S241*'Pawn Weights'!$K$8), 2)</f>
        <v>427.91</v>
      </c>
      <c r="E241" s="326">
        <v>108.0</v>
      </c>
      <c r="F241" s="326">
        <v>1.5</v>
      </c>
      <c r="G241" s="326"/>
      <c r="H241" s="326">
        <v>38.0</v>
      </c>
      <c r="I241" s="326">
        <v>22.0</v>
      </c>
      <c r="J241" s="326"/>
      <c r="K241" s="326">
        <v>9.0</v>
      </c>
      <c r="L241" s="326">
        <v>31.0</v>
      </c>
      <c r="M241" s="326">
        <v>49.0</v>
      </c>
      <c r="N241" s="326"/>
      <c r="O241" s="326"/>
      <c r="P241" s="326"/>
      <c r="Q241" s="326"/>
      <c r="R241" s="327"/>
      <c r="S241" s="326"/>
      <c r="T241" s="328" t="s">
        <v>986</v>
      </c>
      <c r="U241" s="326"/>
      <c r="V241" s="326"/>
      <c r="W241" s="329"/>
    </row>
    <row r="242">
      <c r="A242" s="292"/>
      <c r="B242" s="288" t="s">
        <v>1012</v>
      </c>
      <c r="C242" s="326" t="s">
        <v>744</v>
      </c>
      <c r="D242" s="289">
        <f>ROUND((E242*'Pawn Weights'!$K$17)+(G242*'Pawn Weights'!$K$4)+(H242*'Pawn Weights'!$K$5)+(I242*'Pawn Weights'!$K$6)+(J242*'Pawn Weights'!$K$9)+(K242*'Pawn Weights'!$K$7)+(M242*'Pawn Weights'!$K$10)+(N242*'Pawn Weights'!$K$3)+(O242*'Pawn Weights'!$K$12)+(P242*'Pawn Weights'!$K$13)+(Q242*'Pawn Weights'!$K$14)+(F242*'Pawn Weights'!$K$18)+(S242*'Pawn Weights'!$K$8), 2)</f>
        <v>421.44</v>
      </c>
      <c r="E242" s="326">
        <v>107.9</v>
      </c>
      <c r="F242" s="326">
        <v>2.6</v>
      </c>
      <c r="G242" s="326"/>
      <c r="H242" s="326"/>
      <c r="I242" s="326"/>
      <c r="J242" s="326"/>
      <c r="K242" s="326">
        <v>17.0</v>
      </c>
      <c r="L242" s="326">
        <v>27.0</v>
      </c>
      <c r="M242" s="326"/>
      <c r="N242" s="326"/>
      <c r="O242" s="326"/>
      <c r="P242" s="326"/>
      <c r="Q242" s="326"/>
      <c r="R242" s="327"/>
      <c r="S242" s="326">
        <v>35.0</v>
      </c>
      <c r="T242" s="328"/>
      <c r="U242" s="326"/>
      <c r="V242" s="326"/>
      <c r="W242" s="329"/>
    </row>
    <row r="243" ht="14.25" customHeight="1">
      <c r="A243" s="292"/>
      <c r="B243" s="288" t="s">
        <v>1046</v>
      </c>
      <c r="C243" s="326" t="s">
        <v>1047</v>
      </c>
      <c r="D243" s="289">
        <f>ROUND((E243*'Pawn Weights'!$K$17)+(G243*'Pawn Weights'!$K$4)+(H243*'Pawn Weights'!$K$5)+(I243*'Pawn Weights'!$K$6)+(J243*'Pawn Weights'!$K$9)+(K243*'Pawn Weights'!$K$7)+(M243*'Pawn Weights'!$K$10)+(N243*'Pawn Weights'!$K$3)+(O243*'Pawn Weights'!$K$12)+(P243*'Pawn Weights'!$K$13)+(Q243*'Pawn Weights'!$K$14)+(F243*'Pawn Weights'!$K$18)+(S243*'Pawn Weights'!$K$8), 2)</f>
        <v>416.39</v>
      </c>
      <c r="E243" s="326">
        <v>103.0</v>
      </c>
      <c r="F243" s="326">
        <v>2.5</v>
      </c>
      <c r="G243" s="326"/>
      <c r="H243" s="326">
        <v>44.0</v>
      </c>
      <c r="I243" s="326"/>
      <c r="J243" s="326"/>
      <c r="K243" s="326">
        <v>21.0</v>
      </c>
      <c r="L243" s="326"/>
      <c r="M243" s="326"/>
      <c r="N243" s="326"/>
      <c r="O243" s="326"/>
      <c r="P243" s="326"/>
      <c r="Q243" s="326"/>
      <c r="R243" s="327"/>
      <c r="S243" s="326">
        <v>23.0</v>
      </c>
      <c r="T243" s="328"/>
      <c r="U243" s="326"/>
      <c r="V243" s="326"/>
      <c r="W243" s="329"/>
    </row>
    <row r="244">
      <c r="A244" s="292" t="s">
        <v>991</v>
      </c>
      <c r="B244" s="288" t="s">
        <v>1018</v>
      </c>
      <c r="C244" s="326" t="s">
        <v>646</v>
      </c>
      <c r="D244" s="289">
        <f>ROUND((E244*'Pawn Weights'!$K$17)+(G244*'Pawn Weights'!$K$4)+(H244*'Pawn Weights'!$K$5)+(I244*'Pawn Weights'!$K$6)+(J244*'Pawn Weights'!$K$9)+(K244*'Pawn Weights'!$K$7)+(M244*'Pawn Weights'!$K$10)+(N244*'Pawn Weights'!$K$3)+(O244*'Pawn Weights'!$K$12)+(P244*'Pawn Weights'!$K$13)+(Q244*'Pawn Weights'!$K$14)+(F244*'Pawn Weights'!$K$18)+(S244*'Pawn Weights'!$K$8), 2)</f>
        <v>414.36</v>
      </c>
      <c r="E244" s="326">
        <v>103.1</v>
      </c>
      <c r="F244" s="326">
        <v>2.6</v>
      </c>
      <c r="G244" s="326"/>
      <c r="H244" s="326">
        <v>34.0</v>
      </c>
      <c r="I244" s="326">
        <v>21.0</v>
      </c>
      <c r="J244" s="326"/>
      <c r="K244" s="326">
        <v>8.0</v>
      </c>
      <c r="L244" s="326">
        <v>30.0</v>
      </c>
      <c r="M244" s="326">
        <v>49.0</v>
      </c>
      <c r="N244" s="326"/>
      <c r="O244" s="326"/>
      <c r="P244" s="326"/>
      <c r="Q244" s="326"/>
      <c r="R244" s="327"/>
      <c r="S244" s="326"/>
      <c r="T244" s="328" t="s">
        <v>986</v>
      </c>
      <c r="U244" s="326"/>
      <c r="V244" s="326"/>
      <c r="W244" s="329"/>
    </row>
    <row r="245" ht="14.25" customHeight="1">
      <c r="A245" s="292"/>
      <c r="B245" s="288" t="s">
        <v>1048</v>
      </c>
      <c r="C245" s="326" t="s">
        <v>1047</v>
      </c>
      <c r="D245" s="289">
        <f>ROUND((E245*'Pawn Weights'!$K$17)+(G245*'Pawn Weights'!$K$4)+(H245*'Pawn Weights'!$K$5)+(I245*'Pawn Weights'!$K$6)+(J245*'Pawn Weights'!$K$9)+(K245*'Pawn Weights'!$K$7)+(M245*'Pawn Weights'!$K$10)+(N245*'Pawn Weights'!$K$3)+(O245*'Pawn Weights'!$K$12)+(P245*'Pawn Weights'!$K$13)+(Q245*'Pawn Weights'!$K$14)+(F245*'Pawn Weights'!$K$18)+(S245*'Pawn Weights'!$K$8), 2)</f>
        <v>410.55</v>
      </c>
      <c r="E245" s="326">
        <v>103.0</v>
      </c>
      <c r="F245" s="326">
        <v>1.5</v>
      </c>
      <c r="G245" s="326"/>
      <c r="H245" s="326">
        <v>44.0</v>
      </c>
      <c r="I245" s="326"/>
      <c r="J245" s="326"/>
      <c r="K245" s="326">
        <v>21.0</v>
      </c>
      <c r="L245" s="326"/>
      <c r="M245" s="326"/>
      <c r="N245" s="326"/>
      <c r="O245" s="326"/>
      <c r="P245" s="326"/>
      <c r="Q245" s="326"/>
      <c r="R245" s="327"/>
      <c r="S245" s="326">
        <v>23.0</v>
      </c>
      <c r="T245" s="328"/>
      <c r="U245" s="326"/>
      <c r="V245" s="326"/>
      <c r="W245" s="329"/>
    </row>
    <row r="246" ht="14.25" customHeight="1">
      <c r="A246" s="292" t="s">
        <v>627</v>
      </c>
      <c r="B246" s="288" t="s">
        <v>1049</v>
      </c>
      <c r="C246" s="326" t="s">
        <v>1016</v>
      </c>
      <c r="D246" s="289">
        <f>ROUND((E246*'Pawn Weights'!$K$17)+(G246*'Pawn Weights'!$K$4)+(H246*'Pawn Weights'!$K$5)+(I246*'Pawn Weights'!$K$6)+(J246*'Pawn Weights'!$K$9)+(K246*'Pawn Weights'!$K$7)+(M246*'Pawn Weights'!$K$10)+(N246*'Pawn Weights'!$K$3)+(O246*'Pawn Weights'!$K$12)+(P246*'Pawn Weights'!$K$13)+(Q246*'Pawn Weights'!$K$14)+(F246*'Pawn Weights'!$K$18)+(S246*'Pawn Weights'!$K$8)+(72.08*'Pawn Weights'!K8), 2)</f>
        <v>408.44</v>
      </c>
      <c r="E246" s="326">
        <v>97.6</v>
      </c>
      <c r="F246" s="326">
        <v>2.7</v>
      </c>
      <c r="G246" s="326"/>
      <c r="H246" s="326"/>
      <c r="I246" s="326"/>
      <c r="J246" s="326"/>
      <c r="K246" s="326"/>
      <c r="L246" s="326">
        <v>19.0</v>
      </c>
      <c r="M246" s="326"/>
      <c r="N246" s="326"/>
      <c r="O246" s="326"/>
      <c r="P246" s="326"/>
      <c r="Q246" s="326"/>
      <c r="R246" s="327"/>
      <c r="S246" s="326"/>
      <c r="T246" s="328" t="s">
        <v>1050</v>
      </c>
      <c r="U246" s="326"/>
      <c r="V246" s="326"/>
      <c r="W246" s="329"/>
    </row>
    <row r="247" ht="14.25" customHeight="1">
      <c r="A247" s="137" t="s">
        <v>991</v>
      </c>
      <c r="B247" s="317" t="s">
        <v>1051</v>
      </c>
      <c r="C247" s="330" t="s">
        <v>646</v>
      </c>
      <c r="D247" s="289">
        <f>ROUND((E247*'Pawn Weights'!$K$17)+(G247*'Pawn Weights'!$K$4)+(H247*'Pawn Weights'!$K$5)+(I247*'Pawn Weights'!$K$6)+(J247*'Pawn Weights'!$K$9)+(K247*'Pawn Weights'!$K$7)+(M247*'Pawn Weights'!$K$10)+(N247*'Pawn Weights'!$K$3)+(O247*'Pawn Weights'!$K$12)+(P247*'Pawn Weights'!$K$13)+(Q247*'Pawn Weights'!$K$14)+(F247*'Pawn Weights'!$K$18)+(S247*'Pawn Weights'!$K$8), 2)</f>
        <v>407.6</v>
      </c>
      <c r="E247" s="331">
        <v>103.0</v>
      </c>
      <c r="F247" s="331">
        <v>1.5</v>
      </c>
      <c r="G247" s="330"/>
      <c r="H247" s="332">
        <v>34.0</v>
      </c>
      <c r="I247" s="332">
        <v>21.0</v>
      </c>
      <c r="J247" s="330"/>
      <c r="K247" s="332">
        <v>8.0</v>
      </c>
      <c r="L247" s="332">
        <v>30.0</v>
      </c>
      <c r="M247" s="332">
        <v>49.0</v>
      </c>
      <c r="N247" s="330"/>
      <c r="O247" s="330"/>
      <c r="P247" s="330"/>
      <c r="Q247" s="330"/>
      <c r="R247" s="295"/>
      <c r="S247" s="330"/>
      <c r="T247" s="330" t="s">
        <v>986</v>
      </c>
      <c r="U247" s="330"/>
      <c r="V247" s="330"/>
      <c r="W247" s="295"/>
      <c r="X247" s="137"/>
      <c r="Y247" s="137"/>
      <c r="Z247" s="137"/>
    </row>
    <row r="248" ht="1.5" customHeight="1">
      <c r="A248" s="333"/>
      <c r="B248" s="334" t="s">
        <v>1052</v>
      </c>
      <c r="C248" s="335" t="s">
        <v>821</v>
      </c>
      <c r="D248" s="289">
        <f>ROUND((E248*'Pawn Weights'!$K$17)+(G248*'Pawn Weights'!$K$4)+(H248*'Pawn Weights'!$K$5)+(I248*'Pawn Weights'!$K$6)+(J248*'Pawn Weights'!$K$9)+(K248*'Pawn Weights'!$K$7)+(M248*'Pawn Weights'!$K$10)+(N248*'Pawn Weights'!$K$3)+(O248*'Pawn Weights'!$K$12)+(P248*'Pawn Weights'!$K$13)+(Q248*'Pawn Weights'!$K$14)+(F248*'Pawn Weights'!$K$18)+(S248*'Pawn Weights'!$K$8), 2)</f>
        <v>401.77</v>
      </c>
      <c r="E248" s="335">
        <v>100.3</v>
      </c>
      <c r="F248" s="335">
        <v>1.5</v>
      </c>
      <c r="G248" s="336"/>
      <c r="H248" s="335">
        <v>40.0</v>
      </c>
      <c r="I248" s="336"/>
      <c r="J248" s="336"/>
      <c r="K248" s="335">
        <v>19.0</v>
      </c>
      <c r="L248" s="336"/>
      <c r="M248" s="336"/>
      <c r="N248" s="336"/>
      <c r="O248" s="336"/>
      <c r="P248" s="336"/>
      <c r="Q248" s="336"/>
      <c r="R248" s="337"/>
      <c r="S248" s="335">
        <v>27.0</v>
      </c>
      <c r="T248" s="338"/>
      <c r="U248" s="336"/>
      <c r="V248" s="339"/>
      <c r="W248" s="339"/>
      <c r="X248" s="340"/>
      <c r="Y248" s="340"/>
      <c r="Z248" s="340"/>
    </row>
    <row r="249">
      <c r="A249" s="137"/>
      <c r="B249" s="341" t="s">
        <v>1019</v>
      </c>
      <c r="C249" s="342" t="s">
        <v>835</v>
      </c>
      <c r="D249" s="289">
        <f>ROUND((E249*'Pawn Weights'!$K$17)+(G249*'Pawn Weights'!$K$4)+(H249*'Pawn Weights'!$K$5)+(I249*'Pawn Weights'!$K$6)+(J249*'Pawn Weights'!$K$9)+(K249*'Pawn Weights'!$K$7)+(M249*'Pawn Weights'!$K$10)+(N249*'Pawn Weights'!$K$3)+(O249*'Pawn Weights'!$K$12)+(P249*'Pawn Weights'!$K$13)+(Q249*'Pawn Weights'!$K$14)+(F249*'Pawn Weights'!$K$18)+(S249*'Pawn Weights'!$K$8), 2)</f>
        <v>399.96</v>
      </c>
      <c r="E249" s="343">
        <v>100.2</v>
      </c>
      <c r="F249" s="331">
        <v>2.6</v>
      </c>
      <c r="G249" s="343">
        <v>28.0</v>
      </c>
      <c r="H249" s="343">
        <v>56.0</v>
      </c>
      <c r="I249" s="342"/>
      <c r="J249" s="342"/>
      <c r="K249" s="342"/>
      <c r="L249" s="342"/>
      <c r="M249" s="342"/>
      <c r="N249" s="342"/>
      <c r="O249" s="342"/>
      <c r="P249" s="342"/>
      <c r="Q249" s="342"/>
      <c r="R249" s="137"/>
      <c r="S249" s="342"/>
      <c r="T249" s="344"/>
      <c r="U249" s="342"/>
      <c r="V249" s="342"/>
      <c r="W249" s="137"/>
      <c r="X249" s="137"/>
      <c r="Y249" s="137"/>
      <c r="Z249" s="137"/>
    </row>
    <row r="250">
      <c r="A250" s="292"/>
      <c r="B250" s="288" t="s">
        <v>1053</v>
      </c>
      <c r="C250" s="326" t="s">
        <v>701</v>
      </c>
      <c r="D250" s="289">
        <f>ROUND((E250*'Pawn Weights'!$K$17)+(G250*'Pawn Weights'!$K$4)+(H250*'Pawn Weights'!$K$5)+(I250*'Pawn Weights'!$K$6)+(J250*'Pawn Weights'!$K$9)+(K250*'Pawn Weights'!$K$7)+(M250*'Pawn Weights'!$K$10)+(N250*'Pawn Weights'!$K$3)+(O250*'Pawn Weights'!$K$12)+(P250*'Pawn Weights'!$K$13)+(Q250*'Pawn Weights'!$K$14)+(F250*'Pawn Weights'!$K$18)+(S250*'Pawn Weights'!$K$8), 2)</f>
        <v>398.23</v>
      </c>
      <c r="E250" s="326">
        <v>100.4</v>
      </c>
      <c r="F250" s="326">
        <v>1.4</v>
      </c>
      <c r="G250" s="326"/>
      <c r="H250" s="326">
        <v>44.0</v>
      </c>
      <c r="I250" s="326">
        <v>22.0</v>
      </c>
      <c r="J250" s="326"/>
      <c r="K250" s="326">
        <v>15.0</v>
      </c>
      <c r="L250" s="326">
        <v>19.0</v>
      </c>
      <c r="M250" s="326"/>
      <c r="N250" s="326"/>
      <c r="O250" s="326"/>
      <c r="P250" s="326"/>
      <c r="Q250" s="326"/>
      <c r="R250" s="327"/>
      <c r="S250" s="326"/>
      <c r="T250" s="328"/>
      <c r="U250" s="326"/>
      <c r="V250" s="326"/>
      <c r="W250" s="329"/>
    </row>
    <row r="251">
      <c r="A251" s="292" t="s">
        <v>627</v>
      </c>
      <c r="B251" s="288" t="s">
        <v>1031</v>
      </c>
      <c r="C251" s="326" t="s">
        <v>1032</v>
      </c>
      <c r="D251" s="289">
        <f>ROUND((E251*'Pawn Weights'!$K$17)+(G251*'Pawn Weights'!$K$4)+(H251*'Pawn Weights'!$K$5)+(I251*'Pawn Weights'!$K$6)+(J251*'Pawn Weights'!$K$9)+(K251*'Pawn Weights'!$K$7)+(M251*'Pawn Weights'!$K$10)+(N251*'Pawn Weights'!$K$3)+(O251*'Pawn Weights'!$K$12)+(P251*'Pawn Weights'!$K$13)+(Q251*'Pawn Weights'!$K$14)+(F251*'Pawn Weights'!$K$18)+(S251*'Pawn Weights'!$K$8), 2)</f>
        <v>390.33</v>
      </c>
      <c r="E251" s="326">
        <v>97.6</v>
      </c>
      <c r="F251" s="326">
        <v>2.7</v>
      </c>
      <c r="G251" s="326"/>
      <c r="H251" s="326">
        <v>48.0</v>
      </c>
      <c r="I251" s="326">
        <v>23.0</v>
      </c>
      <c r="J251" s="326"/>
      <c r="K251" s="326"/>
      <c r="L251" s="326"/>
      <c r="M251" s="326"/>
      <c r="N251" s="326"/>
      <c r="O251" s="326"/>
      <c r="P251" s="326"/>
      <c r="Q251" s="326"/>
      <c r="R251" s="327"/>
      <c r="S251" s="326"/>
      <c r="T251" s="328" t="s">
        <v>1054</v>
      </c>
      <c r="U251" s="326"/>
      <c r="V251" s="326"/>
      <c r="W251" s="329"/>
    </row>
    <row r="252">
      <c r="A252" s="292"/>
      <c r="B252" s="288" t="s">
        <v>1026</v>
      </c>
      <c r="C252" s="326" t="s">
        <v>716</v>
      </c>
      <c r="D252" s="289">
        <f>ROUND((E252*'Pawn Weights'!$K$17)+(G252*'Pawn Weights'!$K$4)+(H252*'Pawn Weights'!$K$5)+(I252*'Pawn Weights'!$K$6)+(J252*'Pawn Weights'!$K$9)+(K252*'Pawn Weights'!$K$7)+(M252*'Pawn Weights'!$K$10)+(N252*'Pawn Weights'!$K$3)+(O252*'Pawn Weights'!$K$12)+(P252*'Pawn Weights'!$K$13)+(Q252*'Pawn Weights'!$K$14)+(F252*'Pawn Weights'!$K$18)+(S252*'Pawn Weights'!$K$8), 2)</f>
        <v>388.04</v>
      </c>
      <c r="E252" s="326">
        <v>100.2</v>
      </c>
      <c r="F252" s="326">
        <v>2.6</v>
      </c>
      <c r="G252" s="326"/>
      <c r="H252" s="326">
        <v>44.0</v>
      </c>
      <c r="I252" s="326"/>
      <c r="J252" s="326"/>
      <c r="K252" s="326">
        <v>21.0</v>
      </c>
      <c r="L252" s="326">
        <v>33.0</v>
      </c>
      <c r="M252" s="326"/>
      <c r="N252" s="326"/>
      <c r="O252" s="326"/>
      <c r="P252" s="326"/>
      <c r="Q252" s="326"/>
      <c r="R252" s="327"/>
      <c r="S252" s="326"/>
      <c r="T252" s="328" t="s">
        <v>1054</v>
      </c>
      <c r="U252" s="326"/>
      <c r="V252" s="326"/>
      <c r="W252" s="329"/>
    </row>
    <row r="253">
      <c r="A253" s="281"/>
      <c r="B253" s="288" t="s">
        <v>1020</v>
      </c>
      <c r="C253" s="326" t="s">
        <v>741</v>
      </c>
      <c r="D253" s="289">
        <f>ROUND((E253*'Pawn Weights'!$K$17)+(G253*'Pawn Weights'!$K$4)+(H253*'Pawn Weights'!$K$5)+(I253*'Pawn Weights'!$K$6)+(J253*'Pawn Weights'!$K$9)+(K253*'Pawn Weights'!$K$7)+(M253*'Pawn Weights'!$K$10)+(N253*'Pawn Weights'!$K$3)+(O253*'Pawn Weights'!$K$12)+(P253*'Pawn Weights'!$K$13)+(Q253*'Pawn Weights'!$K$14)+(F253*'Pawn Weights'!$K$18)+(S253*'Pawn Weights'!$K$8)+6, 2)</f>
        <v>386.08</v>
      </c>
      <c r="E253" s="326">
        <v>100.2</v>
      </c>
      <c r="F253" s="326">
        <v>2.7</v>
      </c>
      <c r="G253" s="326"/>
      <c r="H253" s="326">
        <v>52.0</v>
      </c>
      <c r="I253" s="326"/>
      <c r="J253" s="326"/>
      <c r="K253" s="326"/>
      <c r="L253" s="326"/>
      <c r="M253" s="326"/>
      <c r="N253" s="326"/>
      <c r="O253" s="326"/>
      <c r="P253" s="326"/>
      <c r="Q253" s="326"/>
      <c r="R253" s="327"/>
      <c r="S253" s="326"/>
      <c r="T253" s="328" t="s">
        <v>1021</v>
      </c>
      <c r="U253" s="326"/>
      <c r="V253" s="326"/>
      <c r="W253" s="329"/>
    </row>
    <row r="254">
      <c r="A254" s="292"/>
      <c r="B254" s="288" t="s">
        <v>1022</v>
      </c>
      <c r="C254" s="326" t="s">
        <v>665</v>
      </c>
      <c r="D254" s="289">
        <f>ROUND((E254*'Pawn Weights'!$K$17)+(G254*'Pawn Weights'!$K$4)+(H254*'Pawn Weights'!$K$5)+(I254*'Pawn Weights'!$K$6)+(J254*'Pawn Weights'!$K$9)+(K254*'Pawn Weights'!$K$7)+(M254*'Pawn Weights'!$K$10)+(N254*'Pawn Weights'!$K$3)+(O254*'Pawn Weights'!$K$12)+(P254*'Pawn Weights'!$K$13)+(Q254*'Pawn Weights'!$K$14)+(F254*'Pawn Weights'!$K$18)+(S254*'Pawn Weights'!$K$8)+6.25, 2)</f>
        <v>386.01</v>
      </c>
      <c r="E254" s="326">
        <v>100.2</v>
      </c>
      <c r="F254" s="326">
        <v>2.8</v>
      </c>
      <c r="G254" s="326"/>
      <c r="H254" s="326">
        <v>50.0</v>
      </c>
      <c r="I254" s="326"/>
      <c r="J254" s="326"/>
      <c r="K254" s="326"/>
      <c r="L254" s="326"/>
      <c r="M254" s="326"/>
      <c r="N254" s="326"/>
      <c r="O254" s="326"/>
      <c r="P254" s="326"/>
      <c r="Q254" s="326"/>
      <c r="R254" s="327"/>
      <c r="S254" s="326"/>
      <c r="T254" s="328" t="s">
        <v>1023</v>
      </c>
      <c r="U254" s="326"/>
      <c r="V254" s="326"/>
      <c r="W254" s="329"/>
    </row>
    <row r="255" ht="14.25" customHeight="1">
      <c r="A255" s="292" t="s">
        <v>627</v>
      </c>
      <c r="B255" s="288" t="s">
        <v>1055</v>
      </c>
      <c r="C255" s="326" t="s">
        <v>1016</v>
      </c>
      <c r="D255" s="289">
        <f>ROUND((E255*'Pawn Weights'!$K$17)+(G255*'Pawn Weights'!$K$4)+(H255*'Pawn Weights'!$K$5)+(I255*'Pawn Weights'!$K$6)+(J255*'Pawn Weights'!$K$9)+(K255*'Pawn Weights'!$K$7)+(M255*'Pawn Weights'!$K$10)+(N255*'Pawn Weights'!$K$3)+(O255*'Pawn Weights'!$K$12)+(P255*'Pawn Weights'!$K$13)+(Q255*'Pawn Weights'!$K$14)+(F255*'Pawn Weights'!$K$18)+(S255*'Pawn Weights'!$K$8)+(44.52*'Pawn Weights'!K8), 2)</f>
        <v>385.18</v>
      </c>
      <c r="E255" s="326">
        <v>97.6</v>
      </c>
      <c r="F255" s="326">
        <v>2.7</v>
      </c>
      <c r="G255" s="326"/>
      <c r="H255" s="326"/>
      <c r="I255" s="326"/>
      <c r="J255" s="326"/>
      <c r="K255" s="326"/>
      <c r="L255" s="326">
        <v>19.0</v>
      </c>
      <c r="M255" s="326"/>
      <c r="N255" s="326"/>
      <c r="O255" s="326"/>
      <c r="P255" s="326"/>
      <c r="Q255" s="326"/>
      <c r="R255" s="327"/>
      <c r="S255" s="326"/>
      <c r="T255" s="328" t="s">
        <v>1050</v>
      </c>
      <c r="U255" s="326"/>
      <c r="V255" s="326"/>
      <c r="W255" s="329"/>
    </row>
    <row r="256">
      <c r="A256" s="219" t="s">
        <v>995</v>
      </c>
      <c r="B256" s="288" t="s">
        <v>1033</v>
      </c>
      <c r="C256" s="326" t="s">
        <v>997</v>
      </c>
      <c r="D256" s="289">
        <f>ROUND((E256*'Pawn Weights'!$K$17)+(G256*'Pawn Weights'!$K$4)+(H256*'Pawn Weights'!$K$5)+(I256*'Pawn Weights'!$K$6)+(J256*'Pawn Weights'!$K$9)+(K256*'Pawn Weights'!$K$7)+(M256*'Pawn Weights'!$K$10)+(N256*'Pawn Weights'!$K$3)+(O256*'Pawn Weights'!$K$12)+(P256*'Pawn Weights'!$K$13)+(Q256*'Pawn Weights'!$K$14)+(F256*'Pawn Weights'!$K$18)+(S256*'Pawn Weights'!$K$8), 2)</f>
        <v>384.07</v>
      </c>
      <c r="E256" s="326">
        <v>97.7</v>
      </c>
      <c r="F256" s="326">
        <v>2.6</v>
      </c>
      <c r="G256" s="326"/>
      <c r="H256" s="326">
        <v>30.0</v>
      </c>
      <c r="I256" s="326">
        <v>19.0</v>
      </c>
      <c r="J256" s="326"/>
      <c r="K256" s="326">
        <v>10.0</v>
      </c>
      <c r="L256" s="326">
        <v>27.0</v>
      </c>
      <c r="M256" s="326"/>
      <c r="N256" s="326"/>
      <c r="O256" s="326"/>
      <c r="P256" s="326"/>
      <c r="Q256" s="326"/>
      <c r="R256" s="327"/>
      <c r="S256" s="326"/>
      <c r="T256" s="328" t="s">
        <v>1034</v>
      </c>
      <c r="U256" s="326"/>
      <c r="V256" s="326"/>
      <c r="W256" s="329"/>
    </row>
    <row r="257">
      <c r="A257" s="281"/>
      <c r="B257" s="288" t="s">
        <v>1035</v>
      </c>
      <c r="C257" s="326" t="s">
        <v>900</v>
      </c>
      <c r="D257" s="289">
        <f>ROUND((E257*'Pawn Weights'!$K$17)+(G257*'Pawn Weights'!$K$4)+(H257*'Pawn Weights'!$K$5)+(I257*'Pawn Weights'!$K$6)+(J257*'Pawn Weights'!$K$9)+(K257*'Pawn Weights'!$K$7)+(M257*'Pawn Weights'!$K$10)+(N257*'Pawn Weights'!$K$3)+(O257*'Pawn Weights'!$K$12)+(P257*'Pawn Weights'!$K$13)+(Q257*'Pawn Weights'!$K$14)+(F257*'Pawn Weights'!$K$18)+(S257*'Pawn Weights'!$K$8), 2)</f>
        <v>383.64</v>
      </c>
      <c r="E257" s="326">
        <v>96.5</v>
      </c>
      <c r="F257" s="326">
        <v>2.7</v>
      </c>
      <c r="G257" s="326">
        <v>15.0</v>
      </c>
      <c r="H257" s="326">
        <v>40.0</v>
      </c>
      <c r="I257" s="326"/>
      <c r="J257" s="326"/>
      <c r="K257" s="326">
        <v>20.0</v>
      </c>
      <c r="L257" s="326"/>
      <c r="M257" s="326"/>
      <c r="N257" s="326"/>
      <c r="O257" s="326"/>
      <c r="P257" s="326"/>
      <c r="Q257" s="326"/>
      <c r="R257" s="327"/>
      <c r="S257" s="326"/>
      <c r="T257" s="328" t="s">
        <v>1036</v>
      </c>
      <c r="U257" s="326"/>
      <c r="V257" s="326"/>
      <c r="W257" s="329"/>
    </row>
    <row r="258" ht="14.25" customHeight="1">
      <c r="A258" s="292"/>
      <c r="B258" s="288" t="s">
        <v>1056</v>
      </c>
      <c r="C258" s="326" t="s">
        <v>1029</v>
      </c>
      <c r="D258" s="289">
        <f>ROUND((E258*'Pawn Weights'!$K$17)+(G258*'Pawn Weights'!$K$4)+(H258*'Pawn Weights'!$K$5)+(I258*'Pawn Weights'!$K$6)+(J258*'Pawn Weights'!$K$9)+(K258*'Pawn Weights'!$K$7)+(M258*'Pawn Weights'!$K$10)+(N258*'Pawn Weights'!$K$3)+(O258*'Pawn Weights'!$K$12)+(P258*'Pawn Weights'!$K$13)+(Q258*'Pawn Weights'!$K$14)+(F258*'Pawn Weights'!$K$18)+(S258*'Pawn Weights'!$K$8), 2)</f>
        <v>380.37</v>
      </c>
      <c r="E258" s="326">
        <v>100.3</v>
      </c>
      <c r="F258" s="326">
        <v>1.5</v>
      </c>
      <c r="G258" s="326">
        <v>20.0</v>
      </c>
      <c r="H258" s="326">
        <v>38.0</v>
      </c>
      <c r="I258" s="326"/>
      <c r="J258" s="326"/>
      <c r="K258" s="326"/>
      <c r="L258" s="326">
        <v>28.0</v>
      </c>
      <c r="M258" s="326"/>
      <c r="N258" s="326"/>
      <c r="O258" s="326"/>
      <c r="P258" s="326"/>
      <c r="Q258" s="326"/>
      <c r="R258" s="327"/>
      <c r="S258" s="326"/>
      <c r="T258" s="328" t="s">
        <v>1030</v>
      </c>
      <c r="U258" s="326"/>
      <c r="V258" s="326"/>
      <c r="W258" s="329"/>
    </row>
    <row r="259" ht="14.25" customHeight="1">
      <c r="A259" s="137"/>
      <c r="B259" s="296" t="s">
        <v>1057</v>
      </c>
      <c r="C259" s="330" t="s">
        <v>665</v>
      </c>
      <c r="D259" s="289">
        <f>ROUND((E259*'Pawn Weights'!$K$17)+(G259*'Pawn Weights'!$K$4)+(H259*'Pawn Weights'!$K$5)+(I259*'Pawn Weights'!$K$6)+(J259*'Pawn Weights'!$K$9)+(K259*'Pawn Weights'!$K$7)+(M259*'Pawn Weights'!$K$10)+(N259*'Pawn Weights'!$K$3)+(O259*'Pawn Weights'!$K$12)+(P259*'Pawn Weights'!$K$13)+(Q259*'Pawn Weights'!$K$14)+(F259*'Pawn Weights'!$K$18)+(S259*'Pawn Weights'!$K$8), 2)</f>
        <v>377.66</v>
      </c>
      <c r="E259" s="332">
        <v>100.3</v>
      </c>
      <c r="F259" s="332">
        <v>1.6</v>
      </c>
      <c r="G259" s="342"/>
      <c r="H259" s="330"/>
      <c r="I259" s="342"/>
      <c r="J259" s="332">
        <v>21.0</v>
      </c>
      <c r="K259" s="330"/>
      <c r="L259" s="330"/>
      <c r="M259" s="342"/>
      <c r="N259" s="342"/>
      <c r="O259" s="330"/>
      <c r="P259" s="342"/>
      <c r="Q259" s="342"/>
      <c r="R259" s="295"/>
      <c r="S259" s="342"/>
      <c r="T259" s="299"/>
      <c r="U259" s="342"/>
      <c r="V259" s="342"/>
      <c r="W259" s="137"/>
      <c r="X259" s="137"/>
      <c r="Y259" s="137"/>
      <c r="Z259" s="137"/>
    </row>
    <row r="260">
      <c r="A260" s="219" t="s">
        <v>995</v>
      </c>
      <c r="B260" s="288" t="s">
        <v>1058</v>
      </c>
      <c r="C260" s="326" t="s">
        <v>997</v>
      </c>
      <c r="D260" s="289">
        <f>ROUND((E260*'Pawn Weights'!$K$17)+(G260*'Pawn Weights'!$K$4)+(H260*'Pawn Weights'!$K$5)+(I260*'Pawn Weights'!$K$6)+(J260*'Pawn Weights'!$K$9)+(K260*'Pawn Weights'!$K$7)+(M260*'Pawn Weights'!$K$10)+(N260*'Pawn Weights'!$K$3)+(O260*'Pawn Weights'!$K$12)+(P260*'Pawn Weights'!$K$13)+(Q260*'Pawn Weights'!$K$14)+(F260*'Pawn Weights'!$K$18)+(S260*'Pawn Weights'!$K$8), 2)</f>
        <v>377.65</v>
      </c>
      <c r="E260" s="326">
        <v>97.7</v>
      </c>
      <c r="F260" s="326">
        <v>1.5</v>
      </c>
      <c r="G260" s="326"/>
      <c r="H260" s="326">
        <v>30.0</v>
      </c>
      <c r="I260" s="326">
        <v>19.0</v>
      </c>
      <c r="J260" s="326"/>
      <c r="K260" s="326">
        <v>10.0</v>
      </c>
      <c r="L260" s="326">
        <v>27.0</v>
      </c>
      <c r="M260" s="326"/>
      <c r="N260" s="326"/>
      <c r="O260" s="326"/>
      <c r="P260" s="326"/>
      <c r="Q260" s="326"/>
      <c r="R260" s="327"/>
      <c r="S260" s="326"/>
      <c r="T260" s="328" t="s">
        <v>1034</v>
      </c>
      <c r="U260" s="326"/>
      <c r="V260" s="326"/>
      <c r="W260" s="329"/>
    </row>
    <row r="261">
      <c r="A261" s="281"/>
      <c r="B261" s="288" t="s">
        <v>1037</v>
      </c>
      <c r="C261" s="326" t="s">
        <v>1025</v>
      </c>
      <c r="D261" s="289">
        <f>ROUND((E261*'Pawn Weights'!$K$17)+(G261*'Pawn Weights'!$K$4)+(H261*'Pawn Weights'!$K$5)+(I261*'Pawn Weights'!$K$6)+(J261*'Pawn Weights'!$K$9)+(K261*'Pawn Weights'!$K$7)+(M261*'Pawn Weights'!$K$10)+(N261*'Pawn Weights'!$K$3)+(O261*'Pawn Weights'!$K$12)+(P261*'Pawn Weights'!$K$13)+(Q261*'Pawn Weights'!$K$14)+(F261*'Pawn Weights'!$K$18)+(S261*'Pawn Weights'!$K$8), 2)</f>
        <v>378.11</v>
      </c>
      <c r="E261" s="326">
        <v>96.5</v>
      </c>
      <c r="F261" s="326">
        <v>2.6</v>
      </c>
      <c r="G261" s="326">
        <v>25.0</v>
      </c>
      <c r="H261" s="326">
        <v>40.0</v>
      </c>
      <c r="I261" s="326"/>
      <c r="J261" s="326"/>
      <c r="K261" s="326"/>
      <c r="L261" s="326">
        <v>21.0</v>
      </c>
      <c r="M261" s="326"/>
      <c r="N261" s="326"/>
      <c r="O261" s="326"/>
      <c r="P261" s="326"/>
      <c r="Q261" s="326"/>
      <c r="R261" s="327"/>
      <c r="S261" s="326"/>
      <c r="T261" s="328" t="s">
        <v>1054</v>
      </c>
      <c r="U261" s="326"/>
      <c r="V261" s="326"/>
      <c r="W261" s="329"/>
    </row>
    <row r="262">
      <c r="A262" s="345"/>
      <c r="B262" s="334" t="s">
        <v>1059</v>
      </c>
      <c r="C262" s="335" t="s">
        <v>839</v>
      </c>
      <c r="D262" s="289">
        <f>ROUND((E262*'Pawn Weights'!$K$17)+(G262*'Pawn Weights'!$K$4)+(H262*'Pawn Weights'!$K$5)+(I262*'Pawn Weights'!$K$6)+(J262*'Pawn Weights'!$K$9)+(K262*'Pawn Weights'!$K$7)+(M262*'Pawn Weights'!$K$10)+(N262*'Pawn Weights'!$K$3)+(O262*'Pawn Weights'!$K$12)+(P262*'Pawn Weights'!$K$13)+(Q262*'Pawn Weights'!$K$14)+(F262*'Pawn Weights'!$K$18)+(S262*'Pawn Weights'!$K$8)+1.818, 2)</f>
        <v>375.46</v>
      </c>
      <c r="E262" s="335">
        <v>95.6</v>
      </c>
      <c r="F262" s="335">
        <v>2.6</v>
      </c>
      <c r="G262" s="336"/>
      <c r="H262" s="335">
        <v>26.0</v>
      </c>
      <c r="I262" s="336"/>
      <c r="J262" s="335"/>
      <c r="K262" s="335">
        <v>20.0</v>
      </c>
      <c r="L262" s="335">
        <v>20.0</v>
      </c>
      <c r="M262" s="336"/>
      <c r="N262" s="336"/>
      <c r="O262" s="335">
        <v>1.0</v>
      </c>
      <c r="P262" s="336"/>
      <c r="Q262" s="336"/>
      <c r="R262" s="346" t="s">
        <v>660</v>
      </c>
      <c r="S262" s="336"/>
      <c r="T262" s="347"/>
      <c r="U262" s="336"/>
      <c r="V262" s="348"/>
      <c r="W262" s="348"/>
      <c r="X262" s="340"/>
      <c r="Y262" s="340"/>
      <c r="Z262" s="340"/>
    </row>
    <row r="263">
      <c r="A263" s="345"/>
      <c r="B263" s="334" t="s">
        <v>1060</v>
      </c>
      <c r="C263" s="335" t="s">
        <v>1025</v>
      </c>
      <c r="D263" s="289">
        <f>ROUND((E263*'Pawn Weights'!$K$17)+(G263*'Pawn Weights'!$K$4)+(H263*'Pawn Weights'!$K$5)+(I263*'Pawn Weights'!$K$6)+(J263*'Pawn Weights'!$K$9)+(K263*'Pawn Weights'!$K$7)+(M263*'Pawn Weights'!$K$10)+(N263*'Pawn Weights'!$K$3)+(O263*'Pawn Weights'!$K$12)+(P263*'Pawn Weights'!$K$13)+(Q263*'Pawn Weights'!$K$14)+(F263*'Pawn Weights'!$K$18)+(S263*'Pawn Weights'!$K$8), 2)</f>
        <v>369.71</v>
      </c>
      <c r="E263" s="335">
        <v>96.7</v>
      </c>
      <c r="F263" s="335">
        <v>1.5</v>
      </c>
      <c r="G263" s="335">
        <v>21.0</v>
      </c>
      <c r="H263" s="335">
        <v>40.0</v>
      </c>
      <c r="I263" s="336"/>
      <c r="J263" s="335"/>
      <c r="K263" s="336"/>
      <c r="L263" s="335">
        <v>30.0</v>
      </c>
      <c r="M263" s="336"/>
      <c r="N263" s="336"/>
      <c r="O263" s="336"/>
      <c r="P263" s="336"/>
      <c r="Q263" s="336"/>
      <c r="R263" s="337"/>
      <c r="S263" s="336"/>
      <c r="T263" s="347"/>
      <c r="U263" s="336"/>
      <c r="V263" s="348"/>
      <c r="W263" s="348"/>
      <c r="X263" s="340"/>
      <c r="Y263" s="340"/>
      <c r="Z263" s="340"/>
    </row>
    <row r="264" ht="14.25" customHeight="1">
      <c r="A264" s="292" t="s">
        <v>627</v>
      </c>
      <c r="B264" s="288" t="s">
        <v>1061</v>
      </c>
      <c r="C264" s="326" t="s">
        <v>1062</v>
      </c>
      <c r="D264" s="289">
        <f>ROUND((E264*'Pawn Weights'!$K$17)+(G264*'Pawn Weights'!$K$4)+(H264*'Pawn Weights'!$K$5)+(I264*'Pawn Weights'!$K$6)+(J264*'Pawn Weights'!$K$9)+(K264*'Pawn Weights'!$K$7)+(M264*'Pawn Weights'!$K$10)+(N264*'Pawn Weights'!$K$3)+(O264*'Pawn Weights'!$K$12)+(P264*'Pawn Weights'!$K$13)+(Q264*'Pawn Weights'!$K$14)+(F264*'Pawn Weights'!$K$18)+(S264*'Pawn Weights'!$K$8), 2)</f>
        <v>363.94</v>
      </c>
      <c r="E264" s="326">
        <v>97.5</v>
      </c>
      <c r="F264" s="326">
        <v>1.6</v>
      </c>
      <c r="G264" s="326">
        <v>19.0</v>
      </c>
      <c r="H264" s="326"/>
      <c r="I264" s="326"/>
      <c r="J264" s="326"/>
      <c r="K264" s="326">
        <v>18.0</v>
      </c>
      <c r="L264" s="326">
        <v>28.0</v>
      </c>
      <c r="M264" s="326"/>
      <c r="N264" s="326"/>
      <c r="O264" s="326"/>
      <c r="P264" s="326"/>
      <c r="Q264" s="326"/>
      <c r="R264" s="327"/>
      <c r="S264" s="326"/>
      <c r="T264" s="328" t="s">
        <v>1063</v>
      </c>
      <c r="U264" s="326"/>
      <c r="V264" s="326"/>
      <c r="W264" s="329"/>
    </row>
    <row r="265">
      <c r="A265" s="349"/>
      <c r="B265" s="350" t="s">
        <v>1064</v>
      </c>
      <c r="C265" s="351"/>
      <c r="D265" s="351"/>
      <c r="E265" s="351"/>
      <c r="F265" s="351"/>
      <c r="G265" s="351"/>
      <c r="H265" s="351"/>
      <c r="I265" s="351"/>
      <c r="J265" s="351"/>
      <c r="K265" s="351"/>
      <c r="L265" s="351"/>
      <c r="M265" s="351"/>
      <c r="N265" s="351"/>
      <c r="O265" s="351"/>
      <c r="P265" s="351"/>
      <c r="Q265" s="351"/>
      <c r="R265" s="352"/>
      <c r="S265" s="351"/>
      <c r="T265" s="353"/>
      <c r="U265" s="351"/>
      <c r="V265" s="348"/>
      <c r="W265" s="348"/>
      <c r="X265" s="340"/>
      <c r="Y265" s="340"/>
      <c r="Z265" s="340"/>
    </row>
    <row r="266">
      <c r="A266" s="281"/>
      <c r="B266" s="354"/>
      <c r="C266" s="354"/>
      <c r="D266" s="354"/>
      <c r="E266" s="354"/>
      <c r="F266" s="354"/>
      <c r="G266" s="354"/>
      <c r="H266" s="354"/>
      <c r="I266" s="354"/>
      <c r="J266" s="354"/>
      <c r="K266" s="354"/>
      <c r="L266" s="354"/>
      <c r="M266" s="354"/>
      <c r="N266" s="354"/>
      <c r="O266" s="354"/>
      <c r="P266" s="354"/>
      <c r="Q266" s="354"/>
      <c r="R266" s="355"/>
      <c r="S266" s="354"/>
      <c r="T266" s="356"/>
      <c r="U266" s="354"/>
      <c r="V266" s="281"/>
      <c r="W266" s="281"/>
      <c r="X266" s="304"/>
      <c r="Y266" s="304"/>
      <c r="Z266" s="304"/>
    </row>
    <row r="267">
      <c r="A267" s="333"/>
      <c r="B267" s="354"/>
      <c r="C267" s="354"/>
      <c r="D267" s="354"/>
      <c r="E267" s="354"/>
      <c r="F267" s="354"/>
      <c r="G267" s="354"/>
      <c r="H267" s="354"/>
      <c r="I267" s="354"/>
      <c r="J267" s="354"/>
      <c r="K267" s="354"/>
      <c r="L267" s="354"/>
      <c r="M267" s="354"/>
      <c r="N267" s="354"/>
      <c r="O267" s="354"/>
      <c r="P267" s="354"/>
      <c r="Q267" s="354"/>
      <c r="R267" s="355"/>
      <c r="S267" s="354"/>
      <c r="T267" s="356"/>
      <c r="U267" s="354"/>
      <c r="V267" s="357"/>
      <c r="W267" s="357"/>
      <c r="X267" s="304"/>
      <c r="Y267" s="304"/>
      <c r="Z267" s="304"/>
    </row>
    <row r="268">
      <c r="A268" s="333"/>
      <c r="B268" s="354"/>
      <c r="C268" s="354"/>
      <c r="D268" s="354"/>
      <c r="E268" s="354"/>
      <c r="F268" s="354"/>
      <c r="G268" s="354"/>
      <c r="H268" s="354"/>
      <c r="I268" s="354"/>
      <c r="J268" s="354"/>
      <c r="K268" s="354"/>
      <c r="L268" s="354"/>
      <c r="M268" s="354"/>
      <c r="N268" s="354"/>
      <c r="O268" s="354"/>
      <c r="P268" s="354"/>
      <c r="Q268" s="354"/>
      <c r="R268" s="355"/>
      <c r="S268" s="354"/>
      <c r="T268" s="356"/>
      <c r="U268" s="354"/>
      <c r="V268" s="357"/>
      <c r="W268" s="357"/>
      <c r="X268" s="304"/>
      <c r="Y268" s="304"/>
      <c r="Z268" s="304"/>
    </row>
    <row r="269">
      <c r="A269" s="345"/>
      <c r="B269" s="354"/>
      <c r="C269" s="354"/>
      <c r="D269" s="354"/>
      <c r="E269" s="354"/>
      <c r="F269" s="354"/>
      <c r="G269" s="354"/>
      <c r="H269" s="354"/>
      <c r="I269" s="354"/>
      <c r="J269" s="354"/>
      <c r="K269" s="354"/>
      <c r="L269" s="354"/>
      <c r="M269" s="354"/>
      <c r="N269" s="354"/>
      <c r="O269" s="354"/>
      <c r="P269" s="354"/>
      <c r="Q269" s="354"/>
      <c r="R269" s="355"/>
      <c r="S269" s="354"/>
      <c r="T269" s="356"/>
      <c r="U269" s="354"/>
      <c r="V269" s="281"/>
      <c r="W269" s="281"/>
      <c r="X269" s="304"/>
      <c r="Y269" s="304"/>
      <c r="Z269" s="304"/>
    </row>
    <row r="270">
      <c r="A270" s="345"/>
      <c r="B270" s="354"/>
      <c r="C270" s="354"/>
      <c r="D270" s="354"/>
      <c r="E270" s="354"/>
      <c r="F270" s="354"/>
      <c r="G270" s="354"/>
      <c r="H270" s="354"/>
      <c r="I270" s="354"/>
      <c r="J270" s="354"/>
      <c r="K270" s="354"/>
      <c r="L270" s="354"/>
      <c r="M270" s="354"/>
      <c r="N270" s="354"/>
      <c r="O270" s="354"/>
      <c r="P270" s="354"/>
      <c r="Q270" s="354"/>
      <c r="R270" s="355"/>
      <c r="S270" s="354"/>
      <c r="T270" s="356"/>
      <c r="U270" s="354"/>
      <c r="V270" s="281"/>
      <c r="W270" s="281"/>
      <c r="X270" s="304"/>
      <c r="Y270" s="304"/>
      <c r="Z270" s="304"/>
    </row>
    <row r="271">
      <c r="A271" s="345"/>
      <c r="B271" s="354"/>
      <c r="C271" s="354"/>
      <c r="D271" s="354"/>
      <c r="E271" s="354"/>
      <c r="F271" s="354"/>
      <c r="G271" s="354"/>
      <c r="H271" s="354"/>
      <c r="I271" s="354"/>
      <c r="J271" s="354"/>
      <c r="K271" s="354"/>
      <c r="L271" s="354"/>
      <c r="M271" s="354"/>
      <c r="N271" s="354"/>
      <c r="O271" s="354"/>
      <c r="P271" s="354"/>
      <c r="Q271" s="354"/>
      <c r="R271" s="355"/>
      <c r="S271" s="354"/>
      <c r="T271" s="355"/>
      <c r="U271" s="354"/>
      <c r="V271" s="281"/>
      <c r="W271" s="281"/>
      <c r="X271" s="304"/>
      <c r="Y271" s="304"/>
      <c r="Z271" s="304"/>
    </row>
    <row r="272">
      <c r="A272" s="345"/>
      <c r="B272" s="281"/>
      <c r="C272" s="281"/>
      <c r="D272" s="281"/>
      <c r="E272" s="281"/>
      <c r="F272" s="281"/>
      <c r="G272" s="354"/>
      <c r="H272" s="281"/>
      <c r="I272" s="281"/>
      <c r="J272" s="281"/>
      <c r="K272" s="281"/>
      <c r="L272" s="281"/>
      <c r="M272" s="281"/>
      <c r="N272" s="281"/>
      <c r="O272" s="281"/>
      <c r="P272" s="281"/>
      <c r="Q272" s="281"/>
      <c r="R272" s="282"/>
      <c r="S272" s="281"/>
      <c r="T272" s="282"/>
      <c r="U272" s="281"/>
      <c r="V272" s="281"/>
      <c r="W272" s="281"/>
      <c r="X272" s="304"/>
      <c r="Y272" s="304"/>
      <c r="Z272" s="304"/>
    </row>
    <row r="273">
      <c r="A273" s="345"/>
      <c r="B273" s="281"/>
      <c r="C273" s="281"/>
      <c r="D273" s="281"/>
      <c r="E273" s="281"/>
      <c r="F273" s="281"/>
      <c r="G273" s="354"/>
      <c r="H273" s="281"/>
      <c r="I273" s="281"/>
      <c r="J273" s="281"/>
      <c r="K273" s="281"/>
      <c r="L273" s="281"/>
      <c r="M273" s="281"/>
      <c r="N273" s="281"/>
      <c r="O273" s="281"/>
      <c r="P273" s="281"/>
      <c r="Q273" s="281"/>
      <c r="R273" s="282"/>
      <c r="S273" s="281"/>
      <c r="T273" s="282"/>
      <c r="U273" s="281"/>
      <c r="V273" s="281"/>
      <c r="W273" s="281"/>
      <c r="X273" s="304"/>
      <c r="Y273" s="304"/>
      <c r="Z273" s="304"/>
    </row>
    <row r="274">
      <c r="A274" s="345"/>
      <c r="B274" s="281"/>
      <c r="C274" s="281"/>
      <c r="D274" s="281"/>
      <c r="E274" s="281"/>
      <c r="F274" s="281"/>
      <c r="G274" s="354"/>
      <c r="H274" s="281"/>
      <c r="I274" s="281"/>
      <c r="J274" s="281"/>
      <c r="K274" s="281"/>
      <c r="L274" s="281"/>
      <c r="M274" s="281"/>
      <c r="N274" s="281"/>
      <c r="O274" s="281"/>
      <c r="P274" s="281"/>
      <c r="Q274" s="281"/>
      <c r="R274" s="282"/>
      <c r="S274" s="281"/>
      <c r="T274" s="282"/>
      <c r="U274" s="281"/>
      <c r="V274" s="281"/>
      <c r="W274" s="281"/>
      <c r="X274" s="304"/>
      <c r="Y274" s="304"/>
      <c r="Z274" s="304"/>
    </row>
    <row r="275">
      <c r="A275" s="345"/>
      <c r="B275" s="281"/>
      <c r="C275" s="281"/>
      <c r="D275" s="281"/>
      <c r="E275" s="281"/>
      <c r="F275" s="281"/>
      <c r="G275" s="354"/>
      <c r="H275" s="281"/>
      <c r="I275" s="281"/>
      <c r="J275" s="281"/>
      <c r="K275" s="281"/>
      <c r="L275" s="281"/>
      <c r="M275" s="281"/>
      <c r="N275" s="281"/>
      <c r="O275" s="281"/>
      <c r="P275" s="281"/>
      <c r="Q275" s="281"/>
      <c r="R275" s="282"/>
      <c r="S275" s="281"/>
      <c r="T275" s="282"/>
      <c r="U275" s="281"/>
      <c r="V275" s="281"/>
      <c r="W275" s="281"/>
      <c r="X275" s="304"/>
      <c r="Y275" s="304"/>
      <c r="Z275" s="304"/>
    </row>
    <row r="276">
      <c r="A276" s="345"/>
      <c r="B276" s="281"/>
      <c r="C276" s="281"/>
      <c r="D276" s="281"/>
      <c r="E276" s="281"/>
      <c r="F276" s="281"/>
      <c r="G276" s="354"/>
      <c r="H276" s="281"/>
      <c r="I276" s="281"/>
      <c r="J276" s="281"/>
      <c r="K276" s="281"/>
      <c r="L276" s="281"/>
      <c r="M276" s="281"/>
      <c r="N276" s="281"/>
      <c r="O276" s="281"/>
      <c r="P276" s="281"/>
      <c r="Q276" s="281"/>
      <c r="R276" s="282"/>
      <c r="S276" s="281"/>
      <c r="T276" s="282"/>
      <c r="U276" s="281"/>
      <c r="V276" s="281"/>
      <c r="W276" s="281"/>
      <c r="X276" s="304"/>
      <c r="Y276" s="304"/>
      <c r="Z276" s="304"/>
    </row>
    <row r="277">
      <c r="A277" s="345"/>
      <c r="B277" s="281"/>
      <c r="C277" s="281"/>
      <c r="D277" s="281"/>
      <c r="E277" s="281"/>
      <c r="F277" s="281"/>
      <c r="G277" s="354"/>
      <c r="H277" s="281"/>
      <c r="I277" s="281"/>
      <c r="J277" s="281"/>
      <c r="K277" s="281"/>
      <c r="L277" s="281"/>
      <c r="M277" s="281"/>
      <c r="N277" s="281"/>
      <c r="O277" s="281"/>
      <c r="P277" s="281"/>
      <c r="Q277" s="281"/>
      <c r="R277" s="282"/>
      <c r="S277" s="281"/>
      <c r="T277" s="282"/>
      <c r="U277" s="281"/>
      <c r="V277" s="281"/>
      <c r="W277" s="281"/>
      <c r="X277" s="304"/>
      <c r="Y277" s="304"/>
      <c r="Z277" s="304"/>
    </row>
    <row r="278">
      <c r="A278" s="345"/>
      <c r="B278" s="281"/>
      <c r="C278" s="281"/>
      <c r="D278" s="281"/>
      <c r="E278" s="281"/>
      <c r="F278" s="281"/>
      <c r="G278" s="354"/>
      <c r="H278" s="281"/>
      <c r="I278" s="281"/>
      <c r="J278" s="281"/>
      <c r="K278" s="281"/>
      <c r="L278" s="281"/>
      <c r="M278" s="281"/>
      <c r="N278" s="281"/>
      <c r="O278" s="281"/>
      <c r="P278" s="281"/>
      <c r="Q278" s="281"/>
      <c r="R278" s="282"/>
      <c r="S278" s="281"/>
      <c r="T278" s="282"/>
      <c r="U278" s="281"/>
      <c r="V278" s="281"/>
      <c r="W278" s="281"/>
      <c r="X278" s="304"/>
      <c r="Y278" s="304"/>
      <c r="Z278" s="304"/>
    </row>
    <row r="279">
      <c r="A279" s="345"/>
      <c r="B279" s="281"/>
      <c r="C279" s="281"/>
      <c r="D279" s="281"/>
      <c r="E279" s="281"/>
      <c r="F279" s="281"/>
      <c r="G279" s="354"/>
      <c r="H279" s="281"/>
      <c r="I279" s="281"/>
      <c r="J279" s="281"/>
      <c r="K279" s="281"/>
      <c r="L279" s="281"/>
      <c r="M279" s="281"/>
      <c r="N279" s="281"/>
      <c r="O279" s="281"/>
      <c r="P279" s="281"/>
      <c r="Q279" s="281"/>
      <c r="R279" s="282"/>
      <c r="S279" s="281"/>
      <c r="T279" s="282"/>
      <c r="U279" s="281"/>
      <c r="V279" s="281"/>
      <c r="W279" s="281"/>
      <c r="X279" s="304"/>
      <c r="Y279" s="304"/>
      <c r="Z279" s="304"/>
    </row>
    <row r="280">
      <c r="A280" s="345"/>
      <c r="B280" s="281"/>
      <c r="C280" s="281"/>
      <c r="D280" s="281"/>
      <c r="E280" s="281"/>
      <c r="F280" s="281"/>
      <c r="G280" s="354"/>
      <c r="H280" s="281"/>
      <c r="I280" s="281"/>
      <c r="J280" s="281"/>
      <c r="K280" s="281"/>
      <c r="L280" s="281"/>
      <c r="M280" s="281"/>
      <c r="N280" s="281"/>
      <c r="O280" s="281"/>
      <c r="P280" s="281"/>
      <c r="Q280" s="281"/>
      <c r="R280" s="282"/>
      <c r="S280" s="281"/>
      <c r="T280" s="282"/>
      <c r="U280" s="281"/>
      <c r="V280" s="281"/>
      <c r="W280" s="281"/>
      <c r="X280" s="304"/>
      <c r="Y280" s="304"/>
      <c r="Z280" s="304"/>
    </row>
    <row r="281">
      <c r="A281" s="345"/>
      <c r="B281" s="281"/>
      <c r="C281" s="281"/>
      <c r="D281" s="281"/>
      <c r="E281" s="281"/>
      <c r="F281" s="281"/>
      <c r="G281" s="329"/>
      <c r="H281" s="281"/>
      <c r="I281" s="281"/>
      <c r="J281" s="281"/>
      <c r="K281" s="281"/>
      <c r="L281" s="281"/>
      <c r="M281" s="281"/>
      <c r="N281" s="281"/>
      <c r="O281" s="281"/>
      <c r="P281" s="281"/>
      <c r="Q281" s="281"/>
      <c r="R281" s="282"/>
      <c r="S281" s="281"/>
      <c r="T281" s="282"/>
      <c r="U281" s="281"/>
      <c r="V281" s="281"/>
      <c r="W281" s="281"/>
      <c r="X281" s="304"/>
      <c r="Y281" s="304"/>
      <c r="Z281" s="304"/>
    </row>
    <row r="282">
      <c r="A282" s="345"/>
      <c r="B282" s="281"/>
      <c r="C282" s="281"/>
      <c r="D282" s="281"/>
      <c r="E282" s="281"/>
      <c r="F282" s="281"/>
      <c r="G282" s="329"/>
      <c r="H282" s="281"/>
      <c r="I282" s="281"/>
      <c r="J282" s="281"/>
      <c r="K282" s="281"/>
      <c r="L282" s="281"/>
      <c r="M282" s="281"/>
      <c r="N282" s="281"/>
      <c r="O282" s="281"/>
      <c r="P282" s="281"/>
      <c r="Q282" s="281"/>
      <c r="R282" s="282"/>
      <c r="S282" s="281"/>
      <c r="T282" s="282"/>
      <c r="U282" s="281"/>
      <c r="V282" s="281"/>
      <c r="W282" s="281"/>
      <c r="X282" s="304"/>
      <c r="Y282" s="304"/>
      <c r="Z282" s="304"/>
    </row>
    <row r="283">
      <c r="A283" s="345"/>
      <c r="B283" s="281"/>
      <c r="C283" s="281"/>
      <c r="D283" s="281"/>
      <c r="E283" s="281"/>
      <c r="F283" s="281"/>
      <c r="G283" s="329"/>
      <c r="H283" s="281"/>
      <c r="I283" s="281"/>
      <c r="J283" s="281"/>
      <c r="K283" s="281"/>
      <c r="L283" s="281"/>
      <c r="M283" s="281"/>
      <c r="N283" s="281"/>
      <c r="O283" s="281"/>
      <c r="P283" s="281"/>
      <c r="Q283" s="281"/>
      <c r="R283" s="282"/>
      <c r="S283" s="281"/>
      <c r="T283" s="282"/>
      <c r="U283" s="281"/>
      <c r="V283" s="281"/>
      <c r="W283" s="281"/>
      <c r="X283" s="304"/>
      <c r="Y283" s="304"/>
      <c r="Z283" s="304"/>
    </row>
    <row r="284">
      <c r="A284" s="345"/>
      <c r="B284" s="281"/>
      <c r="C284" s="281"/>
      <c r="D284" s="281"/>
      <c r="E284" s="281"/>
      <c r="F284" s="281"/>
      <c r="G284" s="326"/>
      <c r="H284" s="281"/>
      <c r="I284" s="281"/>
      <c r="J284" s="281"/>
      <c r="K284" s="281"/>
      <c r="L284" s="281"/>
      <c r="M284" s="281"/>
      <c r="N284" s="281"/>
      <c r="O284" s="281"/>
      <c r="P284" s="281"/>
      <c r="Q284" s="281"/>
      <c r="R284" s="282"/>
      <c r="S284" s="281"/>
      <c r="T284" s="282"/>
      <c r="U284" s="281"/>
      <c r="V284" s="281"/>
      <c r="W284" s="281"/>
      <c r="X284" s="304"/>
      <c r="Y284" s="304"/>
      <c r="Z284" s="304"/>
    </row>
    <row r="285">
      <c r="A285" s="345"/>
      <c r="B285" s="281"/>
      <c r="C285" s="281"/>
      <c r="D285" s="281"/>
      <c r="E285" s="281"/>
      <c r="F285" s="281"/>
      <c r="G285" s="326"/>
      <c r="H285" s="281"/>
      <c r="I285" s="281"/>
      <c r="J285" s="281"/>
      <c r="K285" s="281"/>
      <c r="L285" s="281"/>
      <c r="M285" s="281"/>
      <c r="N285" s="281"/>
      <c r="O285" s="281"/>
      <c r="P285" s="281"/>
      <c r="Q285" s="281"/>
      <c r="R285" s="282"/>
      <c r="S285" s="281"/>
      <c r="T285" s="282"/>
      <c r="U285" s="281"/>
      <c r="V285" s="281"/>
      <c r="W285" s="281"/>
      <c r="X285" s="304"/>
      <c r="Y285" s="304"/>
      <c r="Z285" s="304"/>
    </row>
    <row r="286">
      <c r="A286" s="345"/>
      <c r="B286" s="281"/>
      <c r="C286" s="281"/>
      <c r="D286" s="281"/>
      <c r="E286" s="281"/>
      <c r="F286" s="281"/>
      <c r="G286" s="326"/>
      <c r="H286" s="281"/>
      <c r="I286" s="281"/>
      <c r="J286" s="281"/>
      <c r="K286" s="281"/>
      <c r="L286" s="281"/>
      <c r="M286" s="281"/>
      <c r="N286" s="281"/>
      <c r="O286" s="281"/>
      <c r="P286" s="281"/>
      <c r="Q286" s="281"/>
      <c r="R286" s="282"/>
      <c r="S286" s="281"/>
      <c r="T286" s="282"/>
      <c r="U286" s="281"/>
      <c r="V286" s="281"/>
      <c r="W286" s="281"/>
      <c r="X286" s="304"/>
      <c r="Y286" s="304"/>
      <c r="Z286" s="304"/>
    </row>
    <row r="287">
      <c r="A287" s="345"/>
      <c r="B287" s="281"/>
      <c r="C287" s="281"/>
      <c r="D287" s="281"/>
      <c r="E287" s="281"/>
      <c r="F287" s="281"/>
      <c r="G287" s="326"/>
      <c r="H287" s="281"/>
      <c r="I287" s="281"/>
      <c r="J287" s="281"/>
      <c r="K287" s="281"/>
      <c r="L287" s="281"/>
      <c r="M287" s="281"/>
      <c r="N287" s="281"/>
      <c r="O287" s="281"/>
      <c r="P287" s="281"/>
      <c r="Q287" s="281"/>
      <c r="R287" s="282"/>
      <c r="S287" s="281"/>
      <c r="T287" s="282"/>
      <c r="U287" s="281"/>
      <c r="V287" s="281"/>
      <c r="W287" s="281"/>
      <c r="X287" s="304"/>
      <c r="Y287" s="304"/>
      <c r="Z287" s="304"/>
    </row>
    <row r="288">
      <c r="A288" s="345"/>
      <c r="B288" s="281"/>
      <c r="C288" s="281"/>
      <c r="D288" s="281"/>
      <c r="E288" s="281"/>
      <c r="F288" s="281"/>
      <c r="G288" s="281"/>
      <c r="H288" s="281"/>
      <c r="I288" s="281"/>
      <c r="J288" s="281"/>
      <c r="K288" s="281"/>
      <c r="L288" s="281"/>
      <c r="M288" s="281"/>
      <c r="N288" s="281"/>
      <c r="O288" s="281"/>
      <c r="P288" s="281"/>
      <c r="Q288" s="281"/>
      <c r="R288" s="282"/>
      <c r="S288" s="281"/>
      <c r="T288" s="282"/>
      <c r="U288" s="281"/>
      <c r="V288" s="281"/>
      <c r="W288" s="281"/>
      <c r="X288" s="304"/>
      <c r="Y288" s="304"/>
      <c r="Z288" s="304"/>
    </row>
    <row r="289">
      <c r="A289" s="345"/>
      <c r="B289" s="281"/>
      <c r="C289" s="281"/>
      <c r="D289" s="281"/>
      <c r="E289" s="281"/>
      <c r="F289" s="281"/>
      <c r="G289" s="281"/>
      <c r="H289" s="281"/>
      <c r="I289" s="281"/>
      <c r="J289" s="281"/>
      <c r="K289" s="281"/>
      <c r="L289" s="281"/>
      <c r="M289" s="281"/>
      <c r="N289" s="281"/>
      <c r="O289" s="281"/>
      <c r="P289" s="281"/>
      <c r="Q289" s="281"/>
      <c r="R289" s="282"/>
      <c r="S289" s="281"/>
      <c r="T289" s="282"/>
      <c r="U289" s="281"/>
      <c r="V289" s="281"/>
      <c r="W289" s="281"/>
      <c r="X289" s="304"/>
      <c r="Y289" s="304"/>
      <c r="Z289" s="304"/>
    </row>
    <row r="290">
      <c r="A290" s="345"/>
      <c r="B290" s="281"/>
      <c r="C290" s="281"/>
      <c r="D290" s="281"/>
      <c r="E290" s="281"/>
      <c r="F290" s="281"/>
      <c r="G290" s="281"/>
      <c r="H290" s="281"/>
      <c r="I290" s="281"/>
      <c r="J290" s="281"/>
      <c r="K290" s="281"/>
      <c r="L290" s="281"/>
      <c r="M290" s="281"/>
      <c r="N290" s="281"/>
      <c r="O290" s="281"/>
      <c r="P290" s="281"/>
      <c r="Q290" s="281"/>
      <c r="R290" s="282"/>
      <c r="S290" s="281"/>
      <c r="T290" s="282"/>
      <c r="U290" s="281"/>
      <c r="V290" s="281"/>
      <c r="W290" s="281"/>
      <c r="X290" s="304"/>
      <c r="Y290" s="304"/>
      <c r="Z290" s="304"/>
    </row>
    <row r="291">
      <c r="A291" s="345"/>
      <c r="B291" s="281"/>
      <c r="C291" s="281"/>
      <c r="D291" s="281"/>
      <c r="E291" s="281"/>
      <c r="F291" s="281"/>
      <c r="G291" s="281"/>
      <c r="H291" s="281"/>
      <c r="I291" s="281"/>
      <c r="J291" s="281"/>
      <c r="K291" s="281"/>
      <c r="L291" s="281"/>
      <c r="M291" s="281"/>
      <c r="N291" s="281"/>
      <c r="O291" s="281"/>
      <c r="P291" s="281"/>
      <c r="Q291" s="281"/>
      <c r="R291" s="282"/>
      <c r="S291" s="281"/>
      <c r="T291" s="282"/>
      <c r="U291" s="281"/>
      <c r="V291" s="281"/>
      <c r="W291" s="281"/>
      <c r="X291" s="304"/>
      <c r="Y291" s="304"/>
      <c r="Z291" s="304"/>
    </row>
    <row r="292">
      <c r="A292" s="345"/>
      <c r="B292" s="281"/>
      <c r="C292" s="281"/>
      <c r="D292" s="281"/>
      <c r="E292" s="281"/>
      <c r="F292" s="281"/>
      <c r="G292" s="281"/>
      <c r="H292" s="281"/>
      <c r="I292" s="281"/>
      <c r="J292" s="281"/>
      <c r="K292" s="281"/>
      <c r="L292" s="281"/>
      <c r="M292" s="281"/>
      <c r="N292" s="281"/>
      <c r="O292" s="281"/>
      <c r="P292" s="281"/>
      <c r="Q292" s="281"/>
      <c r="R292" s="282"/>
      <c r="S292" s="281"/>
      <c r="T292" s="282"/>
      <c r="U292" s="281"/>
      <c r="V292" s="281"/>
      <c r="W292" s="281"/>
      <c r="X292" s="304"/>
      <c r="Y292" s="304"/>
      <c r="Z292" s="304"/>
    </row>
    <row r="293">
      <c r="A293" s="345"/>
      <c r="B293" s="281"/>
      <c r="C293" s="281"/>
      <c r="D293" s="281"/>
      <c r="E293" s="281"/>
      <c r="F293" s="281"/>
      <c r="G293" s="281"/>
      <c r="H293" s="281"/>
      <c r="I293" s="281"/>
      <c r="J293" s="281"/>
      <c r="K293" s="281"/>
      <c r="L293" s="281"/>
      <c r="M293" s="281"/>
      <c r="N293" s="281"/>
      <c r="O293" s="281"/>
      <c r="P293" s="281"/>
      <c r="Q293" s="281"/>
      <c r="R293" s="282"/>
      <c r="S293" s="281"/>
      <c r="T293" s="282"/>
      <c r="U293" s="281"/>
      <c r="V293" s="281"/>
      <c r="W293" s="281"/>
      <c r="X293" s="304"/>
      <c r="Y293" s="304"/>
      <c r="Z293" s="304"/>
    </row>
    <row r="294">
      <c r="A294" s="345"/>
      <c r="B294" s="281"/>
      <c r="C294" s="281"/>
      <c r="D294" s="281"/>
      <c r="E294" s="281"/>
      <c r="F294" s="281"/>
      <c r="G294" s="281"/>
      <c r="H294" s="281"/>
      <c r="I294" s="281"/>
      <c r="J294" s="281"/>
      <c r="K294" s="281"/>
      <c r="L294" s="281"/>
      <c r="M294" s="281"/>
      <c r="N294" s="281"/>
      <c r="O294" s="281"/>
      <c r="P294" s="281"/>
      <c r="Q294" s="281"/>
      <c r="R294" s="282"/>
      <c r="S294" s="281"/>
      <c r="T294" s="282"/>
      <c r="U294" s="281"/>
      <c r="V294" s="281"/>
      <c r="W294" s="281"/>
      <c r="X294" s="304"/>
      <c r="Y294" s="304"/>
      <c r="Z294" s="304"/>
    </row>
    <row r="295">
      <c r="A295" s="345"/>
      <c r="B295" s="281"/>
      <c r="C295" s="281"/>
      <c r="D295" s="281"/>
      <c r="E295" s="281"/>
      <c r="F295" s="281"/>
      <c r="G295" s="281"/>
      <c r="H295" s="281"/>
      <c r="I295" s="281"/>
      <c r="J295" s="281"/>
      <c r="K295" s="281"/>
      <c r="L295" s="281"/>
      <c r="M295" s="281"/>
      <c r="N295" s="281"/>
      <c r="O295" s="281"/>
      <c r="P295" s="281"/>
      <c r="Q295" s="281"/>
      <c r="R295" s="282"/>
      <c r="S295" s="281"/>
      <c r="T295" s="282"/>
      <c r="U295" s="281"/>
      <c r="V295" s="281"/>
      <c r="W295" s="281"/>
      <c r="X295" s="304"/>
      <c r="Y295" s="304"/>
      <c r="Z295" s="304"/>
    </row>
    <row r="296">
      <c r="A296" s="345"/>
      <c r="B296" s="281"/>
      <c r="C296" s="281"/>
      <c r="D296" s="281"/>
      <c r="E296" s="281"/>
      <c r="F296" s="281"/>
      <c r="G296" s="281"/>
      <c r="H296" s="281"/>
      <c r="I296" s="281"/>
      <c r="J296" s="281"/>
      <c r="K296" s="281"/>
      <c r="L296" s="281"/>
      <c r="M296" s="281"/>
      <c r="N296" s="281"/>
      <c r="O296" s="281"/>
      <c r="P296" s="281"/>
      <c r="Q296" s="281"/>
      <c r="R296" s="282"/>
      <c r="S296" s="281"/>
      <c r="T296" s="282"/>
      <c r="U296" s="281"/>
      <c r="V296" s="281"/>
      <c r="W296" s="281"/>
      <c r="X296" s="304"/>
      <c r="Y296" s="304"/>
      <c r="Z296" s="304"/>
    </row>
    <row r="297">
      <c r="A297" s="345"/>
      <c r="B297" s="281"/>
      <c r="C297" s="281"/>
      <c r="D297" s="281"/>
      <c r="E297" s="281"/>
      <c r="F297" s="281"/>
      <c r="G297" s="281"/>
      <c r="H297" s="281"/>
      <c r="I297" s="281"/>
      <c r="J297" s="281"/>
      <c r="K297" s="281"/>
      <c r="L297" s="281"/>
      <c r="M297" s="281"/>
      <c r="N297" s="281"/>
      <c r="O297" s="281"/>
      <c r="P297" s="281"/>
      <c r="Q297" s="281"/>
      <c r="R297" s="282"/>
      <c r="S297" s="281"/>
      <c r="T297" s="282"/>
      <c r="U297" s="281"/>
      <c r="V297" s="281"/>
      <c r="W297" s="281"/>
      <c r="X297" s="304"/>
      <c r="Y297" s="304"/>
      <c r="Z297" s="304"/>
    </row>
    <row r="298">
      <c r="A298" s="345"/>
      <c r="B298" s="281"/>
      <c r="C298" s="281"/>
      <c r="D298" s="281"/>
      <c r="E298" s="281"/>
      <c r="F298" s="281"/>
      <c r="G298" s="281"/>
      <c r="H298" s="281"/>
      <c r="I298" s="281"/>
      <c r="J298" s="281"/>
      <c r="K298" s="281"/>
      <c r="L298" s="281"/>
      <c r="M298" s="281"/>
      <c r="N298" s="281"/>
      <c r="O298" s="281"/>
      <c r="P298" s="281"/>
      <c r="Q298" s="281"/>
      <c r="R298" s="282"/>
      <c r="S298" s="281"/>
      <c r="T298" s="282"/>
      <c r="U298" s="281"/>
      <c r="V298" s="281"/>
      <c r="W298" s="281"/>
      <c r="X298" s="304"/>
      <c r="Y298" s="304"/>
      <c r="Z298" s="304"/>
    </row>
    <row r="299">
      <c r="A299" s="345"/>
      <c r="B299" s="281"/>
      <c r="C299" s="281"/>
      <c r="D299" s="281"/>
      <c r="E299" s="281"/>
      <c r="F299" s="281"/>
      <c r="G299" s="281"/>
      <c r="H299" s="281"/>
      <c r="I299" s="281"/>
      <c r="J299" s="281"/>
      <c r="K299" s="281"/>
      <c r="L299" s="281"/>
      <c r="M299" s="281"/>
      <c r="N299" s="281"/>
      <c r="O299" s="281"/>
      <c r="P299" s="281"/>
      <c r="Q299" s="281"/>
      <c r="R299" s="282"/>
      <c r="S299" s="281"/>
      <c r="T299" s="282"/>
      <c r="U299" s="281"/>
      <c r="V299" s="281"/>
      <c r="W299" s="281"/>
      <c r="X299" s="304"/>
      <c r="Y299" s="304"/>
      <c r="Z299" s="304"/>
    </row>
    <row r="300">
      <c r="A300" s="345"/>
      <c r="B300" s="281"/>
      <c r="C300" s="281"/>
      <c r="D300" s="281"/>
      <c r="E300" s="281"/>
      <c r="F300" s="281"/>
      <c r="G300" s="281"/>
      <c r="H300" s="281"/>
      <c r="I300" s="281"/>
      <c r="J300" s="281"/>
      <c r="K300" s="281"/>
      <c r="L300" s="281"/>
      <c r="M300" s="281"/>
      <c r="N300" s="281"/>
      <c r="O300" s="281"/>
      <c r="P300" s="281"/>
      <c r="Q300" s="281"/>
      <c r="R300" s="282"/>
      <c r="S300" s="281"/>
      <c r="T300" s="282"/>
      <c r="U300" s="281"/>
      <c r="V300" s="281"/>
      <c r="W300" s="281"/>
      <c r="X300" s="304"/>
      <c r="Y300" s="304"/>
      <c r="Z300" s="304"/>
    </row>
    <row r="301">
      <c r="A301" s="345"/>
      <c r="B301" s="281"/>
      <c r="C301" s="281"/>
      <c r="D301" s="281"/>
      <c r="E301" s="281"/>
      <c r="F301" s="281"/>
      <c r="G301" s="281"/>
      <c r="H301" s="281"/>
      <c r="I301" s="281"/>
      <c r="J301" s="281"/>
      <c r="K301" s="281"/>
      <c r="L301" s="281"/>
      <c r="M301" s="281"/>
      <c r="N301" s="281"/>
      <c r="O301" s="281"/>
      <c r="P301" s="281"/>
      <c r="Q301" s="281"/>
      <c r="R301" s="282"/>
      <c r="S301" s="281"/>
      <c r="T301" s="282"/>
      <c r="U301" s="281"/>
      <c r="V301" s="281"/>
      <c r="W301" s="281"/>
      <c r="X301" s="304"/>
      <c r="Y301" s="304"/>
      <c r="Z301" s="304"/>
    </row>
    <row r="302">
      <c r="A302" s="345"/>
      <c r="B302" s="281"/>
      <c r="C302" s="281"/>
      <c r="D302" s="281"/>
      <c r="E302" s="281"/>
      <c r="F302" s="281"/>
      <c r="G302" s="281"/>
      <c r="H302" s="281"/>
      <c r="I302" s="281"/>
      <c r="J302" s="281"/>
      <c r="K302" s="281"/>
      <c r="L302" s="281"/>
      <c r="M302" s="281"/>
      <c r="N302" s="281"/>
      <c r="O302" s="281"/>
      <c r="P302" s="281"/>
      <c r="Q302" s="281"/>
      <c r="R302" s="282"/>
      <c r="S302" s="281"/>
      <c r="T302" s="282"/>
      <c r="U302" s="281"/>
      <c r="V302" s="281"/>
      <c r="W302" s="281"/>
      <c r="X302" s="304"/>
      <c r="Y302" s="304"/>
      <c r="Z302" s="304"/>
    </row>
    <row r="303">
      <c r="A303" s="345"/>
      <c r="B303" s="281"/>
      <c r="C303" s="281"/>
      <c r="D303" s="281"/>
      <c r="E303" s="281"/>
      <c r="F303" s="281"/>
      <c r="G303" s="281"/>
      <c r="H303" s="281"/>
      <c r="I303" s="281"/>
      <c r="J303" s="281"/>
      <c r="K303" s="281"/>
      <c r="L303" s="281"/>
      <c r="M303" s="281"/>
      <c r="N303" s="281"/>
      <c r="O303" s="281"/>
      <c r="P303" s="281"/>
      <c r="Q303" s="281"/>
      <c r="R303" s="282"/>
      <c r="S303" s="281"/>
      <c r="T303" s="282"/>
      <c r="U303" s="281"/>
      <c r="V303" s="281"/>
      <c r="W303" s="281"/>
      <c r="X303" s="304"/>
      <c r="Y303" s="304"/>
      <c r="Z303" s="304"/>
    </row>
    <row r="304">
      <c r="A304" s="345"/>
      <c r="B304" s="281"/>
      <c r="C304" s="281"/>
      <c r="D304" s="281"/>
      <c r="E304" s="281"/>
      <c r="F304" s="281"/>
      <c r="G304" s="281"/>
      <c r="H304" s="281"/>
      <c r="I304" s="281"/>
      <c r="J304" s="281"/>
      <c r="K304" s="281"/>
      <c r="L304" s="281"/>
      <c r="M304" s="281"/>
      <c r="N304" s="281"/>
      <c r="O304" s="281"/>
      <c r="P304" s="281"/>
      <c r="Q304" s="281"/>
      <c r="R304" s="282"/>
      <c r="S304" s="281"/>
      <c r="T304" s="282"/>
      <c r="U304" s="281"/>
      <c r="V304" s="281"/>
      <c r="W304" s="281"/>
      <c r="X304" s="304"/>
      <c r="Y304" s="304"/>
      <c r="Z304" s="304"/>
    </row>
    <row r="305">
      <c r="A305" s="345"/>
      <c r="B305" s="281"/>
      <c r="C305" s="281"/>
      <c r="D305" s="281"/>
      <c r="E305" s="281"/>
      <c r="F305" s="281"/>
      <c r="G305" s="281"/>
      <c r="H305" s="281"/>
      <c r="I305" s="281"/>
      <c r="J305" s="281"/>
      <c r="K305" s="281"/>
      <c r="L305" s="281"/>
      <c r="M305" s="281"/>
      <c r="N305" s="281"/>
      <c r="O305" s="281"/>
      <c r="P305" s="281"/>
      <c r="Q305" s="281"/>
      <c r="R305" s="282"/>
      <c r="S305" s="281"/>
      <c r="T305" s="282"/>
      <c r="U305" s="281"/>
      <c r="V305" s="281"/>
      <c r="W305" s="281"/>
      <c r="X305" s="304"/>
      <c r="Y305" s="304"/>
      <c r="Z305" s="304"/>
    </row>
    <row r="306">
      <c r="A306" s="345"/>
      <c r="B306" s="281"/>
      <c r="C306" s="281"/>
      <c r="D306" s="281"/>
      <c r="E306" s="281"/>
      <c r="F306" s="281"/>
      <c r="G306" s="281"/>
      <c r="H306" s="281"/>
      <c r="I306" s="281"/>
      <c r="J306" s="281"/>
      <c r="K306" s="281"/>
      <c r="L306" s="281"/>
      <c r="M306" s="281"/>
      <c r="N306" s="281"/>
      <c r="O306" s="281"/>
      <c r="P306" s="281"/>
      <c r="Q306" s="281"/>
      <c r="R306" s="282"/>
      <c r="S306" s="281"/>
      <c r="T306" s="282"/>
      <c r="U306" s="281"/>
      <c r="V306" s="281"/>
      <c r="W306" s="281"/>
      <c r="X306" s="304"/>
      <c r="Y306" s="304"/>
      <c r="Z306" s="304"/>
    </row>
    <row r="307">
      <c r="A307" s="345"/>
      <c r="B307" s="281"/>
      <c r="C307" s="281"/>
      <c r="D307" s="281"/>
      <c r="E307" s="281"/>
      <c r="F307" s="281"/>
      <c r="G307" s="281"/>
      <c r="H307" s="281"/>
      <c r="I307" s="281"/>
      <c r="J307" s="281"/>
      <c r="K307" s="281"/>
      <c r="L307" s="281"/>
      <c r="M307" s="281"/>
      <c r="N307" s="281"/>
      <c r="O307" s="281"/>
      <c r="P307" s="281"/>
      <c r="Q307" s="281"/>
      <c r="R307" s="282"/>
      <c r="S307" s="281"/>
      <c r="T307" s="282"/>
      <c r="U307" s="281"/>
      <c r="V307" s="281"/>
      <c r="W307" s="281"/>
      <c r="X307" s="304"/>
      <c r="Y307" s="304"/>
      <c r="Z307" s="304"/>
    </row>
    <row r="308">
      <c r="A308" s="345"/>
      <c r="B308" s="281"/>
      <c r="C308" s="281"/>
      <c r="D308" s="281"/>
      <c r="E308" s="281"/>
      <c r="F308" s="281"/>
      <c r="G308" s="281"/>
      <c r="H308" s="281"/>
      <c r="I308" s="281"/>
      <c r="J308" s="281"/>
      <c r="K308" s="281"/>
      <c r="L308" s="281"/>
      <c r="M308" s="281"/>
      <c r="N308" s="281"/>
      <c r="O308" s="281"/>
      <c r="P308" s="281"/>
      <c r="Q308" s="281"/>
      <c r="R308" s="282"/>
      <c r="S308" s="281"/>
      <c r="T308" s="282"/>
      <c r="U308" s="281"/>
      <c r="V308" s="281"/>
      <c r="W308" s="281"/>
      <c r="X308" s="304"/>
      <c r="Y308" s="304"/>
      <c r="Z308" s="304"/>
    </row>
    <row r="309">
      <c r="A309" s="345"/>
      <c r="B309" s="281"/>
      <c r="C309" s="281"/>
      <c r="D309" s="281"/>
      <c r="E309" s="281"/>
      <c r="F309" s="281"/>
      <c r="G309" s="281"/>
      <c r="H309" s="281"/>
      <c r="I309" s="281"/>
      <c r="J309" s="281"/>
      <c r="K309" s="281"/>
      <c r="L309" s="281"/>
      <c r="M309" s="281"/>
      <c r="N309" s="281"/>
      <c r="O309" s="281"/>
      <c r="P309" s="281"/>
      <c r="Q309" s="281"/>
      <c r="R309" s="282"/>
      <c r="S309" s="281"/>
      <c r="T309" s="282"/>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2"/>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1"/>
      <c r="S311" s="281"/>
      <c r="T311" s="282"/>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1"/>
      <c r="S312" s="281"/>
      <c r="T312" s="282"/>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1"/>
      <c r="S313" s="281"/>
      <c r="T313" s="282"/>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1"/>
      <c r="S314" s="281"/>
      <c r="T314" s="282"/>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1"/>
      <c r="S315" s="281"/>
      <c r="T315" s="282"/>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1"/>
      <c r="S316" s="281"/>
      <c r="T316" s="282"/>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1"/>
      <c r="S317" s="281"/>
      <c r="T317" s="282"/>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1"/>
      <c r="S318" s="281"/>
      <c r="T318" s="282"/>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1"/>
      <c r="S319" s="281"/>
      <c r="T319" s="282"/>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1"/>
      <c r="S320" s="281"/>
      <c r="T320" s="282"/>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1"/>
      <c r="S321" s="281"/>
      <c r="T321" s="282"/>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1"/>
      <c r="S322" s="281"/>
      <c r="T322" s="282"/>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1"/>
      <c r="S323" s="281"/>
      <c r="T323" s="282"/>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1"/>
      <c r="S324" s="281"/>
      <c r="T324" s="282"/>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1"/>
      <c r="S325" s="281"/>
      <c r="T325" s="282"/>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1"/>
      <c r="S326" s="281"/>
      <c r="T326" s="282"/>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1"/>
      <c r="S327" s="281"/>
      <c r="T327" s="282"/>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1"/>
      <c r="S328" s="281"/>
      <c r="T328" s="282"/>
      <c r="U328" s="281"/>
      <c r="V328" s="281"/>
      <c r="W328" s="281"/>
      <c r="X328" s="304"/>
      <c r="Y328" s="304"/>
      <c r="Z328" s="304"/>
    </row>
  </sheetData>
  <conditionalFormatting sqref="D1">
    <cfRule type="notContainsBlanks" dxfId="0" priority="1">
      <formula>LEN(TRIM(D1))&gt;0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0.57"/>
    <col customWidth="1" min="21" max="21" width="14.86"/>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24" t="s">
        <v>615</v>
      </c>
    </row>
    <row r="2" ht="20.25" customHeight="1">
      <c r="A2" s="278"/>
      <c r="B2" s="279" t="s">
        <v>1065</v>
      </c>
      <c r="C2" s="280"/>
      <c r="D2" s="280"/>
      <c r="E2" s="281"/>
      <c r="F2" s="281"/>
      <c r="G2" s="281"/>
      <c r="H2" s="281"/>
      <c r="I2" s="281"/>
      <c r="J2" s="281"/>
      <c r="K2" s="281"/>
      <c r="L2" s="281"/>
      <c r="M2" s="281"/>
      <c r="N2" s="280"/>
      <c r="O2" s="280"/>
      <c r="P2" s="280"/>
      <c r="Q2" s="280"/>
      <c r="R2" s="282"/>
      <c r="S2" s="281"/>
      <c r="T2" s="285"/>
    </row>
    <row r="3">
      <c r="A3" s="272"/>
      <c r="B3" s="284" t="s">
        <v>1066</v>
      </c>
      <c r="C3" s="280"/>
      <c r="D3" s="280"/>
      <c r="E3" s="281"/>
      <c r="F3" s="281"/>
      <c r="G3" s="281"/>
      <c r="H3" s="281"/>
      <c r="I3" s="281"/>
      <c r="J3" s="281"/>
      <c r="K3" s="281"/>
      <c r="L3" s="281"/>
      <c r="M3" s="281"/>
      <c r="N3" s="281"/>
      <c r="O3" s="281"/>
      <c r="P3" s="281"/>
      <c r="Q3" s="281"/>
      <c r="R3" s="282"/>
      <c r="S3" s="281"/>
      <c r="T3" s="285"/>
    </row>
    <row r="4">
      <c r="A4" s="286" t="s">
        <v>619</v>
      </c>
      <c r="B4" s="358" t="s">
        <v>1067</v>
      </c>
      <c r="C4" s="280"/>
      <c r="D4" s="280"/>
      <c r="E4" s="281"/>
      <c r="F4" s="281"/>
      <c r="G4" s="281"/>
      <c r="H4" s="281"/>
      <c r="I4" s="281"/>
      <c r="J4" s="281"/>
      <c r="K4" s="281"/>
      <c r="L4" s="281"/>
      <c r="M4" s="281"/>
      <c r="N4" s="281"/>
      <c r="O4" s="281"/>
      <c r="P4" s="281"/>
      <c r="Q4" s="281"/>
      <c r="R4" s="282"/>
      <c r="S4" s="281"/>
      <c r="T4" s="285"/>
    </row>
    <row r="5">
      <c r="A5" s="295"/>
      <c r="B5" s="296" t="s">
        <v>620</v>
      </c>
      <c r="C5" s="297" t="s">
        <v>621</v>
      </c>
      <c r="D5" s="289">
        <f>ROUND((F5*'Pawn Weights'!$K$22)+(G5*'Pawn Weights'!$K$23)+(H5*'Pawn Weights'!$K$24)+(I5*'Pawn Weights'!$K$25)+(J5*'Pawn Weights'!$K$26)+(K5*'Pawn Weights'!$K$27)+(L5*'Pawn Weights'!$K$28)+(M5*'Pawn Weights'!$K$29)+(N5*'Pawn Weights'!$K$30)+(O5*'Pawn Weights'!$K$31)+(P5*'Pawn Weights'!$K$32)+(Q5*'Pawn Weights'!$K$33)+2.668, 2)</f>
        <v>208.05</v>
      </c>
      <c r="E5" s="298">
        <v>45.0</v>
      </c>
      <c r="F5" s="297"/>
      <c r="G5" s="298">
        <v>43.0</v>
      </c>
      <c r="H5" s="298">
        <v>126.0</v>
      </c>
      <c r="I5" s="298">
        <v>34.0</v>
      </c>
      <c r="J5" s="297"/>
      <c r="K5" s="297"/>
      <c r="L5" s="297"/>
      <c r="M5" s="359">
        <v>182.0</v>
      </c>
      <c r="N5" s="298">
        <v>1.0</v>
      </c>
      <c r="O5" s="298">
        <v>1.0</v>
      </c>
      <c r="P5" s="297"/>
      <c r="Q5" s="297"/>
      <c r="R5" s="298" t="s">
        <v>622</v>
      </c>
      <c r="S5" s="137"/>
      <c r="T5" s="295"/>
      <c r="U5" s="137"/>
      <c r="V5" s="137"/>
      <c r="W5" s="137"/>
      <c r="X5" s="137"/>
      <c r="Y5" s="137"/>
      <c r="Z5" s="137"/>
    </row>
    <row r="6">
      <c r="A6" s="295"/>
      <c r="B6" s="296" t="s">
        <v>623</v>
      </c>
      <c r="C6" s="297" t="s">
        <v>621</v>
      </c>
      <c r="D6" s="289">
        <f>ROUND((F6*'Pawn Weights'!$K$22)+(G6*'Pawn Weights'!$K$23)+(H6*'Pawn Weights'!$K$24)+(I6*'Pawn Weights'!$K$25)+(J6*'Pawn Weights'!$K$26)+(K6*'Pawn Weights'!$K$27)+(L6*'Pawn Weights'!$K$28)+(M6*'Pawn Weights'!$K$29)+(N6*'Pawn Weights'!$K$30)+(O6*'Pawn Weights'!$K$31)+(P6*'Pawn Weights'!$K$32)+(Q6*'Pawn Weights'!$K$33)+3.64, 2)</f>
        <v>199.09</v>
      </c>
      <c r="E6" s="298">
        <v>67.0</v>
      </c>
      <c r="F6" s="298">
        <v>61.0</v>
      </c>
      <c r="G6" s="297"/>
      <c r="H6" s="297"/>
      <c r="I6" s="298">
        <v>40.0</v>
      </c>
      <c r="J6" s="297"/>
      <c r="K6" s="297"/>
      <c r="L6" s="297"/>
      <c r="M6" s="359">
        <v>231.0</v>
      </c>
      <c r="N6" s="298">
        <v>1.0</v>
      </c>
      <c r="O6" s="298">
        <v>1.0</v>
      </c>
      <c r="P6" s="297"/>
      <c r="Q6" s="297"/>
      <c r="R6" s="298" t="s">
        <v>624</v>
      </c>
      <c r="S6" s="137"/>
      <c r="T6" s="295"/>
      <c r="U6" s="137"/>
      <c r="V6" s="137"/>
      <c r="W6" s="137"/>
      <c r="X6" s="137"/>
      <c r="Y6" s="137"/>
      <c r="Z6" s="137"/>
    </row>
    <row r="7">
      <c r="A7" s="295"/>
      <c r="B7" s="296" t="s">
        <v>625</v>
      </c>
      <c r="C7" s="297" t="s">
        <v>621</v>
      </c>
      <c r="D7" s="289">
        <f>ROUND((F7*'Pawn Weights'!$K$22)+(G7*'Pawn Weights'!$K$23)+(H7*'Pawn Weights'!$K$24)+(I7*'Pawn Weights'!$K$25)+(J7*'Pawn Weights'!$K$26)+(K7*'Pawn Weights'!$K$27)+(L7*'Pawn Weights'!$K$28)+(M7*'Pawn Weights'!$K$29)+(N7*'Pawn Weights'!$K$30)+(O7*'Pawn Weights'!$K$31)+(P7*'Pawn Weights'!$K$32)+(Q7*'Pawn Weights'!$K$33)+2.72, 2)</f>
        <v>180.43</v>
      </c>
      <c r="E7" s="298">
        <v>57.0</v>
      </c>
      <c r="F7" s="297"/>
      <c r="G7" s="298">
        <v>43.0</v>
      </c>
      <c r="H7" s="298">
        <v>126.0</v>
      </c>
      <c r="I7" s="297"/>
      <c r="J7" s="298">
        <v>30.0</v>
      </c>
      <c r="K7" s="298">
        <v>34.0</v>
      </c>
      <c r="L7" s="297"/>
      <c r="M7" s="137"/>
      <c r="N7" s="298">
        <v>1.0</v>
      </c>
      <c r="O7" s="298">
        <v>1.0</v>
      </c>
      <c r="P7" s="297"/>
      <c r="Q7" s="297"/>
      <c r="R7" s="298" t="s">
        <v>626</v>
      </c>
      <c r="S7" s="137"/>
      <c r="T7" s="295"/>
      <c r="U7" s="137"/>
      <c r="V7" s="137"/>
      <c r="W7" s="137"/>
      <c r="X7" s="137"/>
      <c r="Y7" s="137"/>
      <c r="Z7" s="137"/>
    </row>
    <row r="8">
      <c r="A8" s="295" t="s">
        <v>627</v>
      </c>
      <c r="B8" s="296" t="s">
        <v>628</v>
      </c>
      <c r="C8" s="297" t="s">
        <v>629</v>
      </c>
      <c r="D8" s="289">
        <f>ROUND((F8*'Pawn Weights'!$K$22)+(G8*'Pawn Weights'!$K$23)+(H8*'Pawn Weights'!$K$24)+(I8*'Pawn Weights'!$K$25)+(J8*'Pawn Weights'!$K$26)+(K8*'Pawn Weights'!$K$27)+(L8*'Pawn Weights'!$K$28)+(M8*'Pawn Weights'!$K$29)+(N8*'Pawn Weights'!$K$30)+(O8*'Pawn Weights'!$K$31)+(P8*'Pawn Weights'!$K$32)+(Q8*'Pawn Weights'!$K$33), 2)</f>
        <v>179.09</v>
      </c>
      <c r="E8" s="298">
        <v>47.0</v>
      </c>
      <c r="F8" s="298">
        <v>62.0</v>
      </c>
      <c r="G8" s="297"/>
      <c r="H8" s="297"/>
      <c r="I8" s="298">
        <v>51.0</v>
      </c>
      <c r="J8" s="298">
        <v>26.0</v>
      </c>
      <c r="K8" s="297"/>
      <c r="L8" s="297"/>
      <c r="M8" s="137"/>
      <c r="N8" s="298">
        <v>1.0</v>
      </c>
      <c r="O8" s="297"/>
      <c r="P8" s="297"/>
      <c r="Q8" s="298">
        <v>1.0</v>
      </c>
      <c r="R8" s="298" t="s">
        <v>624</v>
      </c>
      <c r="S8" s="137"/>
      <c r="T8" s="295" t="s">
        <v>630</v>
      </c>
      <c r="U8" s="137"/>
      <c r="V8" s="137"/>
      <c r="W8" s="137"/>
      <c r="X8" s="137"/>
      <c r="Y8" s="137"/>
      <c r="Z8" s="137"/>
    </row>
    <row r="9">
      <c r="A9" s="25"/>
      <c r="B9" s="288" t="s">
        <v>631</v>
      </c>
      <c r="C9" s="280" t="s">
        <v>632</v>
      </c>
      <c r="D9" s="289">
        <f>ROUND((F9*'Pawn Weights'!$K$22)+(G9*'Pawn Weights'!$K$23)+(H9*'Pawn Weights'!$K$24)+(I9*'Pawn Weights'!$K$25)+(J9*'Pawn Weights'!$K$26)+(K9*'Pawn Weights'!$K$27)+(L9*'Pawn Weights'!$K$28)+(M9*'Pawn Weights'!$K$29)+(N9*'Pawn Weights'!$K$30)+(O9*'Pawn Weights'!$K$31)+(P9*'Pawn Weights'!$K$32)+(Q9*'Pawn Weights'!$K$33), 2)</f>
        <v>176.96</v>
      </c>
      <c r="E9" s="280">
        <v>46.0</v>
      </c>
      <c r="F9" s="280"/>
      <c r="G9" s="280">
        <v>39.0</v>
      </c>
      <c r="H9" s="280">
        <v>108.0</v>
      </c>
      <c r="I9" s="280">
        <v>38.0</v>
      </c>
      <c r="J9" s="280">
        <v>21.0</v>
      </c>
      <c r="K9" s="280"/>
      <c r="L9" s="280"/>
      <c r="M9" s="281"/>
      <c r="N9" s="280">
        <v>1.0</v>
      </c>
      <c r="O9" s="280"/>
      <c r="P9" s="280">
        <v>1.0</v>
      </c>
      <c r="Q9" s="280"/>
      <c r="R9" s="290" t="s">
        <v>633</v>
      </c>
      <c r="S9" s="281"/>
      <c r="T9" s="291" t="s">
        <v>634</v>
      </c>
    </row>
    <row r="10">
      <c r="A10" s="295" t="s">
        <v>635</v>
      </c>
      <c r="B10" s="296" t="s">
        <v>636</v>
      </c>
      <c r="C10" s="297" t="s">
        <v>637</v>
      </c>
      <c r="D10" s="289">
        <f>ROUND((F10*'Pawn Weights'!$K$22)+(G10*'Pawn Weights'!$K$23)+(H10*'Pawn Weights'!$K$24)+(I10*'Pawn Weights'!$K$25)+(J10*'Pawn Weights'!$K$26)+(K10*'Pawn Weights'!$K$27)+(L10*'Pawn Weights'!$K$28)+(M10*'Pawn Weights'!$K$29)+(N10*'Pawn Weights'!$K$30)+(O10*'Pawn Weights'!$K$31)+(P10*'Pawn Weights'!$K$32)+(Q10*'Pawn Weights'!$K$33)-10+9.55+3.64, 2)</f>
        <v>167.12</v>
      </c>
      <c r="E10" s="298">
        <v>68.0</v>
      </c>
      <c r="F10" s="298">
        <v>45.0</v>
      </c>
      <c r="G10" s="297"/>
      <c r="H10" s="297"/>
      <c r="I10" s="298">
        <v>41.0</v>
      </c>
      <c r="J10" s="298">
        <v>18.0</v>
      </c>
      <c r="K10" s="297"/>
      <c r="L10" s="297"/>
      <c r="M10" s="359">
        <v>84.0</v>
      </c>
      <c r="N10" s="298">
        <v>1.0</v>
      </c>
      <c r="O10" s="297"/>
      <c r="P10" s="298">
        <v>1.0</v>
      </c>
      <c r="Q10" s="297"/>
      <c r="R10" s="298" t="s">
        <v>624</v>
      </c>
      <c r="S10" s="137"/>
      <c r="T10" s="295"/>
      <c r="U10" s="137"/>
      <c r="V10" s="137"/>
      <c r="W10" s="137"/>
      <c r="X10" s="137"/>
      <c r="Y10" s="137"/>
      <c r="Z10" s="137"/>
    </row>
    <row r="11">
      <c r="A11" s="25"/>
      <c r="B11" s="288" t="s">
        <v>638</v>
      </c>
      <c r="C11" s="280" t="s">
        <v>639</v>
      </c>
      <c r="D11" s="289">
        <f>ROUND((F11*'Pawn Weights'!$K$22)+(G11*'Pawn Weights'!$K$23)+(H11*'Pawn Weights'!$K$24)+(I11*'Pawn Weights'!$K$25)+(J11*'Pawn Weights'!$K$26)+(K11*'Pawn Weights'!$K$27)+(L11*'Pawn Weights'!$K$28)+(M11*'Pawn Weights'!$K$29)+(N11*'Pawn Weights'!$K$30)+(O11*'Pawn Weights'!$K$31)+(P11*'Pawn Weights'!$K$32)+(Q11*'Pawn Weights'!$K$33), 2)</f>
        <v>165.34</v>
      </c>
      <c r="E11" s="280">
        <v>29.0</v>
      </c>
      <c r="F11" s="280">
        <v>51.0</v>
      </c>
      <c r="G11" s="280"/>
      <c r="H11" s="280"/>
      <c r="I11" s="280">
        <v>42.0</v>
      </c>
      <c r="J11" s="280">
        <v>34.0</v>
      </c>
      <c r="K11" s="280"/>
      <c r="L11" s="280"/>
      <c r="M11" s="281"/>
      <c r="N11" s="280">
        <v>1.0</v>
      </c>
      <c r="O11" s="280"/>
      <c r="P11" s="280">
        <v>1.0</v>
      </c>
      <c r="Q11" s="280"/>
      <c r="R11" s="290" t="s">
        <v>633</v>
      </c>
      <c r="S11" s="281"/>
      <c r="T11" s="291"/>
    </row>
    <row r="12">
      <c r="A12" s="25" t="s">
        <v>640</v>
      </c>
      <c r="B12" s="288" t="s">
        <v>641</v>
      </c>
      <c r="C12" s="280" t="s">
        <v>642</v>
      </c>
      <c r="D12" s="289">
        <f>ROUND((F12*'Pawn Weights'!$K$22)+(G12*'Pawn Weights'!$K$23)+(H12*'Pawn Weights'!$K$24)+(I12*'Pawn Weights'!$K$25)+(J12*'Pawn Weights'!$K$26)+(K12*'Pawn Weights'!$K$27)+(L12*'Pawn Weights'!$K$28)+(M12*'Pawn Weights'!$K$29)+(N12*'Pawn Weights'!$K$30)+(O12*'Pawn Weights'!$K$31)+(P12*'Pawn Weights'!$K$32)+(Q12*'Pawn Weights'!$K$33)+4, 2)</f>
        <v>158.82</v>
      </c>
      <c r="E12" s="280">
        <v>54.0</v>
      </c>
      <c r="F12" s="280">
        <v>54.0</v>
      </c>
      <c r="G12" s="280">
        <v>41.0</v>
      </c>
      <c r="H12" s="280"/>
      <c r="I12" s="280"/>
      <c r="J12" s="280"/>
      <c r="K12" s="280"/>
      <c r="L12" s="280"/>
      <c r="M12" s="280">
        <v>105.0</v>
      </c>
      <c r="N12" s="280">
        <v>1.0</v>
      </c>
      <c r="O12" s="280">
        <v>1.0</v>
      </c>
      <c r="P12" s="280"/>
      <c r="Q12" s="280"/>
      <c r="R12" s="290" t="s">
        <v>643</v>
      </c>
      <c r="S12" s="281"/>
      <c r="T12" s="291"/>
    </row>
    <row r="13">
      <c r="A13" s="25" t="s">
        <v>644</v>
      </c>
      <c r="B13" s="288" t="s">
        <v>645</v>
      </c>
      <c r="C13" s="280" t="s">
        <v>646</v>
      </c>
      <c r="D13" s="289">
        <f>ROUND((F13*'Pawn Weights'!$K$22)+(G13*'Pawn Weights'!$K$23)+(H13*'Pawn Weights'!$K$24)+(I13*'Pawn Weights'!$K$25)+(J13*'Pawn Weights'!$K$26)+(K13*'Pawn Weights'!$K$27)+(L13*'Pawn Weights'!$K$28)+(M13*'Pawn Weights'!$K$29)+(N13*'Pawn Weights'!$K$30)+(O13*'Pawn Weights'!$K$31)+(P13*'Pawn Weights'!$K$32)+(Q13*'Pawn Weights'!$K$33)-10+9.55+3.64, 2)</f>
        <v>151.58</v>
      </c>
      <c r="E13" s="280">
        <v>61.0</v>
      </c>
      <c r="F13" s="280">
        <v>39.0</v>
      </c>
      <c r="G13" s="280"/>
      <c r="H13" s="280"/>
      <c r="I13" s="280">
        <v>35.0</v>
      </c>
      <c r="J13" s="280">
        <v>12.0</v>
      </c>
      <c r="K13" s="280"/>
      <c r="L13" s="280"/>
      <c r="M13" s="280">
        <v>84.0</v>
      </c>
      <c r="N13" s="280">
        <v>1.0</v>
      </c>
      <c r="O13" s="280"/>
      <c r="P13" s="280">
        <v>1.0</v>
      </c>
      <c r="Q13" s="280"/>
      <c r="R13" s="290" t="s">
        <v>624</v>
      </c>
      <c r="S13" s="281"/>
      <c r="T13" s="291"/>
    </row>
    <row r="14">
      <c r="A14" s="25" t="s">
        <v>647</v>
      </c>
      <c r="B14" s="288" t="s">
        <v>648</v>
      </c>
      <c r="C14" s="280" t="s">
        <v>649</v>
      </c>
      <c r="D14" s="289">
        <f>ROUND((F14*'Pawn Weights'!$K$22)+(G14*'Pawn Weights'!$K$23)+(H14*'Pawn Weights'!$K$24)+(I14*'Pawn Weights'!$K$25)+(J14*'Pawn Weights'!$K$26)+(K14*'Pawn Weights'!$K$27)+(L14*'Pawn Weights'!$K$28)+(M14*'Pawn Weights'!$K$29)+(N14*'Pawn Weights'!$K$30)+(O14*'Pawn Weights'!$K$31)+(P14*'Pawn Weights'!$K$32)+(Q14*'Pawn Weights'!$K$33), 2)</f>
        <v>147.04</v>
      </c>
      <c r="E14" s="280">
        <v>45.0</v>
      </c>
      <c r="F14" s="280">
        <v>47.0</v>
      </c>
      <c r="G14" s="280"/>
      <c r="H14" s="280"/>
      <c r="I14" s="280">
        <v>36.0</v>
      </c>
      <c r="J14" s="280">
        <v>21.0</v>
      </c>
      <c r="K14" s="280"/>
      <c r="L14" s="280"/>
      <c r="M14" s="281"/>
      <c r="N14" s="280">
        <v>1.0</v>
      </c>
      <c r="O14" s="280"/>
      <c r="P14" s="280"/>
      <c r="Q14" s="280">
        <v>1.0</v>
      </c>
      <c r="R14" s="290" t="s">
        <v>643</v>
      </c>
      <c r="S14" s="281"/>
      <c r="T14" s="291"/>
    </row>
    <row r="15">
      <c r="A15" s="292" t="s">
        <v>627</v>
      </c>
      <c r="B15" s="288" t="s">
        <v>652</v>
      </c>
      <c r="C15" s="154" t="s">
        <v>653</v>
      </c>
      <c r="D15" s="289">
        <f>ROUND((F15*'Pawn Weights'!$K$22)+(G15*'Pawn Weights'!$K$23)+(H15*'Pawn Weights'!$K$24)+(I15*'Pawn Weights'!$K$25)+(J15*'Pawn Weights'!$K$26)+(K15*'Pawn Weights'!$K$27)+(L15*'Pawn Weights'!$K$28)+(M15*'Pawn Weights'!$K$29)+(N15*'Pawn Weights'!$K$30)+(O15*'Pawn Weights'!$K$31)+(P15*'Pawn Weights'!$K$32)+(Q15*'Pawn Weights'!$K$33), 2)</f>
        <v>144.42</v>
      </c>
      <c r="E15" s="280">
        <v>28.0</v>
      </c>
      <c r="F15" s="280">
        <v>48.0</v>
      </c>
      <c r="G15" s="280"/>
      <c r="H15" s="280"/>
      <c r="I15" s="280">
        <v>38.0</v>
      </c>
      <c r="J15" s="280">
        <v>13.0</v>
      </c>
      <c r="K15" s="280"/>
      <c r="L15" s="280"/>
      <c r="M15" s="281"/>
      <c r="N15" s="280">
        <v>1.0</v>
      </c>
      <c r="O15" s="280"/>
      <c r="P15" s="280"/>
      <c r="Q15" s="280">
        <v>1.0</v>
      </c>
      <c r="R15" s="290" t="s">
        <v>624</v>
      </c>
      <c r="S15" s="281"/>
      <c r="T15" s="291"/>
    </row>
    <row r="16">
      <c r="A16" s="292"/>
      <c r="B16" s="288" t="s">
        <v>650</v>
      </c>
      <c r="C16" s="154" t="s">
        <v>639</v>
      </c>
      <c r="D16" s="289">
        <f>ROUND((F16*'Pawn Weights'!$K$22)+(G16*'Pawn Weights'!$K$23)+(H16*'Pawn Weights'!$K$24)+(I16*'Pawn Weights'!$K$25)+(J16*'Pawn Weights'!$K$26)+(K16*'Pawn Weights'!$K$27)+(L16*'Pawn Weights'!$K$28)+(M16*'Pawn Weights'!$K$29)+(N16*'Pawn Weights'!$K$30)+(O16*'Pawn Weights'!$K$31)+(P16*'Pawn Weights'!$K$32)+(Q16*'Pawn Weights'!$K$33), 2)</f>
        <v>144.66</v>
      </c>
      <c r="E16" s="280">
        <v>29.0</v>
      </c>
      <c r="F16" s="280"/>
      <c r="G16" s="280">
        <v>42.0</v>
      </c>
      <c r="H16" s="280">
        <v>100.0</v>
      </c>
      <c r="I16" s="280">
        <v>20.0</v>
      </c>
      <c r="J16" s="280"/>
      <c r="K16" s="280"/>
      <c r="L16" s="280"/>
      <c r="M16" s="281"/>
      <c r="N16" s="280">
        <v>1.0</v>
      </c>
      <c r="O16" s="280">
        <v>1.0</v>
      </c>
      <c r="P16" s="280"/>
      <c r="Q16" s="280"/>
      <c r="R16" s="290" t="s">
        <v>651</v>
      </c>
      <c r="S16" s="281"/>
      <c r="T16" s="291"/>
    </row>
    <row r="17">
      <c r="A17" s="25" t="s">
        <v>654</v>
      </c>
      <c r="B17" s="288" t="s">
        <v>655</v>
      </c>
      <c r="C17" s="280" t="s">
        <v>656</v>
      </c>
      <c r="D17" s="289">
        <f>ROUND((F17*'Pawn Weights'!$K$22)+(G17*'Pawn Weights'!$K$23)+(H17*'Pawn Weights'!$K$24)+(I17*'Pawn Weights'!$K$25)+(J17*'Pawn Weights'!$K$26)+(K17*'Pawn Weights'!$K$27)+(L17*'Pawn Weights'!$K$28)+(M17*'Pawn Weights'!$K$29)+(N17*'Pawn Weights'!$K$30)+(O17*'Pawn Weights'!$K$31)+(P17*'Pawn Weights'!$K$32)+(Q17*'Pawn Weights'!$K$33)-10+9.55+2.72, 2)</f>
        <v>131.63</v>
      </c>
      <c r="E17" s="280">
        <v>45.0</v>
      </c>
      <c r="F17" s="280">
        <v>45.0</v>
      </c>
      <c r="G17" s="280"/>
      <c r="H17" s="280"/>
      <c r="I17" s="280">
        <v>24.0</v>
      </c>
      <c r="J17" s="280">
        <v>14.0</v>
      </c>
      <c r="K17" s="280"/>
      <c r="L17" s="280"/>
      <c r="M17" s="281"/>
      <c r="N17" s="280">
        <v>1.0</v>
      </c>
      <c r="O17" s="280"/>
      <c r="P17" s="280">
        <v>1.0</v>
      </c>
      <c r="Q17" s="280"/>
      <c r="R17" s="290" t="s">
        <v>626</v>
      </c>
      <c r="S17" s="281"/>
      <c r="T17" s="291"/>
    </row>
    <row r="18">
      <c r="A18" s="25" t="s">
        <v>1068</v>
      </c>
      <c r="B18" s="288" t="s">
        <v>1069</v>
      </c>
      <c r="C18" s="280" t="s">
        <v>1070</v>
      </c>
      <c r="D18" s="289">
        <f>ROUND((F18*'Pawn Weights'!$K$22)+(G18*'Pawn Weights'!$K$23)+(H18*'Pawn Weights'!$K$24)+(I18*'Pawn Weights'!$K$25)+(J18*'Pawn Weights'!$K$26)+(K18*'Pawn Weights'!$K$27)+(L18*'Pawn Weights'!$K$28)+(M18*'Pawn Weights'!$K$29)+(N18*'Pawn Weights'!$K$30)+(O18*'Pawn Weights'!$K$31)+(P18*'Pawn Weights'!$K$32)+(Q18*'Pawn Weights'!$K$33)-10+9.55+4, 2)</f>
        <v>129.28</v>
      </c>
      <c r="E18" s="280">
        <v>54.0</v>
      </c>
      <c r="F18" s="280">
        <v>35.0</v>
      </c>
      <c r="G18" s="280"/>
      <c r="H18" s="280"/>
      <c r="I18" s="280">
        <v>31.0</v>
      </c>
      <c r="J18" s="280">
        <v>14.0</v>
      </c>
      <c r="K18" s="280"/>
      <c r="L18" s="280"/>
      <c r="M18" s="281"/>
      <c r="N18" s="280">
        <v>1.0</v>
      </c>
      <c r="O18" s="280"/>
      <c r="P18" s="280">
        <v>1.0</v>
      </c>
      <c r="Q18" s="280"/>
      <c r="R18" s="290" t="s">
        <v>643</v>
      </c>
      <c r="S18" s="281"/>
      <c r="T18" s="291" t="s">
        <v>1071</v>
      </c>
    </row>
    <row r="19">
      <c r="A19" s="295"/>
      <c r="B19" s="296" t="s">
        <v>1072</v>
      </c>
      <c r="C19" s="297" t="s">
        <v>1073</v>
      </c>
      <c r="D19" s="289">
        <f>ROUND((F19*'Pawn Weights'!$K$22)+(G19*'Pawn Weights'!$K$23)+(H19*'Pawn Weights'!$K$24)+(I19*'Pawn Weights'!$K$25)+(J19*'Pawn Weights'!$K$26)+(K19*'Pawn Weights'!$K$27)+(L19*'Pawn Weights'!$K$28)+(M19*'Pawn Weights'!$K$29)+(N19*'Pawn Weights'!$K$30)+(O19*'Pawn Weights'!$K$31)+(P19*'Pawn Weights'!$K$32)+(Q19*'Pawn Weights'!$K$33), 2)</f>
        <v>114.04</v>
      </c>
      <c r="E19" s="298">
        <v>40.0</v>
      </c>
      <c r="F19" s="297"/>
      <c r="G19" s="298">
        <v>36.0</v>
      </c>
      <c r="H19" s="298">
        <v>72.0</v>
      </c>
      <c r="I19" s="297"/>
      <c r="J19" s="297"/>
      <c r="K19" s="297"/>
      <c r="L19" s="297"/>
      <c r="M19" s="359">
        <v>140.0</v>
      </c>
      <c r="N19" s="297"/>
      <c r="O19" s="298">
        <v>1.0</v>
      </c>
      <c r="P19" s="298">
        <v>1.0</v>
      </c>
      <c r="Q19" s="298">
        <v>1.0</v>
      </c>
      <c r="R19" s="298" t="s">
        <v>745</v>
      </c>
      <c r="S19" s="137"/>
      <c r="T19" s="295"/>
      <c r="U19" s="137"/>
      <c r="V19" s="137"/>
      <c r="W19" s="137"/>
      <c r="X19" s="137"/>
      <c r="Y19" s="137"/>
      <c r="Z19" s="137"/>
    </row>
    <row r="20">
      <c r="A20" s="295"/>
      <c r="B20" s="296" t="s">
        <v>1074</v>
      </c>
      <c r="C20" s="297" t="s">
        <v>947</v>
      </c>
      <c r="D20" s="289">
        <f>ROUND((F20*'Pawn Weights'!$K$22)+(G20*'Pawn Weights'!$K$23)+(H20*'Pawn Weights'!$K$24)+(I20*'Pawn Weights'!$K$25)+(J20*'Pawn Weights'!$K$26)+(K20*'Pawn Weights'!$K$27)+(L20*'Pawn Weights'!$K$28)+(M20*'Pawn Weights'!$K$29)+(N20*'Pawn Weights'!$K$30)+(O20*'Pawn Weights'!$K$31)+(P20*'Pawn Weights'!$K$32)+(Q20*'Pawn Weights'!$K$33), 2)</f>
        <v>110.27</v>
      </c>
      <c r="E20" s="298">
        <v>48.0</v>
      </c>
      <c r="F20" s="297"/>
      <c r="G20" s="298">
        <v>40.0</v>
      </c>
      <c r="H20" s="298">
        <v>82.0</v>
      </c>
      <c r="I20" s="297"/>
      <c r="J20" s="298">
        <v>24.0</v>
      </c>
      <c r="K20" s="297"/>
      <c r="L20" s="297"/>
      <c r="M20" s="137"/>
      <c r="N20" s="297"/>
      <c r="O20" s="298">
        <v>1.0</v>
      </c>
      <c r="P20" s="298">
        <v>1.0</v>
      </c>
      <c r="Q20" s="298">
        <v>1.0</v>
      </c>
      <c r="R20" s="298" t="s">
        <v>745</v>
      </c>
      <c r="S20" s="137"/>
      <c r="T20" s="295"/>
      <c r="U20" s="137"/>
      <c r="V20" s="137"/>
      <c r="W20" s="137"/>
      <c r="X20" s="137"/>
      <c r="Y20" s="137"/>
      <c r="Z20" s="137"/>
    </row>
    <row r="21">
      <c r="A21" s="272" t="s">
        <v>657</v>
      </c>
      <c r="B21" s="281"/>
      <c r="C21" s="281"/>
      <c r="D21" s="360"/>
      <c r="E21" s="281"/>
      <c r="F21" s="281"/>
      <c r="G21" s="281"/>
      <c r="H21" s="281"/>
      <c r="I21" s="281"/>
      <c r="J21" s="281"/>
      <c r="K21" s="281"/>
      <c r="L21" s="281"/>
      <c r="M21" s="281"/>
      <c r="N21" s="281"/>
      <c r="O21" s="281"/>
      <c r="P21" s="281"/>
      <c r="Q21" s="281"/>
      <c r="R21" s="282"/>
      <c r="S21" s="281"/>
      <c r="T21" s="285"/>
    </row>
    <row r="22">
      <c r="A22" s="137" t="s">
        <v>627</v>
      </c>
      <c r="B22" s="296" t="s">
        <v>658</v>
      </c>
      <c r="C22" s="280" t="s">
        <v>659</v>
      </c>
      <c r="D22" s="289">
        <f>ROUND((F22*'Pawn Weights'!$K$22)+(G22*'Pawn Weights'!$K$23)+(H22*'Pawn Weights'!$K$24)+(I22*'Pawn Weights'!$K$25)+(J22*'Pawn Weights'!$K$26)+(K22*'Pawn Weights'!$K$27)+(L22*'Pawn Weights'!$K$28)+(M22*'Pawn Weights'!$K$29)+(N22*'Pawn Weights'!$K$30)+(O22*'Pawn Weights'!$K$31)+(P22*'Pawn Weights'!$K$32)+(Q22*'Pawn Weights'!$K$33)-10+9.55+1.818, 2)</f>
        <v>82.64</v>
      </c>
      <c r="E22" s="298">
        <v>42.0</v>
      </c>
      <c r="F22" s="297"/>
      <c r="G22" s="297"/>
      <c r="H22" s="298">
        <v>58.0</v>
      </c>
      <c r="I22" s="297"/>
      <c r="J22" s="297"/>
      <c r="K22" s="298">
        <v>29.0</v>
      </c>
      <c r="L22" s="297"/>
      <c r="M22" s="298">
        <v>150.0</v>
      </c>
      <c r="N22" s="297"/>
      <c r="O22" s="297"/>
      <c r="P22" s="298">
        <v>1.0</v>
      </c>
      <c r="Q22" s="297"/>
      <c r="R22" s="298" t="s">
        <v>660</v>
      </c>
      <c r="S22" s="137"/>
      <c r="T22" s="361" t="s">
        <v>661</v>
      </c>
      <c r="U22" s="137"/>
      <c r="V22" s="137"/>
      <c r="W22" s="137"/>
      <c r="X22" s="137"/>
      <c r="Y22" s="137"/>
      <c r="Z22" s="137"/>
    </row>
    <row r="23">
      <c r="A23" s="281"/>
      <c r="B23" s="288" t="s">
        <v>664</v>
      </c>
      <c r="C23" s="280" t="s">
        <v>665</v>
      </c>
      <c r="D23" s="289">
        <f>ROUND((F23*'Pawn Weights'!$K$22)+(G23*'Pawn Weights'!$K$23)+(H23*'Pawn Weights'!$K$24)+(I23*'Pawn Weights'!$K$25)+(J23*'Pawn Weights'!$K$26)+(K23*'Pawn Weights'!$K$27)+(L23*'Pawn Weights'!$K$28)+(M23*'Pawn Weights'!$K$29)+(N23*'Pawn Weights'!$K$30)+(O23*'Pawn Weights'!$K$31)+(P23*'Pawn Weights'!$K$32)+(Q23*'Pawn Weights'!$K$33), 2)</f>
        <v>71.57</v>
      </c>
      <c r="E23" s="280"/>
      <c r="F23" s="280"/>
      <c r="G23" s="280"/>
      <c r="H23" s="280">
        <v>72.0</v>
      </c>
      <c r="I23" s="280">
        <v>27.0</v>
      </c>
      <c r="J23" s="280">
        <v>21.0</v>
      </c>
      <c r="K23" s="280"/>
      <c r="L23" s="280"/>
      <c r="M23" s="280"/>
      <c r="N23" s="280"/>
      <c r="O23" s="280"/>
      <c r="P23" s="280"/>
      <c r="Q23" s="280"/>
      <c r="R23" s="290"/>
      <c r="S23" s="281"/>
      <c r="T23" s="222"/>
      <c r="U23" s="281"/>
      <c r="X23" s="281"/>
    </row>
    <row r="24">
      <c r="A24" s="281"/>
      <c r="B24" s="288" t="s">
        <v>666</v>
      </c>
      <c r="C24" s="280" t="s">
        <v>667</v>
      </c>
      <c r="D24" s="289">
        <f>ROUND((F24*'Pawn Weights'!$K$22)+(G24*'Pawn Weights'!$K$23)+(H24*'Pawn Weights'!$K$24)+(I24*'Pawn Weights'!$K$25)+(J24*'Pawn Weights'!$K$26)+(K24*'Pawn Weights'!$K$27)+(L24*'Pawn Weights'!$K$28)+(M24*'Pawn Weights'!$K$29)+(N24*'Pawn Weights'!$K$30)+(O24*'Pawn Weights'!$K$31)+(P24*'Pawn Weights'!$K$32)+(Q24*'Pawn Weights'!$K$33), 2)</f>
        <v>65.94</v>
      </c>
      <c r="E24" s="280">
        <v>37.0</v>
      </c>
      <c r="F24" s="280"/>
      <c r="G24" s="280"/>
      <c r="H24" s="280">
        <v>70.0</v>
      </c>
      <c r="I24" s="280"/>
      <c r="J24" s="280"/>
      <c r="K24" s="280"/>
      <c r="L24" s="280"/>
      <c r="M24" s="280">
        <v>175.0</v>
      </c>
      <c r="N24" s="280"/>
      <c r="O24" s="280"/>
      <c r="P24" s="280"/>
      <c r="Q24" s="280"/>
      <c r="R24" s="290"/>
      <c r="S24" s="281"/>
      <c r="T24" s="222"/>
      <c r="U24" s="281"/>
      <c r="X24" s="281"/>
    </row>
    <row r="25">
      <c r="A25" s="137"/>
      <c r="B25" s="296" t="s">
        <v>662</v>
      </c>
      <c r="C25" s="297" t="s">
        <v>663</v>
      </c>
      <c r="D25" s="289">
        <f>ROUND((F25*'Pawn Weights'!$K$22)+(G25*'Pawn Weights'!$K$23)+(H25*'Pawn Weights'!$K$24)+(I25*'Pawn Weights'!$K$25)+(J25*'Pawn Weights'!$K$26)+(K25*'Pawn Weights'!$K$27)+(L25*'Pawn Weights'!$K$28)+(M25*'Pawn Weights'!$K$29)+(N25*'Pawn Weights'!$K$30)+(O25*'Pawn Weights'!$K$31)+(P25*'Pawn Weights'!$K$32)+(Q25*'Pawn Weights'!$K$33), 2)</f>
        <v>61.96</v>
      </c>
      <c r="E25" s="298">
        <v>33.0</v>
      </c>
      <c r="F25" s="297"/>
      <c r="G25" s="298">
        <v>25.0</v>
      </c>
      <c r="H25" s="298">
        <v>64.0</v>
      </c>
      <c r="I25" s="297"/>
      <c r="J25" s="297"/>
      <c r="K25" s="298">
        <v>30.0</v>
      </c>
      <c r="L25" s="297"/>
      <c r="M25" s="297"/>
      <c r="N25" s="297"/>
      <c r="O25" s="297"/>
      <c r="P25" s="297"/>
      <c r="Q25" s="297"/>
      <c r="R25" s="298"/>
      <c r="S25" s="137"/>
      <c r="T25" s="361"/>
      <c r="U25" s="137"/>
      <c r="V25" s="137"/>
      <c r="W25" s="137"/>
      <c r="X25" s="137"/>
      <c r="Y25" s="137"/>
      <c r="Z25" s="137"/>
    </row>
    <row r="26">
      <c r="A26" s="137"/>
      <c r="B26" s="296" t="s">
        <v>668</v>
      </c>
      <c r="C26" s="297" t="s">
        <v>669</v>
      </c>
      <c r="D26" s="289">
        <f>ROUND((F26*'Pawn Weights'!$K$22)+(G26*'Pawn Weights'!$K$23)+(H26*'Pawn Weights'!$K$24)+(I26*'Pawn Weights'!$K$25)+(J26*'Pawn Weights'!$K$26)+(K26*'Pawn Weights'!$K$27)+(L26*'Pawn Weights'!$K$28)+(M26*'Pawn Weights'!$K$29)+(N26*'Pawn Weights'!$K$30)+(O26*'Pawn Weights'!$K$31)+(P26*'Pawn Weights'!$K$32)+(Q26*'Pawn Weights'!$K$33), 2)</f>
        <v>61.84</v>
      </c>
      <c r="E26" s="298">
        <v>18.0</v>
      </c>
      <c r="F26" s="297"/>
      <c r="G26" s="297"/>
      <c r="H26" s="298">
        <v>58.0</v>
      </c>
      <c r="I26" s="298">
        <v>28.0</v>
      </c>
      <c r="J26" s="297"/>
      <c r="K26" s="297"/>
      <c r="L26" s="297"/>
      <c r="M26" s="297"/>
      <c r="N26" s="297"/>
      <c r="O26" s="297"/>
      <c r="P26" s="297"/>
      <c r="Q26" s="298">
        <v>1.0</v>
      </c>
      <c r="R26" s="298" t="s">
        <v>660</v>
      </c>
      <c r="S26" s="137"/>
      <c r="T26" s="361" t="s">
        <v>670</v>
      </c>
      <c r="U26" s="137"/>
      <c r="V26" s="137"/>
      <c r="W26" s="137"/>
      <c r="X26" s="137"/>
      <c r="Y26" s="137"/>
      <c r="Z26" s="137"/>
    </row>
    <row r="27">
      <c r="A27" s="137" t="s">
        <v>671</v>
      </c>
      <c r="B27" s="296" t="s">
        <v>672</v>
      </c>
      <c r="C27" s="297" t="s">
        <v>673</v>
      </c>
      <c r="D27" s="289">
        <f>ROUND((F27*'Pawn Weights'!$K$22)+(G27*'Pawn Weights'!$K$23)+(H27*'Pawn Weights'!$K$24)+(I27*'Pawn Weights'!$K$25)+(J27*'Pawn Weights'!$K$26)+(K27*'Pawn Weights'!$K$27)+(L27*'Pawn Weights'!$K$28)+(M27*'Pawn Weights'!$K$29)+(N27*'Pawn Weights'!$K$30)+(O27*'Pawn Weights'!$K$31)+(P27*'Pawn Weights'!$K$32)+(Q27*'Pawn Weights'!$K$33), 2)</f>
        <v>60.02</v>
      </c>
      <c r="E27" s="298">
        <v>39.0</v>
      </c>
      <c r="F27" s="297"/>
      <c r="G27" s="297"/>
      <c r="H27" s="298">
        <v>58.0</v>
      </c>
      <c r="I27" s="298">
        <v>26.0</v>
      </c>
      <c r="J27" s="297"/>
      <c r="K27" s="297"/>
      <c r="L27" s="297"/>
      <c r="M27" s="295"/>
      <c r="N27" s="297"/>
      <c r="O27" s="297"/>
      <c r="P27" s="298">
        <v>1.0</v>
      </c>
      <c r="Q27" s="297"/>
      <c r="R27" s="298" t="s">
        <v>674</v>
      </c>
      <c r="S27" s="137"/>
      <c r="T27" s="361" t="s">
        <v>675</v>
      </c>
      <c r="U27" s="137"/>
      <c r="V27" s="137"/>
      <c r="W27" s="137"/>
      <c r="X27" s="137"/>
      <c r="Y27" s="137"/>
      <c r="Z27" s="137"/>
    </row>
    <row r="28">
      <c r="A28" s="137" t="s">
        <v>676</v>
      </c>
      <c r="B28" s="296" t="s">
        <v>677</v>
      </c>
      <c r="C28" s="297" t="s">
        <v>678</v>
      </c>
      <c r="D28" s="289">
        <f>ROUND((F28*'Pawn Weights'!$K$22)+(G28*'Pawn Weights'!$K$23)+(H28*'Pawn Weights'!$K$24)+(I28*'Pawn Weights'!$K$25)+(J28*'Pawn Weights'!$K$26)+(K28*'Pawn Weights'!$K$27)+(L28*'Pawn Weights'!$K$28)+(M28*'Pawn Weights'!$K$29)+(N28*'Pawn Weights'!$K$30)+(O28*'Pawn Weights'!$K$31)+(P28*'Pawn Weights'!$K$32)+(Q28*'Pawn Weights'!$K$33)+17.82, 2)</f>
        <v>58.91</v>
      </c>
      <c r="E28" s="298">
        <v>19.0</v>
      </c>
      <c r="F28" s="297"/>
      <c r="G28" s="298">
        <v>18.0</v>
      </c>
      <c r="H28" s="298">
        <v>64.0</v>
      </c>
      <c r="I28" s="297"/>
      <c r="J28" s="297"/>
      <c r="K28" s="297"/>
      <c r="L28" s="297"/>
      <c r="M28" s="295"/>
      <c r="N28" s="297"/>
      <c r="O28" s="297"/>
      <c r="P28" s="297"/>
      <c r="Q28" s="297"/>
      <c r="R28" s="298"/>
      <c r="S28" s="137"/>
      <c r="T28" s="362" t="s">
        <v>679</v>
      </c>
      <c r="U28" s="194"/>
      <c r="V28" s="194"/>
      <c r="W28" s="137"/>
      <c r="X28" s="137"/>
      <c r="Y28" s="137"/>
      <c r="Z28" s="137"/>
    </row>
    <row r="29">
      <c r="A29" s="281"/>
      <c r="B29" s="288" t="s">
        <v>680</v>
      </c>
      <c r="C29" s="280" t="s">
        <v>681</v>
      </c>
      <c r="D29" s="289">
        <f>ROUND((F29*'Pawn Weights'!$K$22)+(G29*'Pawn Weights'!$K$23)+(H29*'Pawn Weights'!$K$24)+(I29*'Pawn Weights'!$K$25)+(J29*'Pawn Weights'!$K$26)+(K29*'Pawn Weights'!$K$27)+(L29*'Pawn Weights'!$K$28)+(M29*'Pawn Weights'!$K$29)+(N29*'Pawn Weights'!$K$30)+(O29*'Pawn Weights'!$K$31)+(P29*'Pawn Weights'!$K$32)+(Q29*'Pawn Weights'!$K$33), 2)</f>
        <v>52.93</v>
      </c>
      <c r="E29" s="280">
        <v>24.0</v>
      </c>
      <c r="F29" s="280">
        <v>32.0</v>
      </c>
      <c r="G29" s="280"/>
      <c r="H29" s="280"/>
      <c r="I29" s="280">
        <v>23.0</v>
      </c>
      <c r="J29" s="280"/>
      <c r="K29" s="280"/>
      <c r="L29" s="280"/>
      <c r="M29" s="280"/>
      <c r="N29" s="280"/>
      <c r="O29" s="280"/>
      <c r="P29" s="280"/>
      <c r="Q29" s="280"/>
      <c r="R29" s="290"/>
      <c r="S29" s="281"/>
      <c r="T29" s="222"/>
      <c r="U29" s="281"/>
      <c r="X29" s="281"/>
    </row>
    <row r="30">
      <c r="A30" s="292" t="s">
        <v>991</v>
      </c>
      <c r="B30" s="288" t="s">
        <v>1075</v>
      </c>
      <c r="C30" s="280" t="s">
        <v>673</v>
      </c>
      <c r="D30" s="289">
        <f>ROUND((F30*'Pawn Weights'!$K$22)+(G30*'Pawn Weights'!$K$23)+(H30*'Pawn Weights'!$K$24)+(I30*'Pawn Weights'!$K$25)+(J30*'Pawn Weights'!$K$26)+(K30*'Pawn Weights'!$K$27)+(L30*'Pawn Weights'!$K$28)+(M30*'Pawn Weights'!$K$29)+(N30*'Pawn Weights'!$K$30)+(O30*'Pawn Weights'!$K$31)+(P30*'Pawn Weights'!$K$32)+(Q30*'Pawn Weights'!$K$33), 2)</f>
        <v>52.75</v>
      </c>
      <c r="E30" s="280">
        <v>35.0</v>
      </c>
      <c r="F30" s="280"/>
      <c r="G30" s="280"/>
      <c r="H30" s="280">
        <v>50.0</v>
      </c>
      <c r="I30" s="280">
        <v>22.0</v>
      </c>
      <c r="J30" s="280"/>
      <c r="K30" s="280"/>
      <c r="L30" s="280"/>
      <c r="M30" s="280"/>
      <c r="N30" s="280"/>
      <c r="O30" s="280"/>
      <c r="P30" s="280">
        <v>1.0</v>
      </c>
      <c r="Q30" s="280"/>
      <c r="R30" s="290" t="s">
        <v>1076</v>
      </c>
      <c r="S30" s="281"/>
      <c r="T30" s="294" t="s">
        <v>675</v>
      </c>
      <c r="U30" s="281"/>
      <c r="X30" s="281"/>
    </row>
    <row r="31">
      <c r="A31" s="281"/>
      <c r="B31" s="288" t="s">
        <v>682</v>
      </c>
      <c r="C31" s="280" t="s">
        <v>683</v>
      </c>
      <c r="D31" s="289">
        <f>ROUND((F31*'Pawn Weights'!$K$22)+(G31*'Pawn Weights'!$K$23)+(H31*'Pawn Weights'!$K$24)+(I31*'Pawn Weights'!$K$25)+(J31*'Pawn Weights'!$K$26)+(K31*'Pawn Weights'!$K$27)+(L31*'Pawn Weights'!$K$28)+(M31*'Pawn Weights'!$K$29)+(N31*'Pawn Weights'!$K$30)+(O31*'Pawn Weights'!$K$31)+(P31*'Pawn Weights'!$K$32)+(Q31*'Pawn Weights'!$K$33), 2)</f>
        <v>50.02</v>
      </c>
      <c r="E31" s="280">
        <v>24.0</v>
      </c>
      <c r="F31" s="280"/>
      <c r="G31" s="280"/>
      <c r="H31" s="280">
        <v>64.0</v>
      </c>
      <c r="I31" s="280">
        <v>23.0</v>
      </c>
      <c r="J31" s="280"/>
      <c r="K31" s="280"/>
      <c r="L31" s="280"/>
      <c r="M31" s="281"/>
      <c r="N31" s="280"/>
      <c r="O31" s="280"/>
      <c r="P31" s="280"/>
      <c r="Q31" s="280"/>
      <c r="R31" s="290"/>
      <c r="S31" s="281"/>
      <c r="T31" s="294"/>
      <c r="U31" s="281"/>
      <c r="X31" s="281"/>
    </row>
    <row r="32">
      <c r="A32" s="281"/>
      <c r="B32" s="288" t="s">
        <v>684</v>
      </c>
      <c r="C32" s="280" t="s">
        <v>685</v>
      </c>
      <c r="D32" s="289">
        <f>ROUND((F32*'Pawn Weights'!$K$22)+(G32*'Pawn Weights'!$K$23)+(H32*'Pawn Weights'!$K$24)+(I32*'Pawn Weights'!$K$25)+(J32*'Pawn Weights'!$K$26)+(K32*'Pawn Weights'!$K$27)+(L32*'Pawn Weights'!$K$28)+(M32*'Pawn Weights'!$K$29)+(N32*'Pawn Weights'!$K$30)+(O32*'Pawn Weights'!$K$31)+(P32*'Pawn Weights'!$K$32)+(Q32*'Pawn Weights'!$K$33), 2)</f>
        <v>49.82</v>
      </c>
      <c r="E32" s="280">
        <v>26.0</v>
      </c>
      <c r="F32" s="280"/>
      <c r="G32" s="280">
        <v>27.0</v>
      </c>
      <c r="H32" s="280">
        <v>70.0</v>
      </c>
      <c r="I32" s="280"/>
      <c r="J32" s="280"/>
      <c r="K32" s="280"/>
      <c r="L32" s="280"/>
      <c r="M32" s="281"/>
      <c r="N32" s="280"/>
      <c r="O32" s="280"/>
      <c r="P32" s="280"/>
      <c r="Q32" s="280"/>
      <c r="R32" s="290"/>
      <c r="S32" s="281"/>
      <c r="T32" s="222"/>
      <c r="U32" s="281"/>
      <c r="X32" s="281"/>
    </row>
    <row r="33">
      <c r="A33" s="281"/>
      <c r="B33" s="288" t="s">
        <v>686</v>
      </c>
      <c r="C33" s="280" t="s">
        <v>687</v>
      </c>
      <c r="D33" s="289">
        <f>ROUND((F33*'Pawn Weights'!$K$22)+(G33*'Pawn Weights'!$K$23)+(H33*'Pawn Weights'!$K$24)+(I33*'Pawn Weights'!$K$25)+(J33*'Pawn Weights'!$K$26)+(K33*'Pawn Weights'!$K$27)+(L33*'Pawn Weights'!$K$28)+(M33*'Pawn Weights'!$K$29)+(N33*'Pawn Weights'!$K$30)+(O33*'Pawn Weights'!$K$31)+(P33*'Pawn Weights'!$K$32)+(Q33*'Pawn Weights'!$K$33), 2)</f>
        <v>44.67</v>
      </c>
      <c r="E33" s="280">
        <v>18.0</v>
      </c>
      <c r="F33" s="280"/>
      <c r="G33" s="280">
        <v>20.0</v>
      </c>
      <c r="H33" s="280">
        <v>42.0</v>
      </c>
      <c r="I33" s="280"/>
      <c r="J33" s="280">
        <v>18.0</v>
      </c>
      <c r="K33" s="280"/>
      <c r="L33" s="280"/>
      <c r="M33" s="280"/>
      <c r="N33" s="280"/>
      <c r="O33" s="280"/>
      <c r="P33" s="280"/>
      <c r="Q33" s="280"/>
      <c r="R33" s="290"/>
      <c r="S33" s="281"/>
      <c r="T33" s="294"/>
      <c r="U33" s="281"/>
      <c r="X33" s="281"/>
    </row>
    <row r="34">
      <c r="A34" s="281"/>
      <c r="B34" s="288" t="s">
        <v>1077</v>
      </c>
      <c r="C34" s="280" t="s">
        <v>1078</v>
      </c>
      <c r="D34" s="289">
        <f>ROUND((F34*'Pawn Weights'!$K$22)+(G34*'Pawn Weights'!$K$23)+(H34*'Pawn Weights'!$K$24)+(I34*'Pawn Weights'!$K$25)+(J34*'Pawn Weights'!$K$26)+(K34*'Pawn Weights'!$K$27)+(L34*'Pawn Weights'!$K$28)+(M34*'Pawn Weights'!$K$29)+(N34*'Pawn Weights'!$K$30)+(O34*'Pawn Weights'!$K$31)+(P34*'Pawn Weights'!$K$32)+(Q34*'Pawn Weights'!$K$33), 2)</f>
        <v>43.99</v>
      </c>
      <c r="E34" s="280">
        <v>21.0</v>
      </c>
      <c r="F34" s="280"/>
      <c r="G34" s="280">
        <v>20.0</v>
      </c>
      <c r="H34" s="280">
        <v>42.0</v>
      </c>
      <c r="I34" s="280"/>
      <c r="J34" s="280">
        <v>17.0</v>
      </c>
      <c r="K34" s="280"/>
      <c r="L34" s="280"/>
      <c r="M34" s="280"/>
      <c r="N34" s="280"/>
      <c r="O34" s="280"/>
      <c r="P34" s="280"/>
      <c r="Q34" s="280"/>
      <c r="R34" s="290"/>
      <c r="S34" s="281"/>
      <c r="T34" s="222"/>
      <c r="U34" s="281"/>
      <c r="V34" s="281"/>
      <c r="W34" s="281"/>
      <c r="X34" s="281"/>
    </row>
    <row r="35">
      <c r="A35" s="281"/>
      <c r="B35" s="288" t="s">
        <v>690</v>
      </c>
      <c r="C35" s="280" t="s">
        <v>691</v>
      </c>
      <c r="D35" s="289">
        <f>ROUND((F35*'Pawn Weights'!$K$22)+(G35*'Pawn Weights'!$K$23)+(H35*'Pawn Weights'!$K$24)+(I35*'Pawn Weights'!$K$25)+(J35*'Pawn Weights'!$K$26)+(K35*'Pawn Weights'!$K$27)+(L35*'Pawn Weights'!$K$28)+(M35*'Pawn Weights'!$K$29)+(N35*'Pawn Weights'!$K$30)+(O35*'Pawn Weights'!$K$31)+(P35*'Pawn Weights'!$K$32)+(Q35*'Pawn Weights'!$K$33), 2)</f>
        <v>43.31</v>
      </c>
      <c r="E35" s="280"/>
      <c r="F35" s="280"/>
      <c r="G35" s="280"/>
      <c r="H35" s="280"/>
      <c r="I35" s="280"/>
      <c r="J35" s="280">
        <v>22.0</v>
      </c>
      <c r="K35" s="280"/>
      <c r="L35" s="280">
        <v>21.0</v>
      </c>
      <c r="M35" s="281"/>
      <c r="N35" s="280"/>
      <c r="O35" s="280"/>
      <c r="P35" s="280"/>
      <c r="Q35" s="280"/>
      <c r="R35" s="290"/>
      <c r="S35" s="281"/>
      <c r="T35" s="294"/>
      <c r="U35" s="281"/>
      <c r="X35" s="281"/>
    </row>
    <row r="36">
      <c r="A36" s="272" t="s">
        <v>692</v>
      </c>
      <c r="B36" s="281"/>
      <c r="C36" s="281"/>
      <c r="D36" s="360"/>
      <c r="E36" s="281"/>
      <c r="F36" s="281"/>
      <c r="G36" s="281"/>
      <c r="H36" s="281"/>
      <c r="I36" s="281"/>
      <c r="J36" s="281"/>
      <c r="K36" s="281"/>
      <c r="L36" s="281"/>
      <c r="M36" s="281"/>
      <c r="N36" s="281"/>
      <c r="O36" s="281"/>
      <c r="P36" s="281"/>
      <c r="Q36" s="281"/>
      <c r="R36" s="282"/>
      <c r="S36" s="281"/>
      <c r="T36" s="285"/>
      <c r="U36" s="281"/>
      <c r="V36" s="281"/>
      <c r="W36" s="281"/>
    </row>
    <row r="37">
      <c r="A37" s="300" t="s">
        <v>693</v>
      </c>
      <c r="B37" s="296" t="s">
        <v>694</v>
      </c>
      <c r="C37" s="297" t="s">
        <v>669</v>
      </c>
      <c r="D37" s="289">
        <f>ROUND((F37*'Pawn Weights'!$K$22)+(G37*'Pawn Weights'!$K$23)+(H37*'Pawn Weights'!$K$24)+(I37*'Pawn Weights'!$K$25)+(J37*'Pawn Weights'!$K$26)+(K37*'Pawn Weights'!$K$27)+(L37*'Pawn Weights'!$K$28)+(M37*'Pawn Weights'!$K$29)+(N37*'Pawn Weights'!$K$30)+(O37*'Pawn Weights'!$K$31)+(P37*'Pawn Weights'!$K$32)+(Q37*'Pawn Weights'!$K$33), 2)</f>
        <v>122.02</v>
      </c>
      <c r="E37" s="298">
        <v>38.0</v>
      </c>
      <c r="F37" s="298">
        <v>38.0</v>
      </c>
      <c r="G37" s="298">
        <v>38.0</v>
      </c>
      <c r="H37" s="297"/>
      <c r="I37" s="298">
        <v>20.0</v>
      </c>
      <c r="J37" s="297"/>
      <c r="K37" s="297"/>
      <c r="L37" s="297"/>
      <c r="M37" s="359">
        <v>105.0</v>
      </c>
      <c r="N37" s="297"/>
      <c r="O37" s="298">
        <v>1.0</v>
      </c>
      <c r="P37" s="297"/>
      <c r="Q37" s="298">
        <v>1.0</v>
      </c>
      <c r="R37" s="298" t="s">
        <v>695</v>
      </c>
      <c r="S37" s="137"/>
      <c r="T37" s="295"/>
      <c r="U37" s="137"/>
      <c r="V37" s="137"/>
      <c r="W37" s="137"/>
      <c r="X37" s="137"/>
      <c r="Y37" s="137"/>
      <c r="Z37" s="137"/>
    </row>
    <row r="38">
      <c r="A38" s="295"/>
      <c r="B38" s="296" t="s">
        <v>696</v>
      </c>
      <c r="C38" s="297" t="s">
        <v>669</v>
      </c>
      <c r="D38" s="289">
        <f>ROUND((F38*'Pawn Weights'!$K$22)+(G38*'Pawn Weights'!$K$23)+(H38*'Pawn Weights'!$K$24)+(I38*'Pawn Weights'!$K$25)+(J38*'Pawn Weights'!$K$26)+(K38*'Pawn Weights'!$K$27)+(L38*'Pawn Weights'!$K$28)+(M38*'Pawn Weights'!$K$29)+(N38*'Pawn Weights'!$K$30)+(O38*'Pawn Weights'!$K$31)+(P38*'Pawn Weights'!$K$32)+(Q38*'Pawn Weights'!$K$33)+2.001, 2)</f>
        <v>119.62</v>
      </c>
      <c r="E38" s="298">
        <v>40.0</v>
      </c>
      <c r="F38" s="297"/>
      <c r="G38" s="298">
        <v>40.0</v>
      </c>
      <c r="H38" s="298">
        <v>90.0</v>
      </c>
      <c r="I38" s="297"/>
      <c r="J38" s="297"/>
      <c r="K38" s="297"/>
      <c r="L38" s="297"/>
      <c r="M38" s="359">
        <v>154.0</v>
      </c>
      <c r="N38" s="297"/>
      <c r="O38" s="298">
        <v>2.0</v>
      </c>
      <c r="P38" s="297"/>
      <c r="Q38" s="297"/>
      <c r="R38" s="298" t="s">
        <v>695</v>
      </c>
      <c r="S38" s="137"/>
      <c r="T38" s="295"/>
      <c r="U38" s="137"/>
      <c r="V38" s="137"/>
      <c r="W38" s="137"/>
      <c r="X38" s="137"/>
      <c r="Y38" s="137"/>
      <c r="Z38" s="137"/>
    </row>
    <row r="39">
      <c r="A39" s="300" t="s">
        <v>693</v>
      </c>
      <c r="B39" s="296" t="s">
        <v>697</v>
      </c>
      <c r="C39" s="297" t="s">
        <v>669</v>
      </c>
      <c r="D39" s="289">
        <f>ROUND((F39*'Pawn Weights'!$K$22)+(G39*'Pawn Weights'!$K$23)+(H39*'Pawn Weights'!$K$24)+(I39*'Pawn Weights'!$K$25)+(J39*'Pawn Weights'!$K$26)+(K39*'Pawn Weights'!$K$27)+(L39*'Pawn Weights'!$K$28)+(M39*'Pawn Weights'!$K$29)+(N39*'Pawn Weights'!$K$30)+(O39*'Pawn Weights'!$K$31)+(P39*'Pawn Weights'!$K$32)+(Q39*'Pawn Weights'!$K$33)-10+9.55+3, 2)</f>
        <v>109.43</v>
      </c>
      <c r="E39" s="298">
        <v>48.0</v>
      </c>
      <c r="F39" s="298">
        <v>45.0</v>
      </c>
      <c r="G39" s="297"/>
      <c r="H39" s="297"/>
      <c r="I39" s="298">
        <v>30.0</v>
      </c>
      <c r="J39" s="297"/>
      <c r="K39" s="298">
        <v>27.0</v>
      </c>
      <c r="L39" s="297"/>
      <c r="M39" s="137"/>
      <c r="N39" s="297"/>
      <c r="O39" s="298">
        <v>1.0</v>
      </c>
      <c r="P39" s="298">
        <v>1.0</v>
      </c>
      <c r="Q39" s="297"/>
      <c r="R39" s="298" t="s">
        <v>698</v>
      </c>
      <c r="S39" s="137"/>
      <c r="T39" s="295"/>
      <c r="U39" s="137"/>
      <c r="V39" s="137"/>
      <c r="W39" s="137"/>
      <c r="X39" s="137"/>
      <c r="Y39" s="137"/>
      <c r="Z39" s="137"/>
    </row>
    <row r="40">
      <c r="A40" s="301" t="s">
        <v>640</v>
      </c>
      <c r="B40" s="288" t="s">
        <v>700</v>
      </c>
      <c r="C40" s="280" t="s">
        <v>701</v>
      </c>
      <c r="D40" s="289">
        <f>ROUND((F40*'Pawn Weights'!$K$22)+(G40*'Pawn Weights'!$K$23)+(H40*'Pawn Weights'!$K$24)+(I40*'Pawn Weights'!$K$25)+(J40*'Pawn Weights'!$K$26)+(K40*'Pawn Weights'!$K$27)+(L40*'Pawn Weights'!$K$28)+(M40*'Pawn Weights'!$K$29)+(N40*'Pawn Weights'!$K$30)+(O40*'Pawn Weights'!$K$31)+(P40*'Pawn Weights'!$K$32)+(Q40*'Pawn Weights'!$K$33), 2)</f>
        <v>102.76</v>
      </c>
      <c r="E40" s="280">
        <v>34.0</v>
      </c>
      <c r="F40" s="280">
        <v>39.0</v>
      </c>
      <c r="G40" s="280">
        <v>39.0</v>
      </c>
      <c r="H40" s="280"/>
      <c r="I40" s="280"/>
      <c r="J40" s="280"/>
      <c r="K40" s="280"/>
      <c r="L40" s="280"/>
      <c r="M40" s="280">
        <v>91.0</v>
      </c>
      <c r="N40" s="280"/>
      <c r="O40" s="280"/>
      <c r="P40" s="280">
        <v>1.0</v>
      </c>
      <c r="Q40" s="280">
        <v>1.0</v>
      </c>
      <c r="R40" s="290" t="s">
        <v>702</v>
      </c>
      <c r="S40" s="281"/>
      <c r="T40" s="291"/>
      <c r="U40" s="281"/>
      <c r="V40" s="281"/>
      <c r="W40" s="281"/>
    </row>
    <row r="41">
      <c r="A41" s="295"/>
      <c r="B41" s="296" t="s">
        <v>699</v>
      </c>
      <c r="C41" s="297" t="s">
        <v>669</v>
      </c>
      <c r="D41" s="289">
        <f>ROUND((F41*'Pawn Weights'!$K$22)+(G41*'Pawn Weights'!$K$23)+(H41*'Pawn Weights'!$K$24)+(I41*'Pawn Weights'!$K$25)+(J41*'Pawn Weights'!$K$26)+(K41*'Pawn Weights'!$K$27)+(L41*'Pawn Weights'!$K$28)+(M41*'Pawn Weights'!$K$29)+(N41*'Pawn Weights'!$K$30)+(O41*'Pawn Weights'!$K$31)+(P41*'Pawn Weights'!$K$32)+(Q41*'Pawn Weights'!$K$33), 2)</f>
        <v>96.8</v>
      </c>
      <c r="E41" s="298">
        <v>45.0</v>
      </c>
      <c r="F41" s="297"/>
      <c r="G41" s="298">
        <v>33.0</v>
      </c>
      <c r="H41" s="298">
        <v>90.0</v>
      </c>
      <c r="I41" s="297"/>
      <c r="J41" s="298">
        <v>26.0</v>
      </c>
      <c r="K41" s="298">
        <v>30.0</v>
      </c>
      <c r="L41" s="297"/>
      <c r="M41" s="361"/>
      <c r="N41" s="297"/>
      <c r="O41" s="297"/>
      <c r="P41" s="297"/>
      <c r="Q41" s="297"/>
      <c r="R41" s="298"/>
      <c r="S41" s="137"/>
      <c r="T41" s="295"/>
      <c r="U41" s="137"/>
      <c r="V41" s="137"/>
      <c r="W41" s="137"/>
      <c r="X41" s="137"/>
      <c r="Y41" s="137"/>
      <c r="Z41" s="137"/>
    </row>
    <row r="42">
      <c r="A42" s="295" t="s">
        <v>635</v>
      </c>
      <c r="B42" s="296" t="s">
        <v>703</v>
      </c>
      <c r="C42" s="297" t="s">
        <v>637</v>
      </c>
      <c r="D42" s="289">
        <f>ROUND((F42*'Pawn Weights'!$K$22)+(G42*'Pawn Weights'!$K$23)+(H42*'Pawn Weights'!$K$24)+(I42*'Pawn Weights'!$K$25)+(J42*'Pawn Weights'!$K$26)+(K42*'Pawn Weights'!$K$27)+(L42*'Pawn Weights'!$K$28)+(M42*'Pawn Weights'!$K$29)+(N42*'Pawn Weights'!$K$30)+(O42*'Pawn Weights'!$K$31)+(P42*'Pawn Weights'!$K$32)+(Q42*'Pawn Weights'!$K$33)-10+9.55+2.73, 2)</f>
        <v>92.13</v>
      </c>
      <c r="E42" s="298">
        <v>64.0</v>
      </c>
      <c r="F42" s="298">
        <v>38.0</v>
      </c>
      <c r="G42" s="297"/>
      <c r="H42" s="297"/>
      <c r="I42" s="298">
        <v>35.0</v>
      </c>
      <c r="J42" s="297"/>
      <c r="K42" s="297"/>
      <c r="L42" s="297"/>
      <c r="M42" s="137"/>
      <c r="N42" s="297"/>
      <c r="O42" s="298">
        <v>1.0</v>
      </c>
      <c r="P42" s="298">
        <v>1.0</v>
      </c>
      <c r="Q42" s="297"/>
      <c r="R42" s="298" t="s">
        <v>702</v>
      </c>
      <c r="S42" s="137"/>
      <c r="T42" s="297" t="s">
        <v>704</v>
      </c>
      <c r="U42" s="137"/>
      <c r="V42" s="137"/>
      <c r="W42" s="137"/>
      <c r="X42" s="137"/>
      <c r="Y42" s="137"/>
      <c r="Z42" s="137"/>
    </row>
    <row r="43">
      <c r="A43" s="301"/>
      <c r="B43" s="288" t="s">
        <v>705</v>
      </c>
      <c r="C43" s="280" t="s">
        <v>706</v>
      </c>
      <c r="D43" s="289">
        <f>ROUND((F43*'Pawn Weights'!$K$22)+(G43*'Pawn Weights'!$K$23)+(H43*'Pawn Weights'!$K$24)+(I43*'Pawn Weights'!$K$25)+(J43*'Pawn Weights'!$K$26)+(K43*'Pawn Weights'!$K$27)+(L43*'Pawn Weights'!$K$28)+(M43*'Pawn Weights'!$K$29)+(N43*'Pawn Weights'!$K$30)+(O43*'Pawn Weights'!$K$31)+(P43*'Pawn Weights'!$K$32)+(Q43*'Pawn Weights'!$K$33), 2)</f>
        <v>91.76</v>
      </c>
      <c r="E43" s="280">
        <v>34.0</v>
      </c>
      <c r="F43" s="280">
        <v>47.0</v>
      </c>
      <c r="G43" s="280"/>
      <c r="H43" s="280"/>
      <c r="I43" s="280">
        <v>32.0</v>
      </c>
      <c r="J43" s="280">
        <v>23.0</v>
      </c>
      <c r="K43" s="280"/>
      <c r="L43" s="280"/>
      <c r="M43" s="281"/>
      <c r="N43" s="280"/>
      <c r="O43" s="280"/>
      <c r="P43" s="280"/>
      <c r="Q43" s="280"/>
      <c r="R43" s="290"/>
      <c r="S43" s="281"/>
      <c r="T43" s="291"/>
      <c r="U43" s="281"/>
      <c r="V43" s="281"/>
      <c r="W43" s="281"/>
    </row>
    <row r="44">
      <c r="A44" s="301"/>
      <c r="B44" s="288" t="s">
        <v>707</v>
      </c>
      <c r="C44" s="280" t="s">
        <v>708</v>
      </c>
      <c r="D44" s="289">
        <f>ROUND((F44*'Pawn Weights'!$K$22)+(G44*'Pawn Weights'!$K$23)+(H44*'Pawn Weights'!$K$24)+(I44*'Pawn Weights'!$K$25)+(J44*'Pawn Weights'!$K$26)+(K44*'Pawn Weights'!$K$27)+(L44*'Pawn Weights'!$K$28)+(M44*'Pawn Weights'!$K$29)+(N44*'Pawn Weights'!$K$30)+(O44*'Pawn Weights'!$K$31)+(P44*'Pawn Weights'!$K$32)+(Q44*'Pawn Weights'!$K$33)-20+19.1+3, 2)</f>
        <v>89.96</v>
      </c>
      <c r="E44" s="280"/>
      <c r="F44" s="280">
        <v>39.0</v>
      </c>
      <c r="G44" s="280"/>
      <c r="H44" s="280"/>
      <c r="I44" s="280">
        <v>22.0</v>
      </c>
      <c r="J44" s="280">
        <v>13.0</v>
      </c>
      <c r="K44" s="280"/>
      <c r="L44" s="280"/>
      <c r="M44" s="281"/>
      <c r="N44" s="280"/>
      <c r="O44" s="280"/>
      <c r="P44" s="280">
        <v>2.0</v>
      </c>
      <c r="Q44" s="280"/>
      <c r="R44" s="290" t="s">
        <v>698</v>
      </c>
      <c r="S44" s="281"/>
      <c r="T44" s="291"/>
      <c r="U44" s="281"/>
      <c r="V44" s="281"/>
      <c r="W44" s="281"/>
    </row>
    <row r="45">
      <c r="A45" s="301"/>
      <c r="B45" s="288" t="s">
        <v>709</v>
      </c>
      <c r="C45" s="280" t="s">
        <v>710</v>
      </c>
      <c r="D45" s="289">
        <f>ROUND((F45*'Pawn Weights'!$K$22)+(G45*'Pawn Weights'!$K$23)+(H45*'Pawn Weights'!$K$24)+(I45*'Pawn Weights'!$K$25)+(J45*'Pawn Weights'!$K$26)+(K45*'Pawn Weights'!$K$27)+(L45*'Pawn Weights'!$K$28)+(M45*'Pawn Weights'!$K$29)+(N45*'Pawn Weights'!$K$30)+(O45*'Pawn Weights'!$K$31)+(P45*'Pawn Weights'!$K$32)+(Q45*'Pawn Weights'!$K$33)+1.334, 2)</f>
        <v>88.68</v>
      </c>
      <c r="E45" s="280">
        <v>28.0</v>
      </c>
      <c r="F45" s="280"/>
      <c r="G45" s="280">
        <v>33.0</v>
      </c>
      <c r="H45" s="280">
        <v>60.0</v>
      </c>
      <c r="I45" s="280">
        <v>16.0</v>
      </c>
      <c r="J45" s="280"/>
      <c r="K45" s="280"/>
      <c r="L45" s="280">
        <v>10.0</v>
      </c>
      <c r="M45" s="281"/>
      <c r="N45" s="280"/>
      <c r="O45" s="280">
        <v>1.0</v>
      </c>
      <c r="P45" s="280"/>
      <c r="Q45" s="280"/>
      <c r="R45" s="290" t="s">
        <v>711</v>
      </c>
      <c r="S45" s="281"/>
      <c r="T45" s="291" t="s">
        <v>1079</v>
      </c>
      <c r="U45" s="281"/>
      <c r="V45" s="281"/>
      <c r="W45" s="281"/>
    </row>
    <row r="46">
      <c r="A46" s="301"/>
      <c r="B46" s="288" t="s">
        <v>715</v>
      </c>
      <c r="C46" s="280" t="s">
        <v>716</v>
      </c>
      <c r="D46" s="289">
        <f>ROUND((F46*'Pawn Weights'!$K$22)+(G46*'Pawn Weights'!$K$23)+(H46*'Pawn Weights'!$K$24)+(I46*'Pawn Weights'!$K$25)+(J46*'Pawn Weights'!$K$26)+(K46*'Pawn Weights'!$K$27)+(L46*'Pawn Weights'!$K$28)+(M46*'Pawn Weights'!$K$29)+(N46*'Pawn Weights'!$K$30)+(O46*'Pawn Weights'!$K$31)+(P46*'Pawn Weights'!$K$32)+(Q46*'Pawn Weights'!$K$33), 2)</f>
        <v>87.71</v>
      </c>
      <c r="E46" s="280">
        <v>34.0</v>
      </c>
      <c r="F46" s="280"/>
      <c r="G46" s="280"/>
      <c r="H46" s="280">
        <v>94.0</v>
      </c>
      <c r="I46" s="280">
        <v>33.0</v>
      </c>
      <c r="J46" s="280">
        <v>22.0</v>
      </c>
      <c r="K46" s="280"/>
      <c r="L46" s="280"/>
      <c r="M46" s="281"/>
      <c r="N46" s="280"/>
      <c r="O46" s="280"/>
      <c r="P46" s="280"/>
      <c r="Q46" s="280"/>
      <c r="R46" s="290"/>
      <c r="S46" s="281"/>
      <c r="T46" s="291"/>
      <c r="U46" s="281"/>
      <c r="V46" s="281"/>
      <c r="W46" s="281"/>
    </row>
    <row r="47">
      <c r="A47" s="301" t="s">
        <v>647</v>
      </c>
      <c r="B47" s="288" t="s">
        <v>719</v>
      </c>
      <c r="C47" s="280" t="s">
        <v>720</v>
      </c>
      <c r="D47" s="289">
        <f>ROUND((F47*'Pawn Weights'!$K$22)+(G47*'Pawn Weights'!$K$23)+(H47*'Pawn Weights'!$K$24)+(I47*'Pawn Weights'!$K$25)+(J47*'Pawn Weights'!$K$26)+(K47*'Pawn Weights'!$K$27)+(L47*'Pawn Weights'!$K$28)+(M47*'Pawn Weights'!$K$29)+(N47*'Pawn Weights'!$K$30)+(O47*'Pawn Weights'!$K$31)+(P47*'Pawn Weights'!$K$32)+(Q47*'Pawn Weights'!$K$33), 2)</f>
        <v>86.44</v>
      </c>
      <c r="E47" s="280">
        <v>38.0</v>
      </c>
      <c r="F47" s="280">
        <v>36.0</v>
      </c>
      <c r="G47" s="280"/>
      <c r="H47" s="280"/>
      <c r="I47" s="280">
        <v>20.0</v>
      </c>
      <c r="J47" s="280">
        <v>18.0</v>
      </c>
      <c r="K47" s="280"/>
      <c r="L47" s="280"/>
      <c r="M47" s="281"/>
      <c r="N47" s="280"/>
      <c r="O47" s="280"/>
      <c r="P47" s="280">
        <v>1.0</v>
      </c>
      <c r="Q47" s="280">
        <v>1.0</v>
      </c>
      <c r="R47" s="290" t="s">
        <v>698</v>
      </c>
      <c r="S47" s="281"/>
      <c r="T47" s="291"/>
      <c r="U47" s="281"/>
      <c r="V47" s="281"/>
      <c r="W47" s="281"/>
      <c r="X47" s="281"/>
    </row>
    <row r="48">
      <c r="A48" s="295"/>
      <c r="B48" s="296" t="s">
        <v>717</v>
      </c>
      <c r="C48" s="297" t="s">
        <v>718</v>
      </c>
      <c r="D48" s="289">
        <f>ROUND((F48*'Pawn Weights'!$K$22)+(G48*'Pawn Weights'!$K$23)+(H48*'Pawn Weights'!$K$24)+(I48*'Pawn Weights'!$K$25)+(J48*'Pawn Weights'!$K$26)+(K48*'Pawn Weights'!$K$27)+(L48*'Pawn Weights'!$K$28)+(M48*'Pawn Weights'!$K$29)+(N48*'Pawn Weights'!$K$30)+(O48*'Pawn Weights'!$K$31)+(P48*'Pawn Weights'!$K$32)+(Q48*'Pawn Weights'!$K$33), 2)</f>
        <v>87.67</v>
      </c>
      <c r="E48" s="298">
        <v>33.0</v>
      </c>
      <c r="F48" s="298">
        <v>42.0</v>
      </c>
      <c r="G48" s="297"/>
      <c r="H48" s="297"/>
      <c r="I48" s="297"/>
      <c r="J48" s="298">
        <v>23.0</v>
      </c>
      <c r="K48" s="297"/>
      <c r="L48" s="297"/>
      <c r="M48" s="359">
        <v>154.0</v>
      </c>
      <c r="N48" s="297"/>
      <c r="O48" s="297"/>
      <c r="P48" s="297"/>
      <c r="Q48" s="297"/>
      <c r="R48" s="295"/>
      <c r="S48" s="137"/>
      <c r="T48" s="295"/>
      <c r="U48" s="137"/>
      <c r="V48" s="137"/>
      <c r="W48" s="137"/>
      <c r="X48" s="137"/>
      <c r="Y48" s="137"/>
      <c r="Z48" s="137"/>
    </row>
    <row r="49">
      <c r="A49" s="301"/>
      <c r="B49" s="288" t="s">
        <v>721</v>
      </c>
      <c r="C49" s="280" t="s">
        <v>710</v>
      </c>
      <c r="D49" s="289">
        <f>ROUND((F49*'Pawn Weights'!$K$22)+(G49*'Pawn Weights'!$K$23)+(H49*'Pawn Weights'!$K$24)+(I49*'Pawn Weights'!$K$25)+(J49*'Pawn Weights'!$K$26)+(K49*'Pawn Weights'!$K$27)+(L49*'Pawn Weights'!$K$28)+(M49*'Pawn Weights'!$K$29)+(N49*'Pawn Weights'!$K$30)+(O49*'Pawn Weights'!$K$31)+(P49*'Pawn Weights'!$K$32)+(Q49*'Pawn Weights'!$K$33), 2)</f>
        <v>84.39</v>
      </c>
      <c r="E49" s="280">
        <v>21.0</v>
      </c>
      <c r="F49" s="280">
        <v>38.0</v>
      </c>
      <c r="G49" s="280"/>
      <c r="H49" s="280"/>
      <c r="I49" s="280">
        <v>29.0</v>
      </c>
      <c r="J49" s="280"/>
      <c r="K49" s="280"/>
      <c r="L49" s="280"/>
      <c r="M49" s="281"/>
      <c r="N49" s="280"/>
      <c r="O49" s="280">
        <v>1.0</v>
      </c>
      <c r="P49" s="280"/>
      <c r="Q49" s="280">
        <v>1.0</v>
      </c>
      <c r="R49" s="290" t="s">
        <v>702</v>
      </c>
      <c r="S49" s="281"/>
      <c r="T49" s="291"/>
      <c r="U49" s="281"/>
      <c r="V49" s="281"/>
      <c r="W49" s="281"/>
    </row>
    <row r="50">
      <c r="A50" s="301"/>
      <c r="B50" s="288" t="s">
        <v>722</v>
      </c>
      <c r="C50" s="280" t="s">
        <v>723</v>
      </c>
      <c r="D50" s="289">
        <f>ROUND((F50*'Pawn Weights'!$K$22)+(G50*'Pawn Weights'!$K$23)+(H50*'Pawn Weights'!$K$24)+(I50*'Pawn Weights'!$K$25)+(J50*'Pawn Weights'!$K$26)+(K50*'Pawn Weights'!$K$27)+(L50*'Pawn Weights'!$K$28)+(M50*'Pawn Weights'!$K$29)+(N50*'Pawn Weights'!$K$30)+(O50*'Pawn Weights'!$K$31)+(P50*'Pawn Weights'!$K$32)+(Q50*'Pawn Weights'!$K$33), 2)</f>
        <v>83.55</v>
      </c>
      <c r="E50" s="280">
        <v>37.0</v>
      </c>
      <c r="F50" s="280"/>
      <c r="G50" s="280">
        <v>38.0</v>
      </c>
      <c r="H50" s="280">
        <v>76.0</v>
      </c>
      <c r="I50" s="280">
        <v>26.0</v>
      </c>
      <c r="J50" s="280"/>
      <c r="K50" s="280"/>
      <c r="L50" s="280"/>
      <c r="M50" s="281"/>
      <c r="N50" s="280"/>
      <c r="O50" s="280"/>
      <c r="P50" s="280"/>
      <c r="Q50" s="280"/>
      <c r="R50" s="290"/>
      <c r="S50" s="281"/>
      <c r="T50" s="291"/>
      <c r="U50" s="281"/>
      <c r="V50" s="281"/>
      <c r="W50" s="281"/>
      <c r="X50" s="281"/>
    </row>
    <row r="51">
      <c r="A51" s="301" t="s">
        <v>644</v>
      </c>
      <c r="B51" s="288" t="s">
        <v>1080</v>
      </c>
      <c r="C51" s="280" t="s">
        <v>646</v>
      </c>
      <c r="D51" s="289">
        <f>ROUND((F51*'Pawn Weights'!$K$22)+(G51*'Pawn Weights'!$K$23)+(H51*'Pawn Weights'!$K$24)+(I51*'Pawn Weights'!$K$25)+(J51*'Pawn Weights'!$K$26)+(K51*'Pawn Weights'!$K$27)+(L51*'Pawn Weights'!$K$28)+(M51*'Pawn Weights'!$K$29)+(N51*'Pawn Weights'!$K$30)+(O51*'Pawn Weights'!$K$31)+(P51*'Pawn Weights'!$K$32)+(Q51*'Pawn Weights'!$K$33)-10+9.55+2.73, 2)</f>
        <v>82.58</v>
      </c>
      <c r="E51" s="280">
        <v>57.0</v>
      </c>
      <c r="F51" s="280">
        <v>33.0</v>
      </c>
      <c r="G51" s="280"/>
      <c r="H51" s="280"/>
      <c r="I51" s="280">
        <v>30.0</v>
      </c>
      <c r="J51" s="280"/>
      <c r="K51" s="280"/>
      <c r="L51" s="280"/>
      <c r="M51" s="281"/>
      <c r="N51" s="280"/>
      <c r="O51" s="280">
        <v>1.0</v>
      </c>
      <c r="P51" s="280">
        <v>1.0</v>
      </c>
      <c r="Q51" s="280"/>
      <c r="R51" s="290" t="s">
        <v>702</v>
      </c>
      <c r="S51" s="281"/>
      <c r="T51" s="291" t="s">
        <v>704</v>
      </c>
      <c r="U51" s="281"/>
      <c r="V51" s="281"/>
      <c r="W51" s="281"/>
    </row>
    <row r="52">
      <c r="A52" s="301" t="s">
        <v>627</v>
      </c>
      <c r="B52" s="288" t="s">
        <v>713</v>
      </c>
      <c r="C52" s="280" t="s">
        <v>714</v>
      </c>
      <c r="D52" s="289">
        <f>ROUND((F52*'Pawn Weights'!$K$22)+(G52*'Pawn Weights'!$K$23)+(H52*'Pawn Weights'!$K$24)+(I52*'Pawn Weights'!$K$25)+(J52*'Pawn Weights'!$K$26)+(K52*'Pawn Weights'!$K$27)+(L52*'Pawn Weights'!$K$28)+(M52*'Pawn Weights'!$K$29)+(N52*'Pawn Weights'!$K$30)+(O52*'Pawn Weights'!$K$31)+(P52*'Pawn Weights'!$K$32)+(Q52*'Pawn Weights'!$K$33), 2)</f>
        <v>78.82</v>
      </c>
      <c r="E52" s="280">
        <v>29.0</v>
      </c>
      <c r="F52" s="280">
        <v>47.0</v>
      </c>
      <c r="G52" s="280"/>
      <c r="H52" s="280"/>
      <c r="I52" s="280"/>
      <c r="J52" s="280">
        <v>19.0</v>
      </c>
      <c r="K52" s="280">
        <v>35.0</v>
      </c>
      <c r="L52" s="280"/>
      <c r="M52" s="281"/>
      <c r="N52" s="280"/>
      <c r="O52" s="280"/>
      <c r="P52" s="280"/>
      <c r="Q52" s="280"/>
      <c r="R52" s="290"/>
      <c r="S52" s="281"/>
      <c r="T52" s="291"/>
      <c r="U52" s="281"/>
      <c r="V52" s="281"/>
      <c r="W52" s="281"/>
    </row>
    <row r="53">
      <c r="A53" s="301" t="s">
        <v>1068</v>
      </c>
      <c r="B53" s="288" t="s">
        <v>1081</v>
      </c>
      <c r="C53" s="280" t="s">
        <v>997</v>
      </c>
      <c r="D53" s="289">
        <f>ROUND((F53*'Pawn Weights'!$K$22)+(G53*'Pawn Weights'!$K$23)+(H53*'Pawn Weights'!$K$24)+(I53*'Pawn Weights'!$K$25)+(J53*'Pawn Weights'!$K$26)+(K53*'Pawn Weights'!$K$27)+(L53*'Pawn Weights'!$K$28)+(M53*'Pawn Weights'!$K$29)+(N53*'Pawn Weights'!$K$30)+(O53*'Pawn Weights'!$K$31)+(P53*'Pawn Weights'!$K$32)+(Q53*'Pawn Weights'!$K$33)-10+9.55+3, 2)</f>
        <v>76.12</v>
      </c>
      <c r="E53" s="280">
        <v>51.0</v>
      </c>
      <c r="F53" s="280">
        <v>29.0</v>
      </c>
      <c r="G53" s="280"/>
      <c r="H53" s="280"/>
      <c r="I53" s="280">
        <v>27.0</v>
      </c>
      <c r="J53" s="280"/>
      <c r="K53" s="280"/>
      <c r="L53" s="280"/>
      <c r="M53" s="281"/>
      <c r="N53" s="280"/>
      <c r="O53" s="280">
        <v>1.0</v>
      </c>
      <c r="P53" s="280">
        <v>1.0</v>
      </c>
      <c r="Q53" s="280"/>
      <c r="R53" s="290" t="s">
        <v>698</v>
      </c>
      <c r="S53" s="281"/>
      <c r="T53" s="291" t="s">
        <v>704</v>
      </c>
      <c r="U53" s="281"/>
      <c r="V53" s="281"/>
      <c r="W53" s="281"/>
    </row>
    <row r="54">
      <c r="A54" s="272" t="s">
        <v>724</v>
      </c>
      <c r="B54" s="281"/>
      <c r="C54" s="281"/>
      <c r="D54" s="360"/>
      <c r="E54" s="281"/>
      <c r="F54" s="281"/>
      <c r="G54" s="281"/>
      <c r="H54" s="281"/>
      <c r="I54" s="281"/>
      <c r="J54" s="281"/>
      <c r="K54" s="281"/>
      <c r="L54" s="281"/>
      <c r="M54" s="281"/>
      <c r="N54" s="281"/>
      <c r="O54" s="281"/>
      <c r="P54" s="281"/>
      <c r="Q54" s="281"/>
      <c r="R54" s="282"/>
      <c r="S54" s="281"/>
      <c r="T54" s="285"/>
      <c r="U54" s="281"/>
      <c r="V54" s="281"/>
      <c r="W54" s="281"/>
    </row>
    <row r="55">
      <c r="A55" s="137"/>
      <c r="B55" s="296" t="s">
        <v>725</v>
      </c>
      <c r="C55" s="297" t="s">
        <v>621</v>
      </c>
      <c r="D55" s="289">
        <f>ROUND((F55*'Pawn Weights'!$K$22)+(G55*'Pawn Weights'!$K$23)+(H55*'Pawn Weights'!$K$24)+(I55*'Pawn Weights'!$K$25)+(J55*'Pawn Weights'!$K$26)+(K55*'Pawn Weights'!$K$27)+(L55*'Pawn Weights'!$K$28)+(M55*'Pawn Weights'!$K$29)+(N55*'Pawn Weights'!$K$30)+(O55*'Pawn Weights'!$K$31)+(P55*'Pawn Weights'!$K$32)+(Q55*'Pawn Weights'!$K$33)-10+9.55+1.818, 2)</f>
        <v>78.71</v>
      </c>
      <c r="E55" s="298">
        <v>25.0</v>
      </c>
      <c r="F55" s="297"/>
      <c r="G55" s="298">
        <v>26.0</v>
      </c>
      <c r="H55" s="298">
        <v>72.0</v>
      </c>
      <c r="I55" s="297"/>
      <c r="J55" s="297"/>
      <c r="K55" s="298">
        <v>32.0</v>
      </c>
      <c r="L55" s="297"/>
      <c r="M55" s="297"/>
      <c r="N55" s="297"/>
      <c r="O55" s="297"/>
      <c r="P55" s="298">
        <v>1.0</v>
      </c>
      <c r="Q55" s="297"/>
      <c r="R55" s="298" t="s">
        <v>660</v>
      </c>
      <c r="S55" s="137"/>
      <c r="T55" s="137"/>
      <c r="U55" s="137"/>
      <c r="V55" s="137"/>
      <c r="W55" s="137"/>
      <c r="X55" s="137"/>
      <c r="Y55" s="137"/>
      <c r="Z55" s="137"/>
    </row>
    <row r="56">
      <c r="A56" s="281"/>
      <c r="B56" s="302" t="s">
        <v>726</v>
      </c>
      <c r="C56" s="280" t="s">
        <v>727</v>
      </c>
      <c r="D56" s="289">
        <f>ROUND((F56*'Pawn Weights'!$K$22)+(G56*'Pawn Weights'!$K$23)+(H56*'Pawn Weights'!$K$24)+(I56*'Pawn Weights'!$K$25)+(J56*'Pawn Weights'!$K$26)+(K56*'Pawn Weights'!$K$27)+(L56*'Pawn Weights'!$K$28)+(M56*'Pawn Weights'!$K$29)+(N56*'Pawn Weights'!$K$30)+(O56*'Pawn Weights'!$K$31)+(P56*'Pawn Weights'!$K$32)+(Q56*'Pawn Weights'!$K$33), 2)</f>
        <v>66.12</v>
      </c>
      <c r="E56" s="280">
        <v>24.0</v>
      </c>
      <c r="F56" s="280"/>
      <c r="G56" s="280"/>
      <c r="H56" s="280">
        <v>72.0</v>
      </c>
      <c r="I56" s="280">
        <v>24.0</v>
      </c>
      <c r="J56" s="280">
        <v>17.0</v>
      </c>
      <c r="K56" s="280"/>
      <c r="L56" s="280"/>
      <c r="M56" s="280"/>
      <c r="N56" s="280"/>
      <c r="O56" s="280"/>
      <c r="P56" s="280"/>
      <c r="Q56" s="280"/>
      <c r="R56" s="290"/>
      <c r="S56" s="281"/>
      <c r="T56" s="222"/>
      <c r="U56" s="281"/>
      <c r="V56" s="281"/>
      <c r="W56" s="281"/>
      <c r="X56" s="281"/>
    </row>
    <row r="57" ht="14.25" customHeight="1">
      <c r="A57" s="137"/>
      <c r="B57" s="296" t="s">
        <v>728</v>
      </c>
      <c r="C57" s="297" t="s">
        <v>1082</v>
      </c>
      <c r="D57" s="289">
        <f>ROUND((F57*'Pawn Weights'!$K$22)+(G57*'Pawn Weights'!$K$23)+(H57*'Pawn Weights'!$K$24)+(I57*'Pawn Weights'!$K$25)+(J57*'Pawn Weights'!$K$26)+(K57*'Pawn Weights'!$K$27)+(L57*'Pawn Weights'!$K$28)+(M57*'Pawn Weights'!$K$29)+(N57*'Pawn Weights'!$K$30)+(O57*'Pawn Weights'!$K$31)+(P57*'Pawn Weights'!$K$32)+(Q57*'Pawn Weights'!$K$33), 2)</f>
        <v>60.95</v>
      </c>
      <c r="E57" s="298">
        <v>34.0</v>
      </c>
      <c r="F57" s="297"/>
      <c r="G57" s="297"/>
      <c r="H57" s="298">
        <v>46.0</v>
      </c>
      <c r="I57" s="298">
        <v>20.0</v>
      </c>
      <c r="J57" s="297"/>
      <c r="K57" s="297"/>
      <c r="L57" s="297"/>
      <c r="M57" s="298">
        <v>112.0</v>
      </c>
      <c r="N57" s="297"/>
      <c r="O57" s="297"/>
      <c r="P57" s="297"/>
      <c r="Q57" s="297"/>
      <c r="R57" s="295"/>
      <c r="S57" s="137"/>
      <c r="T57" s="361" t="s">
        <v>704</v>
      </c>
      <c r="U57" s="137"/>
      <c r="V57" s="137"/>
      <c r="W57" s="137"/>
      <c r="X57" s="137"/>
      <c r="Y57" s="137"/>
      <c r="Z57" s="137"/>
    </row>
    <row r="58">
      <c r="A58" s="292" t="s">
        <v>627</v>
      </c>
      <c r="B58" s="288" t="s">
        <v>729</v>
      </c>
      <c r="C58" s="280" t="s">
        <v>730</v>
      </c>
      <c r="D58" s="289">
        <f>ROUND((F58*'Pawn Weights'!$K$22)+(G58*'Pawn Weights'!$K$23)+(H58*'Pawn Weights'!$K$24)+(I58*'Pawn Weights'!$K$25)+(J58*'Pawn Weights'!$K$26)+(K58*'Pawn Weights'!$K$27)+(L58*'Pawn Weights'!$K$28)+(M58*'Pawn Weights'!$K$29)+(N58*'Pawn Weights'!$K$30)+(O58*'Pawn Weights'!$K$31)+(P58*'Pawn Weights'!$K$32)+(Q58*'Pawn Weights'!$K$33)+1.36, 2)</f>
        <v>55.92</v>
      </c>
      <c r="E58" s="280"/>
      <c r="F58" s="280"/>
      <c r="G58" s="280"/>
      <c r="H58" s="280">
        <v>52.0</v>
      </c>
      <c r="I58" s="280">
        <v>23.0</v>
      </c>
      <c r="J58" s="280"/>
      <c r="K58" s="280"/>
      <c r="L58" s="280"/>
      <c r="M58" s="281"/>
      <c r="N58" s="280"/>
      <c r="O58" s="280">
        <v>1.0</v>
      </c>
      <c r="P58" s="280"/>
      <c r="Q58" s="280"/>
      <c r="R58" s="290" t="s">
        <v>731</v>
      </c>
      <c r="S58" s="281"/>
      <c r="T58" s="291" t="s">
        <v>1083</v>
      </c>
      <c r="U58" s="281"/>
      <c r="V58" s="281"/>
      <c r="W58" s="281"/>
      <c r="X58" s="281"/>
    </row>
    <row r="59">
      <c r="A59" s="303" t="s">
        <v>627</v>
      </c>
      <c r="B59" s="302" t="s">
        <v>734</v>
      </c>
      <c r="C59" s="154" t="s">
        <v>735</v>
      </c>
      <c r="D59" s="289">
        <f>ROUND((F59*'Pawn Weights'!$K$22)+(G59*'Pawn Weights'!$K$23)+(H59*'Pawn Weights'!$K$24)+(I59*'Pawn Weights'!$K$25)+(J59*'Pawn Weights'!$K$26)+(K59*'Pawn Weights'!$K$27)+(L59*'Pawn Weights'!$K$28)+(M59*'Pawn Weights'!$K$29)+(N59*'Pawn Weights'!$K$30)+(O59*'Pawn Weights'!$K$31)+(P59*'Pawn Weights'!$K$32)+(Q59*'Pawn Weights'!$K$33), 2)</f>
        <v>54.84</v>
      </c>
      <c r="E59" s="280">
        <v>25.0</v>
      </c>
      <c r="F59" s="280">
        <v>23.0</v>
      </c>
      <c r="G59" s="280"/>
      <c r="H59" s="280"/>
      <c r="I59" s="280">
        <v>24.0</v>
      </c>
      <c r="J59" s="280"/>
      <c r="K59" s="280"/>
      <c r="L59" s="280"/>
      <c r="M59" s="281"/>
      <c r="N59" s="280"/>
      <c r="O59" s="280"/>
      <c r="P59" s="280"/>
      <c r="Q59" s="280">
        <v>1.0</v>
      </c>
      <c r="R59" s="290" t="s">
        <v>736</v>
      </c>
      <c r="S59" s="281"/>
      <c r="T59" s="291" t="s">
        <v>737</v>
      </c>
      <c r="U59" s="281"/>
      <c r="V59" s="281"/>
      <c r="W59" s="281"/>
      <c r="X59" s="304"/>
      <c r="Y59" s="304"/>
      <c r="Z59" s="304"/>
    </row>
    <row r="60">
      <c r="A60" s="281"/>
      <c r="B60" s="302" t="s">
        <v>738</v>
      </c>
      <c r="C60" s="280" t="s">
        <v>739</v>
      </c>
      <c r="D60" s="289">
        <f>ROUND((F60*'Pawn Weights'!$K$22)+(G60*'Pawn Weights'!$K$23)+(H60*'Pawn Weights'!$K$24)+(I60*'Pawn Weights'!$K$25)+(J60*'Pawn Weights'!$K$26)+(K60*'Pawn Weights'!$K$27)+(L60*'Pawn Weights'!$K$28)+(M60*'Pawn Weights'!$K$29)+(N60*'Pawn Weights'!$K$30)+(O60*'Pawn Weights'!$K$31)+(P60*'Pawn Weights'!$K$32)+(Q60*'Pawn Weights'!$K$33), 2)</f>
        <v>54.57</v>
      </c>
      <c r="E60" s="280"/>
      <c r="F60" s="280"/>
      <c r="G60" s="280"/>
      <c r="H60" s="280">
        <v>60.0</v>
      </c>
      <c r="I60" s="280">
        <v>30.0</v>
      </c>
      <c r="J60" s="280"/>
      <c r="K60" s="280"/>
      <c r="L60" s="280"/>
      <c r="M60" s="280"/>
      <c r="N60" s="280"/>
      <c r="O60" s="280"/>
      <c r="P60" s="280"/>
      <c r="Q60" s="280"/>
      <c r="R60" s="290"/>
      <c r="S60" s="281"/>
      <c r="T60" s="222"/>
      <c r="U60" s="281"/>
      <c r="V60" s="281"/>
      <c r="W60" s="281"/>
      <c r="X60" s="281"/>
    </row>
    <row r="61" ht="1.5" customHeight="1">
      <c r="A61" s="281"/>
      <c r="B61" s="302" t="s">
        <v>740</v>
      </c>
      <c r="C61" s="280" t="s">
        <v>741</v>
      </c>
      <c r="D61" s="289">
        <f>ROUND((F61*'Pawn Weights'!$K$22)+(G61*'Pawn Weights'!$K$23)+(H61*'Pawn Weights'!$K$24)+(I61*'Pawn Weights'!$K$25)+(J61*'Pawn Weights'!$K$26)+(K61*'Pawn Weights'!$K$27)+(L61*'Pawn Weights'!$K$28)+(M61*'Pawn Weights'!$K$29)+(N61*'Pawn Weights'!$K$30)+(O61*'Pawn Weights'!$K$31)+(P61*'Pawn Weights'!$K$32)+(Q61*'Pawn Weights'!$K$33), 2)</f>
        <v>49.58</v>
      </c>
      <c r="E61" s="280">
        <v>28.0</v>
      </c>
      <c r="F61" s="280"/>
      <c r="G61" s="280">
        <v>28.0</v>
      </c>
      <c r="H61" s="280">
        <v>68.0</v>
      </c>
      <c r="I61" s="280"/>
      <c r="J61" s="280"/>
      <c r="K61" s="280"/>
      <c r="L61" s="280"/>
      <c r="M61" s="280"/>
      <c r="N61" s="280"/>
      <c r="O61" s="280"/>
      <c r="P61" s="280"/>
      <c r="Q61" s="280"/>
      <c r="R61" s="290"/>
      <c r="S61" s="281"/>
      <c r="T61" s="222"/>
      <c r="U61" s="281"/>
      <c r="V61" s="281"/>
      <c r="W61" s="281"/>
      <c r="X61" s="281"/>
    </row>
    <row r="62">
      <c r="A62" s="281"/>
      <c r="B62" s="302" t="s">
        <v>1084</v>
      </c>
      <c r="C62" s="280" t="s">
        <v>900</v>
      </c>
      <c r="D62" s="289">
        <f>ROUND((F62*'Pawn Weights'!$K$22)+(G62*'Pawn Weights'!$K$23)+(H62*'Pawn Weights'!$K$24)+(I62*'Pawn Weights'!$K$25)+(J62*'Pawn Weights'!$K$26)+(K62*'Pawn Weights'!$K$27)+(L62*'Pawn Weights'!$K$28)+(M62*'Pawn Weights'!$K$29)+(N62*'Pawn Weights'!$K$30)+(O62*'Pawn Weights'!$K$31)+(P62*'Pawn Weights'!$K$32)+(Q62*'Pawn Weights'!$K$33), 2)</f>
        <v>48.34</v>
      </c>
      <c r="E62" s="280">
        <v>22.0</v>
      </c>
      <c r="F62" s="280">
        <v>33.0</v>
      </c>
      <c r="G62" s="280">
        <v>23.0</v>
      </c>
      <c r="H62" s="280"/>
      <c r="I62" s="280"/>
      <c r="J62" s="280"/>
      <c r="K62" s="280"/>
      <c r="L62" s="280"/>
      <c r="M62" s="280"/>
      <c r="N62" s="280"/>
      <c r="O62" s="280"/>
      <c r="P62" s="280"/>
      <c r="Q62" s="280"/>
      <c r="R62" s="290"/>
      <c r="S62" s="281"/>
      <c r="T62" s="222"/>
      <c r="U62" s="281"/>
      <c r="V62" s="281"/>
      <c r="W62" s="281"/>
      <c r="X62" s="281"/>
    </row>
    <row r="63" ht="14.25" customHeight="1">
      <c r="A63" s="137"/>
      <c r="B63" s="296" t="s">
        <v>732</v>
      </c>
      <c r="C63" s="297" t="s">
        <v>733</v>
      </c>
      <c r="D63" s="289">
        <f>ROUND((F63*'Pawn Weights'!$K$22)+(G63*'Pawn Weights'!$K$23)+(H63*'Pawn Weights'!$K$24)+(I63*'Pawn Weights'!$K$25)+(J63*'Pawn Weights'!$K$26)+(K63*'Pawn Weights'!$K$27)+(L63*'Pawn Weights'!$K$28)+(M63*'Pawn Weights'!$K$29)+(N63*'Pawn Weights'!$K$30)+(O63*'Pawn Weights'!$K$31)+(P63*'Pawn Weights'!$K$32)+(Q63*'Pawn Weights'!$K$33), 2)</f>
        <v>47.75</v>
      </c>
      <c r="E63" s="298">
        <v>22.0</v>
      </c>
      <c r="F63" s="295"/>
      <c r="G63" s="298">
        <v>20.0</v>
      </c>
      <c r="H63" s="298">
        <v>46.0</v>
      </c>
      <c r="I63" s="295"/>
      <c r="J63" s="295"/>
      <c r="K63" s="298">
        <v>25.0</v>
      </c>
      <c r="L63" s="295"/>
      <c r="M63" s="295"/>
      <c r="N63" s="295"/>
      <c r="O63" s="295"/>
      <c r="P63" s="295"/>
      <c r="Q63" s="295"/>
      <c r="R63" s="295"/>
      <c r="S63" s="137"/>
      <c r="T63" s="137"/>
      <c r="U63" s="137"/>
      <c r="V63" s="137"/>
      <c r="W63" s="137"/>
      <c r="X63" s="137"/>
      <c r="Y63" s="137"/>
      <c r="Z63" s="137"/>
    </row>
    <row r="64">
      <c r="A64" s="272" t="s">
        <v>742</v>
      </c>
      <c r="B64" s="281"/>
      <c r="C64" s="281"/>
      <c r="D64" s="360"/>
      <c r="E64" s="281"/>
      <c r="F64" s="281"/>
      <c r="G64" s="281"/>
      <c r="H64" s="281"/>
      <c r="I64" s="281"/>
      <c r="J64" s="281"/>
      <c r="K64" s="281"/>
      <c r="L64" s="281"/>
      <c r="M64" s="281"/>
      <c r="N64" s="281"/>
      <c r="O64" s="281"/>
      <c r="P64" s="281"/>
      <c r="Q64" s="281"/>
      <c r="R64" s="282"/>
      <c r="S64" s="281"/>
      <c r="T64" s="222"/>
      <c r="U64" s="281"/>
      <c r="V64" s="281"/>
      <c r="W64" s="281"/>
    </row>
    <row r="65" ht="1.5" customHeight="1">
      <c r="A65" s="300" t="s">
        <v>693</v>
      </c>
      <c r="B65" s="308" t="s">
        <v>743</v>
      </c>
      <c r="C65" s="297" t="s">
        <v>744</v>
      </c>
      <c r="D65" s="289">
        <f>ROUND((F65*'Pawn Weights'!$K$22)+(G65*'Pawn Weights'!$K$23)+(H65*'Pawn Weights'!$K$24)+(I65*'Pawn Weights'!$K$25)+(J65*'Pawn Weights'!$K$26)+(K65*'Pawn Weights'!$K$27)+(L65*'Pawn Weights'!$K$28)+(M65*'Pawn Weights'!$K$29)+(N65*'Pawn Weights'!$K$30)+(O65*'Pawn Weights'!$K$31)+(P65*'Pawn Weights'!$K$32)+(Q65*'Pawn Weights'!$K$33), 2)</f>
        <v>188.08</v>
      </c>
      <c r="E65" s="298">
        <v>45.0</v>
      </c>
      <c r="F65" s="297"/>
      <c r="G65" s="298">
        <v>42.0</v>
      </c>
      <c r="H65" s="298">
        <v>120.0</v>
      </c>
      <c r="I65" s="298">
        <v>38.0</v>
      </c>
      <c r="J65" s="297"/>
      <c r="K65" s="297"/>
      <c r="L65" s="297"/>
      <c r="M65" s="359">
        <v>210.0</v>
      </c>
      <c r="N65" s="297"/>
      <c r="O65" s="298">
        <v>1.0</v>
      </c>
      <c r="P65" s="298">
        <v>1.0</v>
      </c>
      <c r="Q65" s="298">
        <v>1.0</v>
      </c>
      <c r="R65" s="298" t="s">
        <v>745</v>
      </c>
      <c r="S65" s="137"/>
      <c r="T65" s="295"/>
      <c r="U65" s="137"/>
      <c r="V65" s="137"/>
      <c r="W65" s="137"/>
      <c r="X65" s="137"/>
      <c r="Y65" s="137"/>
      <c r="Z65" s="137"/>
    </row>
    <row r="66">
      <c r="A66" s="295" t="s">
        <v>627</v>
      </c>
      <c r="B66" s="308" t="s">
        <v>746</v>
      </c>
      <c r="C66" s="297" t="s">
        <v>747</v>
      </c>
      <c r="D66" s="289">
        <f>ROUND((F66*'Pawn Weights'!$K$22)+(G66*'Pawn Weights'!$K$23)+(H66*'Pawn Weights'!$K$24)+(I66*'Pawn Weights'!$K$25)+(J66*'Pawn Weights'!$K$26)+(K66*'Pawn Weights'!$K$27)+(L66*'Pawn Weights'!$K$28)+(M66*'Pawn Weights'!$K$29)+(N66*'Pawn Weights'!$K$30)+(O66*'Pawn Weights'!$K$31)+(P66*'Pawn Weights'!$K$32)+(Q66*'Pawn Weights'!$K$33)+3.64, 2)</f>
        <v>186.55</v>
      </c>
      <c r="E66" s="298">
        <v>55.0</v>
      </c>
      <c r="F66" s="298">
        <v>61.0</v>
      </c>
      <c r="G66" s="297"/>
      <c r="H66" s="297"/>
      <c r="I66" s="298">
        <v>41.0</v>
      </c>
      <c r="J66" s="297"/>
      <c r="K66" s="297"/>
      <c r="L66" s="297"/>
      <c r="M66" s="359">
        <v>280.0</v>
      </c>
      <c r="N66" s="297"/>
      <c r="O66" s="298">
        <v>3.0</v>
      </c>
      <c r="P66" s="297"/>
      <c r="Q66" s="297"/>
      <c r="R66" s="298" t="s">
        <v>624</v>
      </c>
      <c r="S66" s="137"/>
      <c r="T66" s="295" t="s">
        <v>748</v>
      </c>
      <c r="U66" s="137"/>
      <c r="V66" s="137"/>
      <c r="W66" s="137"/>
      <c r="X66" s="137"/>
      <c r="Y66" s="137"/>
      <c r="Z66" s="137"/>
    </row>
    <row r="67">
      <c r="A67" s="295"/>
      <c r="B67" s="308" t="s">
        <v>749</v>
      </c>
      <c r="C67" s="297" t="s">
        <v>750</v>
      </c>
      <c r="D67" s="289">
        <f>ROUND((F67*'Pawn Weights'!$K$22)+(G67*'Pawn Weights'!$K$23)+(H67*'Pawn Weights'!$K$24)+(I67*'Pawn Weights'!$K$25)+(J67*'Pawn Weights'!$K$26)+(K67*'Pawn Weights'!$K$27)+(L67*'Pawn Weights'!$K$28)+(M67*'Pawn Weights'!$K$29)+(N67*'Pawn Weights'!$K$30)+(O67*'Pawn Weights'!$K$31)+(P67*'Pawn Weights'!$K$32)+(Q67*'Pawn Weights'!$K$33)-10+9.55+3.636, 2)</f>
        <v>156.66</v>
      </c>
      <c r="E67" s="298">
        <v>45.0</v>
      </c>
      <c r="F67" s="297"/>
      <c r="G67" s="298">
        <v>42.0</v>
      </c>
      <c r="H67" s="298">
        <v>120.0</v>
      </c>
      <c r="I67" s="297"/>
      <c r="J67" s="298">
        <v>30.0</v>
      </c>
      <c r="K67" s="298">
        <v>38.0</v>
      </c>
      <c r="L67" s="297"/>
      <c r="M67" s="137"/>
      <c r="N67" s="297"/>
      <c r="O67" s="298">
        <v>2.0</v>
      </c>
      <c r="P67" s="298">
        <v>1.0</v>
      </c>
      <c r="Q67" s="297"/>
      <c r="R67" s="298" t="s">
        <v>745</v>
      </c>
      <c r="S67" s="137"/>
      <c r="T67" s="363" t="s">
        <v>748</v>
      </c>
      <c r="U67" s="137"/>
      <c r="V67" s="137"/>
      <c r="W67" s="137"/>
      <c r="X67" s="137"/>
      <c r="Y67" s="137"/>
      <c r="Z67" s="137"/>
    </row>
    <row r="68">
      <c r="A68" s="295"/>
      <c r="B68" s="308" t="s">
        <v>752</v>
      </c>
      <c r="C68" s="297" t="s">
        <v>744</v>
      </c>
      <c r="D68" s="289">
        <f>ROUND((F68*'Pawn Weights'!$K$22)+(G68*'Pawn Weights'!$K$23)+(H68*'Pawn Weights'!$K$24)+(I68*'Pawn Weights'!$K$25)+(J68*'Pawn Weights'!$K$26)+(K68*'Pawn Weights'!$K$27)+(L68*'Pawn Weights'!$K$28)+(M68*'Pawn Weights'!$K$29)+(N68*'Pawn Weights'!$K$30)+(O68*'Pawn Weights'!$K$31)+(P68*'Pawn Weights'!$K$32)+(Q68*'Pawn Weights'!$K$33), 2)</f>
        <v>149.57</v>
      </c>
      <c r="E68" s="298">
        <v>64.0</v>
      </c>
      <c r="F68" s="298">
        <v>52.0</v>
      </c>
      <c r="G68" s="298">
        <v>44.0</v>
      </c>
      <c r="H68" s="297"/>
      <c r="I68" s="297"/>
      <c r="J68" s="297"/>
      <c r="K68" s="297"/>
      <c r="L68" s="297"/>
      <c r="M68" s="359">
        <v>196.0</v>
      </c>
      <c r="N68" s="297"/>
      <c r="O68" s="298">
        <v>1.0</v>
      </c>
      <c r="P68" s="298">
        <v>1.0</v>
      </c>
      <c r="Q68" s="298">
        <v>1.0</v>
      </c>
      <c r="R68" s="298" t="s">
        <v>622</v>
      </c>
      <c r="S68" s="137"/>
      <c r="T68" s="295"/>
      <c r="U68" s="137"/>
      <c r="V68" s="137"/>
      <c r="W68" s="137"/>
      <c r="X68" s="137"/>
      <c r="Y68" s="137"/>
      <c r="Z68" s="137"/>
    </row>
    <row r="69">
      <c r="A69" s="295"/>
      <c r="B69" s="308" t="s">
        <v>751</v>
      </c>
      <c r="C69" s="297" t="s">
        <v>744</v>
      </c>
      <c r="D69" s="289">
        <f>ROUND((F69*'Pawn Weights'!$K$22)+(G69*'Pawn Weights'!$K$23)+(H69*'Pawn Weights'!$K$24)+(I69*'Pawn Weights'!$K$25)+(J69*'Pawn Weights'!$K$26)+(K69*'Pawn Weights'!$K$27)+(L69*'Pawn Weights'!$K$28)+(M69*'Pawn Weights'!$K$29)+(N69*'Pawn Weights'!$K$30)+(O69*'Pawn Weights'!$K$31)+(P69*'Pawn Weights'!$K$32)+(Q69*'Pawn Weights'!$K$33)-20+19.1+4, 2)</f>
        <v>148.69</v>
      </c>
      <c r="E69" s="298">
        <v>67.0</v>
      </c>
      <c r="F69" s="298">
        <v>61.0</v>
      </c>
      <c r="G69" s="297"/>
      <c r="H69" s="297"/>
      <c r="I69" s="298">
        <v>41.0</v>
      </c>
      <c r="J69" s="297"/>
      <c r="K69" s="298">
        <v>32.0</v>
      </c>
      <c r="L69" s="297"/>
      <c r="M69" s="137"/>
      <c r="N69" s="297"/>
      <c r="O69" s="298">
        <v>1.0</v>
      </c>
      <c r="P69" s="298">
        <v>2.0</v>
      </c>
      <c r="Q69" s="297"/>
      <c r="R69" s="298" t="s">
        <v>643</v>
      </c>
      <c r="S69" s="137"/>
      <c r="T69" s="295"/>
      <c r="U69" s="137"/>
      <c r="V69" s="137"/>
      <c r="W69" s="137"/>
      <c r="X69" s="137"/>
      <c r="Y69" s="137"/>
      <c r="Z69" s="137"/>
    </row>
    <row r="70">
      <c r="A70" s="295" t="s">
        <v>635</v>
      </c>
      <c r="B70" s="308" t="s">
        <v>754</v>
      </c>
      <c r="C70" s="297" t="s">
        <v>637</v>
      </c>
      <c r="D70" s="289">
        <f>ROUND((F70*'Pawn Weights'!$K$22)+(G70*'Pawn Weights'!$K$23)+(H70*'Pawn Weights'!$K$24)+(I70*'Pawn Weights'!$K$25)+(J70*'Pawn Weights'!$K$26)+(K70*'Pawn Weights'!$K$27)+(L70*'Pawn Weights'!$K$28)+(M70*'Pawn Weights'!$K$29)+(N70*'Pawn Weights'!$K$30)+(O70*'Pawn Weights'!$K$31)+(P70*'Pawn Weights'!$K$32)+(Q70*'Pawn Weights'!$K$33)-10+9.55+3.64, 2)</f>
        <v>147.76</v>
      </c>
      <c r="E70" s="298">
        <v>76.0</v>
      </c>
      <c r="F70" s="298">
        <v>45.0</v>
      </c>
      <c r="G70" s="297"/>
      <c r="H70" s="297"/>
      <c r="I70" s="298">
        <v>45.0</v>
      </c>
      <c r="J70" s="298">
        <v>18.0</v>
      </c>
      <c r="K70" s="297"/>
      <c r="L70" s="297"/>
      <c r="M70" s="359">
        <v>84.0</v>
      </c>
      <c r="N70" s="297"/>
      <c r="O70" s="298">
        <v>2.0</v>
      </c>
      <c r="P70" s="298">
        <v>1.0</v>
      </c>
      <c r="Q70" s="297"/>
      <c r="R70" s="298" t="s">
        <v>624</v>
      </c>
      <c r="S70" s="137"/>
      <c r="T70" s="295" t="s">
        <v>755</v>
      </c>
      <c r="U70" s="137"/>
      <c r="V70" s="137"/>
      <c r="W70" s="137"/>
      <c r="X70" s="137"/>
      <c r="Y70" s="137"/>
      <c r="Z70" s="137"/>
    </row>
    <row r="71">
      <c r="A71" s="295"/>
      <c r="B71" s="308" t="s">
        <v>756</v>
      </c>
      <c r="C71" s="363" t="s">
        <v>744</v>
      </c>
      <c r="D71" s="289">
        <f>ROUND((F71*'Pawn Weights'!$K$22)+(G71*'Pawn Weights'!$K$23)+(H71*'Pawn Weights'!$K$24)+(I71*'Pawn Weights'!$K$25)+(J71*'Pawn Weights'!$K$26)+(K71*'Pawn Weights'!$K$27)+(L71*'Pawn Weights'!$K$28)+(M71*'Pawn Weights'!$K$29)+(N71*'Pawn Weights'!$K$30)+(O71*'Pawn Weights'!$K$31)+(P71*'Pawn Weights'!$K$32)+(Q71*'Pawn Weights'!$K$33), 2)</f>
        <v>144.11</v>
      </c>
      <c r="E71" s="298">
        <v>64.0</v>
      </c>
      <c r="F71" s="295"/>
      <c r="G71" s="298">
        <v>47.0</v>
      </c>
      <c r="H71" s="298">
        <v>104.0</v>
      </c>
      <c r="I71" s="295"/>
      <c r="J71" s="295"/>
      <c r="K71" s="295"/>
      <c r="L71" s="295"/>
      <c r="M71" s="359">
        <v>182.0</v>
      </c>
      <c r="N71" s="295"/>
      <c r="O71" s="298">
        <v>1.0</v>
      </c>
      <c r="P71" s="298">
        <v>1.0</v>
      </c>
      <c r="Q71" s="298">
        <v>1.0</v>
      </c>
      <c r="R71" s="298" t="s">
        <v>745</v>
      </c>
      <c r="S71" s="137"/>
      <c r="T71" s="295"/>
      <c r="U71" s="137"/>
      <c r="V71" s="137"/>
      <c r="W71" s="137"/>
      <c r="X71" s="137"/>
      <c r="Y71" s="137"/>
      <c r="Z71" s="137"/>
    </row>
    <row r="72">
      <c r="A72" s="292" t="s">
        <v>640</v>
      </c>
      <c r="B72" s="305" t="s">
        <v>757</v>
      </c>
      <c r="C72" s="280" t="s">
        <v>632</v>
      </c>
      <c r="D72" s="289">
        <f>ROUND((F72*'Pawn Weights'!$K$22)+(G72*'Pawn Weights'!$K$23)+(H72*'Pawn Weights'!$K$24)+(I72*'Pawn Weights'!$K$25)+(J72*'Pawn Weights'!$K$26)+(K72*'Pawn Weights'!$K$27)+(L72*'Pawn Weights'!$K$28)+(M72*'Pawn Weights'!$K$29)+(N72*'Pawn Weights'!$K$30)+(O72*'Pawn Weights'!$K$31)+(P72*'Pawn Weights'!$K$32)+(Q72*'Pawn Weights'!$K$33), 2)</f>
        <v>141.13</v>
      </c>
      <c r="E72" s="280">
        <v>54.0</v>
      </c>
      <c r="F72" s="280">
        <v>53.0</v>
      </c>
      <c r="G72" s="280">
        <v>34.0</v>
      </c>
      <c r="H72" s="280"/>
      <c r="I72" s="280"/>
      <c r="J72" s="280">
        <v>16.0</v>
      </c>
      <c r="K72" s="280"/>
      <c r="L72" s="280"/>
      <c r="M72" s="280">
        <v>126.0</v>
      </c>
      <c r="N72" s="280"/>
      <c r="O72" s="280">
        <v>1.0</v>
      </c>
      <c r="P72" s="280"/>
      <c r="Q72" s="280">
        <v>2.0</v>
      </c>
      <c r="R72" s="290" t="s">
        <v>624</v>
      </c>
      <c r="S72" s="281"/>
      <c r="T72" s="291"/>
      <c r="U72" s="281"/>
      <c r="V72" s="281"/>
      <c r="W72" s="281"/>
    </row>
    <row r="73">
      <c r="A73" s="292"/>
      <c r="B73" s="305" t="s">
        <v>758</v>
      </c>
      <c r="C73" s="280" t="s">
        <v>642</v>
      </c>
      <c r="D73" s="289">
        <f>ROUND((F73*'Pawn Weights'!$K$22)+(G73*'Pawn Weights'!$K$23)+(H73*'Pawn Weights'!$K$24)+(I73*'Pawn Weights'!$K$25)+(J73*'Pawn Weights'!$K$26)+(K73*'Pawn Weights'!$K$27)+(L73*'Pawn Weights'!$K$28)+(M73*'Pawn Weights'!$K$29)+(N73*'Pawn Weights'!$K$30)+(O73*'Pawn Weights'!$K$31)+(P73*'Pawn Weights'!$K$32)+(Q73*'Pawn Weights'!$K$33), 2)</f>
        <v>139.76</v>
      </c>
      <c r="E73" s="280">
        <v>64.0</v>
      </c>
      <c r="F73" s="280"/>
      <c r="G73" s="280"/>
      <c r="H73" s="280">
        <v>106.0</v>
      </c>
      <c r="I73" s="280">
        <v>46.0</v>
      </c>
      <c r="J73" s="280">
        <v>29.0</v>
      </c>
      <c r="K73" s="280"/>
      <c r="L73" s="280"/>
      <c r="M73" s="281"/>
      <c r="N73" s="280"/>
      <c r="O73" s="280">
        <v>1.0</v>
      </c>
      <c r="P73" s="280">
        <v>1.0</v>
      </c>
      <c r="Q73" s="280">
        <v>1.0</v>
      </c>
      <c r="R73" s="290" t="s">
        <v>745</v>
      </c>
      <c r="S73" s="281"/>
      <c r="T73" s="291"/>
      <c r="U73" s="281"/>
      <c r="V73" s="281"/>
      <c r="W73" s="281"/>
    </row>
    <row r="74">
      <c r="A74" s="295" t="s">
        <v>627</v>
      </c>
      <c r="B74" s="308" t="s">
        <v>753</v>
      </c>
      <c r="C74" s="297" t="s">
        <v>750</v>
      </c>
      <c r="D74" s="289">
        <f>ROUND((F74*'Pawn Weights'!$K$22)+(G74*'Pawn Weights'!$K$23)+(H74*'Pawn Weights'!$K$24)+(I74*'Pawn Weights'!$K$25)+(J74*'Pawn Weights'!$K$26)+(K74*'Pawn Weights'!$K$27)+(L74*'Pawn Weights'!$K$28)+(M74*'Pawn Weights'!$K$29)+(N74*'Pawn Weights'!$K$30)+(O74*'Pawn Weights'!$K$31)+(P74*'Pawn Weights'!$K$32)+(Q74*'Pawn Weights'!$K$33)+3.636, 2)</f>
        <v>134.01</v>
      </c>
      <c r="E74" s="298">
        <v>43.0</v>
      </c>
      <c r="F74" s="297"/>
      <c r="G74" s="298">
        <v>44.0</v>
      </c>
      <c r="H74" s="298">
        <v>104.0</v>
      </c>
      <c r="I74" s="297"/>
      <c r="J74" s="297"/>
      <c r="K74" s="298">
        <v>44.0</v>
      </c>
      <c r="L74" s="297"/>
      <c r="M74" s="137"/>
      <c r="N74" s="297"/>
      <c r="O74" s="298">
        <v>3.0</v>
      </c>
      <c r="P74" s="297"/>
      <c r="Q74" s="297"/>
      <c r="R74" s="298" t="s">
        <v>745</v>
      </c>
      <c r="S74" s="137"/>
      <c r="T74" s="363" t="s">
        <v>748</v>
      </c>
      <c r="U74" s="137"/>
      <c r="V74" s="137"/>
      <c r="W74" s="137"/>
      <c r="X74" s="137"/>
      <c r="Y74" s="137"/>
      <c r="Z74" s="137"/>
    </row>
    <row r="75">
      <c r="A75" s="292" t="s">
        <v>644</v>
      </c>
      <c r="B75" s="305" t="s">
        <v>759</v>
      </c>
      <c r="C75" s="280" t="s">
        <v>646</v>
      </c>
      <c r="D75" s="289">
        <f>ROUND((F75*'Pawn Weights'!$K$22)+(G75*'Pawn Weights'!$K$23)+(H75*'Pawn Weights'!$K$24)+(I75*'Pawn Weights'!$K$25)+(J75*'Pawn Weights'!$K$26)+(K75*'Pawn Weights'!$K$27)+(L75*'Pawn Weights'!$K$28)+(M75*'Pawn Weights'!$K$29)+(N75*'Pawn Weights'!$K$30)+(O75*'Pawn Weights'!$K$31)+(P75*'Pawn Weights'!$K$32)+(Q75*'Pawn Weights'!$K$33)-10+9.55+3.64, 2)</f>
        <v>132.22</v>
      </c>
      <c r="E75" s="280">
        <v>67.0</v>
      </c>
      <c r="F75" s="280">
        <v>39.0</v>
      </c>
      <c r="G75" s="280"/>
      <c r="H75" s="280"/>
      <c r="I75" s="280">
        <v>39.0</v>
      </c>
      <c r="J75" s="280">
        <v>12.0</v>
      </c>
      <c r="K75" s="280"/>
      <c r="L75" s="280"/>
      <c r="M75" s="280">
        <v>84.0</v>
      </c>
      <c r="N75" s="280"/>
      <c r="O75" s="280">
        <v>2.0</v>
      </c>
      <c r="P75" s="280">
        <v>1.0</v>
      </c>
      <c r="Q75" s="280"/>
      <c r="R75" s="290" t="s">
        <v>624</v>
      </c>
      <c r="S75" s="281"/>
      <c r="T75" s="291" t="s">
        <v>755</v>
      </c>
      <c r="U75" s="281"/>
      <c r="V75" s="281"/>
      <c r="W75" s="281"/>
    </row>
    <row r="76">
      <c r="A76" s="292" t="s">
        <v>627</v>
      </c>
      <c r="B76" s="305" t="s">
        <v>760</v>
      </c>
      <c r="C76" s="280" t="s">
        <v>761</v>
      </c>
      <c r="D76" s="289">
        <f>ROUND((F76*'Pawn Weights'!$K$22)+(G76*'Pawn Weights'!$K$23)+(H76*'Pawn Weights'!$K$24)+(I76*'Pawn Weights'!$K$25)+(J76*'Pawn Weights'!$K$26)+(K76*'Pawn Weights'!$K$27)+(L76*'Pawn Weights'!$K$28)+(M76*'Pawn Weights'!$K$29)+(N76*'Pawn Weights'!$K$30)+(O76*'Pawn Weights'!$K$31)+(P76*'Pawn Weights'!$K$32)+(Q76*'Pawn Weights'!$K$33), 2)</f>
        <v>124.31</v>
      </c>
      <c r="E76" s="280">
        <v>56.0</v>
      </c>
      <c r="F76" s="280">
        <v>40.0</v>
      </c>
      <c r="G76" s="280"/>
      <c r="H76" s="280"/>
      <c r="I76" s="280">
        <v>41.0</v>
      </c>
      <c r="J76" s="280">
        <v>25.0</v>
      </c>
      <c r="K76" s="280"/>
      <c r="L76" s="280"/>
      <c r="M76" s="281"/>
      <c r="N76" s="280"/>
      <c r="O76" s="280"/>
      <c r="P76" s="280">
        <v>2.0</v>
      </c>
      <c r="Q76" s="280">
        <v>1.0</v>
      </c>
      <c r="R76" s="290" t="s">
        <v>624</v>
      </c>
      <c r="S76" s="281"/>
      <c r="T76" s="291" t="s">
        <v>762</v>
      </c>
      <c r="U76" s="281"/>
      <c r="V76" s="281"/>
      <c r="W76" s="281"/>
    </row>
    <row r="77">
      <c r="A77" s="292"/>
      <c r="B77" s="305" t="s">
        <v>763</v>
      </c>
      <c r="C77" s="280" t="s">
        <v>701</v>
      </c>
      <c r="D77" s="289">
        <f>ROUND((F77*'Pawn Weights'!$K$22)+(G77*'Pawn Weights'!$K$23)+(H77*'Pawn Weights'!$K$24)+(I77*'Pawn Weights'!$K$25)+(J77*'Pawn Weights'!$K$26)+(K77*'Pawn Weights'!$K$27)+(L77*'Pawn Weights'!$K$28)+(M77*'Pawn Weights'!$K$29)+(N77*'Pawn Weights'!$K$30)+(O77*'Pawn Weights'!$K$31)+(P77*'Pawn Weights'!$K$32)+(Q77*'Pawn Weights'!$K$33), 2)</f>
        <v>123.44</v>
      </c>
      <c r="E77" s="280">
        <v>45.0</v>
      </c>
      <c r="F77" s="280">
        <v>63.0</v>
      </c>
      <c r="G77" s="280"/>
      <c r="H77" s="280"/>
      <c r="I77" s="280">
        <v>44.0</v>
      </c>
      <c r="J77" s="280">
        <v>30.0</v>
      </c>
      <c r="K77" s="280"/>
      <c r="L77" s="280"/>
      <c r="M77" s="281"/>
      <c r="N77" s="280"/>
      <c r="O77" s="280"/>
      <c r="P77" s="280"/>
      <c r="Q77" s="280"/>
      <c r="R77" s="290"/>
      <c r="S77" s="281"/>
      <c r="T77" s="291"/>
      <c r="U77" s="281"/>
      <c r="V77" s="281"/>
      <c r="W77" s="281"/>
    </row>
    <row r="78">
      <c r="A78" s="281"/>
      <c r="B78" s="305" t="s">
        <v>764</v>
      </c>
      <c r="C78" s="307" t="s">
        <v>765</v>
      </c>
      <c r="D78" s="289">
        <f>ROUND((F78*'Pawn Weights'!$K$22)+(G78*'Pawn Weights'!$K$23)+(H78*'Pawn Weights'!$K$24)+(I78*'Pawn Weights'!$K$25)+(J78*'Pawn Weights'!$K$26)+(K78*'Pawn Weights'!$K$27)+(L78*'Pawn Weights'!$K$28)+(M78*'Pawn Weights'!$K$29)+(N78*'Pawn Weights'!$K$30)+(O78*'Pawn Weights'!$K$31)+(P78*'Pawn Weights'!$K$32)+(Q78*'Pawn Weights'!$K$33), 2)</f>
        <v>122.93</v>
      </c>
      <c r="E78" s="280">
        <v>24.0</v>
      </c>
      <c r="F78" s="280"/>
      <c r="G78" s="280"/>
      <c r="H78" s="280">
        <v>92.0</v>
      </c>
      <c r="I78" s="280">
        <v>36.0</v>
      </c>
      <c r="J78" s="280">
        <v>27.0</v>
      </c>
      <c r="K78" s="280"/>
      <c r="L78" s="280"/>
      <c r="M78" s="281"/>
      <c r="N78" s="280"/>
      <c r="O78" s="280"/>
      <c r="P78" s="280">
        <v>2.0</v>
      </c>
      <c r="Q78" s="280">
        <v>1.0</v>
      </c>
      <c r="R78" s="290" t="s">
        <v>1085</v>
      </c>
      <c r="S78" s="281"/>
      <c r="T78" s="291"/>
      <c r="U78" s="281"/>
      <c r="V78" s="281"/>
      <c r="W78" s="281"/>
    </row>
    <row r="79">
      <c r="A79" s="292" t="s">
        <v>647</v>
      </c>
      <c r="B79" s="305" t="s">
        <v>766</v>
      </c>
      <c r="C79" s="280" t="s">
        <v>741</v>
      </c>
      <c r="D79" s="289">
        <f>ROUND((F79*'Pawn Weights'!$K$22)+(G79*'Pawn Weights'!$K$23)+(H79*'Pawn Weights'!$K$24)+(I79*'Pawn Weights'!$K$25)+(J79*'Pawn Weights'!$K$26)+(K79*'Pawn Weights'!$K$27)+(L79*'Pawn Weights'!$K$28)+(M79*'Pawn Weights'!$K$29)+(N79*'Pawn Weights'!$K$30)+(O79*'Pawn Weights'!$K$31)+(P79*'Pawn Weights'!$K$32)+(Q79*'Pawn Weights'!$K$33), 2)</f>
        <v>120.23</v>
      </c>
      <c r="E79" s="280">
        <v>48.0</v>
      </c>
      <c r="F79" s="280">
        <v>50.0</v>
      </c>
      <c r="G79" s="280"/>
      <c r="H79" s="280"/>
      <c r="I79" s="280">
        <v>33.0</v>
      </c>
      <c r="J79" s="280">
        <v>15.0</v>
      </c>
      <c r="K79" s="280"/>
      <c r="L79" s="280"/>
      <c r="M79" s="281"/>
      <c r="N79" s="280"/>
      <c r="O79" s="280">
        <v>1.0</v>
      </c>
      <c r="P79" s="280">
        <v>1.0</v>
      </c>
      <c r="Q79" s="280">
        <v>1.0</v>
      </c>
      <c r="R79" s="290" t="s">
        <v>643</v>
      </c>
      <c r="S79" s="281"/>
      <c r="T79" s="291"/>
      <c r="U79" s="281"/>
      <c r="V79" s="281"/>
      <c r="W79" s="281"/>
    </row>
    <row r="80">
      <c r="A80" s="292"/>
      <c r="B80" s="305" t="s">
        <v>767</v>
      </c>
      <c r="C80" s="280" t="s">
        <v>665</v>
      </c>
      <c r="D80" s="289">
        <f>ROUND((F80*'Pawn Weights'!$K$22)+(G80*'Pawn Weights'!$K$23)+(H80*'Pawn Weights'!$K$24)+(I80*'Pawn Weights'!$K$25)+(J80*'Pawn Weights'!$K$26)+(K80*'Pawn Weights'!$K$27)+(L80*'Pawn Weights'!$K$28)+(M80*'Pawn Weights'!$K$29)+(N80*'Pawn Weights'!$K$30)+(O80*'Pawn Weights'!$K$31)+(P80*'Pawn Weights'!$K$32)+(Q80*'Pawn Weights'!$K$33), 2)</f>
        <v>116.9</v>
      </c>
      <c r="E80" s="280">
        <v>52.0</v>
      </c>
      <c r="F80" s="280"/>
      <c r="G80" s="280">
        <v>36.0</v>
      </c>
      <c r="H80" s="280">
        <v>86.0</v>
      </c>
      <c r="I80" s="280"/>
      <c r="J80" s="280">
        <v>35.0</v>
      </c>
      <c r="K80" s="280"/>
      <c r="L80" s="280"/>
      <c r="M80" s="281"/>
      <c r="N80" s="280"/>
      <c r="O80" s="280">
        <v>1.0</v>
      </c>
      <c r="P80" s="280">
        <v>1.0</v>
      </c>
      <c r="Q80" s="280">
        <v>1.0</v>
      </c>
      <c r="R80" s="290" t="s">
        <v>745</v>
      </c>
      <c r="S80" s="281"/>
      <c r="T80" s="291"/>
      <c r="U80" s="281"/>
      <c r="V80" s="281"/>
      <c r="W80" s="281"/>
    </row>
    <row r="81">
      <c r="A81" s="292" t="s">
        <v>627</v>
      </c>
      <c r="B81" s="305" t="s">
        <v>770</v>
      </c>
      <c r="C81" s="280" t="s">
        <v>771</v>
      </c>
      <c r="D81" s="289">
        <f>ROUND((F81*'Pawn Weights'!$K$22)+(G81*'Pawn Weights'!$K$23)+(H81*'Pawn Weights'!$K$24)+(I81*'Pawn Weights'!$K$25)+(J81*'Pawn Weights'!$K$26)+(K81*'Pawn Weights'!$K$27)+(L81*'Pawn Weights'!$K$28)+(M81*'Pawn Weights'!$K$29)+(N81*'Pawn Weights'!$K$30)+(O81*'Pawn Weights'!$K$31)+(P81*'Pawn Weights'!$K$32)+(Q81*'Pawn Weights'!$K$33), 2)</f>
        <v>114.31</v>
      </c>
      <c r="E81" s="280">
        <v>55.0</v>
      </c>
      <c r="F81" s="280">
        <v>35.0</v>
      </c>
      <c r="G81" s="280"/>
      <c r="H81" s="280"/>
      <c r="I81" s="280">
        <v>37.0</v>
      </c>
      <c r="J81" s="280">
        <v>23.0</v>
      </c>
      <c r="K81" s="280"/>
      <c r="L81" s="280"/>
      <c r="M81" s="281"/>
      <c r="N81" s="280"/>
      <c r="O81" s="280"/>
      <c r="P81" s="280">
        <v>2.0</v>
      </c>
      <c r="Q81" s="280">
        <v>1.0</v>
      </c>
      <c r="R81" s="290" t="s">
        <v>624</v>
      </c>
      <c r="S81" s="281"/>
      <c r="T81" s="291" t="s">
        <v>762</v>
      </c>
      <c r="U81" s="281"/>
      <c r="V81" s="281"/>
      <c r="W81" s="281"/>
    </row>
    <row r="82">
      <c r="A82" s="295"/>
      <c r="B82" s="308" t="s">
        <v>772</v>
      </c>
      <c r="C82" s="297" t="s">
        <v>773</v>
      </c>
      <c r="D82" s="289">
        <f>ROUND((F82*'Pawn Weights'!$K$22)+(G82*'Pawn Weights'!$K$23)+(H82*'Pawn Weights'!$K$24)+(I82*'Pawn Weights'!$K$25)+(J82*'Pawn Weights'!$K$26)+(K82*'Pawn Weights'!$K$27)+(L82*'Pawn Weights'!$K$28)+(M82*'Pawn Weights'!$K$29)+(N82*'Pawn Weights'!$K$30)+(O82*'Pawn Weights'!$K$31)+(P82*'Pawn Weights'!$K$32)+(Q82*'Pawn Weights'!$K$33), 2)</f>
        <v>113.54</v>
      </c>
      <c r="E82" s="298">
        <v>42.0</v>
      </c>
      <c r="F82" s="298">
        <v>44.0</v>
      </c>
      <c r="G82" s="297"/>
      <c r="H82" s="297"/>
      <c r="I82" s="298">
        <v>30.0</v>
      </c>
      <c r="J82" s="298">
        <v>18.0</v>
      </c>
      <c r="K82" s="297"/>
      <c r="L82" s="297"/>
      <c r="M82" s="361"/>
      <c r="N82" s="297"/>
      <c r="O82" s="298">
        <v>1.0</v>
      </c>
      <c r="P82" s="298">
        <v>1.0</v>
      </c>
      <c r="Q82" s="298">
        <v>1.0</v>
      </c>
      <c r="R82" s="298" t="s">
        <v>643</v>
      </c>
      <c r="S82" s="137"/>
      <c r="T82" s="295"/>
      <c r="U82" s="137"/>
      <c r="V82" s="137"/>
      <c r="W82" s="137"/>
      <c r="X82" s="137"/>
      <c r="Y82" s="137"/>
      <c r="Z82" s="137"/>
    </row>
    <row r="83">
      <c r="A83" s="292"/>
      <c r="B83" s="305" t="s">
        <v>776</v>
      </c>
      <c r="C83" s="280" t="s">
        <v>739</v>
      </c>
      <c r="D83" s="289">
        <f>ROUND((F83*'Pawn Weights'!$K$22)+(G83*'Pawn Weights'!$K$23)+(H83*'Pawn Weights'!$K$24)+(I83*'Pawn Weights'!$K$25)+(J83*'Pawn Weights'!$K$26)+(K83*'Pawn Weights'!$K$27)+(L83*'Pawn Weights'!$K$28)+(M83*'Pawn Weights'!$K$29)+(N83*'Pawn Weights'!$K$30)+(O83*'Pawn Weights'!$K$31)+(P83*'Pawn Weights'!$K$32)+(Q83*'Pawn Weights'!$K$33)-20+19.1+3.64, 2)</f>
        <v>113.4</v>
      </c>
      <c r="E83" s="280"/>
      <c r="F83" s="280"/>
      <c r="G83" s="280"/>
      <c r="H83" s="280">
        <v>96.0</v>
      </c>
      <c r="I83" s="280">
        <v>25.0</v>
      </c>
      <c r="J83" s="280">
        <v>21.0</v>
      </c>
      <c r="K83" s="280"/>
      <c r="L83" s="280"/>
      <c r="M83" s="281"/>
      <c r="N83" s="280"/>
      <c r="O83" s="280">
        <v>1.0</v>
      </c>
      <c r="P83" s="280">
        <v>2.0</v>
      </c>
      <c r="Q83" s="280"/>
      <c r="R83" s="290" t="s">
        <v>624</v>
      </c>
      <c r="S83" s="281"/>
      <c r="T83" s="291"/>
      <c r="U83" s="281"/>
      <c r="V83" s="281"/>
      <c r="W83" s="281"/>
    </row>
    <row r="84">
      <c r="A84" s="295"/>
      <c r="B84" s="308" t="s">
        <v>768</v>
      </c>
      <c r="C84" s="297" t="s">
        <v>769</v>
      </c>
      <c r="D84" s="289">
        <f>ROUND((F84*'Pawn Weights'!$K$22)+(G84*'Pawn Weights'!$K$23)+(H84*'Pawn Weights'!$K$24)+(I84*'Pawn Weights'!$K$25)+(J84*'Pawn Weights'!$K$26)+(K84*'Pawn Weights'!$K$27)+(L84*'Pawn Weights'!$K$28)+(M84*'Pawn Weights'!$K$29)+(N84*'Pawn Weights'!$K$30)+(O84*'Pawn Weights'!$K$31)+(P84*'Pawn Weights'!$K$32)+(Q84*'Pawn Weights'!$K$33), 2)</f>
        <v>112.78</v>
      </c>
      <c r="E84" s="298">
        <v>46.0</v>
      </c>
      <c r="F84" s="297"/>
      <c r="G84" s="298">
        <v>45.0</v>
      </c>
      <c r="H84" s="298">
        <v>92.0</v>
      </c>
      <c r="I84" s="297"/>
      <c r="J84" s="297"/>
      <c r="K84" s="297"/>
      <c r="L84" s="297"/>
      <c r="M84" s="359">
        <v>210.0</v>
      </c>
      <c r="N84" s="297"/>
      <c r="O84" s="297"/>
      <c r="P84" s="297"/>
      <c r="Q84" s="297"/>
      <c r="R84" s="295"/>
      <c r="S84" s="137"/>
      <c r="T84" s="295"/>
      <c r="U84" s="137"/>
      <c r="V84" s="137"/>
      <c r="W84" s="137"/>
      <c r="X84" s="137"/>
      <c r="Y84" s="137"/>
      <c r="Z84" s="137"/>
    </row>
    <row r="85">
      <c r="A85" s="281"/>
      <c r="B85" s="305" t="s">
        <v>1086</v>
      </c>
      <c r="C85" s="307" t="s">
        <v>649</v>
      </c>
      <c r="D85" s="289">
        <f>ROUND((F85*'Pawn Weights'!$K$22)+(G85*'Pawn Weights'!$K$23)+(H85*'Pawn Weights'!$K$24)+(I85*'Pawn Weights'!$K$25)+(J85*'Pawn Weights'!$K$26)+(K85*'Pawn Weights'!$K$27)+(L85*'Pawn Weights'!$K$28)+(M85*'Pawn Weights'!$K$29)+(N85*'Pawn Weights'!$K$30)+(O85*'Pawn Weights'!$K$31)+(P85*'Pawn Weights'!$K$32)+(Q85*'Pawn Weights'!$K$33), 2)</f>
        <v>110.08</v>
      </c>
      <c r="E85" s="280">
        <v>42.0</v>
      </c>
      <c r="F85" s="280">
        <v>61.0</v>
      </c>
      <c r="G85" s="280">
        <v>43.0</v>
      </c>
      <c r="H85" s="280"/>
      <c r="I85" s="280"/>
      <c r="J85" s="280">
        <v>30.0</v>
      </c>
      <c r="K85" s="280"/>
      <c r="L85" s="280"/>
      <c r="M85" s="281"/>
      <c r="N85" s="280"/>
      <c r="O85" s="280"/>
      <c r="P85" s="280"/>
      <c r="Q85" s="280"/>
      <c r="R85" s="290"/>
      <c r="S85" s="281"/>
      <c r="T85" s="291"/>
      <c r="U85" s="281"/>
      <c r="V85" s="281"/>
      <c r="W85" s="281"/>
    </row>
    <row r="86">
      <c r="A86" s="292" t="s">
        <v>1068</v>
      </c>
      <c r="B86" s="305" t="s">
        <v>1087</v>
      </c>
      <c r="C86" s="280" t="s">
        <v>997</v>
      </c>
      <c r="D86" s="289">
        <f>ROUND((F86*'Pawn Weights'!$K$22)+(G86*'Pawn Weights'!$K$23)+(H86*'Pawn Weights'!$K$24)+(I86*'Pawn Weights'!$K$25)+(J86*'Pawn Weights'!$K$26)+(K86*'Pawn Weights'!$K$27)+(L86*'Pawn Weights'!$K$28)+(M86*'Pawn Weights'!$K$29)+(N86*'Pawn Weights'!$K$30)+(O86*'Pawn Weights'!$K$31)+(P86*'Pawn Weights'!$K$32)+(Q86*'Pawn Weights'!$K$33)-10+9.55+3.64, 2)</f>
        <v>109.56</v>
      </c>
      <c r="E86" s="280">
        <v>60.0</v>
      </c>
      <c r="F86" s="280">
        <v>35.0</v>
      </c>
      <c r="G86" s="280"/>
      <c r="H86" s="280"/>
      <c r="I86" s="280">
        <v>35.0</v>
      </c>
      <c r="J86" s="280">
        <v>14.0</v>
      </c>
      <c r="K86" s="280"/>
      <c r="L86" s="280"/>
      <c r="M86" s="281"/>
      <c r="N86" s="280"/>
      <c r="O86" s="280">
        <v>2.0</v>
      </c>
      <c r="P86" s="280">
        <v>1.0</v>
      </c>
      <c r="Q86" s="280"/>
      <c r="R86" s="290" t="s">
        <v>624</v>
      </c>
      <c r="S86" s="281"/>
      <c r="T86" s="291" t="s">
        <v>755</v>
      </c>
      <c r="U86" s="281"/>
      <c r="V86" s="281"/>
      <c r="W86" s="281"/>
    </row>
    <row r="87">
      <c r="A87" s="295"/>
      <c r="B87" s="308" t="s">
        <v>777</v>
      </c>
      <c r="C87" s="297" t="s">
        <v>775</v>
      </c>
      <c r="D87" s="289">
        <f>ROUND((F87*'Pawn Weights'!$K$22)+(G87*'Pawn Weights'!$K$23)+(H87*'Pawn Weights'!$K$24)+(I87*'Pawn Weights'!$K$25)+(J87*'Pawn Weights'!$K$26)+(K87*'Pawn Weights'!$K$27)+(L87*'Pawn Weights'!$K$28)+(M87*'Pawn Weights'!$K$29)+(N87*'Pawn Weights'!$K$30)+(O87*'Pawn Weights'!$K$31)+(P87*'Pawn Weights'!$K$32)+(Q87*'Pawn Weights'!$K$33), 2)</f>
        <v>108.83</v>
      </c>
      <c r="E87" s="298">
        <v>51.0</v>
      </c>
      <c r="F87" s="297"/>
      <c r="G87" s="298">
        <v>44.0</v>
      </c>
      <c r="H87" s="298">
        <v>102.0</v>
      </c>
      <c r="I87" s="297"/>
      <c r="J87" s="298">
        <v>34.0</v>
      </c>
      <c r="K87" s="297"/>
      <c r="L87" s="297"/>
      <c r="M87" s="361"/>
      <c r="N87" s="297"/>
      <c r="O87" s="298">
        <v>1.0</v>
      </c>
      <c r="P87" s="297"/>
      <c r="Q87" s="297"/>
      <c r="R87" s="298" t="s">
        <v>674</v>
      </c>
      <c r="S87" s="137"/>
      <c r="T87" s="295"/>
      <c r="U87" s="137"/>
      <c r="V87" s="137"/>
      <c r="W87" s="137"/>
      <c r="X87" s="137"/>
      <c r="Y87" s="137"/>
      <c r="Z87" s="137"/>
    </row>
    <row r="88">
      <c r="A88" s="295"/>
      <c r="B88" s="308" t="s">
        <v>774</v>
      </c>
      <c r="C88" s="297" t="s">
        <v>775</v>
      </c>
      <c r="D88" s="289">
        <f>ROUND((F88*'Pawn Weights'!$K$22)+(G88*'Pawn Weights'!$K$23)+(H88*'Pawn Weights'!$K$24)+(I88*'Pawn Weights'!$K$25)+(J88*'Pawn Weights'!$K$26)+(K88*'Pawn Weights'!$K$27)+(L88*'Pawn Weights'!$K$28)+(M88*'Pawn Weights'!$K$29)+(N88*'Pawn Weights'!$K$30)+(O88*'Pawn Weights'!$K$31)+(P88*'Pawn Weights'!$K$32)+(Q88*'Pawn Weights'!$K$33)-10+9.55+1.818, 2)</f>
        <v>102.58</v>
      </c>
      <c r="E88" s="298">
        <v>39.0</v>
      </c>
      <c r="F88" s="297"/>
      <c r="G88" s="298">
        <v>47.0</v>
      </c>
      <c r="H88" s="298">
        <v>102.0</v>
      </c>
      <c r="I88" s="297"/>
      <c r="J88" s="297"/>
      <c r="K88" s="298">
        <v>25.0</v>
      </c>
      <c r="L88" s="297"/>
      <c r="M88" s="361"/>
      <c r="N88" s="297"/>
      <c r="O88" s="297"/>
      <c r="P88" s="298">
        <v>1.0</v>
      </c>
      <c r="Q88" s="297"/>
      <c r="R88" s="298" t="s">
        <v>660</v>
      </c>
      <c r="S88" s="137"/>
      <c r="T88" s="295"/>
      <c r="U88" s="137"/>
      <c r="V88" s="137"/>
      <c r="W88" s="137"/>
      <c r="X88" s="137"/>
      <c r="Y88" s="137"/>
      <c r="Z88" s="137"/>
    </row>
    <row r="89">
      <c r="A89" s="272" t="s">
        <v>779</v>
      </c>
      <c r="B89" s="281"/>
      <c r="C89" s="281"/>
      <c r="D89" s="360"/>
      <c r="E89" s="281"/>
      <c r="F89" s="281"/>
      <c r="G89" s="281"/>
      <c r="H89" s="281"/>
      <c r="I89" s="281"/>
      <c r="J89" s="281"/>
      <c r="K89" s="281"/>
      <c r="L89" s="281"/>
      <c r="M89" s="281"/>
      <c r="N89" s="281"/>
      <c r="O89" s="281"/>
      <c r="P89" s="281"/>
      <c r="Q89" s="281"/>
      <c r="R89" s="282"/>
      <c r="S89" s="281"/>
      <c r="T89" s="285"/>
      <c r="U89" s="281"/>
      <c r="V89" s="281"/>
      <c r="W89" s="281"/>
    </row>
    <row r="90">
      <c r="A90" s="137" t="s">
        <v>640</v>
      </c>
      <c r="B90" s="296" t="s">
        <v>780</v>
      </c>
      <c r="C90" s="297" t="s">
        <v>781</v>
      </c>
      <c r="D90" s="289">
        <f>ROUND((F90*'Pawn Weights'!$K$22)+(G90*'Pawn Weights'!$K$23)+(H90*'Pawn Weights'!$K$24)+(I90*'Pawn Weights'!$K$25)+(J90*'Pawn Weights'!$K$26)+(K90*'Pawn Weights'!$K$27)+(L90*'Pawn Weights'!$K$28)+(M90*'Pawn Weights'!$K$29)+(N90*'Pawn Weights'!$K$30)+(O90*'Pawn Weights'!$K$31)+(P90*'Pawn Weights'!$K$32)+(Q90*'Pawn Weights'!$K$33), 2)</f>
        <v>108.48</v>
      </c>
      <c r="E90" s="297"/>
      <c r="F90" s="298">
        <v>33.0</v>
      </c>
      <c r="G90" s="297"/>
      <c r="H90" s="297"/>
      <c r="I90" s="298">
        <v>30.0</v>
      </c>
      <c r="J90" s="298">
        <v>16.0</v>
      </c>
      <c r="K90" s="297"/>
      <c r="L90" s="297"/>
      <c r="M90" s="298">
        <v>140.0</v>
      </c>
      <c r="N90" s="297"/>
      <c r="O90" s="298">
        <v>1.0</v>
      </c>
      <c r="P90" s="297"/>
      <c r="Q90" s="297"/>
      <c r="R90" s="298" t="s">
        <v>674</v>
      </c>
      <c r="S90" s="137"/>
      <c r="T90" s="295"/>
      <c r="U90" s="137"/>
      <c r="V90" s="137"/>
      <c r="W90" s="137"/>
      <c r="X90" s="137"/>
      <c r="Y90" s="137"/>
      <c r="Z90" s="137"/>
    </row>
    <row r="91">
      <c r="A91" s="281"/>
      <c r="B91" s="288" t="s">
        <v>782</v>
      </c>
      <c r="C91" s="280" t="s">
        <v>706</v>
      </c>
      <c r="D91" s="289">
        <f>ROUND((F91*'Pawn Weights'!$K$22)+(G91*'Pawn Weights'!$K$23)+(H91*'Pawn Weights'!$K$24)+(I91*'Pawn Weights'!$K$25)+(J91*'Pawn Weights'!$K$26)+(K91*'Pawn Weights'!$K$27)+(L91*'Pawn Weights'!$K$28)+(M91*'Pawn Weights'!$K$29)+(N91*'Pawn Weights'!$K$30)+(O91*'Pawn Weights'!$K$31)+(P91*'Pawn Weights'!$K$32)+(Q91*'Pawn Weights'!$K$33), 2)</f>
        <v>70</v>
      </c>
      <c r="E91" s="280">
        <v>28.0</v>
      </c>
      <c r="F91" s="280"/>
      <c r="G91" s="280"/>
      <c r="H91" s="280">
        <v>58.0</v>
      </c>
      <c r="I91" s="280">
        <v>28.0</v>
      </c>
      <c r="J91" s="280">
        <v>12.0</v>
      </c>
      <c r="K91" s="280"/>
      <c r="L91" s="280"/>
      <c r="M91" s="280"/>
      <c r="N91" s="280"/>
      <c r="O91" s="280"/>
      <c r="P91" s="280">
        <v>1.0</v>
      </c>
      <c r="Q91" s="280"/>
      <c r="R91" s="290" t="s">
        <v>674</v>
      </c>
      <c r="S91" s="281"/>
      <c r="T91" s="222"/>
      <c r="U91" s="281"/>
      <c r="V91" s="281"/>
      <c r="W91" s="281"/>
      <c r="X91" s="281"/>
    </row>
    <row r="92">
      <c r="A92" s="281"/>
      <c r="B92" s="288" t="s">
        <v>783</v>
      </c>
      <c r="C92" s="280" t="s">
        <v>683</v>
      </c>
      <c r="D92" s="289">
        <f>ROUND((F92*'Pawn Weights'!$K$22)+(G92*'Pawn Weights'!$K$23)+(H92*'Pawn Weights'!$K$24)+(I92*'Pawn Weights'!$K$25)+(J92*'Pawn Weights'!$K$26)+(K92*'Pawn Weights'!$K$27)+(L92*'Pawn Weights'!$K$28)+(M92*'Pawn Weights'!$K$29)+(N92*'Pawn Weights'!$K$30)+(O92*'Pawn Weights'!$K$31)+(P92*'Pawn Weights'!$K$32)+(Q92*'Pawn Weights'!$K$33), 2)</f>
        <v>68.4</v>
      </c>
      <c r="E92" s="280">
        <v>12.0</v>
      </c>
      <c r="F92" s="280">
        <v>25.0</v>
      </c>
      <c r="G92" s="280"/>
      <c r="H92" s="280"/>
      <c r="I92" s="280">
        <v>24.0</v>
      </c>
      <c r="J92" s="280">
        <v>17.0</v>
      </c>
      <c r="K92" s="280"/>
      <c r="L92" s="280"/>
      <c r="M92" s="280"/>
      <c r="N92" s="280"/>
      <c r="O92" s="280"/>
      <c r="P92" s="280"/>
      <c r="Q92" s="280">
        <v>1.0</v>
      </c>
      <c r="R92" s="290" t="s">
        <v>784</v>
      </c>
      <c r="S92" s="281"/>
      <c r="T92" s="222"/>
      <c r="U92" s="281"/>
      <c r="V92" s="281"/>
      <c r="W92" s="281"/>
      <c r="X92" s="281"/>
    </row>
    <row r="93">
      <c r="A93" s="281"/>
      <c r="B93" s="288" t="s">
        <v>785</v>
      </c>
      <c r="C93" s="280" t="s">
        <v>727</v>
      </c>
      <c r="D93" s="289">
        <f>ROUND((F93*'Pawn Weights'!$K$22)+(G93*'Pawn Weights'!$K$23)+(H93*'Pawn Weights'!$K$24)+(I93*'Pawn Weights'!$K$25)+(J93*'Pawn Weights'!$K$26)+(K93*'Pawn Weights'!$K$27)+(L93*'Pawn Weights'!$K$28)+(M93*'Pawn Weights'!$K$29)+(N93*'Pawn Weights'!$K$30)+(O93*'Pawn Weights'!$K$31)+(P93*'Pawn Weights'!$K$32)+(Q93*'Pawn Weights'!$K$33)-10+9.55+1.334, 2)</f>
        <v>64.08</v>
      </c>
      <c r="E93" s="280">
        <v>28.0</v>
      </c>
      <c r="F93" s="280"/>
      <c r="G93" s="280">
        <v>28.0</v>
      </c>
      <c r="H93" s="280">
        <v>58.0</v>
      </c>
      <c r="I93" s="280"/>
      <c r="J93" s="280">
        <v>12.0</v>
      </c>
      <c r="K93" s="280"/>
      <c r="L93" s="280"/>
      <c r="M93" s="280"/>
      <c r="N93" s="280"/>
      <c r="O93" s="280"/>
      <c r="P93" s="280">
        <v>1.0</v>
      </c>
      <c r="Q93" s="280"/>
      <c r="R93" s="290" t="s">
        <v>1088</v>
      </c>
      <c r="S93" s="281"/>
      <c r="T93" s="222"/>
      <c r="U93" s="281"/>
      <c r="V93" s="281"/>
      <c r="W93" s="281"/>
      <c r="X93" s="281"/>
    </row>
    <row r="94">
      <c r="A94" s="281"/>
      <c r="B94" s="288" t="s">
        <v>786</v>
      </c>
      <c r="C94" s="280" t="s">
        <v>706</v>
      </c>
      <c r="D94" s="289">
        <f>ROUND((F94*'Pawn Weights'!$K$22)+(G94*'Pawn Weights'!$K$23)+(H94*'Pawn Weights'!$K$24)+(I94*'Pawn Weights'!$K$25)+(J94*'Pawn Weights'!$K$26)+(K94*'Pawn Weights'!$K$27)+(L94*'Pawn Weights'!$K$28)+(M94*'Pawn Weights'!$K$29)+(N94*'Pawn Weights'!$K$30)+(O94*'Pawn Weights'!$K$31)+(P94*'Pawn Weights'!$K$32)+(Q94*'Pawn Weights'!$K$33), 2)</f>
        <v>62.29</v>
      </c>
      <c r="E94" s="280">
        <v>28.0</v>
      </c>
      <c r="F94" s="280">
        <v>35.0</v>
      </c>
      <c r="G94" s="280"/>
      <c r="H94" s="280"/>
      <c r="I94" s="280">
        <v>19.0</v>
      </c>
      <c r="J94" s="280"/>
      <c r="K94" s="280"/>
      <c r="L94" s="280"/>
      <c r="M94" s="280"/>
      <c r="N94" s="280"/>
      <c r="O94" s="280"/>
      <c r="P94" s="280">
        <v>1.0</v>
      </c>
      <c r="Q94" s="280"/>
      <c r="R94" s="290" t="s">
        <v>674</v>
      </c>
      <c r="S94" s="281"/>
      <c r="T94" s="222"/>
      <c r="U94" s="281"/>
      <c r="V94" s="281"/>
      <c r="W94" s="281"/>
      <c r="X94" s="281"/>
    </row>
    <row r="95">
      <c r="A95" s="281"/>
      <c r="B95" s="288" t="s">
        <v>789</v>
      </c>
      <c r="C95" s="280" t="s">
        <v>790</v>
      </c>
      <c r="D95" s="289">
        <f>ROUND((F95*'Pawn Weights'!$K$22)+(G95*'Pawn Weights'!$K$23)+(H95*'Pawn Weights'!$K$24)+(I95*'Pawn Weights'!$K$25)+(J95*'Pawn Weights'!$K$26)+(K95*'Pawn Weights'!$K$27)+(L95*'Pawn Weights'!$K$28)+(M95*'Pawn Weights'!$K$29)+(N95*'Pawn Weights'!$K$30)+(O95*'Pawn Weights'!$K$31)+(P95*'Pawn Weights'!$K$32)+(Q95*'Pawn Weights'!$K$33), 2)</f>
        <v>61.84</v>
      </c>
      <c r="E95" s="280">
        <v>16.0</v>
      </c>
      <c r="F95" s="280">
        <v>20.0</v>
      </c>
      <c r="G95" s="280"/>
      <c r="H95" s="280"/>
      <c r="I95" s="280">
        <v>24.0</v>
      </c>
      <c r="J95" s="280"/>
      <c r="K95" s="280"/>
      <c r="L95" s="280"/>
      <c r="M95" s="280"/>
      <c r="N95" s="280"/>
      <c r="O95" s="280">
        <v>1.0</v>
      </c>
      <c r="P95" s="280"/>
      <c r="Q95" s="280">
        <v>1.0</v>
      </c>
      <c r="R95" s="290" t="s">
        <v>698</v>
      </c>
      <c r="S95" s="281"/>
      <c r="T95" s="222"/>
      <c r="U95" s="281"/>
      <c r="V95" s="281"/>
      <c r="W95" s="281"/>
      <c r="X95" s="281"/>
    </row>
    <row r="96">
      <c r="A96" s="137"/>
      <c r="B96" s="296" t="s">
        <v>795</v>
      </c>
      <c r="C96" s="297" t="s">
        <v>691</v>
      </c>
      <c r="D96" s="289">
        <f>ROUND((F96*'Pawn Weights'!$K$22)+(G96*'Pawn Weights'!$K$23)+(H96*'Pawn Weights'!$K$24)+(I96*'Pawn Weights'!$K$25)+(J96*'Pawn Weights'!$K$26)+(K96*'Pawn Weights'!$K$27)+(L96*'Pawn Weights'!$K$28)+(M96*'Pawn Weights'!$K$29)+(N96*'Pawn Weights'!$K$30)+(O96*'Pawn Weights'!$K$31)+(P96*'Pawn Weights'!$K$32)+(Q96*'Pawn Weights'!$K$33)-10+9.55+1.82, 2)</f>
        <v>61.81</v>
      </c>
      <c r="E96" s="298">
        <v>22.0</v>
      </c>
      <c r="F96" s="297"/>
      <c r="G96" s="298">
        <v>17.0</v>
      </c>
      <c r="H96" s="298">
        <v>50.0</v>
      </c>
      <c r="I96" s="298">
        <v>18.0</v>
      </c>
      <c r="J96" s="297"/>
      <c r="K96" s="297"/>
      <c r="L96" s="297"/>
      <c r="M96" s="297"/>
      <c r="N96" s="297"/>
      <c r="O96" s="297"/>
      <c r="P96" s="298">
        <v>1.0</v>
      </c>
      <c r="Q96" s="297"/>
      <c r="R96" s="298" t="s">
        <v>736</v>
      </c>
      <c r="S96" s="137"/>
      <c r="T96" s="295"/>
      <c r="U96" s="137"/>
      <c r="V96" s="137"/>
      <c r="W96" s="137"/>
      <c r="X96" s="137"/>
      <c r="Y96" s="137"/>
      <c r="Z96" s="137"/>
    </row>
    <row r="97">
      <c r="A97" s="219" t="s">
        <v>671</v>
      </c>
      <c r="B97" s="296" t="s">
        <v>791</v>
      </c>
      <c r="C97" s="297" t="s">
        <v>792</v>
      </c>
      <c r="D97" s="289">
        <f>ROUND((F97*'Pawn Weights'!$K$22)+(G97*'Pawn Weights'!$K$23)+(H97*'Pawn Weights'!$K$24)+(I97*'Pawn Weights'!$K$25)+(J97*'Pawn Weights'!$K$26)+(K97*'Pawn Weights'!$K$27)+(L97*'Pawn Weights'!$K$28)+(M97*'Pawn Weights'!$K$29)+(N97*'Pawn Weights'!$K$30)+(O97*'Pawn Weights'!$K$31)+(P97*'Pawn Weights'!$K$32)+(Q97*'Pawn Weights'!$K$33)-10+9.55+2, 2)</f>
        <v>61.39</v>
      </c>
      <c r="E97" s="298">
        <v>40.0</v>
      </c>
      <c r="F97" s="298">
        <v>28.0</v>
      </c>
      <c r="G97" s="297"/>
      <c r="H97" s="297"/>
      <c r="I97" s="298">
        <v>24.0</v>
      </c>
      <c r="J97" s="297"/>
      <c r="K97" s="297"/>
      <c r="L97" s="297"/>
      <c r="M97" s="297"/>
      <c r="N97" s="297"/>
      <c r="O97" s="297"/>
      <c r="P97" s="298">
        <v>1.0</v>
      </c>
      <c r="Q97" s="297"/>
      <c r="R97" s="298" t="s">
        <v>784</v>
      </c>
      <c r="S97" s="137"/>
      <c r="T97" s="294" t="s">
        <v>793</v>
      </c>
      <c r="U97" s="137"/>
      <c r="V97" s="137"/>
      <c r="W97" s="137"/>
      <c r="X97" s="137"/>
      <c r="Y97" s="137"/>
      <c r="Z97" s="137"/>
    </row>
    <row r="98">
      <c r="A98" s="137"/>
      <c r="B98" s="296" t="s">
        <v>794</v>
      </c>
      <c r="C98" s="297" t="s">
        <v>691</v>
      </c>
      <c r="D98" s="289">
        <f>ROUND((F98*'Pawn Weights'!$K$22)+(G98*'Pawn Weights'!$K$23)+(H98*'Pawn Weights'!$K$24)+(I98*'Pawn Weights'!$K$25)+(J98*'Pawn Weights'!$K$26)+(K98*'Pawn Weights'!$K$27)+(L98*'Pawn Weights'!$K$28)+(M98*'Pawn Weights'!$K$29)+(N98*'Pawn Weights'!$K$30)+(O98*'Pawn Weights'!$K$31)+(P98*'Pawn Weights'!$K$32)+(Q98*'Pawn Weights'!$K$33), 2)</f>
        <v>61.25</v>
      </c>
      <c r="E98" s="298">
        <v>32.0</v>
      </c>
      <c r="F98" s="298">
        <v>32.0</v>
      </c>
      <c r="G98" s="297"/>
      <c r="H98" s="297"/>
      <c r="I98" s="297"/>
      <c r="J98" s="297"/>
      <c r="K98" s="297"/>
      <c r="L98" s="297"/>
      <c r="M98" s="298">
        <v>150.0</v>
      </c>
      <c r="N98" s="297"/>
      <c r="O98" s="297"/>
      <c r="P98" s="297"/>
      <c r="Q98" s="297"/>
      <c r="R98" s="298"/>
      <c r="S98" s="137"/>
      <c r="T98" s="295"/>
      <c r="U98" s="137"/>
      <c r="V98" s="137"/>
      <c r="W98" s="137"/>
      <c r="X98" s="137"/>
      <c r="Y98" s="137"/>
      <c r="Z98" s="137"/>
    </row>
    <row r="99">
      <c r="A99" s="292" t="s">
        <v>991</v>
      </c>
      <c r="B99" s="288" t="s">
        <v>1089</v>
      </c>
      <c r="C99" s="307" t="s">
        <v>1090</v>
      </c>
      <c r="D99" s="289">
        <f>ROUND((F99*'Pawn Weights'!$K$22)+(G99*'Pawn Weights'!$K$23)+(H99*'Pawn Weights'!$K$24)+(I99*'Pawn Weights'!$K$25)+(J99*'Pawn Weights'!$K$26)+(K99*'Pawn Weights'!$K$27)+(L99*'Pawn Weights'!$K$28)+(M99*'Pawn Weights'!$K$29)+(N99*'Pawn Weights'!$K$30)+(O99*'Pawn Weights'!$K$31)+(P99*'Pawn Weights'!$K$32)+(Q99*'Pawn Weights'!$K$33)-10+9.55+2, 2)</f>
        <v>55.66</v>
      </c>
      <c r="E99" s="280">
        <v>36.0</v>
      </c>
      <c r="F99" s="280">
        <v>25.0</v>
      </c>
      <c r="G99" s="280"/>
      <c r="H99" s="280"/>
      <c r="I99" s="280">
        <v>21.0</v>
      </c>
      <c r="J99" s="280"/>
      <c r="K99" s="280"/>
      <c r="L99" s="280"/>
      <c r="M99" s="280"/>
      <c r="N99" s="280"/>
      <c r="O99" s="280"/>
      <c r="P99" s="280">
        <v>1.0</v>
      </c>
      <c r="Q99" s="280"/>
      <c r="R99" s="290" t="s">
        <v>784</v>
      </c>
      <c r="S99" s="281"/>
      <c r="T99" s="294" t="s">
        <v>793</v>
      </c>
      <c r="U99" s="281"/>
      <c r="V99" s="281"/>
      <c r="W99" s="281"/>
      <c r="X99" s="281"/>
    </row>
    <row r="100">
      <c r="A100" s="281"/>
      <c r="B100" s="288" t="s">
        <v>1091</v>
      </c>
      <c r="C100" s="280" t="s">
        <v>665</v>
      </c>
      <c r="D100" s="289">
        <f>ROUND((F100*'Pawn Weights'!$K$22)+(G100*'Pawn Weights'!$K$23)+(H100*'Pawn Weights'!$K$24)+(I100*'Pawn Weights'!$K$25)+(J100*'Pawn Weights'!$K$26)+(K100*'Pawn Weights'!$K$27)+(L100*'Pawn Weights'!$K$28)+(M100*'Pawn Weights'!$K$29)+(N100*'Pawn Weights'!$K$30)+(O100*'Pawn Weights'!$K$31)+(P100*'Pawn Weights'!$K$32)+(Q100*'Pawn Weights'!$K$33), 2)</f>
        <v>55.66</v>
      </c>
      <c r="E100" s="280">
        <v>28.0</v>
      </c>
      <c r="F100" s="280"/>
      <c r="G100" s="280">
        <v>18.0</v>
      </c>
      <c r="H100" s="280">
        <v>58.0</v>
      </c>
      <c r="I100" s="280">
        <v>19.0</v>
      </c>
      <c r="J100" s="280"/>
      <c r="K100" s="280"/>
      <c r="L100" s="280"/>
      <c r="M100" s="280"/>
      <c r="N100" s="280"/>
      <c r="O100" s="280"/>
      <c r="P100" s="280"/>
      <c r="Q100" s="280"/>
      <c r="R100" s="290"/>
      <c r="S100" s="281"/>
      <c r="T100" s="294"/>
      <c r="U100" s="281"/>
      <c r="V100" s="281"/>
      <c r="W100" s="281"/>
      <c r="X100" s="281"/>
    </row>
    <row r="101">
      <c r="A101" s="281"/>
      <c r="B101" s="288" t="s">
        <v>799</v>
      </c>
      <c r="C101" s="280" t="s">
        <v>691</v>
      </c>
      <c r="D101" s="289">
        <f>ROUND((F101*'Pawn Weights'!$K$22)+(G101*'Pawn Weights'!$K$23)+(H101*'Pawn Weights'!$K$24)+(I101*'Pawn Weights'!$K$25)+(J101*'Pawn Weights'!$K$26)+(K101*'Pawn Weights'!$K$27)+(L101*'Pawn Weights'!$K$28)+(M101*'Pawn Weights'!$K$29)+(N101*'Pawn Weights'!$K$30)+(O101*'Pawn Weights'!$K$31)+(P101*'Pawn Weights'!$K$32)+(Q101*'Pawn Weights'!$K$33), 2)</f>
        <v>55.21</v>
      </c>
      <c r="E101" s="280">
        <v>21.0</v>
      </c>
      <c r="F101" s="280"/>
      <c r="G101" s="280">
        <v>18.0</v>
      </c>
      <c r="H101" s="280">
        <v>50.0</v>
      </c>
      <c r="I101" s="280"/>
      <c r="J101" s="280"/>
      <c r="K101" s="280"/>
      <c r="L101" s="280"/>
      <c r="M101" s="280">
        <v>105.0</v>
      </c>
      <c r="N101" s="280"/>
      <c r="O101" s="280"/>
      <c r="P101" s="280"/>
      <c r="Q101" s="280"/>
      <c r="R101" s="290"/>
      <c r="S101" s="281"/>
      <c r="T101" s="294"/>
      <c r="U101" s="281"/>
      <c r="V101" s="281"/>
      <c r="W101" s="281"/>
      <c r="X101" s="281"/>
      <c r="Z101" s="137"/>
    </row>
    <row r="102">
      <c r="A102" s="281"/>
      <c r="B102" s="288" t="s">
        <v>1092</v>
      </c>
      <c r="C102" s="280" t="s">
        <v>957</v>
      </c>
      <c r="D102" s="289">
        <f>ROUND((F102*'Pawn Weights'!$K$22)+(G102*'Pawn Weights'!$K$23)+(H102*'Pawn Weights'!$K$24)+(I102*'Pawn Weights'!$K$25)+(J102*'Pawn Weights'!$K$26)+(K102*'Pawn Weights'!$K$27)+(L102*'Pawn Weights'!$K$28)+(M102*'Pawn Weights'!$K$29)+(N102*'Pawn Weights'!$K$30)+(O102*'Pawn Weights'!$K$31)+(P102*'Pawn Weights'!$K$32)+(Q102*'Pawn Weights'!$K$33), 2)</f>
        <v>54.57</v>
      </c>
      <c r="E102" s="280">
        <v>18.0</v>
      </c>
      <c r="F102" s="280"/>
      <c r="G102" s="280"/>
      <c r="H102" s="280">
        <v>50.0</v>
      </c>
      <c r="I102" s="280">
        <v>24.0</v>
      </c>
      <c r="J102" s="280"/>
      <c r="K102" s="280"/>
      <c r="L102" s="280"/>
      <c r="M102" s="280"/>
      <c r="N102" s="280"/>
      <c r="O102" s="280"/>
      <c r="P102" s="280">
        <v>1.0</v>
      </c>
      <c r="Q102" s="280"/>
      <c r="R102" s="290" t="s">
        <v>674</v>
      </c>
      <c r="S102" s="281"/>
      <c r="T102" s="294"/>
      <c r="U102" s="281"/>
      <c r="V102" s="281"/>
      <c r="W102" s="281"/>
      <c r="X102" s="281"/>
    </row>
    <row r="103">
      <c r="A103" s="292" t="s">
        <v>627</v>
      </c>
      <c r="B103" s="288" t="s">
        <v>787</v>
      </c>
      <c r="C103" s="280" t="s">
        <v>788</v>
      </c>
      <c r="D103" s="289">
        <f>ROUND((F103*'Pawn Weights'!$K$22)+(G103*'Pawn Weights'!$K$23)+(H103*'Pawn Weights'!$K$24)+(I103*'Pawn Weights'!$K$25)+(J103*'Pawn Weights'!$K$26)+(K103*'Pawn Weights'!$K$27)+(L103*'Pawn Weights'!$K$28)+(M103*'Pawn Weights'!$K$29)+(N103*'Pawn Weights'!$K$30)+(O103*'Pawn Weights'!$K$31)+(P103*'Pawn Weights'!$K$32)+(Q103*'Pawn Weights'!$K$33), 2)</f>
        <v>54.04</v>
      </c>
      <c r="E103" s="280">
        <v>15.0</v>
      </c>
      <c r="F103" s="280"/>
      <c r="G103" s="280">
        <v>21.0</v>
      </c>
      <c r="H103" s="280">
        <v>56.0</v>
      </c>
      <c r="I103" s="280"/>
      <c r="J103" s="280"/>
      <c r="K103" s="280">
        <v>27.0</v>
      </c>
      <c r="L103" s="280"/>
      <c r="M103" s="280"/>
      <c r="N103" s="280"/>
      <c r="O103" s="280"/>
      <c r="P103" s="280"/>
      <c r="Q103" s="280"/>
      <c r="R103" s="290"/>
      <c r="S103" s="281"/>
      <c r="T103" s="294"/>
      <c r="U103" s="281"/>
      <c r="V103" s="281"/>
      <c r="W103" s="281"/>
      <c r="X103" s="281"/>
    </row>
    <row r="104">
      <c r="A104" s="292" t="s">
        <v>627</v>
      </c>
      <c r="B104" s="288" t="s">
        <v>796</v>
      </c>
      <c r="C104" s="280" t="s">
        <v>788</v>
      </c>
      <c r="D104" s="289">
        <f>ROUND((F104*'Pawn Weights'!$K$22)+(G104*'Pawn Weights'!$K$23)+(H104*'Pawn Weights'!$K$24)+(I104*'Pawn Weights'!$K$25)+(J104*'Pawn Weights'!$K$26)+(K104*'Pawn Weights'!$K$27)+(L104*'Pawn Weights'!$K$28)+(M104*'Pawn Weights'!$K$29)+(N104*'Pawn Weights'!$K$30)+(O104*'Pawn Weights'!$K$31)+(P104*'Pawn Weights'!$K$32)+(Q104*'Pawn Weights'!$K$33), 2)</f>
        <v>50.65</v>
      </c>
      <c r="E104" s="280">
        <v>34.0</v>
      </c>
      <c r="F104" s="280"/>
      <c r="G104" s="280">
        <v>20.0</v>
      </c>
      <c r="H104" s="280">
        <v>50.0</v>
      </c>
      <c r="I104" s="280"/>
      <c r="J104" s="280"/>
      <c r="K104" s="280">
        <v>27.0</v>
      </c>
      <c r="L104" s="280"/>
      <c r="M104" s="280"/>
      <c r="N104" s="280"/>
      <c r="O104" s="280"/>
      <c r="P104" s="280"/>
      <c r="Q104" s="280"/>
      <c r="R104" s="290"/>
      <c r="S104" s="281"/>
      <c r="T104" s="222"/>
      <c r="U104" s="281"/>
      <c r="V104" s="281"/>
      <c r="W104" s="281"/>
      <c r="X104" s="281"/>
    </row>
    <row r="105">
      <c r="A105" s="272" t="s">
        <v>800</v>
      </c>
      <c r="B105" s="281"/>
      <c r="C105" s="281"/>
      <c r="D105" s="360"/>
      <c r="E105" s="281"/>
      <c r="F105" s="281"/>
      <c r="G105" s="281"/>
      <c r="H105" s="281"/>
      <c r="I105" s="281"/>
      <c r="J105" s="281"/>
      <c r="K105" s="281"/>
      <c r="L105" s="281"/>
      <c r="M105" s="281"/>
      <c r="N105" s="281"/>
      <c r="O105" s="281"/>
      <c r="P105" s="281"/>
      <c r="Q105" s="281"/>
      <c r="R105" s="282"/>
      <c r="S105" s="281"/>
      <c r="T105" s="285"/>
      <c r="U105" s="281"/>
      <c r="V105" s="281"/>
      <c r="W105" s="281"/>
    </row>
    <row r="106">
      <c r="A106" s="137"/>
      <c r="B106" s="296" t="s">
        <v>803</v>
      </c>
      <c r="C106" s="297" t="s">
        <v>621</v>
      </c>
      <c r="D106" s="289">
        <f>ROUND((F106*'Pawn Weights'!$K$22)+(G106*'Pawn Weights'!$K$23)+(H106*'Pawn Weights'!$K$24)+(I106*'Pawn Weights'!$K$25)+(J106*'Pawn Weights'!$K$26)+(K106*'Pawn Weights'!$K$27)+(L106*'Pawn Weights'!$K$28)+(M106*'Pawn Weights'!$K$29)+(N106*'Pawn Weights'!$K$30)+(O106*'Pawn Weights'!$K$31)+(P106*'Pawn Weights'!$K$32)+(Q106*'Pawn Weights'!$K$33)-10+9.55+2.001, 2)</f>
        <v>141.01</v>
      </c>
      <c r="E106" s="298">
        <v>43.0</v>
      </c>
      <c r="F106" s="297"/>
      <c r="G106" s="298">
        <v>40.0</v>
      </c>
      <c r="H106" s="298">
        <v>80.0</v>
      </c>
      <c r="I106" s="298">
        <v>23.0</v>
      </c>
      <c r="J106" s="297"/>
      <c r="K106" s="297"/>
      <c r="L106" s="297"/>
      <c r="M106" s="298">
        <v>182.0</v>
      </c>
      <c r="N106" s="297"/>
      <c r="O106" s="298">
        <v>1.0</v>
      </c>
      <c r="P106" s="298">
        <v>1.0</v>
      </c>
      <c r="Q106" s="297"/>
      <c r="R106" s="298" t="s">
        <v>695</v>
      </c>
      <c r="S106" s="137"/>
      <c r="T106" s="295"/>
      <c r="U106" s="137"/>
      <c r="V106" s="137"/>
      <c r="W106" s="137"/>
      <c r="X106" s="137"/>
      <c r="Y106" s="137"/>
      <c r="Z106" s="137"/>
    </row>
    <row r="107">
      <c r="A107" s="137" t="s">
        <v>627</v>
      </c>
      <c r="B107" s="296" t="s">
        <v>801</v>
      </c>
      <c r="C107" s="297" t="s">
        <v>802</v>
      </c>
      <c r="D107" s="289">
        <f>ROUND((F107*'Pawn Weights'!$K$22)+(G107*'Pawn Weights'!$K$23)+(H107*'Pawn Weights'!$K$24)+(I107*'Pawn Weights'!$K$25)+(J107*'Pawn Weights'!$K$26)+(K107*'Pawn Weights'!$K$27)+(L107*'Pawn Weights'!$K$28)+(M107*'Pawn Weights'!$K$29)+(N107*'Pawn Weights'!$K$30)+(O107*'Pawn Weights'!$K$31)+(P107*'Pawn Weights'!$K$32)+(Q107*'Pawn Weights'!$K$33)+2.73, 2)</f>
        <v>140.98</v>
      </c>
      <c r="E107" s="298">
        <v>33.0</v>
      </c>
      <c r="F107" s="297"/>
      <c r="G107" s="298">
        <v>30.0</v>
      </c>
      <c r="H107" s="298">
        <v>90.0</v>
      </c>
      <c r="I107" s="298">
        <v>30.0</v>
      </c>
      <c r="J107" s="297"/>
      <c r="K107" s="297"/>
      <c r="L107" s="297"/>
      <c r="M107" s="359">
        <v>154.0</v>
      </c>
      <c r="N107" s="297"/>
      <c r="O107" s="298">
        <v>2.0</v>
      </c>
      <c r="P107" s="297"/>
      <c r="Q107" s="297"/>
      <c r="R107" s="298" t="s">
        <v>702</v>
      </c>
      <c r="S107" s="137"/>
      <c r="T107" s="295"/>
      <c r="U107" s="137"/>
      <c r="V107" s="137"/>
      <c r="W107" s="137"/>
      <c r="X107" s="137"/>
      <c r="Y107" s="137"/>
      <c r="Z107" s="137"/>
    </row>
    <row r="108">
      <c r="A108" s="295"/>
      <c r="B108" s="296" t="s">
        <v>804</v>
      </c>
      <c r="C108" s="297" t="s">
        <v>621</v>
      </c>
      <c r="D108" s="289">
        <f>ROUND((F108*'Pawn Weights'!$K$22)+(G108*'Pawn Weights'!$K$23)+(H108*'Pawn Weights'!$K$24)+(I108*'Pawn Weights'!$K$25)+(J108*'Pawn Weights'!$K$26)+(K108*'Pawn Weights'!$K$27)+(L108*'Pawn Weights'!$K$28)+(M108*'Pawn Weights'!$K$29)+(N108*'Pawn Weights'!$K$30)+(O108*'Pawn Weights'!$K$31)+(P108*'Pawn Weights'!$K$32)+(Q108*'Pawn Weights'!$K$33), 2)</f>
        <v>133.89</v>
      </c>
      <c r="E108" s="298">
        <v>48.0</v>
      </c>
      <c r="F108" s="298">
        <v>47.0</v>
      </c>
      <c r="G108" s="297"/>
      <c r="H108" s="297"/>
      <c r="I108" s="298">
        <v>39.0</v>
      </c>
      <c r="J108" s="297"/>
      <c r="K108" s="297"/>
      <c r="L108" s="297"/>
      <c r="M108" s="359">
        <v>161.0</v>
      </c>
      <c r="N108" s="297"/>
      <c r="O108" s="298">
        <v>1.0</v>
      </c>
      <c r="P108" s="297"/>
      <c r="Q108" s="298">
        <v>1.0</v>
      </c>
      <c r="R108" s="298" t="s">
        <v>698</v>
      </c>
      <c r="S108" s="137"/>
      <c r="T108" s="295"/>
      <c r="U108" s="137"/>
      <c r="V108" s="137"/>
      <c r="W108" s="137"/>
      <c r="X108" s="137"/>
      <c r="Y108" s="137"/>
      <c r="Z108" s="137"/>
    </row>
    <row r="109">
      <c r="A109" s="25"/>
      <c r="B109" s="288" t="s">
        <v>811</v>
      </c>
      <c r="C109" s="280" t="s">
        <v>723</v>
      </c>
      <c r="D109" s="289">
        <f>ROUND((F109*'Pawn Weights'!$K$22)+(G109*'Pawn Weights'!$K$23)+(H109*'Pawn Weights'!$K$24)+(I109*'Pawn Weights'!$K$25)+(J109*'Pawn Weights'!$K$26)+(K109*'Pawn Weights'!$K$27)+(L109*'Pawn Weights'!$K$28)+(M109*'Pawn Weights'!$K$29)+(N109*'Pawn Weights'!$K$30)+(O109*'Pawn Weights'!$K$31)+(P109*'Pawn Weights'!$K$32)+(Q109*'Pawn Weights'!$K$33), 2)</f>
        <v>104.33</v>
      </c>
      <c r="E109" s="280">
        <v>37.0</v>
      </c>
      <c r="F109" s="280">
        <v>40.0</v>
      </c>
      <c r="G109" s="280"/>
      <c r="H109" s="280"/>
      <c r="I109" s="280"/>
      <c r="J109" s="280">
        <v>15.0</v>
      </c>
      <c r="K109" s="280"/>
      <c r="L109" s="280"/>
      <c r="M109" s="280">
        <v>175.0</v>
      </c>
      <c r="N109" s="280"/>
      <c r="O109" s="280">
        <v>2.0</v>
      </c>
      <c r="P109" s="280"/>
      <c r="Q109" s="280"/>
      <c r="R109" s="290" t="s">
        <v>1093</v>
      </c>
      <c r="S109" s="281"/>
      <c r="T109" s="291"/>
      <c r="U109" s="281"/>
      <c r="V109" s="281"/>
      <c r="W109" s="281"/>
    </row>
    <row r="110">
      <c r="A110" s="295"/>
      <c r="B110" s="296" t="s">
        <v>810</v>
      </c>
      <c r="C110" s="297" t="s">
        <v>744</v>
      </c>
      <c r="D110" s="289">
        <f>ROUND((F110*'Pawn Weights'!$K$22)+(G110*'Pawn Weights'!$K$23)+(H110*'Pawn Weights'!$K$24)+(I110*'Pawn Weights'!$K$25)+(J110*'Pawn Weights'!$K$26)+(K110*'Pawn Weights'!$K$27)+(L110*'Pawn Weights'!$K$28)+(M110*'Pawn Weights'!$K$29)+(N110*'Pawn Weights'!$K$30)+(O110*'Pawn Weights'!$K$31)+(P110*'Pawn Weights'!$K$32)+(Q110*'Pawn Weights'!$K$33), 2)</f>
        <v>103.98</v>
      </c>
      <c r="E110" s="298">
        <v>45.0</v>
      </c>
      <c r="F110" s="298">
        <v>34.0</v>
      </c>
      <c r="G110" s="298">
        <v>34.0</v>
      </c>
      <c r="H110" s="297"/>
      <c r="I110" s="297"/>
      <c r="J110" s="297"/>
      <c r="K110" s="297"/>
      <c r="L110" s="297"/>
      <c r="M110" s="359">
        <v>140.0</v>
      </c>
      <c r="N110" s="297"/>
      <c r="O110" s="298">
        <v>1.0</v>
      </c>
      <c r="P110" s="297"/>
      <c r="Q110" s="298">
        <v>1.0</v>
      </c>
      <c r="R110" s="298" t="s">
        <v>695</v>
      </c>
      <c r="S110" s="137"/>
      <c r="T110" s="295"/>
      <c r="U110" s="137"/>
      <c r="V110" s="137"/>
      <c r="W110" s="137"/>
      <c r="X110" s="137"/>
      <c r="Y110" s="137"/>
      <c r="Z110" s="137"/>
    </row>
    <row r="111">
      <c r="A111" s="137" t="s">
        <v>627</v>
      </c>
      <c r="B111" s="296" t="s">
        <v>805</v>
      </c>
      <c r="C111" s="297" t="s">
        <v>806</v>
      </c>
      <c r="D111" s="289">
        <f>ROUND((F111*'Pawn Weights'!$K$22)+(G111*'Pawn Weights'!$K$23)+(H111*'Pawn Weights'!$K$24)+(I111*'Pawn Weights'!$K$25)+(J111*'Pawn Weights'!$K$26)+(K111*'Pawn Weights'!$K$27)+(L111*'Pawn Weights'!$K$28)+(M111*'Pawn Weights'!$K$29)+(N111*'Pawn Weights'!$K$30)+(O111*'Pawn Weights'!$K$31)+(P111*'Pawn Weights'!$K$32)+(Q111*'Pawn Weights'!$K$33)-10+9.55+3, 2)</f>
        <v>102.63</v>
      </c>
      <c r="E111" s="298">
        <v>45.0</v>
      </c>
      <c r="F111" s="298">
        <v>45.0</v>
      </c>
      <c r="G111" s="297"/>
      <c r="H111" s="297"/>
      <c r="I111" s="297"/>
      <c r="J111" s="298">
        <v>23.0</v>
      </c>
      <c r="K111" s="298">
        <v>36.0</v>
      </c>
      <c r="L111" s="297"/>
      <c r="M111" s="137"/>
      <c r="N111" s="297"/>
      <c r="O111" s="298">
        <v>1.0</v>
      </c>
      <c r="P111" s="298">
        <v>1.0</v>
      </c>
      <c r="Q111" s="297"/>
      <c r="R111" s="298" t="s">
        <v>698</v>
      </c>
      <c r="S111" s="137"/>
      <c r="T111" s="295"/>
      <c r="U111" s="137"/>
      <c r="V111" s="137"/>
      <c r="W111" s="137"/>
      <c r="X111" s="137"/>
      <c r="Y111" s="137"/>
      <c r="Z111" s="137"/>
    </row>
    <row r="112">
      <c r="A112" s="137"/>
      <c r="B112" s="296" t="s">
        <v>807</v>
      </c>
      <c r="C112" s="297" t="s">
        <v>744</v>
      </c>
      <c r="D112" s="289">
        <f>ROUND((F112*'Pawn Weights'!$K$22)+(G112*'Pawn Weights'!$K$23)+(H112*'Pawn Weights'!$K$24)+(I112*'Pawn Weights'!$K$25)+(J112*'Pawn Weights'!$K$26)+(K112*'Pawn Weights'!$K$27)+(L112*'Pawn Weights'!$K$28)+(M112*'Pawn Weights'!$K$29)+(N112*'Pawn Weights'!$K$30)+(O112*'Pawn Weights'!$K$31)+(P112*'Pawn Weights'!$K$32)+(Q112*'Pawn Weights'!$K$33), 2)</f>
        <v>100.82</v>
      </c>
      <c r="E112" s="298">
        <v>33.0</v>
      </c>
      <c r="F112" s="297"/>
      <c r="G112" s="298">
        <v>41.0</v>
      </c>
      <c r="H112" s="298">
        <v>82.0</v>
      </c>
      <c r="I112" s="297"/>
      <c r="J112" s="297"/>
      <c r="K112" s="298">
        <v>30.0</v>
      </c>
      <c r="L112" s="297"/>
      <c r="M112" s="137"/>
      <c r="N112" s="297"/>
      <c r="O112" s="298">
        <v>1.0</v>
      </c>
      <c r="P112" s="297"/>
      <c r="Q112" s="298">
        <v>1.0</v>
      </c>
      <c r="R112" s="298" t="s">
        <v>695</v>
      </c>
      <c r="S112" s="137"/>
      <c r="T112" s="295"/>
      <c r="U112" s="137"/>
      <c r="V112" s="137"/>
      <c r="W112" s="137"/>
      <c r="X112" s="137"/>
      <c r="Y112" s="137"/>
      <c r="Z112" s="137"/>
    </row>
    <row r="113">
      <c r="A113" s="295" t="s">
        <v>627</v>
      </c>
      <c r="B113" s="296" t="s">
        <v>808</v>
      </c>
      <c r="C113" s="297" t="s">
        <v>802</v>
      </c>
      <c r="D113" s="289">
        <f>ROUND((F113*'Pawn Weights'!$K$22)+(G113*'Pawn Weights'!$K$23)+(H113*'Pawn Weights'!$K$24)+(I113*'Pawn Weights'!$K$25)+(J113*'Pawn Weights'!$K$26)+(K113*'Pawn Weights'!$K$27)+(L113*'Pawn Weights'!$K$28)+(M113*'Pawn Weights'!$K$29)+(N113*'Pawn Weights'!$K$30)+(O113*'Pawn Weights'!$K$31)+(P113*'Pawn Weights'!$K$32)+(Q113*'Pawn Weights'!$K$33)-20+19.1+2.727, 2)</f>
        <v>94.74</v>
      </c>
      <c r="E113" s="298">
        <v>33.0</v>
      </c>
      <c r="F113" s="297"/>
      <c r="G113" s="298">
        <v>30.0</v>
      </c>
      <c r="H113" s="298">
        <v>76.0</v>
      </c>
      <c r="I113" s="297"/>
      <c r="J113" s="297"/>
      <c r="K113" s="298">
        <v>34.0</v>
      </c>
      <c r="L113" s="297"/>
      <c r="M113" s="137"/>
      <c r="N113" s="297"/>
      <c r="O113" s="297"/>
      <c r="P113" s="298">
        <v>2.0</v>
      </c>
      <c r="Q113" s="297"/>
      <c r="R113" s="298" t="s">
        <v>809</v>
      </c>
      <c r="S113" s="137"/>
      <c r="T113" s="295"/>
      <c r="U113" s="137"/>
      <c r="V113" s="137"/>
      <c r="W113" s="137"/>
      <c r="X113" s="137"/>
      <c r="Y113" s="137"/>
      <c r="Z113" s="137"/>
    </row>
    <row r="114">
      <c r="A114" s="25" t="s">
        <v>640</v>
      </c>
      <c r="B114" s="288" t="s">
        <v>813</v>
      </c>
      <c r="C114" s="280" t="s">
        <v>814</v>
      </c>
      <c r="D114" s="289">
        <f>ROUND((F114*'Pawn Weights'!$K$22)+(G114*'Pawn Weights'!$K$23)+(H114*'Pawn Weights'!$K$24)+(I114*'Pawn Weights'!$K$25)+(J114*'Pawn Weights'!$K$26)+(K114*'Pawn Weights'!$K$27)+(L114*'Pawn Weights'!$K$28)+(M114*'Pawn Weights'!$K$29)+(N114*'Pawn Weights'!$K$30)+(O114*'Pawn Weights'!$K$31)+(P114*'Pawn Weights'!$K$32)+(Q114*'Pawn Weights'!$K$33)+1.82, 2)</f>
        <v>90.58</v>
      </c>
      <c r="E114" s="280">
        <v>49.0</v>
      </c>
      <c r="F114" s="280">
        <v>41.0</v>
      </c>
      <c r="G114" s="280">
        <v>30.0</v>
      </c>
      <c r="H114" s="280"/>
      <c r="I114" s="280"/>
      <c r="J114" s="280"/>
      <c r="K114" s="280"/>
      <c r="L114" s="280"/>
      <c r="M114" s="280">
        <v>91.0</v>
      </c>
      <c r="N114" s="280"/>
      <c r="O114" s="280">
        <v>1.0</v>
      </c>
      <c r="P114" s="280"/>
      <c r="Q114" s="280"/>
      <c r="R114" s="290" t="s">
        <v>736</v>
      </c>
      <c r="S114" s="281"/>
      <c r="T114" s="291"/>
      <c r="U114" s="281"/>
      <c r="V114" s="281"/>
      <c r="W114" s="281"/>
    </row>
    <row r="115">
      <c r="A115" s="295"/>
      <c r="B115" s="296" t="s">
        <v>817</v>
      </c>
      <c r="C115" s="297" t="s">
        <v>818</v>
      </c>
      <c r="D115" s="289">
        <f>ROUND((F115*'Pawn Weights'!$K$22)+(G115*'Pawn Weights'!$K$23)+(H115*'Pawn Weights'!$K$24)+(I115*'Pawn Weights'!$K$25)+(J115*'Pawn Weights'!$K$26)+(K115*'Pawn Weights'!$K$27)+(L115*'Pawn Weights'!$K$28)+(M115*'Pawn Weights'!$K$29)+(N115*'Pawn Weights'!$K$30)+(O115*'Pawn Weights'!$K$31)+(P115*'Pawn Weights'!$K$32)+(Q115*'Pawn Weights'!$K$33)-10+9.55+1.334, 2)</f>
        <v>83.57</v>
      </c>
      <c r="E115" s="298">
        <v>30.0</v>
      </c>
      <c r="F115" s="297"/>
      <c r="G115" s="298">
        <v>34.0</v>
      </c>
      <c r="H115" s="298">
        <v>78.0</v>
      </c>
      <c r="I115" s="298">
        <v>16.0</v>
      </c>
      <c r="J115" s="297"/>
      <c r="K115" s="297"/>
      <c r="L115" s="297"/>
      <c r="M115" s="137"/>
      <c r="N115" s="297"/>
      <c r="O115" s="297"/>
      <c r="P115" s="298">
        <v>1.0</v>
      </c>
      <c r="Q115" s="297"/>
      <c r="R115" s="298" t="s">
        <v>711</v>
      </c>
      <c r="S115" s="137"/>
      <c r="T115" s="295"/>
      <c r="U115" s="137"/>
      <c r="V115" s="137"/>
      <c r="W115" s="137"/>
      <c r="X115" s="137"/>
      <c r="Y115" s="137"/>
      <c r="Z115" s="137"/>
    </row>
    <row r="116">
      <c r="A116" s="25"/>
      <c r="B116" s="288" t="s">
        <v>822</v>
      </c>
      <c r="C116" s="280" t="s">
        <v>823</v>
      </c>
      <c r="D116" s="289">
        <f>ROUND((F116*'Pawn Weights'!$K$22)+(G116*'Pawn Weights'!$K$23)+(H116*'Pawn Weights'!$K$24)+(I116*'Pawn Weights'!$K$25)+(J116*'Pawn Weights'!$K$26)+(K116*'Pawn Weights'!$K$27)+(L116*'Pawn Weights'!$K$28)+(M116*'Pawn Weights'!$K$29)+(N116*'Pawn Weights'!$K$30)+(O116*'Pawn Weights'!$K$31)+(P116*'Pawn Weights'!$K$32)+(Q116*'Pawn Weights'!$K$33), 2)</f>
        <v>76.93</v>
      </c>
      <c r="E116" s="280">
        <v>34.0</v>
      </c>
      <c r="F116" s="280">
        <v>36.0</v>
      </c>
      <c r="G116" s="280"/>
      <c r="H116" s="280"/>
      <c r="I116" s="280">
        <v>23.0</v>
      </c>
      <c r="J116" s="280"/>
      <c r="K116" s="280"/>
      <c r="L116" s="280"/>
      <c r="M116" s="281"/>
      <c r="N116" s="280"/>
      <c r="O116" s="280"/>
      <c r="P116" s="280">
        <v>1.0</v>
      </c>
      <c r="Q116" s="280">
        <v>1.0</v>
      </c>
      <c r="R116" s="290" t="s">
        <v>698</v>
      </c>
      <c r="S116" s="281"/>
      <c r="T116" s="291"/>
      <c r="U116" s="281"/>
      <c r="V116" s="281"/>
      <c r="W116" s="281"/>
    </row>
    <row r="117" ht="16.5" customHeight="1">
      <c r="A117" s="301"/>
      <c r="B117" s="288" t="s">
        <v>824</v>
      </c>
      <c r="C117" s="280" t="s">
        <v>825</v>
      </c>
      <c r="D117" s="289">
        <f>ROUND((F117*'Pawn Weights'!$K$22)+(G117*'Pawn Weights'!$K$23)+(H117*'Pawn Weights'!$K$24)+(I117*'Pawn Weights'!$K$25)+(J117*'Pawn Weights'!$K$26)+(K117*'Pawn Weights'!$K$27)+(L117*'Pawn Weights'!$K$28)+(M117*'Pawn Weights'!$K$29)+(N117*'Pawn Weights'!$K$30)+(O117*'Pawn Weights'!$K$31)+(P117*'Pawn Weights'!$K$32)+(Q117*'Pawn Weights'!$K$33), 2)</f>
        <v>76.38</v>
      </c>
      <c r="E117" s="280">
        <v>31.0</v>
      </c>
      <c r="F117" s="280"/>
      <c r="G117" s="280"/>
      <c r="H117" s="280">
        <v>72.0</v>
      </c>
      <c r="I117" s="280">
        <v>26.0</v>
      </c>
      <c r="J117" s="280"/>
      <c r="K117" s="280"/>
      <c r="L117" s="280"/>
      <c r="M117" s="281"/>
      <c r="N117" s="280"/>
      <c r="O117" s="280"/>
      <c r="P117" s="280"/>
      <c r="Q117" s="280">
        <v>2.0</v>
      </c>
      <c r="R117" s="290" t="s">
        <v>702</v>
      </c>
      <c r="S117" s="281"/>
      <c r="T117" s="291"/>
      <c r="U117" s="281"/>
      <c r="V117" s="281"/>
      <c r="W117" s="281"/>
    </row>
    <row r="118">
      <c r="A118" s="295" t="s">
        <v>635</v>
      </c>
      <c r="B118" s="296" t="s">
        <v>826</v>
      </c>
      <c r="C118" s="297" t="s">
        <v>637</v>
      </c>
      <c r="D118" s="289">
        <f>ROUND((F118*'Pawn Weights'!$K$22)+(G118*'Pawn Weights'!$K$23)+(H118*'Pawn Weights'!$K$24)+(I118*'Pawn Weights'!$K$25)+(J118*'Pawn Weights'!$K$26)+(K118*'Pawn Weights'!$K$27)+(L118*'Pawn Weights'!$K$28)+(M118*'Pawn Weights'!$K$29)+(N118*'Pawn Weights'!$K$30)+(O118*'Pawn Weights'!$K$31)+(P118*'Pawn Weights'!$K$32)+(Q118*'Pawn Weights'!$K$33), 2)</f>
        <v>75.67</v>
      </c>
      <c r="E118" s="298">
        <v>59.0</v>
      </c>
      <c r="F118" s="298">
        <v>42.0</v>
      </c>
      <c r="G118" s="297"/>
      <c r="H118" s="297"/>
      <c r="I118" s="298">
        <v>37.0</v>
      </c>
      <c r="J118" s="297"/>
      <c r="K118" s="297"/>
      <c r="L118" s="297"/>
      <c r="M118" s="137"/>
      <c r="N118" s="297"/>
      <c r="O118" s="297"/>
      <c r="P118" s="297"/>
      <c r="Q118" s="297"/>
      <c r="R118" s="295"/>
      <c r="S118" s="137"/>
      <c r="T118" s="297" t="s">
        <v>827</v>
      </c>
      <c r="U118" s="137"/>
      <c r="V118" s="137"/>
      <c r="W118" s="137"/>
      <c r="X118" s="137"/>
      <c r="Y118" s="137"/>
      <c r="Z118" s="137"/>
    </row>
    <row r="119">
      <c r="B119" s="288" t="s">
        <v>1094</v>
      </c>
      <c r="C119" s="280" t="s">
        <v>1025</v>
      </c>
      <c r="D119" s="289">
        <f>ROUND((F119*'Pawn Weights'!$K$22)+(G119*'Pawn Weights'!$K$23)+(H119*'Pawn Weights'!$K$24)+(I119*'Pawn Weights'!$K$25)+(J119*'Pawn Weights'!$K$26)+(K119*'Pawn Weights'!$K$27)+(L119*'Pawn Weights'!$K$28)+(M119*'Pawn Weights'!$K$29)+(N119*'Pawn Weights'!$K$30)+(O119*'Pawn Weights'!$K$31)+(P119*'Pawn Weights'!$K$32)+(Q119*'Pawn Weights'!$K$33), 2)</f>
        <v>76.31</v>
      </c>
      <c r="E119" s="280">
        <v>37.0</v>
      </c>
      <c r="F119" s="280"/>
      <c r="G119" s="280">
        <v>33.0</v>
      </c>
      <c r="H119" s="280">
        <v>66.0</v>
      </c>
      <c r="I119" s="280"/>
      <c r="J119" s="280"/>
      <c r="K119" s="280"/>
      <c r="L119" s="280">
        <v>18.0</v>
      </c>
      <c r="M119" s="281"/>
      <c r="N119" s="280"/>
      <c r="O119" s="280"/>
      <c r="P119" s="280"/>
      <c r="Q119" s="280"/>
      <c r="R119" s="290"/>
      <c r="S119" s="281"/>
      <c r="T119" s="291" t="s">
        <v>1079</v>
      </c>
      <c r="U119" s="281"/>
      <c r="V119" s="281"/>
      <c r="W119" s="281"/>
    </row>
    <row r="120">
      <c r="A120" s="295"/>
      <c r="B120" s="296" t="s">
        <v>1095</v>
      </c>
      <c r="C120" s="297" t="s">
        <v>889</v>
      </c>
      <c r="D120" s="289">
        <f>ROUND((F120*'Pawn Weights'!$K$22)+(G120*'Pawn Weights'!$K$23)+(H120*'Pawn Weights'!$K$24)+(I120*'Pawn Weights'!$K$25)+(J120*'Pawn Weights'!$K$26)+(K120*'Pawn Weights'!$K$27)+(L120*'Pawn Weights'!$K$28)+(M120*'Pawn Weights'!$K$29)+(N120*'Pawn Weights'!$K$30)+(O120*'Pawn Weights'!$K$31)+(P120*'Pawn Weights'!$K$32)+(Q120*'Pawn Weights'!$K$33)-10+9.55+2.727, 2)</f>
        <v>74.9</v>
      </c>
      <c r="E120" s="298">
        <v>27.0</v>
      </c>
      <c r="F120" s="297"/>
      <c r="G120" s="298">
        <v>20.0</v>
      </c>
      <c r="H120" s="298">
        <v>58.0</v>
      </c>
      <c r="I120" s="297"/>
      <c r="J120" s="298">
        <v>19.0</v>
      </c>
      <c r="K120" s="297"/>
      <c r="L120" s="297"/>
      <c r="M120" s="137"/>
      <c r="N120" s="297"/>
      <c r="O120" s="298">
        <v>1.0</v>
      </c>
      <c r="P120" s="298">
        <v>1.0</v>
      </c>
      <c r="Q120" s="297"/>
      <c r="R120" s="298" t="s">
        <v>809</v>
      </c>
      <c r="S120" s="137"/>
      <c r="T120" s="295"/>
      <c r="U120" s="137"/>
      <c r="V120" s="137"/>
      <c r="W120" s="137"/>
      <c r="X120" s="137"/>
      <c r="Y120" s="137"/>
      <c r="Z120" s="137"/>
    </row>
    <row r="121">
      <c r="A121" s="295"/>
      <c r="B121" s="296" t="s">
        <v>1096</v>
      </c>
      <c r="C121" s="297" t="s">
        <v>889</v>
      </c>
      <c r="D121" s="289">
        <f>ROUND((F121*'Pawn Weights'!$K$22)+(G121*'Pawn Weights'!$K$23)+(H121*'Pawn Weights'!$K$24)+(I121*'Pawn Weights'!$K$25)+(J121*'Pawn Weights'!$K$26)+(K121*'Pawn Weights'!$K$27)+(L121*'Pawn Weights'!$K$28)+(M121*'Pawn Weights'!$K$29)+(N121*'Pawn Weights'!$K$30)+(O121*'Pawn Weights'!$K$31)+(P121*'Pawn Weights'!$K$32)+(Q121*'Pawn Weights'!$K$33)-10+9.55+3, 2)</f>
        <v>73.55</v>
      </c>
      <c r="E121" s="298">
        <v>37.0</v>
      </c>
      <c r="F121" s="298">
        <v>34.0</v>
      </c>
      <c r="G121" s="297"/>
      <c r="H121" s="297"/>
      <c r="I121" s="297"/>
      <c r="J121" s="298">
        <v>25.0</v>
      </c>
      <c r="K121" s="297"/>
      <c r="L121" s="297"/>
      <c r="M121" s="137"/>
      <c r="N121" s="297"/>
      <c r="O121" s="298">
        <v>1.0</v>
      </c>
      <c r="P121" s="298">
        <v>1.0</v>
      </c>
      <c r="Q121" s="297"/>
      <c r="R121" s="298" t="s">
        <v>698</v>
      </c>
      <c r="S121" s="137"/>
      <c r="T121" s="295"/>
      <c r="U121" s="137"/>
      <c r="V121" s="137"/>
      <c r="W121" s="137"/>
      <c r="X121" s="137"/>
      <c r="Y121" s="137"/>
      <c r="Z121" s="137"/>
    </row>
    <row r="122">
      <c r="A122" s="25"/>
      <c r="B122" s="288" t="s">
        <v>815</v>
      </c>
      <c r="C122" s="280" t="s">
        <v>816</v>
      </c>
      <c r="D122" s="289">
        <f>ROUND((F122*'Pawn Weights'!$K$22)+(G122*'Pawn Weights'!$K$23)+(H122*'Pawn Weights'!$K$24)+(I122*'Pawn Weights'!$K$25)+(J122*'Pawn Weights'!$K$26)+(K122*'Pawn Weights'!$K$27)+(L122*'Pawn Weights'!$K$28)+(M122*'Pawn Weights'!$K$29)+(N122*'Pawn Weights'!$K$30)+(O122*'Pawn Weights'!$K$31)+(P122*'Pawn Weights'!$K$32)+(Q122*'Pawn Weights'!$K$33), 2)</f>
        <v>72.53</v>
      </c>
      <c r="E122" s="280">
        <v>38.0</v>
      </c>
      <c r="F122" s="280"/>
      <c r="G122" s="280">
        <v>27.0</v>
      </c>
      <c r="H122" s="280">
        <v>76.0</v>
      </c>
      <c r="I122" s="280"/>
      <c r="J122" s="280"/>
      <c r="K122" s="280">
        <v>37.0</v>
      </c>
      <c r="L122" s="280"/>
      <c r="M122" s="280"/>
      <c r="N122" s="280"/>
      <c r="O122" s="280"/>
      <c r="P122" s="280"/>
      <c r="Q122" s="280"/>
      <c r="R122" s="290"/>
      <c r="S122" s="281"/>
      <c r="T122" s="291"/>
      <c r="U122" s="281"/>
      <c r="V122" s="281"/>
      <c r="W122" s="281"/>
    </row>
    <row r="123">
      <c r="A123" s="25" t="s">
        <v>627</v>
      </c>
      <c r="B123" s="311" t="s">
        <v>1097</v>
      </c>
      <c r="C123" s="280" t="s">
        <v>904</v>
      </c>
      <c r="D123" s="289">
        <f>ROUND((F123*'Pawn Weights'!$K$22)+(G123*'Pawn Weights'!$K$23)+(H123*'Pawn Weights'!$K$24)+(I123*'Pawn Weights'!$K$25)+(J123*'Pawn Weights'!$K$26)+(K123*'Pawn Weights'!$K$27)+(L123*'Pawn Weights'!$K$28)+(M123*'Pawn Weights'!$K$29)+(N123*'Pawn Weights'!$K$30)+(O123*'Pawn Weights'!$K$31)+(P123*'Pawn Weights'!$K$32)+(Q123*'Pawn Weights'!$K$33)-10+9.55+2.727, 2)</f>
        <v>72.04</v>
      </c>
      <c r="E123" s="280"/>
      <c r="F123" s="280"/>
      <c r="G123" s="280"/>
      <c r="H123" s="280">
        <v>36.0</v>
      </c>
      <c r="I123" s="280">
        <v>24.0</v>
      </c>
      <c r="J123" s="280">
        <v>17.0</v>
      </c>
      <c r="K123" s="280"/>
      <c r="L123" s="280"/>
      <c r="M123" s="281"/>
      <c r="N123" s="280"/>
      <c r="O123" s="280">
        <v>1.0</v>
      </c>
      <c r="P123" s="280">
        <v>1.0</v>
      </c>
      <c r="Q123" s="280"/>
      <c r="R123" s="290" t="s">
        <v>809</v>
      </c>
      <c r="S123" s="281"/>
      <c r="T123" s="291"/>
      <c r="U123" s="281"/>
      <c r="V123" s="281"/>
      <c r="W123" s="281"/>
    </row>
    <row r="124">
      <c r="A124" s="25" t="s">
        <v>647</v>
      </c>
      <c r="B124" s="288" t="s">
        <v>1098</v>
      </c>
      <c r="C124" s="280" t="s">
        <v>957</v>
      </c>
      <c r="D124" s="289">
        <f>ROUND((F124*'Pawn Weights'!$K$22)+(G124*'Pawn Weights'!$K$23)+(H124*'Pawn Weights'!$K$24)+(I124*'Pawn Weights'!$K$25)+(J124*'Pawn Weights'!$K$26)+(K124*'Pawn Weights'!$K$27)+(L124*'Pawn Weights'!$K$28)+(M124*'Pawn Weights'!$K$29)+(N124*'Pawn Weights'!$K$30)+(O124*'Pawn Weights'!$K$31)+(P124*'Pawn Weights'!$K$32)+(Q124*'Pawn Weights'!$K$33), 2)</f>
        <v>71.3</v>
      </c>
      <c r="E124" s="280">
        <v>46.0</v>
      </c>
      <c r="F124" s="280">
        <v>44.0</v>
      </c>
      <c r="G124" s="280"/>
      <c r="H124" s="280"/>
      <c r="I124" s="280">
        <v>30.0</v>
      </c>
      <c r="J124" s="280"/>
      <c r="K124" s="280"/>
      <c r="L124" s="280"/>
      <c r="M124" s="281"/>
      <c r="N124" s="280"/>
      <c r="O124" s="280"/>
      <c r="P124" s="280"/>
      <c r="Q124" s="280"/>
      <c r="R124" s="290"/>
      <c r="S124" s="281"/>
      <c r="T124" s="291"/>
      <c r="U124" s="281"/>
      <c r="V124" s="281"/>
      <c r="W124" s="281"/>
    </row>
    <row r="125">
      <c r="A125" s="272" t="s">
        <v>828</v>
      </c>
      <c r="B125" s="281"/>
      <c r="C125" s="281"/>
      <c r="D125" s="360"/>
      <c r="E125" s="281"/>
      <c r="F125" s="281"/>
      <c r="G125" s="281"/>
      <c r="H125" s="281"/>
      <c r="I125" s="281"/>
      <c r="J125" s="281"/>
      <c r="K125" s="281"/>
      <c r="L125" s="281"/>
      <c r="M125" s="281"/>
      <c r="N125" s="281"/>
      <c r="O125" s="281"/>
      <c r="P125" s="281"/>
      <c r="Q125" s="281"/>
      <c r="R125" s="282"/>
      <c r="S125" s="281"/>
      <c r="T125" s="285"/>
      <c r="U125" s="281"/>
      <c r="V125" s="281"/>
      <c r="W125" s="281"/>
    </row>
    <row r="126">
      <c r="A126" s="295" t="s">
        <v>640</v>
      </c>
      <c r="B126" s="296" t="s">
        <v>829</v>
      </c>
      <c r="C126" s="297" t="s">
        <v>663</v>
      </c>
      <c r="D126" s="289">
        <f>ROUND((F126*'Pawn Weights'!$K$22)+(G126*'Pawn Weights'!$K$23)+(H126*'Pawn Weights'!$K$24)+(I126*'Pawn Weights'!$K$25)+(J126*'Pawn Weights'!$K$26)+(K126*'Pawn Weights'!$K$27)+(L126*'Pawn Weights'!$K$28)+(M126*'Pawn Weights'!$K$29)+(N126*'Pawn Weights'!$K$30)+(O126*'Pawn Weights'!$K$31)+(P126*'Pawn Weights'!$K$32)+(Q126*'Pawn Weights'!$K$33)-10+9.55+2, 2)</f>
        <v>140.09</v>
      </c>
      <c r="E126" s="297"/>
      <c r="F126" s="298">
        <v>43.0</v>
      </c>
      <c r="G126" s="297"/>
      <c r="H126" s="297"/>
      <c r="I126" s="298">
        <v>40.0</v>
      </c>
      <c r="J126" s="297"/>
      <c r="K126" s="298">
        <v>26.0</v>
      </c>
      <c r="L126" s="298">
        <v>26.0</v>
      </c>
      <c r="M126" s="137"/>
      <c r="N126" s="297"/>
      <c r="O126" s="297"/>
      <c r="P126" s="298">
        <v>1.0</v>
      </c>
      <c r="Q126" s="297"/>
      <c r="R126" s="298" t="s">
        <v>784</v>
      </c>
      <c r="S126" s="137"/>
      <c r="T126" s="295"/>
      <c r="U126" s="137"/>
      <c r="V126" s="137"/>
      <c r="W126" s="137"/>
      <c r="X126" s="137"/>
      <c r="Y126" s="137"/>
      <c r="Z126" s="137"/>
    </row>
    <row r="127">
      <c r="A127" s="292"/>
      <c r="B127" s="288" t="s">
        <v>830</v>
      </c>
      <c r="C127" s="280" t="s">
        <v>649</v>
      </c>
      <c r="D127" s="289">
        <f>ROUND((F127*'Pawn Weights'!$K$22)+(G127*'Pawn Weights'!$K$23)+(H127*'Pawn Weights'!$K$24)+(I127*'Pawn Weights'!$K$25)+(J127*'Pawn Weights'!$K$26)+(K127*'Pawn Weights'!$K$27)+(L127*'Pawn Weights'!$K$28)+(M127*'Pawn Weights'!$K$29)+(N127*'Pawn Weights'!$K$30)+(O127*'Pawn Weights'!$K$31)+(P127*'Pawn Weights'!$K$32)+(Q127*'Pawn Weights'!$K$33), 2)</f>
        <v>106.73</v>
      </c>
      <c r="E127" s="280">
        <v>25.0</v>
      </c>
      <c r="F127" s="280"/>
      <c r="G127" s="280">
        <v>29.0</v>
      </c>
      <c r="H127" s="280">
        <v>74.0</v>
      </c>
      <c r="I127" s="280"/>
      <c r="J127" s="280"/>
      <c r="K127" s="280"/>
      <c r="L127" s="280">
        <v>25.0</v>
      </c>
      <c r="M127" s="281"/>
      <c r="N127" s="280"/>
      <c r="O127" s="280">
        <v>1.0</v>
      </c>
      <c r="P127" s="280"/>
      <c r="Q127" s="280">
        <v>1.0</v>
      </c>
      <c r="R127" s="290" t="s">
        <v>695</v>
      </c>
      <c r="S127" s="281"/>
      <c r="T127" s="291" t="s">
        <v>1079</v>
      </c>
      <c r="U127" s="281"/>
      <c r="V127" s="281"/>
      <c r="W127" s="281"/>
    </row>
    <row r="128">
      <c r="A128" s="295"/>
      <c r="B128" s="296" t="s">
        <v>831</v>
      </c>
      <c r="C128" s="297" t="s">
        <v>718</v>
      </c>
      <c r="D128" s="289">
        <f>ROUND((F128*'Pawn Weights'!$K$22)+(G128*'Pawn Weights'!$K$23)+(H128*'Pawn Weights'!$K$24)+(I128*'Pawn Weights'!$K$25)+(J128*'Pawn Weights'!$K$26)+(K128*'Pawn Weights'!$K$27)+(L128*'Pawn Weights'!$K$28)+(M128*'Pawn Weights'!$K$29)+(N128*'Pawn Weights'!$K$30)+(O128*'Pawn Weights'!$K$31)+(P128*'Pawn Weights'!$K$32)+(Q128*'Pawn Weights'!$K$33), 2)</f>
        <v>93.55</v>
      </c>
      <c r="E128" s="298">
        <v>37.0</v>
      </c>
      <c r="F128" s="298">
        <v>34.0</v>
      </c>
      <c r="G128" s="297"/>
      <c r="H128" s="297"/>
      <c r="I128" s="297"/>
      <c r="J128" s="298">
        <v>14.0</v>
      </c>
      <c r="K128" s="297"/>
      <c r="L128" s="297"/>
      <c r="M128" s="359">
        <v>154.0</v>
      </c>
      <c r="N128" s="297"/>
      <c r="O128" s="298">
        <v>1.0</v>
      </c>
      <c r="P128" s="297"/>
      <c r="Q128" s="298">
        <v>1.0</v>
      </c>
      <c r="R128" s="298" t="s">
        <v>832</v>
      </c>
      <c r="S128" s="137"/>
      <c r="T128" s="295"/>
      <c r="U128" s="137"/>
      <c r="V128" s="137"/>
      <c r="W128" s="137"/>
      <c r="X128" s="137"/>
      <c r="Y128" s="137"/>
      <c r="Z128" s="137"/>
    </row>
    <row r="129">
      <c r="A129" s="292"/>
      <c r="B129" s="288" t="s">
        <v>833</v>
      </c>
      <c r="C129" s="280" t="s">
        <v>816</v>
      </c>
      <c r="D129" s="289">
        <f>ROUND((F129*'Pawn Weights'!$K$22)+(G129*'Pawn Weights'!$K$23)+(H129*'Pawn Weights'!$K$24)+(I129*'Pawn Weights'!$K$25)+(J129*'Pawn Weights'!$K$26)+(K129*'Pawn Weights'!$K$27)+(L129*'Pawn Weights'!$K$28)+(M129*'Pawn Weights'!$K$29)+(N129*'Pawn Weights'!$K$30)+(O129*'Pawn Weights'!$K$31)+(P129*'Pawn Weights'!$K$32)+(Q129*'Pawn Weights'!$K$33), 2)</f>
        <v>93.29</v>
      </c>
      <c r="E129" s="280"/>
      <c r="F129" s="280"/>
      <c r="G129" s="280">
        <v>38.0</v>
      </c>
      <c r="H129" s="280">
        <v>76.0</v>
      </c>
      <c r="I129" s="280">
        <v>24.0</v>
      </c>
      <c r="J129" s="280">
        <v>17.0</v>
      </c>
      <c r="K129" s="280"/>
      <c r="L129" s="280"/>
      <c r="M129" s="281"/>
      <c r="N129" s="280"/>
      <c r="O129" s="280"/>
      <c r="P129" s="280"/>
      <c r="Q129" s="280"/>
      <c r="R129" s="290"/>
      <c r="S129" s="281"/>
      <c r="T129" s="291"/>
      <c r="U129" s="281"/>
      <c r="V129" s="281"/>
      <c r="W129" s="281"/>
    </row>
    <row r="130">
      <c r="A130" s="292" t="s">
        <v>627</v>
      </c>
      <c r="B130" s="288" t="s">
        <v>836</v>
      </c>
      <c r="C130" s="280" t="s">
        <v>837</v>
      </c>
      <c r="D130" s="289">
        <f>ROUND((F130*'Pawn Weights'!$K$22)+(G130*'Pawn Weights'!$K$23)+(H130*'Pawn Weights'!$K$24)+(I130*'Pawn Weights'!$K$25)+(J130*'Pawn Weights'!$K$26)+(K130*'Pawn Weights'!$K$27)+(L130*'Pawn Weights'!$K$28)+(M130*'Pawn Weights'!$K$29)+(N130*'Pawn Weights'!$K$30)+(O130*'Pawn Weights'!$K$31)+(P130*'Pawn Weights'!$K$32)+(Q130*'Pawn Weights'!$K$33), 2)</f>
        <v>92.36</v>
      </c>
      <c r="E130" s="280">
        <v>21.0</v>
      </c>
      <c r="F130" s="280">
        <v>41.0</v>
      </c>
      <c r="G130" s="280"/>
      <c r="H130" s="280"/>
      <c r="I130" s="280">
        <v>24.0</v>
      </c>
      <c r="J130" s="280">
        <v>14.0</v>
      </c>
      <c r="K130" s="280"/>
      <c r="L130" s="280"/>
      <c r="M130" s="281"/>
      <c r="N130" s="280"/>
      <c r="O130" s="280"/>
      <c r="P130" s="280">
        <v>1.0</v>
      </c>
      <c r="Q130" s="280">
        <v>1.0</v>
      </c>
      <c r="R130" s="290" t="s">
        <v>702</v>
      </c>
      <c r="S130" s="281"/>
      <c r="T130" s="291"/>
      <c r="U130" s="281"/>
      <c r="V130" s="281"/>
      <c r="W130" s="281"/>
    </row>
    <row r="131">
      <c r="A131" s="292"/>
      <c r="B131" s="288" t="s">
        <v>834</v>
      </c>
      <c r="C131" s="280" t="s">
        <v>835</v>
      </c>
      <c r="D131" s="289">
        <f>ROUND((F131*'Pawn Weights'!$K$22)+(G131*'Pawn Weights'!$K$23)+(H131*'Pawn Weights'!$K$24)+(I131*'Pawn Weights'!$K$25)+(J131*'Pawn Weights'!$K$26)+(K131*'Pawn Weights'!$K$27)+(L131*'Pawn Weights'!$K$28)+(M131*'Pawn Weights'!$K$29)+(N131*'Pawn Weights'!$K$30)+(O131*'Pawn Weights'!$K$31)+(P131*'Pawn Weights'!$K$32)+(Q131*'Pawn Weights'!$K$33), 2)</f>
        <v>91.18</v>
      </c>
      <c r="E131" s="280">
        <v>37.0</v>
      </c>
      <c r="F131" s="280"/>
      <c r="G131" s="280">
        <v>29.0</v>
      </c>
      <c r="H131" s="280">
        <v>76.0</v>
      </c>
      <c r="I131" s="280">
        <v>19.0</v>
      </c>
      <c r="J131" s="280"/>
      <c r="K131" s="280"/>
      <c r="L131" s="280"/>
      <c r="M131" s="281"/>
      <c r="N131" s="280"/>
      <c r="O131" s="280">
        <v>1.0</v>
      </c>
      <c r="P131" s="280">
        <v>1.0</v>
      </c>
      <c r="Q131" s="280"/>
      <c r="R131" s="290" t="s">
        <v>812</v>
      </c>
      <c r="S131" s="281"/>
      <c r="T131" s="291"/>
      <c r="U131" s="281"/>
      <c r="V131" s="281"/>
      <c r="W131" s="281"/>
    </row>
    <row r="132">
      <c r="A132" s="295"/>
      <c r="B132" s="296" t="s">
        <v>838</v>
      </c>
      <c r="C132" s="297" t="s">
        <v>839</v>
      </c>
      <c r="D132" s="289">
        <f>ROUND((F132*'Pawn Weights'!$K$22)+(G132*'Pawn Weights'!$K$23)+(H132*'Pawn Weights'!$K$24)+(I132*'Pawn Weights'!$K$25)+(J132*'Pawn Weights'!$K$26)+(K132*'Pawn Weights'!$K$27)+(L132*'Pawn Weights'!$K$28)+(M132*'Pawn Weights'!$K$29)+(N132*'Pawn Weights'!$K$30)+(O132*'Pawn Weights'!$K$31)+(P132*'Pawn Weights'!$K$32)+(Q132*'Pawn Weights'!$K$33), 2)</f>
        <v>87.16</v>
      </c>
      <c r="E132" s="298">
        <v>27.0</v>
      </c>
      <c r="F132" s="297"/>
      <c r="G132" s="298">
        <v>25.0</v>
      </c>
      <c r="H132" s="298">
        <v>58.0</v>
      </c>
      <c r="I132" s="298">
        <v>21.0</v>
      </c>
      <c r="J132" s="297"/>
      <c r="K132" s="297"/>
      <c r="L132" s="297"/>
      <c r="M132" s="359">
        <v>77.0</v>
      </c>
      <c r="N132" s="297"/>
      <c r="O132" s="297"/>
      <c r="P132" s="297"/>
      <c r="Q132" s="298">
        <v>1.0</v>
      </c>
      <c r="R132" s="298" t="s">
        <v>660</v>
      </c>
      <c r="S132" s="137"/>
      <c r="T132" s="295"/>
      <c r="U132" s="137"/>
      <c r="V132" s="137"/>
      <c r="W132" s="137"/>
      <c r="X132" s="137"/>
      <c r="Y132" s="137"/>
      <c r="Z132" s="137"/>
    </row>
    <row r="133">
      <c r="A133" s="137"/>
      <c r="B133" s="296" t="s">
        <v>843</v>
      </c>
      <c r="C133" s="297" t="s">
        <v>844</v>
      </c>
      <c r="D133" s="289">
        <f>ROUND((F133*'Pawn Weights'!$K$22)+(G133*'Pawn Weights'!$K$23)+(H133*'Pawn Weights'!$K$24)+(I133*'Pawn Weights'!$K$25)+(J133*'Pawn Weights'!$K$26)+(K133*'Pawn Weights'!$K$27)+(L133*'Pawn Weights'!$K$28)+(M133*'Pawn Weights'!$K$29)+(N133*'Pawn Weights'!$K$30)+(O133*'Pawn Weights'!$K$31)+(P133*'Pawn Weights'!$K$32)+(Q133*'Pawn Weights'!$K$33)-10+9.55+1.334, 2)</f>
        <v>84.65</v>
      </c>
      <c r="E133" s="298">
        <v>33.0</v>
      </c>
      <c r="F133" s="297"/>
      <c r="G133" s="298">
        <v>34.0</v>
      </c>
      <c r="H133" s="298">
        <v>78.0</v>
      </c>
      <c r="I133" s="297"/>
      <c r="J133" s="298">
        <v>23.0</v>
      </c>
      <c r="K133" s="297"/>
      <c r="L133" s="297"/>
      <c r="M133" s="137"/>
      <c r="N133" s="297"/>
      <c r="O133" s="297"/>
      <c r="P133" s="298">
        <v>1.0</v>
      </c>
      <c r="Q133" s="297"/>
      <c r="R133" s="298" t="s">
        <v>711</v>
      </c>
      <c r="S133" s="137"/>
      <c r="T133" s="295"/>
      <c r="U133" s="137"/>
      <c r="V133" s="137"/>
      <c r="W133" s="137"/>
      <c r="X133" s="137"/>
      <c r="Y133" s="137"/>
      <c r="Z133" s="137"/>
    </row>
    <row r="134">
      <c r="A134" s="292" t="s">
        <v>627</v>
      </c>
      <c r="B134" s="288" t="s">
        <v>845</v>
      </c>
      <c r="C134" s="280" t="s">
        <v>846</v>
      </c>
      <c r="D134" s="289">
        <f>ROUND((F134*'Pawn Weights'!$K$22)+(G134*'Pawn Weights'!$K$23)+(H134*'Pawn Weights'!$K$24)+(I134*'Pawn Weights'!$K$25)+(J134*'Pawn Weights'!$K$26)+(K134*'Pawn Weights'!$K$27)+(L134*'Pawn Weights'!$K$28)+(M134*'Pawn Weights'!$K$29)+(N134*'Pawn Weights'!$K$30)+(O134*'Pawn Weights'!$K$31)+(P134*'Pawn Weights'!$K$32)+(Q134*'Pawn Weights'!$K$33), 2)</f>
        <v>83.58</v>
      </c>
      <c r="E134" s="280">
        <v>14.0</v>
      </c>
      <c r="F134" s="280"/>
      <c r="G134" s="280">
        <v>32.0</v>
      </c>
      <c r="H134" s="280">
        <v>66.0</v>
      </c>
      <c r="I134" s="280"/>
      <c r="J134" s="280">
        <v>18.0</v>
      </c>
      <c r="K134" s="280"/>
      <c r="L134" s="280"/>
      <c r="M134" s="281"/>
      <c r="N134" s="280"/>
      <c r="O134" s="280"/>
      <c r="P134" s="280"/>
      <c r="Q134" s="280">
        <v>2.0</v>
      </c>
      <c r="R134" s="290" t="s">
        <v>695</v>
      </c>
      <c r="S134" s="281"/>
      <c r="T134" s="291"/>
      <c r="U134" s="281"/>
      <c r="V134" s="281"/>
      <c r="W134" s="281"/>
    </row>
    <row r="135">
      <c r="A135" s="281"/>
      <c r="B135" s="288" t="s">
        <v>847</v>
      </c>
      <c r="C135" s="280" t="s">
        <v>825</v>
      </c>
      <c r="D135" s="289">
        <f>ROUND((F135*'Pawn Weights'!$K$22)+(G135*'Pawn Weights'!$K$23)+(H135*'Pawn Weights'!$K$24)+(I135*'Pawn Weights'!$K$25)+(J135*'Pawn Weights'!$K$26)+(K135*'Pawn Weights'!$K$27)+(L135*'Pawn Weights'!$K$28)+(M135*'Pawn Weights'!$K$29)+(N135*'Pawn Weights'!$K$30)+(O135*'Pawn Weights'!$K$31)+(P135*'Pawn Weights'!$K$32)+(Q135*'Pawn Weights'!$K$33), 2)</f>
        <v>79.48</v>
      </c>
      <c r="E135" s="280">
        <v>30.0</v>
      </c>
      <c r="F135" s="280">
        <v>34.0</v>
      </c>
      <c r="G135" s="280"/>
      <c r="H135" s="280"/>
      <c r="I135" s="280">
        <v>28.0</v>
      </c>
      <c r="J135" s="280"/>
      <c r="K135" s="280"/>
      <c r="L135" s="280"/>
      <c r="M135" s="281"/>
      <c r="N135" s="280"/>
      <c r="O135" s="280">
        <v>1.0</v>
      </c>
      <c r="P135" s="280"/>
      <c r="Q135" s="280">
        <v>1.0</v>
      </c>
      <c r="R135" s="290" t="s">
        <v>702</v>
      </c>
      <c r="S135" s="281"/>
      <c r="T135" s="291"/>
      <c r="U135" s="281"/>
      <c r="V135" s="281"/>
      <c r="W135" s="281"/>
    </row>
    <row r="136">
      <c r="A136" s="292" t="s">
        <v>627</v>
      </c>
      <c r="B136" s="288" t="s">
        <v>1099</v>
      </c>
      <c r="C136" s="280" t="s">
        <v>846</v>
      </c>
      <c r="D136" s="289">
        <f>ROUND((F136*'Pawn Weights'!$K$22)+(G136*'Pawn Weights'!$K$23)+(H136*'Pawn Weights'!$K$24)+(I136*'Pawn Weights'!$K$25)+(J136*'Pawn Weights'!$K$26)+(K136*'Pawn Weights'!$K$27)+(L136*'Pawn Weights'!$K$28)+(M136*'Pawn Weights'!$K$29)+(N136*'Pawn Weights'!$K$30)+(O136*'Pawn Weights'!$K$31)+(P136*'Pawn Weights'!$K$32)+(Q136*'Pawn Weights'!$K$33), 2)</f>
        <v>76.81</v>
      </c>
      <c r="E136" s="280">
        <v>20.0</v>
      </c>
      <c r="F136" s="280"/>
      <c r="G136" s="280">
        <v>17.0</v>
      </c>
      <c r="H136" s="280">
        <v>66.0</v>
      </c>
      <c r="I136" s="280">
        <v>17.0</v>
      </c>
      <c r="J136" s="280"/>
      <c r="K136" s="280"/>
      <c r="L136" s="280"/>
      <c r="M136" s="281"/>
      <c r="N136" s="280"/>
      <c r="O136" s="280"/>
      <c r="P136" s="280">
        <v>1.0</v>
      </c>
      <c r="Q136" s="280">
        <v>1.0</v>
      </c>
      <c r="R136" s="290" t="s">
        <v>695</v>
      </c>
      <c r="S136" s="281"/>
      <c r="T136" s="291"/>
      <c r="U136" s="281"/>
      <c r="V136" s="281"/>
      <c r="W136" s="281"/>
    </row>
    <row r="137">
      <c r="A137" s="295" t="s">
        <v>671</v>
      </c>
      <c r="B137" s="296" t="s">
        <v>848</v>
      </c>
      <c r="C137" s="297" t="s">
        <v>849</v>
      </c>
      <c r="D137" s="289">
        <f>ROUND((F137*'Pawn Weights'!$K$22)+(G137*'Pawn Weights'!$K$23)+(H137*'Pawn Weights'!$K$24)+(I137*'Pawn Weights'!$K$25)+(J137*'Pawn Weights'!$K$26)+(K137*'Pawn Weights'!$K$27)+(L137*'Pawn Weights'!$K$28)+(M137*'Pawn Weights'!$K$29)+(N137*'Pawn Weights'!$K$30)+(O137*'Pawn Weights'!$K$31)+(P137*'Pawn Weights'!$K$32)+(Q137*'Pawn Weights'!$K$33), 2)</f>
        <v>76.4</v>
      </c>
      <c r="E137" s="298">
        <v>56.0</v>
      </c>
      <c r="F137" s="298">
        <v>40.0</v>
      </c>
      <c r="G137" s="297"/>
      <c r="H137" s="297"/>
      <c r="I137" s="298">
        <v>40.0</v>
      </c>
      <c r="J137" s="297"/>
      <c r="K137" s="297"/>
      <c r="L137" s="297"/>
      <c r="M137" s="137"/>
      <c r="N137" s="297"/>
      <c r="O137" s="297"/>
      <c r="P137" s="297"/>
      <c r="Q137" s="297"/>
      <c r="R137" s="295"/>
      <c r="S137" s="137"/>
      <c r="T137" s="297" t="s">
        <v>850</v>
      </c>
      <c r="U137" s="137"/>
      <c r="V137" s="137"/>
      <c r="W137" s="137"/>
      <c r="X137" s="137"/>
      <c r="Y137" s="137"/>
      <c r="Z137" s="137"/>
    </row>
    <row r="138">
      <c r="A138" s="281"/>
      <c r="B138" s="288" t="s">
        <v>1100</v>
      </c>
      <c r="C138" s="280" t="s">
        <v>823</v>
      </c>
      <c r="D138" s="289">
        <f>ROUND((F138*'Pawn Weights'!$K$22)+(G138*'Pawn Weights'!$K$23)+(H138*'Pawn Weights'!$K$24)+(I138*'Pawn Weights'!$K$25)+(J138*'Pawn Weights'!$K$26)+(K138*'Pawn Weights'!$K$27)+(L138*'Pawn Weights'!$K$28)+(M138*'Pawn Weights'!$K$29)+(N138*'Pawn Weights'!$K$30)+(O138*'Pawn Weights'!$K$31)+(P138*'Pawn Weights'!$K$32)+(Q138*'Pawn Weights'!$K$33), 2)</f>
        <v>75.47</v>
      </c>
      <c r="E138" s="280">
        <v>27.0</v>
      </c>
      <c r="F138" s="280"/>
      <c r="G138" s="280"/>
      <c r="H138" s="280">
        <v>72.0</v>
      </c>
      <c r="I138" s="280">
        <v>25.0</v>
      </c>
      <c r="J138" s="280"/>
      <c r="K138" s="280"/>
      <c r="L138" s="280"/>
      <c r="M138" s="281"/>
      <c r="N138" s="280"/>
      <c r="O138" s="280"/>
      <c r="P138" s="280">
        <v>1.0</v>
      </c>
      <c r="Q138" s="280">
        <v>1.0</v>
      </c>
      <c r="R138" s="290" t="s">
        <v>702</v>
      </c>
      <c r="S138" s="281"/>
      <c r="T138" s="291"/>
      <c r="U138" s="281"/>
      <c r="V138" s="281"/>
      <c r="W138" s="281"/>
    </row>
    <row r="139">
      <c r="A139" s="292"/>
      <c r="B139" s="288" t="s">
        <v>840</v>
      </c>
      <c r="C139" s="280" t="s">
        <v>723</v>
      </c>
      <c r="D139" s="289">
        <f>ROUND((F139*'Pawn Weights'!$K$22)+(G139*'Pawn Weights'!$K$23)+(H139*'Pawn Weights'!$K$24)+(I139*'Pawn Weights'!$K$25)+(J139*'Pawn Weights'!$K$26)+(K139*'Pawn Weights'!$K$27)+(L139*'Pawn Weights'!$K$28)+(M139*'Pawn Weights'!$K$29)+(N139*'Pawn Weights'!$K$30)+(O139*'Pawn Weights'!$K$31)+(P139*'Pawn Weights'!$K$32)+(Q139*'Pawn Weights'!$K$33), 2)</f>
        <v>72.53</v>
      </c>
      <c r="E139" s="280">
        <v>38.0</v>
      </c>
      <c r="F139" s="280"/>
      <c r="G139" s="280">
        <v>27.0</v>
      </c>
      <c r="H139" s="280">
        <v>76.0</v>
      </c>
      <c r="I139" s="280"/>
      <c r="J139" s="280"/>
      <c r="K139" s="280">
        <v>37.0</v>
      </c>
      <c r="L139" s="280"/>
      <c r="M139" s="281"/>
      <c r="N139" s="280"/>
      <c r="O139" s="280"/>
      <c r="P139" s="280"/>
      <c r="Q139" s="280"/>
      <c r="R139" s="290"/>
      <c r="S139" s="281"/>
      <c r="T139" s="291"/>
      <c r="U139" s="281"/>
      <c r="V139" s="281"/>
      <c r="W139" s="281"/>
    </row>
    <row r="140">
      <c r="A140" s="292" t="s">
        <v>991</v>
      </c>
      <c r="B140" s="288" t="s">
        <v>1101</v>
      </c>
      <c r="C140" s="280" t="s">
        <v>1102</v>
      </c>
      <c r="D140" s="289">
        <f>ROUND((F140*'Pawn Weights'!$K$22)+(G140*'Pawn Weights'!$K$23)+(H140*'Pawn Weights'!$K$24)+(I140*'Pawn Weights'!$K$25)+(J140*'Pawn Weights'!$K$26)+(K140*'Pawn Weights'!$K$27)+(L140*'Pawn Weights'!$K$28)+(M140*'Pawn Weights'!$K$29)+(N140*'Pawn Weights'!$K$30)+(O140*'Pawn Weights'!$K$31)+(P140*'Pawn Weights'!$K$32)+(Q140*'Pawn Weights'!$K$33), 2)</f>
        <v>66.85</v>
      </c>
      <c r="E140" s="280">
        <v>49.0</v>
      </c>
      <c r="F140" s="280">
        <v>35.0</v>
      </c>
      <c r="G140" s="280"/>
      <c r="H140" s="280"/>
      <c r="I140" s="280">
        <v>35.0</v>
      </c>
      <c r="J140" s="280"/>
      <c r="K140" s="280"/>
      <c r="L140" s="280"/>
      <c r="M140" s="281"/>
      <c r="N140" s="280"/>
      <c r="O140" s="280"/>
      <c r="P140" s="280"/>
      <c r="Q140" s="280"/>
      <c r="R140" s="290"/>
      <c r="S140" s="281"/>
      <c r="T140" s="291" t="s">
        <v>850</v>
      </c>
      <c r="U140" s="281"/>
      <c r="V140" s="281"/>
      <c r="W140" s="281"/>
    </row>
    <row r="141">
      <c r="A141" s="295"/>
      <c r="B141" s="296" t="s">
        <v>851</v>
      </c>
      <c r="C141" s="297" t="s">
        <v>844</v>
      </c>
      <c r="D141" s="289">
        <f>ROUND((F141*'Pawn Weights'!$K$22)+(G141*'Pawn Weights'!$K$23)+(H141*'Pawn Weights'!$K$24)+(I141*'Pawn Weights'!$K$25)+(J141*'Pawn Weights'!$K$26)+(K141*'Pawn Weights'!$K$27)+(L141*'Pawn Weights'!$K$28)+(M141*'Pawn Weights'!$K$29)+(N141*'Pawn Weights'!$K$30)+(O141*'Pawn Weights'!$K$31)+(P141*'Pawn Weights'!$K$32)+(Q141*'Pawn Weights'!$K$33), 2)</f>
        <v>66.2</v>
      </c>
      <c r="E141" s="298">
        <v>55.0</v>
      </c>
      <c r="F141" s="298">
        <v>40.0</v>
      </c>
      <c r="G141" s="297"/>
      <c r="H141" s="297"/>
      <c r="I141" s="297"/>
      <c r="J141" s="297"/>
      <c r="K141" s="298">
        <v>30.0</v>
      </c>
      <c r="L141" s="297"/>
      <c r="M141" s="137"/>
      <c r="N141" s="297"/>
      <c r="O141" s="297"/>
      <c r="P141" s="297"/>
      <c r="Q141" s="298">
        <v>1.0</v>
      </c>
      <c r="R141" s="298" t="s">
        <v>784</v>
      </c>
      <c r="S141" s="137"/>
      <c r="T141" s="295"/>
      <c r="U141" s="137"/>
      <c r="V141" s="137"/>
      <c r="W141" s="137"/>
      <c r="X141" s="137"/>
      <c r="Y141" s="137"/>
      <c r="Z141" s="137"/>
    </row>
    <row r="142">
      <c r="A142" s="272" t="s">
        <v>852</v>
      </c>
      <c r="B142" s="281"/>
      <c r="C142" s="281"/>
      <c r="D142" s="360"/>
      <c r="E142" s="281"/>
      <c r="F142" s="281"/>
      <c r="G142" s="281"/>
      <c r="H142" s="281"/>
      <c r="I142" s="281"/>
      <c r="J142" s="281"/>
      <c r="K142" s="281"/>
      <c r="L142" s="281"/>
      <c r="M142" s="281"/>
      <c r="N142" s="281"/>
      <c r="O142" s="281"/>
      <c r="P142" s="281"/>
      <c r="Q142" s="281"/>
      <c r="R142" s="282"/>
      <c r="S142" s="281"/>
      <c r="T142" s="285"/>
      <c r="U142" s="281"/>
      <c r="V142" s="281"/>
      <c r="W142" s="281"/>
    </row>
    <row r="143">
      <c r="A143" s="295"/>
      <c r="B143" s="296" t="s">
        <v>853</v>
      </c>
      <c r="C143" s="297" t="s">
        <v>854</v>
      </c>
      <c r="D143" s="289">
        <f>ROUND((F143*'Pawn Weights'!$K$22)+(G143*'Pawn Weights'!$K$23)+(H143*'Pawn Weights'!$K$24)+(I143*'Pawn Weights'!$K$25)+(J143*'Pawn Weights'!$K$26)+(K143*'Pawn Weights'!$K$27)+(L143*'Pawn Weights'!$K$28)+(M143*'Pawn Weights'!$K$29)+(N143*'Pawn Weights'!$K$30)+(O143*'Pawn Weights'!$K$31)+(P143*'Pawn Weights'!$K$32)+(Q143*'Pawn Weights'!$K$33)+2.668, 2)</f>
        <v>181.81</v>
      </c>
      <c r="E143" s="298">
        <v>48.0</v>
      </c>
      <c r="F143" s="297"/>
      <c r="G143" s="298">
        <v>41.0</v>
      </c>
      <c r="H143" s="298">
        <v>124.0</v>
      </c>
      <c r="I143" s="297"/>
      <c r="J143" s="298">
        <v>32.0</v>
      </c>
      <c r="K143" s="297"/>
      <c r="L143" s="297"/>
      <c r="M143" s="298">
        <v>224.0</v>
      </c>
      <c r="N143" s="297"/>
      <c r="O143" s="298">
        <v>3.0</v>
      </c>
      <c r="P143" s="297"/>
      <c r="Q143" s="297"/>
      <c r="R143" s="298" t="s">
        <v>622</v>
      </c>
      <c r="S143" s="137"/>
      <c r="T143" s="295"/>
      <c r="U143" s="137"/>
      <c r="V143" s="137"/>
      <c r="W143" s="137"/>
      <c r="X143" s="137"/>
      <c r="Y143" s="137"/>
      <c r="Z143" s="137"/>
    </row>
    <row r="144">
      <c r="A144" s="301"/>
      <c r="B144" s="288" t="s">
        <v>856</v>
      </c>
      <c r="C144" s="280" t="s">
        <v>857</v>
      </c>
      <c r="D144" s="289">
        <f>ROUND((F144*'Pawn Weights'!$K$22)+(G144*'Pawn Weights'!$K$23)+(H144*'Pawn Weights'!$K$24)+(I144*'Pawn Weights'!$K$25)+(J144*'Pawn Weights'!$K$26)+(K144*'Pawn Weights'!$K$27)+(L144*'Pawn Weights'!$K$28)+(M144*'Pawn Weights'!$K$29)+(N144*'Pawn Weights'!$K$30)+(O144*'Pawn Weights'!$K$31)+(P144*'Pawn Weights'!$K$32)+(Q144*'Pawn Weights'!$K$33), 2)</f>
        <v>151.1</v>
      </c>
      <c r="E144" s="280">
        <v>51.0</v>
      </c>
      <c r="F144" s="280">
        <v>51.0</v>
      </c>
      <c r="G144" s="280"/>
      <c r="H144" s="280"/>
      <c r="I144" s="280">
        <v>35.0</v>
      </c>
      <c r="J144" s="280"/>
      <c r="K144" s="280"/>
      <c r="L144" s="280"/>
      <c r="M144" s="280">
        <v>350.0</v>
      </c>
      <c r="N144" s="280"/>
      <c r="O144" s="280"/>
      <c r="P144" s="280"/>
      <c r="Q144" s="280"/>
      <c r="R144" s="290"/>
      <c r="S144" s="281"/>
      <c r="T144" s="294"/>
      <c r="U144" s="281"/>
      <c r="V144" s="281"/>
      <c r="W144" s="281"/>
      <c r="X144" s="281"/>
    </row>
    <row r="145">
      <c r="A145" s="295"/>
      <c r="B145" s="296" t="s">
        <v>855</v>
      </c>
      <c r="C145" s="297" t="s">
        <v>663</v>
      </c>
      <c r="D145" s="289">
        <f>ROUND((F145*'Pawn Weights'!$K$22)+(G145*'Pawn Weights'!$K$23)+(H145*'Pawn Weights'!$K$24)+(I145*'Pawn Weights'!$K$25)+(J145*'Pawn Weights'!$K$26)+(K145*'Pawn Weights'!$K$27)+(L145*'Pawn Weights'!$K$28)+(M145*'Pawn Weights'!$K$29)+(N145*'Pawn Weights'!$K$30)+(O145*'Pawn Weights'!$K$31)+(P145*'Pawn Weights'!$K$32)+(Q145*'Pawn Weights'!$K$33), 2)</f>
        <v>148.94</v>
      </c>
      <c r="E145" s="298">
        <v>48.0</v>
      </c>
      <c r="F145" s="298">
        <v>61.0</v>
      </c>
      <c r="G145" s="297"/>
      <c r="H145" s="297"/>
      <c r="I145" s="298">
        <v>34.0</v>
      </c>
      <c r="J145" s="297"/>
      <c r="K145" s="298">
        <v>50.0</v>
      </c>
      <c r="L145" s="297"/>
      <c r="M145" s="297"/>
      <c r="N145" s="297"/>
      <c r="O145" s="298">
        <v>1.0</v>
      </c>
      <c r="P145" s="298">
        <v>1.0</v>
      </c>
      <c r="Q145" s="298">
        <v>1.0</v>
      </c>
      <c r="R145" s="298" t="s">
        <v>643</v>
      </c>
      <c r="S145" s="137"/>
      <c r="T145" s="295"/>
      <c r="U145" s="137"/>
      <c r="V145" s="137"/>
      <c r="W145" s="137"/>
      <c r="X145" s="137"/>
      <c r="Y145" s="137"/>
      <c r="Z145" s="137"/>
    </row>
    <row r="146">
      <c r="A146" s="137"/>
      <c r="B146" s="296" t="s">
        <v>858</v>
      </c>
      <c r="C146" s="297" t="s">
        <v>854</v>
      </c>
      <c r="D146" s="289">
        <f>ROUND((F146*'Pawn Weights'!$K$22)+(G146*'Pawn Weights'!$K$23)+(H146*'Pawn Weights'!$K$24)+(I146*'Pawn Weights'!$K$25)+(J146*'Pawn Weights'!$K$26)+(K146*'Pawn Weights'!$K$27)+(L146*'Pawn Weights'!$K$28)+(M146*'Pawn Weights'!$K$29)+(N146*'Pawn Weights'!$K$30)+(O146*'Pawn Weights'!$K$31)+(P146*'Pawn Weights'!$K$32)+(Q146*'Pawn Weights'!$K$33), 2)</f>
        <v>141.54</v>
      </c>
      <c r="E146" s="298">
        <v>66.0</v>
      </c>
      <c r="F146" s="298">
        <v>44.0</v>
      </c>
      <c r="G146" s="298">
        <v>46.0</v>
      </c>
      <c r="H146" s="297"/>
      <c r="I146" s="297"/>
      <c r="J146" s="297"/>
      <c r="K146" s="297"/>
      <c r="L146" s="297"/>
      <c r="M146" s="359">
        <v>189.0</v>
      </c>
      <c r="N146" s="297"/>
      <c r="O146" s="298">
        <v>2.0</v>
      </c>
      <c r="P146" s="297"/>
      <c r="Q146" s="298">
        <v>1.0</v>
      </c>
      <c r="R146" s="298" t="s">
        <v>622</v>
      </c>
      <c r="S146" s="137"/>
      <c r="T146" s="295"/>
      <c r="U146" s="137"/>
      <c r="V146" s="137"/>
      <c r="W146" s="137"/>
      <c r="X146" s="137"/>
      <c r="Y146" s="137"/>
      <c r="Z146" s="137"/>
    </row>
    <row r="147">
      <c r="A147" s="137"/>
      <c r="B147" s="296" t="s">
        <v>859</v>
      </c>
      <c r="C147" s="297" t="s">
        <v>781</v>
      </c>
      <c r="D147" s="289">
        <f>ROUND((F147*'Pawn Weights'!$K$22)+(G147*'Pawn Weights'!$K$23)+(H147*'Pawn Weights'!$K$24)+(I147*'Pawn Weights'!$K$25)+(J147*'Pawn Weights'!$K$26)+(K147*'Pawn Weights'!$K$27)+(L147*'Pawn Weights'!$K$28)+(M147*'Pawn Weights'!$K$29)+(N147*'Pawn Weights'!$K$30)+(O147*'Pawn Weights'!$K$31)+(P147*'Pawn Weights'!$K$32)+(Q147*'Pawn Weights'!$K$33), 2)</f>
        <v>136.16</v>
      </c>
      <c r="E147" s="298">
        <v>49.0</v>
      </c>
      <c r="F147" s="297"/>
      <c r="G147" s="298">
        <v>57.0</v>
      </c>
      <c r="H147" s="298">
        <v>120.0</v>
      </c>
      <c r="I147" s="297"/>
      <c r="J147" s="298">
        <v>20.0</v>
      </c>
      <c r="K147" s="297"/>
      <c r="L147" s="297"/>
      <c r="M147" s="361"/>
      <c r="N147" s="297"/>
      <c r="O147" s="297"/>
      <c r="P147" s="298">
        <v>1.0</v>
      </c>
      <c r="Q147" s="298">
        <v>2.0</v>
      </c>
      <c r="R147" s="298" t="s">
        <v>745</v>
      </c>
      <c r="S147" s="137"/>
      <c r="T147" s="295"/>
      <c r="U147" s="137"/>
      <c r="V147" s="137"/>
      <c r="W147" s="137"/>
      <c r="X147" s="137"/>
      <c r="Y147" s="137"/>
      <c r="Z147" s="137"/>
    </row>
    <row r="148">
      <c r="A148" s="137" t="s">
        <v>635</v>
      </c>
      <c r="B148" s="296" t="s">
        <v>860</v>
      </c>
      <c r="C148" s="297" t="s">
        <v>637</v>
      </c>
      <c r="D148" s="289">
        <f>ROUND((F148*'Pawn Weights'!$K$22)+(G148*'Pawn Weights'!$K$23)+(H148*'Pawn Weights'!$K$24)+(I148*'Pawn Weights'!$K$25)+(J148*'Pawn Weights'!$K$26)+(K148*'Pawn Weights'!$K$27)+(L148*'Pawn Weights'!$K$28)+(M148*'Pawn Weights'!$K$29)+(N148*'Pawn Weights'!$K$30)+(O148*'Pawn Weights'!$K$31)+(P148*'Pawn Weights'!$K$32)+(Q148*'Pawn Weights'!$K$33), 2)</f>
        <v>133.85</v>
      </c>
      <c r="E148" s="298">
        <v>77.0</v>
      </c>
      <c r="F148" s="298">
        <v>57.0</v>
      </c>
      <c r="G148" s="297"/>
      <c r="H148" s="297"/>
      <c r="I148" s="298">
        <v>53.0</v>
      </c>
      <c r="J148" s="298">
        <v>18.0</v>
      </c>
      <c r="K148" s="297"/>
      <c r="L148" s="297"/>
      <c r="M148" s="359">
        <v>84.0</v>
      </c>
      <c r="N148" s="297"/>
      <c r="O148" s="297"/>
      <c r="P148" s="297"/>
      <c r="Q148" s="297"/>
      <c r="R148" s="298"/>
      <c r="S148" s="137"/>
      <c r="T148" s="295" t="s">
        <v>861</v>
      </c>
      <c r="U148" s="137"/>
      <c r="V148" s="137"/>
      <c r="W148" s="137"/>
      <c r="X148" s="137"/>
      <c r="Y148" s="137"/>
      <c r="Z148" s="137"/>
    </row>
    <row r="149">
      <c r="A149" s="301" t="s">
        <v>640</v>
      </c>
      <c r="B149" s="288" t="s">
        <v>862</v>
      </c>
      <c r="C149" s="280" t="s">
        <v>639</v>
      </c>
      <c r="D149" s="289">
        <f>ROUND((F149*'Pawn Weights'!$K$22)+(G149*'Pawn Weights'!$K$23)+(H149*'Pawn Weights'!$K$24)+(I149*'Pawn Weights'!$K$25)+(J149*'Pawn Weights'!$K$26)+(K149*'Pawn Weights'!$K$27)+(L149*'Pawn Weights'!$K$28)+(M149*'Pawn Weights'!$K$29)+(N149*'Pawn Weights'!$K$30)+(O149*'Pawn Weights'!$K$31)+(P149*'Pawn Weights'!$K$32)+(Q149*'Pawn Weights'!$K$33), 2)</f>
        <v>129.34</v>
      </c>
      <c r="E149" s="280">
        <v>55.0</v>
      </c>
      <c r="F149" s="280">
        <v>62.0</v>
      </c>
      <c r="G149" s="280">
        <v>41.0</v>
      </c>
      <c r="H149" s="280"/>
      <c r="I149" s="280"/>
      <c r="J149" s="280">
        <v>14.0</v>
      </c>
      <c r="K149" s="280"/>
      <c r="L149" s="280"/>
      <c r="M149" s="280">
        <v>105.0</v>
      </c>
      <c r="N149" s="280"/>
      <c r="O149" s="280"/>
      <c r="P149" s="280"/>
      <c r="Q149" s="280">
        <v>1.0</v>
      </c>
      <c r="R149" s="290" t="s">
        <v>784</v>
      </c>
      <c r="S149" s="281"/>
      <c r="T149" s="294"/>
      <c r="U149" s="281"/>
      <c r="V149" s="281"/>
      <c r="W149" s="281"/>
      <c r="X149" s="281"/>
    </row>
    <row r="150">
      <c r="A150" s="301"/>
      <c r="B150" s="288" t="s">
        <v>863</v>
      </c>
      <c r="C150" s="280" t="s">
        <v>642</v>
      </c>
      <c r="D150" s="289">
        <f>ROUND((F150*'Pawn Weights'!$K$22)+(G150*'Pawn Weights'!$K$23)+(H150*'Pawn Weights'!$K$24)+(I150*'Pawn Weights'!$K$25)+(J150*'Pawn Weights'!$K$26)+(K150*'Pawn Weights'!$K$27)+(L150*'Pawn Weights'!$K$28)+(M150*'Pawn Weights'!$K$29)+(N150*'Pawn Weights'!$K$30)+(O150*'Pawn Weights'!$K$31)+(P150*'Pawn Weights'!$K$32)+(Q150*'Pawn Weights'!$K$33), 2)</f>
        <v>124.78</v>
      </c>
      <c r="E150" s="280">
        <v>61.0</v>
      </c>
      <c r="F150" s="280">
        <v>70.0</v>
      </c>
      <c r="G150" s="280"/>
      <c r="H150" s="280"/>
      <c r="I150" s="280">
        <v>46.0</v>
      </c>
      <c r="J150" s="280">
        <v>19.0</v>
      </c>
      <c r="K150" s="280"/>
      <c r="L150" s="280"/>
      <c r="M150" s="280"/>
      <c r="N150" s="280"/>
      <c r="O150" s="280"/>
      <c r="P150" s="280"/>
      <c r="Q150" s="280"/>
      <c r="R150" s="290"/>
      <c r="S150" s="281"/>
      <c r="T150" s="294"/>
      <c r="U150" s="281"/>
      <c r="V150" s="281"/>
      <c r="W150" s="281"/>
      <c r="X150" s="281"/>
    </row>
    <row r="151">
      <c r="A151" s="301"/>
      <c r="B151" s="288" t="s">
        <v>866</v>
      </c>
      <c r="C151" s="280" t="s">
        <v>814</v>
      </c>
      <c r="D151" s="289">
        <f>ROUND((F151*'Pawn Weights'!$K$22)+(G151*'Pawn Weights'!$K$23)+(H151*'Pawn Weights'!$K$24)+(I151*'Pawn Weights'!$K$25)+(J151*'Pawn Weights'!$K$26)+(K151*'Pawn Weights'!$K$27)+(L151*'Pawn Weights'!$K$28)+(M151*'Pawn Weights'!$K$29)+(N151*'Pawn Weights'!$K$30)+(O151*'Pawn Weights'!$K$31)+(P151*'Pawn Weights'!$K$32)+(Q151*'Pawn Weights'!$K$33), 2)</f>
        <v>121.66</v>
      </c>
      <c r="E151" s="280">
        <v>28.0</v>
      </c>
      <c r="F151" s="280"/>
      <c r="G151" s="280">
        <v>42.0</v>
      </c>
      <c r="H151" s="280">
        <v>100.0</v>
      </c>
      <c r="I151" s="280">
        <v>20.0</v>
      </c>
      <c r="J151" s="280"/>
      <c r="K151" s="280"/>
      <c r="L151" s="280"/>
      <c r="M151" s="280"/>
      <c r="N151" s="280"/>
      <c r="O151" s="280">
        <v>1.0</v>
      </c>
      <c r="P151" s="280">
        <v>1.0</v>
      </c>
      <c r="Q151" s="280">
        <v>1.0</v>
      </c>
      <c r="R151" s="290" t="s">
        <v>624</v>
      </c>
      <c r="S151" s="281"/>
      <c r="T151" s="294"/>
      <c r="U151" s="281"/>
      <c r="V151" s="281"/>
      <c r="W151" s="281"/>
      <c r="X151" s="281"/>
    </row>
    <row r="152">
      <c r="A152" s="301" t="s">
        <v>644</v>
      </c>
      <c r="B152" s="288" t="s">
        <v>867</v>
      </c>
      <c r="C152" s="280" t="s">
        <v>646</v>
      </c>
      <c r="D152" s="289">
        <f>ROUND((F152*'Pawn Weights'!$K$22)+(G152*'Pawn Weights'!$K$23)+(H152*'Pawn Weights'!$K$24)+(I152*'Pawn Weights'!$K$25)+(J152*'Pawn Weights'!$K$26)+(K152*'Pawn Weights'!$K$27)+(L152*'Pawn Weights'!$K$28)+(M152*'Pawn Weights'!$K$29)+(N152*'Pawn Weights'!$K$30)+(O152*'Pawn Weights'!$K$31)+(P152*'Pawn Weights'!$K$32)+(Q152*'Pawn Weights'!$K$33), 2)</f>
        <v>118.31</v>
      </c>
      <c r="E152" s="280">
        <v>70.0</v>
      </c>
      <c r="F152" s="280">
        <v>51.0</v>
      </c>
      <c r="G152" s="280"/>
      <c r="H152" s="280"/>
      <c r="I152" s="280">
        <v>47.0</v>
      </c>
      <c r="J152" s="280">
        <v>12.0</v>
      </c>
      <c r="K152" s="280"/>
      <c r="L152" s="280"/>
      <c r="M152" s="280">
        <v>84.0</v>
      </c>
      <c r="N152" s="280"/>
      <c r="O152" s="280"/>
      <c r="P152" s="280"/>
      <c r="Q152" s="280"/>
      <c r="R152" s="290"/>
      <c r="S152" s="281"/>
      <c r="T152" s="294"/>
      <c r="U152" s="281"/>
      <c r="V152" s="281"/>
      <c r="W152" s="281"/>
      <c r="X152" s="281"/>
    </row>
    <row r="153">
      <c r="A153" s="137"/>
      <c r="B153" s="296" t="s">
        <v>869</v>
      </c>
      <c r="C153" s="297" t="s">
        <v>865</v>
      </c>
      <c r="D153" s="289">
        <f>ROUND((F153*'Pawn Weights'!$K$22)+(G153*'Pawn Weights'!$K$23)+(H153*'Pawn Weights'!$K$24)+(I153*'Pawn Weights'!$K$25)+(J153*'Pawn Weights'!$K$26)+(K153*'Pawn Weights'!$K$27)+(L153*'Pawn Weights'!$K$28)+(M153*'Pawn Weights'!$K$29)+(N153*'Pawn Weights'!$K$30)+(O153*'Pawn Weights'!$K$31)+(P153*'Pawn Weights'!$K$32)+(Q153*'Pawn Weights'!$K$33), 2)</f>
        <v>116.35</v>
      </c>
      <c r="E153" s="298">
        <v>45.0</v>
      </c>
      <c r="F153" s="297"/>
      <c r="G153" s="298">
        <v>43.0</v>
      </c>
      <c r="H153" s="298">
        <v>104.0</v>
      </c>
      <c r="I153" s="297"/>
      <c r="J153" s="298">
        <v>30.0</v>
      </c>
      <c r="K153" s="297"/>
      <c r="L153" s="297"/>
      <c r="M153" s="361"/>
      <c r="N153" s="297"/>
      <c r="O153" s="297"/>
      <c r="P153" s="298">
        <v>1.0</v>
      </c>
      <c r="Q153" s="298">
        <v>1.0</v>
      </c>
      <c r="R153" s="298" t="s">
        <v>832</v>
      </c>
      <c r="S153" s="137"/>
      <c r="T153" s="295"/>
      <c r="U153" s="137"/>
      <c r="V153" s="137"/>
      <c r="W153" s="137"/>
      <c r="X153" s="137"/>
      <c r="Y153" s="137"/>
      <c r="Z153" s="137"/>
    </row>
    <row r="154">
      <c r="A154" s="301"/>
      <c r="B154" s="288" t="s">
        <v>868</v>
      </c>
      <c r="C154" s="280" t="s">
        <v>814</v>
      </c>
      <c r="D154" s="289">
        <f>ROUND((F154*'Pawn Weights'!$K$22)+(G154*'Pawn Weights'!$K$23)+(H154*'Pawn Weights'!$K$24)+(I154*'Pawn Weights'!$K$25)+(J154*'Pawn Weights'!$K$26)+(K154*'Pawn Weights'!$K$27)+(L154*'Pawn Weights'!$K$28)+(M154*'Pawn Weights'!$K$29)+(N154*'Pawn Weights'!$K$30)+(O154*'Pawn Weights'!$K$31)+(P154*'Pawn Weights'!$K$32)+(Q154*'Pawn Weights'!$K$33), 2)</f>
        <v>113.83</v>
      </c>
      <c r="E154" s="280">
        <v>61.0</v>
      </c>
      <c r="F154" s="280"/>
      <c r="G154" s="280">
        <v>50.0</v>
      </c>
      <c r="H154" s="280">
        <v>102.0</v>
      </c>
      <c r="I154" s="280"/>
      <c r="J154" s="280"/>
      <c r="K154" s="280"/>
      <c r="L154" s="280"/>
      <c r="M154" s="280">
        <v>175.0</v>
      </c>
      <c r="N154" s="280"/>
      <c r="O154" s="280"/>
      <c r="P154" s="280"/>
      <c r="Q154" s="280"/>
      <c r="R154" s="290"/>
      <c r="S154" s="281"/>
      <c r="T154" s="294"/>
      <c r="U154" s="281"/>
      <c r="V154" s="281"/>
      <c r="W154" s="281"/>
      <c r="X154" s="281"/>
    </row>
    <row r="155">
      <c r="A155" s="137"/>
      <c r="B155" s="296" t="s">
        <v>864</v>
      </c>
      <c r="C155" s="297" t="s">
        <v>865</v>
      </c>
      <c r="D155" s="289">
        <f>ROUND((F155*'Pawn Weights'!$K$22)+(G155*'Pawn Weights'!$K$23)+(H155*'Pawn Weights'!$K$24)+(I155*'Pawn Weights'!$K$25)+(J155*'Pawn Weights'!$K$26)+(K155*'Pawn Weights'!$K$27)+(L155*'Pawn Weights'!$K$28)+(M155*'Pawn Weights'!$K$29)+(N155*'Pawn Weights'!$K$30)+(O155*'Pawn Weights'!$K$31)+(P155*'Pawn Weights'!$K$32)+(Q155*'Pawn Weights'!$K$33), 2)</f>
        <v>112.22</v>
      </c>
      <c r="E155" s="298">
        <v>48.0</v>
      </c>
      <c r="F155" s="298">
        <v>52.0</v>
      </c>
      <c r="G155" s="297"/>
      <c r="H155" s="297"/>
      <c r="I155" s="297"/>
      <c r="J155" s="298">
        <v>25.0</v>
      </c>
      <c r="K155" s="298">
        <v>43.0</v>
      </c>
      <c r="L155" s="297"/>
      <c r="M155" s="361"/>
      <c r="N155" s="297"/>
      <c r="O155" s="297"/>
      <c r="P155" s="298">
        <v>1.0</v>
      </c>
      <c r="Q155" s="298">
        <v>1.0</v>
      </c>
      <c r="R155" s="298" t="s">
        <v>698</v>
      </c>
      <c r="S155" s="137"/>
      <c r="T155" s="295"/>
      <c r="U155" s="137"/>
      <c r="V155" s="137"/>
      <c r="W155" s="137"/>
      <c r="X155" s="137"/>
      <c r="Y155" s="137"/>
      <c r="Z155" s="137"/>
    </row>
    <row r="156">
      <c r="A156" s="301" t="s">
        <v>647</v>
      </c>
      <c r="B156" s="288" t="s">
        <v>872</v>
      </c>
      <c r="C156" s="280" t="s">
        <v>873</v>
      </c>
      <c r="D156" s="289">
        <f>ROUND((F156*'Pawn Weights'!$K$22)+(G156*'Pawn Weights'!$K$23)+(H156*'Pawn Weights'!$K$24)+(I156*'Pawn Weights'!$K$25)+(J156*'Pawn Weights'!$K$26)+(K156*'Pawn Weights'!$K$27)+(L156*'Pawn Weights'!$K$28)+(M156*'Pawn Weights'!$K$29)+(N156*'Pawn Weights'!$K$30)+(O156*'Pawn Weights'!$K$31)+(P156*'Pawn Weights'!$K$32)+(Q156*'Pawn Weights'!$K$33)+1.82, 2)</f>
        <v>107.9</v>
      </c>
      <c r="E156" s="280">
        <v>57.0</v>
      </c>
      <c r="F156" s="280">
        <v>52.0</v>
      </c>
      <c r="G156" s="280"/>
      <c r="H156" s="280"/>
      <c r="I156" s="280">
        <v>32.0</v>
      </c>
      <c r="J156" s="280">
        <v>22.0</v>
      </c>
      <c r="K156" s="280"/>
      <c r="L156" s="280"/>
      <c r="M156" s="280"/>
      <c r="N156" s="280"/>
      <c r="O156" s="280">
        <v>1.0</v>
      </c>
      <c r="P156" s="280"/>
      <c r="Q156" s="280"/>
      <c r="R156" s="290" t="s">
        <v>736</v>
      </c>
      <c r="S156" s="281"/>
      <c r="T156" s="294"/>
      <c r="U156" s="281"/>
      <c r="V156" s="281"/>
      <c r="W156" s="281"/>
      <c r="X156" s="281"/>
    </row>
    <row r="157">
      <c r="A157" s="301"/>
      <c r="B157" s="288" t="s">
        <v>870</v>
      </c>
      <c r="C157" s="280" t="s">
        <v>871</v>
      </c>
      <c r="D157" s="289">
        <f>ROUND((F157*'Pawn Weights'!$K$22)+(G157*'Pawn Weights'!$K$23)+(H157*'Pawn Weights'!$K$24)+(I157*'Pawn Weights'!$K$25)+(J157*'Pawn Weights'!$K$26)+(K157*'Pawn Weights'!$K$27)+(L157*'Pawn Weights'!$K$28)+(M157*'Pawn Weights'!$K$29)+(N157*'Pawn Weights'!$K$30)+(O157*'Pawn Weights'!$K$31)+(P157*'Pawn Weights'!$K$32)+(Q157*'Pawn Weights'!$K$33), 2)</f>
        <v>107.21</v>
      </c>
      <c r="E157" s="280">
        <v>46.0</v>
      </c>
      <c r="F157" s="280">
        <v>49.0</v>
      </c>
      <c r="G157" s="280"/>
      <c r="H157" s="280"/>
      <c r="I157" s="280">
        <v>31.0</v>
      </c>
      <c r="J157" s="280"/>
      <c r="K157" s="280"/>
      <c r="L157" s="280"/>
      <c r="M157" s="280"/>
      <c r="N157" s="280"/>
      <c r="O157" s="280">
        <v>1.0</v>
      </c>
      <c r="P157" s="280">
        <v>1.0</v>
      </c>
      <c r="Q157" s="280">
        <v>1.0</v>
      </c>
      <c r="R157" s="290" t="s">
        <v>643</v>
      </c>
      <c r="S157" s="281"/>
      <c r="T157" s="294"/>
      <c r="U157" s="281"/>
      <c r="V157" s="281"/>
      <c r="W157" s="281"/>
      <c r="X157" s="281"/>
    </row>
    <row r="158">
      <c r="A158" s="301"/>
      <c r="B158" s="288" t="s">
        <v>874</v>
      </c>
      <c r="C158" s="280" t="s">
        <v>741</v>
      </c>
      <c r="D158" s="289">
        <f>ROUND((F158*'Pawn Weights'!$K$22)+(G158*'Pawn Weights'!$K$23)+(H158*'Pawn Weights'!$K$24)+(I158*'Pawn Weights'!$K$25)+(J158*'Pawn Weights'!$K$26)+(K158*'Pawn Weights'!$K$27)+(L158*'Pawn Weights'!$K$28)+(M158*'Pawn Weights'!$K$29)+(N158*'Pawn Weights'!$K$30)+(O158*'Pawn Weights'!$K$31)+(P158*'Pawn Weights'!$K$32)+(Q158*'Pawn Weights'!$K$33), 2)</f>
        <v>105.5</v>
      </c>
      <c r="E158" s="280">
        <v>31.0</v>
      </c>
      <c r="F158" s="280"/>
      <c r="G158" s="280">
        <v>45.0</v>
      </c>
      <c r="H158" s="280">
        <v>92.0</v>
      </c>
      <c r="I158" s="280">
        <v>37.0</v>
      </c>
      <c r="J158" s="280"/>
      <c r="K158" s="280"/>
      <c r="L158" s="280"/>
      <c r="M158" s="280"/>
      <c r="N158" s="280"/>
      <c r="O158" s="280"/>
      <c r="P158" s="280"/>
      <c r="Q158" s="280"/>
      <c r="R158" s="290"/>
      <c r="S158" s="281"/>
      <c r="T158" s="294"/>
      <c r="U158" s="281"/>
      <c r="V158" s="281"/>
      <c r="W158" s="281"/>
      <c r="X158" s="281"/>
    </row>
    <row r="159">
      <c r="A159" s="137"/>
      <c r="B159" s="296" t="s">
        <v>875</v>
      </c>
      <c r="C159" s="297" t="s">
        <v>865</v>
      </c>
      <c r="D159" s="289">
        <f>ROUND((F159*'Pawn Weights'!$K$22)+(G159*'Pawn Weights'!$K$23)+(H159*'Pawn Weights'!$K$24)+(I159*'Pawn Weights'!$K$25)+(J159*'Pawn Weights'!$K$26)+(K159*'Pawn Weights'!$K$27)+(L159*'Pawn Weights'!$K$28)+(M159*'Pawn Weights'!$K$29)+(N159*'Pawn Weights'!$K$30)+(O159*'Pawn Weights'!$K$31)+(P159*'Pawn Weights'!$K$32)+(Q159*'Pawn Weights'!$K$33), 2)</f>
        <v>106.82</v>
      </c>
      <c r="E159" s="298">
        <v>36.0</v>
      </c>
      <c r="F159" s="297"/>
      <c r="G159" s="298">
        <v>44.0</v>
      </c>
      <c r="H159" s="298">
        <v>104.0</v>
      </c>
      <c r="I159" s="297"/>
      <c r="J159" s="298">
        <v>15.0</v>
      </c>
      <c r="K159" s="297"/>
      <c r="L159" s="297"/>
      <c r="M159" s="361"/>
      <c r="N159" s="297"/>
      <c r="O159" s="297"/>
      <c r="P159" s="298">
        <v>1.0</v>
      </c>
      <c r="Q159" s="298">
        <v>1.0</v>
      </c>
      <c r="R159" s="298" t="s">
        <v>695</v>
      </c>
      <c r="S159" s="137"/>
      <c r="T159" s="295"/>
      <c r="U159" s="137"/>
      <c r="V159" s="137"/>
      <c r="W159" s="137"/>
      <c r="X159" s="137"/>
      <c r="Y159" s="137"/>
      <c r="Z159" s="137"/>
    </row>
    <row r="160">
      <c r="A160" s="301"/>
      <c r="B160" s="288" t="s">
        <v>877</v>
      </c>
      <c r="C160" s="280" t="s">
        <v>708</v>
      </c>
      <c r="D160" s="289">
        <f>ROUND((F160*'Pawn Weights'!$K$22)+(G160*'Pawn Weights'!$K$23)+(H160*'Pawn Weights'!$K$24)+(I160*'Pawn Weights'!$K$25)+(J160*'Pawn Weights'!$K$26)+(K160*'Pawn Weights'!$K$27)+(L160*'Pawn Weights'!$K$28)+(M160*'Pawn Weights'!$K$29)+(N160*'Pawn Weights'!$K$30)+(O160*'Pawn Weights'!$K$31)+(P160*'Pawn Weights'!$K$32)+(Q160*'Pawn Weights'!$K$33)+2.668, 2)</f>
        <v>102.77</v>
      </c>
      <c r="E160" s="280"/>
      <c r="F160" s="280"/>
      <c r="G160" s="280">
        <v>37.0</v>
      </c>
      <c r="H160" s="280">
        <v>76.0</v>
      </c>
      <c r="I160" s="280"/>
      <c r="J160" s="280">
        <v>16.0</v>
      </c>
      <c r="K160" s="280"/>
      <c r="L160" s="280"/>
      <c r="M160" s="280"/>
      <c r="N160" s="280"/>
      <c r="O160" s="280">
        <v>3.0</v>
      </c>
      <c r="P160" s="280"/>
      <c r="Q160" s="280"/>
      <c r="R160" s="290" t="s">
        <v>622</v>
      </c>
      <c r="S160" s="290"/>
      <c r="T160" s="285"/>
      <c r="U160" s="310"/>
      <c r="V160" s="281"/>
      <c r="W160" s="281"/>
      <c r="X160" s="281"/>
      <c r="Y160" s="281"/>
    </row>
    <row r="161">
      <c r="A161" s="137"/>
      <c r="B161" s="296" t="s">
        <v>878</v>
      </c>
      <c r="C161" s="297" t="s">
        <v>879</v>
      </c>
      <c r="D161" s="289">
        <f>ROUND((F161*'Pawn Weights'!$K$22)+(G161*'Pawn Weights'!$K$23)+(H161*'Pawn Weights'!$K$24)+(I161*'Pawn Weights'!$K$25)+(J161*'Pawn Weights'!$K$26)+(K161*'Pawn Weights'!$K$27)+(L161*'Pawn Weights'!$K$28)+(M161*'Pawn Weights'!$K$29)+(N161*'Pawn Weights'!$K$30)+(O161*'Pawn Weights'!$K$31)+(P161*'Pawn Weights'!$K$32)+(Q161*'Pawn Weights'!$K$33), 2)</f>
        <v>101.84</v>
      </c>
      <c r="E161" s="298">
        <v>43.0</v>
      </c>
      <c r="F161" s="298">
        <v>46.0</v>
      </c>
      <c r="G161" s="297"/>
      <c r="H161" s="297"/>
      <c r="I161" s="297"/>
      <c r="J161" s="298">
        <v>38.0</v>
      </c>
      <c r="K161" s="297"/>
      <c r="L161" s="297"/>
      <c r="M161" s="361"/>
      <c r="N161" s="297"/>
      <c r="O161" s="298">
        <v>1.0</v>
      </c>
      <c r="P161" s="298">
        <v>1.0</v>
      </c>
      <c r="Q161" s="298">
        <v>1.0</v>
      </c>
      <c r="R161" s="298" t="s">
        <v>643</v>
      </c>
      <c r="S161" s="137"/>
      <c r="T161" s="295"/>
      <c r="U161" s="137"/>
      <c r="V161" s="137"/>
      <c r="W161" s="137"/>
      <c r="X161" s="137"/>
      <c r="Y161" s="137"/>
      <c r="Z161" s="137"/>
    </row>
    <row r="162">
      <c r="A162" s="137"/>
      <c r="B162" s="296" t="s">
        <v>876</v>
      </c>
      <c r="C162" s="297" t="s">
        <v>865</v>
      </c>
      <c r="D162" s="289">
        <f>ROUND((F162*'Pawn Weights'!$K$22)+(G162*'Pawn Weights'!$K$23)+(H162*'Pawn Weights'!$K$24)+(I162*'Pawn Weights'!$K$25)+(J162*'Pawn Weights'!$K$26)+(K162*'Pawn Weights'!$K$27)+(L162*'Pawn Weights'!$K$28)+(M162*'Pawn Weights'!$K$29)+(N162*'Pawn Weights'!$K$30)+(O162*'Pawn Weights'!$K$31)+(P162*'Pawn Weights'!$K$32)+(Q162*'Pawn Weights'!$K$33), 2)</f>
        <v>100.58</v>
      </c>
      <c r="E162" s="298">
        <v>52.0</v>
      </c>
      <c r="F162" s="298">
        <v>39.0</v>
      </c>
      <c r="G162" s="298">
        <v>45.0</v>
      </c>
      <c r="H162" s="297"/>
      <c r="I162" s="297"/>
      <c r="J162" s="298">
        <v>17.0</v>
      </c>
      <c r="K162" s="297"/>
      <c r="L162" s="297"/>
      <c r="M162" s="361"/>
      <c r="N162" s="297"/>
      <c r="O162" s="298">
        <v>1.0</v>
      </c>
      <c r="P162" s="298">
        <v>1.0</v>
      </c>
      <c r="Q162" s="297"/>
      <c r="R162" s="298" t="s">
        <v>812</v>
      </c>
      <c r="S162" s="137"/>
      <c r="T162" s="295"/>
      <c r="U162" s="137"/>
      <c r="V162" s="137"/>
      <c r="W162" s="137"/>
      <c r="X162" s="137"/>
      <c r="Y162" s="137"/>
      <c r="Z162" s="137"/>
    </row>
    <row r="163">
      <c r="A163" s="301"/>
      <c r="B163" s="288" t="s">
        <v>880</v>
      </c>
      <c r="C163" s="280" t="s">
        <v>881</v>
      </c>
      <c r="D163" s="289">
        <f>ROUND((F163*'Pawn Weights'!$K$22)+(G163*'Pawn Weights'!$K$23)+(H163*'Pawn Weights'!$K$24)+(I163*'Pawn Weights'!$K$25)+(J163*'Pawn Weights'!$K$26)+(K163*'Pawn Weights'!$K$27)+(L163*'Pawn Weights'!$K$28)+(M163*'Pawn Weights'!$K$29)+(N163*'Pawn Weights'!$K$30)+(O163*'Pawn Weights'!$K$31)+(P163*'Pawn Weights'!$K$32)+(Q163*'Pawn Weights'!$K$33), 2)</f>
        <v>99.47</v>
      </c>
      <c r="E163" s="280">
        <v>28.0</v>
      </c>
      <c r="F163" s="280"/>
      <c r="G163" s="280">
        <v>32.0</v>
      </c>
      <c r="H163" s="280">
        <v>64.0</v>
      </c>
      <c r="I163" s="280"/>
      <c r="J163" s="280">
        <v>28.0</v>
      </c>
      <c r="K163" s="280"/>
      <c r="L163" s="280"/>
      <c r="M163" s="280"/>
      <c r="N163" s="280"/>
      <c r="O163" s="280">
        <v>2.0</v>
      </c>
      <c r="P163" s="280"/>
      <c r="Q163" s="280">
        <v>1.0</v>
      </c>
      <c r="R163" s="290" t="s">
        <v>882</v>
      </c>
      <c r="S163" s="281"/>
      <c r="T163" s="294"/>
      <c r="U163" s="281"/>
      <c r="V163" s="281"/>
      <c r="W163" s="281"/>
      <c r="X163" s="281"/>
    </row>
    <row r="164">
      <c r="A164" s="272" t="s">
        <v>883</v>
      </c>
      <c r="B164" s="281"/>
      <c r="C164" s="281"/>
      <c r="D164" s="360"/>
      <c r="E164" s="281"/>
      <c r="F164" s="281"/>
      <c r="G164" s="281"/>
      <c r="H164" s="281"/>
      <c r="I164" s="281"/>
      <c r="J164" s="281"/>
      <c r="K164" s="281"/>
      <c r="L164" s="281"/>
      <c r="M164" s="281"/>
      <c r="N164" s="281"/>
      <c r="O164" s="281"/>
      <c r="P164" s="281"/>
      <c r="Q164" s="281"/>
      <c r="R164" s="282"/>
      <c r="S164" s="281"/>
      <c r="T164" s="285"/>
      <c r="U164" s="281"/>
      <c r="V164" s="281"/>
      <c r="W164" s="281"/>
    </row>
    <row r="165">
      <c r="A165" s="295" t="s">
        <v>640</v>
      </c>
      <c r="B165" s="296" t="s">
        <v>884</v>
      </c>
      <c r="C165" s="297" t="s">
        <v>854</v>
      </c>
      <c r="D165" s="289">
        <f>ROUND((F165*'Pawn Weights'!$K$22)+(G165*'Pawn Weights'!$K$23)+(H165*'Pawn Weights'!$K$24)+(I165*'Pawn Weights'!$K$25)+(J165*'Pawn Weights'!$K$26)+(K165*'Pawn Weights'!$K$27)+(L165*'Pawn Weights'!$K$28)+(M165*'Pawn Weights'!$K$29)+(N165*'Pawn Weights'!$K$30)+(O165*'Pawn Weights'!$K$31)+(P165*'Pawn Weights'!$K$32)+(Q165*'Pawn Weights'!$K$33)-10+9.55+2, 2)</f>
        <v>121.51</v>
      </c>
      <c r="E165" s="297"/>
      <c r="F165" s="298">
        <v>44.0</v>
      </c>
      <c r="G165" s="297"/>
      <c r="H165" s="297"/>
      <c r="I165" s="298">
        <v>36.0</v>
      </c>
      <c r="J165" s="298">
        <v>25.0</v>
      </c>
      <c r="K165" s="298">
        <v>30.0</v>
      </c>
      <c r="L165" s="297"/>
      <c r="M165" s="137"/>
      <c r="N165" s="297"/>
      <c r="O165" s="297"/>
      <c r="P165" s="298">
        <v>1.0</v>
      </c>
      <c r="Q165" s="297"/>
      <c r="R165" s="298" t="s">
        <v>784</v>
      </c>
      <c r="S165" s="137"/>
      <c r="T165" s="295"/>
      <c r="U165" s="137"/>
      <c r="V165" s="137"/>
      <c r="W165" s="137"/>
      <c r="X165" s="137"/>
      <c r="Y165" s="137"/>
      <c r="Z165" s="137"/>
    </row>
    <row r="166">
      <c r="A166" s="301"/>
      <c r="B166" s="288" t="s">
        <v>885</v>
      </c>
      <c r="C166" s="280" t="s">
        <v>816</v>
      </c>
      <c r="D166" s="289">
        <f>ROUND((F166*'Pawn Weights'!$K$22)+(G166*'Pawn Weights'!$K$23)+(H166*'Pawn Weights'!$K$24)+(I166*'Pawn Weights'!$K$25)+(J166*'Pawn Weights'!$K$26)+(K166*'Pawn Weights'!$K$27)+(L166*'Pawn Weights'!$K$28)+(M166*'Pawn Weights'!$K$29)+(N166*'Pawn Weights'!$K$30)+(O166*'Pawn Weights'!$K$31)+(P166*'Pawn Weights'!$K$32)+(Q166*'Pawn Weights'!$K$33)-20+19.1+3, 2)</f>
        <v>99.64</v>
      </c>
      <c r="E166" s="280">
        <v>40.0</v>
      </c>
      <c r="F166" s="280">
        <v>38.0</v>
      </c>
      <c r="G166" s="280"/>
      <c r="H166" s="280"/>
      <c r="I166" s="280">
        <v>30.0</v>
      </c>
      <c r="J166" s="280">
        <v>18.0</v>
      </c>
      <c r="K166" s="280"/>
      <c r="L166" s="280"/>
      <c r="M166" s="281"/>
      <c r="N166" s="280"/>
      <c r="O166" s="280"/>
      <c r="P166" s="280">
        <v>2.0</v>
      </c>
      <c r="Q166" s="280"/>
      <c r="R166" s="290" t="s">
        <v>698</v>
      </c>
      <c r="S166" s="281"/>
      <c r="T166" s="291"/>
      <c r="U166" s="281"/>
      <c r="V166" s="281"/>
      <c r="W166" s="281"/>
    </row>
    <row r="167">
      <c r="A167" s="301"/>
      <c r="B167" s="288" t="s">
        <v>886</v>
      </c>
      <c r="C167" s="280" t="s">
        <v>701</v>
      </c>
      <c r="D167" s="289">
        <f>ROUND((F167*'Pawn Weights'!$K$22)+(G167*'Pawn Weights'!$K$23)+(H167*'Pawn Weights'!$K$24)+(I167*'Pawn Weights'!$K$25)+(J167*'Pawn Weights'!$K$26)+(K167*'Pawn Weights'!$K$27)+(L167*'Pawn Weights'!$K$28)+(M167*'Pawn Weights'!$K$29)+(N167*'Pawn Weights'!$K$30)+(O167*'Pawn Weights'!$K$31)+(P167*'Pawn Weights'!$K$32)+(Q167*'Pawn Weights'!$K$33)-10+9.55+2.73, 2)</f>
        <v>92.3</v>
      </c>
      <c r="E167" s="280">
        <v>38.0</v>
      </c>
      <c r="F167" s="280"/>
      <c r="G167" s="280">
        <v>30.0</v>
      </c>
      <c r="H167" s="280">
        <v>76.0</v>
      </c>
      <c r="I167" s="280">
        <v>17.0</v>
      </c>
      <c r="J167" s="280"/>
      <c r="K167" s="280"/>
      <c r="L167" s="280"/>
      <c r="M167" s="281"/>
      <c r="N167" s="280"/>
      <c r="O167" s="280">
        <v>1.0</v>
      </c>
      <c r="P167" s="280">
        <v>1.0</v>
      </c>
      <c r="Q167" s="280"/>
      <c r="R167" s="290" t="s">
        <v>702</v>
      </c>
      <c r="S167" s="281"/>
      <c r="T167" s="291"/>
      <c r="U167" s="281"/>
      <c r="V167" s="281"/>
      <c r="W167" s="281"/>
    </row>
    <row r="168">
      <c r="A168" s="301"/>
      <c r="B168" s="288" t="s">
        <v>887</v>
      </c>
      <c r="C168" s="280" t="s">
        <v>727</v>
      </c>
      <c r="D168" s="289">
        <f>ROUND((F168*'Pawn Weights'!$K$22)+(G168*'Pawn Weights'!$K$23)+(H168*'Pawn Weights'!$K$24)+(I168*'Pawn Weights'!$K$25)+(J168*'Pawn Weights'!$K$26)+(K168*'Pawn Weights'!$K$27)+(L168*'Pawn Weights'!$K$28)+(M168*'Pawn Weights'!$K$29)+(N168*'Pawn Weights'!$K$30)+(O168*'Pawn Weights'!$K$31)+(P168*'Pawn Weights'!$K$32)+(Q168*'Pawn Weights'!$K$33), 2)</f>
        <v>87.77</v>
      </c>
      <c r="E168" s="280"/>
      <c r="F168" s="280"/>
      <c r="G168" s="280">
        <v>27.0</v>
      </c>
      <c r="H168" s="280">
        <v>76.0</v>
      </c>
      <c r="I168" s="280">
        <v>26.0</v>
      </c>
      <c r="J168" s="280">
        <v>17.0</v>
      </c>
      <c r="K168" s="280"/>
      <c r="L168" s="280"/>
      <c r="M168" s="281"/>
      <c r="N168" s="280"/>
      <c r="O168" s="280"/>
      <c r="P168" s="280"/>
      <c r="Q168" s="280"/>
      <c r="R168" s="290"/>
      <c r="S168" s="281"/>
      <c r="T168" s="291"/>
      <c r="U168" s="281"/>
      <c r="V168" s="281"/>
      <c r="W168" s="281"/>
    </row>
    <row r="169">
      <c r="A169" s="295"/>
      <c r="B169" s="296" t="s">
        <v>888</v>
      </c>
      <c r="C169" s="297" t="s">
        <v>889</v>
      </c>
      <c r="D169" s="289">
        <f>ROUND((F169*'Pawn Weights'!$K$22)+(G169*'Pawn Weights'!$K$23)+(H169*'Pawn Weights'!$K$24)+(I169*'Pawn Weights'!$K$25)+(J169*'Pawn Weights'!$K$26)+(K169*'Pawn Weights'!$K$27)+(L169*'Pawn Weights'!$K$28)+(M169*'Pawn Weights'!$K$29)+(N169*'Pawn Weights'!$K$30)+(O169*'Pawn Weights'!$K$31)+(P169*'Pawn Weights'!$K$32)+(Q169*'Pawn Weights'!$K$33), 2)</f>
        <v>81.57</v>
      </c>
      <c r="E169" s="298">
        <v>21.0</v>
      </c>
      <c r="F169" s="297"/>
      <c r="G169" s="298">
        <v>29.0</v>
      </c>
      <c r="H169" s="298">
        <v>60.0</v>
      </c>
      <c r="I169" s="297"/>
      <c r="J169" s="298">
        <v>22.0</v>
      </c>
      <c r="K169" s="297"/>
      <c r="L169" s="297"/>
      <c r="M169" s="137"/>
      <c r="N169" s="297"/>
      <c r="O169" s="298">
        <v>1.0</v>
      </c>
      <c r="P169" s="297"/>
      <c r="Q169" s="298">
        <v>1.0</v>
      </c>
      <c r="R169" s="298" t="s">
        <v>832</v>
      </c>
      <c r="S169" s="137"/>
      <c r="T169" s="295"/>
      <c r="U169" s="137"/>
      <c r="V169" s="137"/>
      <c r="W169" s="137"/>
      <c r="X169" s="137"/>
      <c r="Y169" s="137"/>
      <c r="Z169" s="137"/>
    </row>
    <row r="170">
      <c r="A170" s="295"/>
      <c r="B170" s="296" t="s">
        <v>890</v>
      </c>
      <c r="C170" s="297" t="s">
        <v>773</v>
      </c>
      <c r="D170" s="289">
        <f>ROUND((F170*'Pawn Weights'!$K$22)+(G170*'Pawn Weights'!$K$23)+(H170*'Pawn Weights'!$K$24)+(I170*'Pawn Weights'!$K$25)+(J170*'Pawn Weights'!$K$26)+(K170*'Pawn Weights'!$K$27)+(L170*'Pawn Weights'!$K$28)+(M170*'Pawn Weights'!$K$29)+(N170*'Pawn Weights'!$K$30)+(O170*'Pawn Weights'!$K$31)+(P170*'Pawn Weights'!$K$32)+(Q170*'Pawn Weights'!$K$33), 2)</f>
        <v>79.61</v>
      </c>
      <c r="E170" s="298">
        <v>28.0</v>
      </c>
      <c r="F170" s="297"/>
      <c r="G170" s="298">
        <v>28.0</v>
      </c>
      <c r="H170" s="298">
        <v>58.0</v>
      </c>
      <c r="I170" s="297"/>
      <c r="J170" s="297"/>
      <c r="K170" s="297"/>
      <c r="L170" s="297"/>
      <c r="M170" s="359">
        <v>126.0</v>
      </c>
      <c r="N170" s="297"/>
      <c r="O170" s="298">
        <v>1.0</v>
      </c>
      <c r="P170" s="297"/>
      <c r="Q170" s="297"/>
      <c r="R170" s="298" t="s">
        <v>674</v>
      </c>
      <c r="S170" s="137"/>
      <c r="T170" s="295"/>
      <c r="U170" s="137"/>
      <c r="V170" s="137"/>
      <c r="W170" s="137"/>
      <c r="X170" s="137"/>
      <c r="Y170" s="137"/>
      <c r="Z170" s="137"/>
    </row>
    <row r="171">
      <c r="A171" s="301"/>
      <c r="B171" s="288" t="s">
        <v>896</v>
      </c>
      <c r="C171" s="280" t="s">
        <v>835</v>
      </c>
      <c r="D171" s="289">
        <f>ROUND((F171*'Pawn Weights'!$K$22)+(G171*'Pawn Weights'!$K$23)+(H171*'Pawn Weights'!$K$24)+(I171*'Pawn Weights'!$K$25)+(J171*'Pawn Weights'!$K$26)+(K171*'Pawn Weights'!$K$27)+(L171*'Pawn Weights'!$K$28)+(M171*'Pawn Weights'!$K$29)+(N171*'Pawn Weights'!$K$30)+(O171*'Pawn Weights'!$K$31)+(P171*'Pawn Weights'!$K$32)+(Q171*'Pawn Weights'!$K$33)-10+9.55+2.001, 2)</f>
        <v>76.79</v>
      </c>
      <c r="E171" s="280">
        <v>30.0</v>
      </c>
      <c r="F171" s="280"/>
      <c r="G171" s="280">
        <v>28.0</v>
      </c>
      <c r="H171" s="280">
        <v>58.0</v>
      </c>
      <c r="I171" s="280"/>
      <c r="J171" s="280">
        <v>15.0</v>
      </c>
      <c r="K171" s="280"/>
      <c r="L171" s="280"/>
      <c r="M171" s="281"/>
      <c r="N171" s="280"/>
      <c r="O171" s="280">
        <v>1.0</v>
      </c>
      <c r="P171" s="280">
        <v>1.0</v>
      </c>
      <c r="Q171" s="280"/>
      <c r="R171" s="290" t="s">
        <v>695</v>
      </c>
      <c r="S171" s="281"/>
      <c r="T171" s="291"/>
      <c r="U171" s="281"/>
      <c r="V171" s="281"/>
      <c r="W171" s="281"/>
    </row>
    <row r="172">
      <c r="A172" s="295"/>
      <c r="B172" s="296" t="s">
        <v>893</v>
      </c>
      <c r="C172" s="297" t="s">
        <v>894</v>
      </c>
      <c r="D172" s="289">
        <f>ROUND((F172*'Pawn Weights'!$K$22)+(G172*'Pawn Weights'!$K$23)+(H172*'Pawn Weights'!$K$24)+(I172*'Pawn Weights'!$K$25)+(J172*'Pawn Weights'!$K$26)+(K172*'Pawn Weights'!$K$27)+(L172*'Pawn Weights'!$K$28)+(M172*'Pawn Weights'!$K$29)+(N172*'Pawn Weights'!$K$30)+(O172*'Pawn Weights'!$K$31)+(P172*'Pawn Weights'!$K$32)+(Q172*'Pawn Weights'!$K$33), 2)</f>
        <v>76.39</v>
      </c>
      <c r="E172" s="298">
        <v>37.0</v>
      </c>
      <c r="F172" s="298">
        <v>30.0</v>
      </c>
      <c r="G172" s="297"/>
      <c r="H172" s="297"/>
      <c r="I172" s="298">
        <v>29.0</v>
      </c>
      <c r="J172" s="297"/>
      <c r="K172" s="297"/>
      <c r="L172" s="297"/>
      <c r="M172" s="137"/>
      <c r="N172" s="297"/>
      <c r="O172" s="298">
        <v>1.0</v>
      </c>
      <c r="P172" s="297"/>
      <c r="Q172" s="298">
        <v>1.0</v>
      </c>
      <c r="R172" s="298" t="s">
        <v>736</v>
      </c>
      <c r="S172" s="137"/>
      <c r="T172" s="295"/>
      <c r="U172" s="137"/>
      <c r="V172" s="137"/>
      <c r="W172" s="137"/>
      <c r="X172" s="137"/>
      <c r="Y172" s="137"/>
      <c r="Z172" s="137"/>
    </row>
    <row r="173">
      <c r="A173" s="295" t="s">
        <v>671</v>
      </c>
      <c r="B173" s="296" t="s">
        <v>891</v>
      </c>
      <c r="C173" s="297" t="s">
        <v>892</v>
      </c>
      <c r="D173" s="289">
        <f>ROUND((F173*'Pawn Weights'!$K$22)+(G173*'Pawn Weights'!$K$23)+(H173*'Pawn Weights'!$K$24)+(I173*'Pawn Weights'!$K$25)+(J173*'Pawn Weights'!$K$26)+(K173*'Pawn Weights'!$K$27)+(L173*'Pawn Weights'!$K$28)+(M173*'Pawn Weights'!$K$29)+(N173*'Pawn Weights'!$K$30)+(O173*'Pawn Weights'!$K$31)+(P173*'Pawn Weights'!$K$32)+(Q173*'Pawn Weights'!$K$33), 2)</f>
        <v>76.4</v>
      </c>
      <c r="E173" s="298">
        <v>56.0</v>
      </c>
      <c r="F173" s="298">
        <v>40.0</v>
      </c>
      <c r="G173" s="297"/>
      <c r="H173" s="297"/>
      <c r="I173" s="298">
        <v>40.0</v>
      </c>
      <c r="J173" s="297"/>
      <c r="K173" s="297"/>
      <c r="L173" s="297"/>
      <c r="M173" s="137"/>
      <c r="N173" s="297"/>
      <c r="O173" s="297"/>
      <c r="P173" s="297"/>
      <c r="Q173" s="297"/>
      <c r="R173" s="295"/>
      <c r="S173" s="137"/>
      <c r="T173" s="297" t="s">
        <v>850</v>
      </c>
      <c r="U173" s="137"/>
      <c r="V173" s="137"/>
      <c r="W173" s="137"/>
      <c r="X173" s="137"/>
      <c r="Y173" s="137"/>
      <c r="Z173" s="137"/>
    </row>
    <row r="174">
      <c r="A174" s="295"/>
      <c r="B174" s="296" t="s">
        <v>895</v>
      </c>
      <c r="C174" s="297" t="s">
        <v>773</v>
      </c>
      <c r="D174" s="289">
        <f>ROUND((F174*'Pawn Weights'!$K$22)+(G174*'Pawn Weights'!$K$23)+(H174*'Pawn Weights'!$K$24)+(I174*'Pawn Weights'!$K$25)+(J174*'Pawn Weights'!$K$26)+(K174*'Pawn Weights'!$K$27)+(L174*'Pawn Weights'!$K$28)+(M174*'Pawn Weights'!$K$29)+(N174*'Pawn Weights'!$K$30)+(O174*'Pawn Weights'!$K$31)+(P174*'Pawn Weights'!$K$32)+(Q174*'Pawn Weights'!$K$33), 2)</f>
        <v>76.3</v>
      </c>
      <c r="E174" s="298">
        <v>30.0</v>
      </c>
      <c r="F174" s="298">
        <v>29.0</v>
      </c>
      <c r="G174" s="297"/>
      <c r="H174" s="297"/>
      <c r="I174" s="297"/>
      <c r="J174" s="297"/>
      <c r="K174" s="297"/>
      <c r="L174" s="297"/>
      <c r="M174" s="359">
        <v>140.0</v>
      </c>
      <c r="N174" s="297"/>
      <c r="O174" s="298">
        <v>1.0</v>
      </c>
      <c r="P174" s="297"/>
      <c r="Q174" s="298">
        <v>1.0</v>
      </c>
      <c r="R174" s="298" t="s">
        <v>698</v>
      </c>
      <c r="S174" s="137"/>
      <c r="T174" s="295"/>
      <c r="U174" s="137"/>
      <c r="V174" s="137"/>
      <c r="W174" s="137"/>
      <c r="X174" s="137"/>
      <c r="Y174" s="137"/>
      <c r="Z174" s="137"/>
    </row>
    <row r="175">
      <c r="A175" s="301" t="s">
        <v>627</v>
      </c>
      <c r="B175" s="288" t="s">
        <v>897</v>
      </c>
      <c r="C175" s="280" t="s">
        <v>898</v>
      </c>
      <c r="D175" s="289">
        <f>ROUND((F175*'Pawn Weights'!$K$22)+(G175*'Pawn Weights'!$K$23)+(H175*'Pawn Weights'!$K$24)+(I175*'Pawn Weights'!$K$25)+(J175*'Pawn Weights'!$K$26)+(K175*'Pawn Weights'!$K$27)+(L175*'Pawn Weights'!$K$28)+(M175*'Pawn Weights'!$K$29)+(N175*'Pawn Weights'!$K$30)+(O175*'Pawn Weights'!$K$31)+(P175*'Pawn Weights'!$K$32)+(Q175*'Pawn Weights'!$K$33), 2)</f>
        <v>74.76</v>
      </c>
      <c r="E175" s="280">
        <v>34.0</v>
      </c>
      <c r="F175" s="280"/>
      <c r="G175" s="280"/>
      <c r="H175" s="280">
        <v>66.0</v>
      </c>
      <c r="I175" s="280">
        <v>32.0</v>
      </c>
      <c r="J175" s="280">
        <v>23.0</v>
      </c>
      <c r="K175" s="280"/>
      <c r="L175" s="280"/>
      <c r="M175" s="281"/>
      <c r="N175" s="280"/>
      <c r="O175" s="280"/>
      <c r="P175" s="280"/>
      <c r="Q175" s="280"/>
      <c r="R175" s="290"/>
      <c r="S175" s="281"/>
      <c r="T175" s="291"/>
      <c r="U175" s="281"/>
      <c r="V175" s="281"/>
      <c r="W175" s="281"/>
    </row>
    <row r="176">
      <c r="A176" s="301"/>
      <c r="B176" s="288" t="s">
        <v>899</v>
      </c>
      <c r="C176" s="280" t="s">
        <v>900</v>
      </c>
      <c r="D176" s="289">
        <f>ROUND((F176*'Pawn Weights'!$K$22)+(G176*'Pawn Weights'!$K$23)+(H176*'Pawn Weights'!$K$24)+(I176*'Pawn Weights'!$K$25)+(J176*'Pawn Weights'!$K$26)+(K176*'Pawn Weights'!$K$27)+(L176*'Pawn Weights'!$K$28)+(M176*'Pawn Weights'!$K$29)+(N176*'Pawn Weights'!$K$30)+(O176*'Pawn Weights'!$K$31)+(P176*'Pawn Weights'!$K$32)+(Q176*'Pawn Weights'!$K$33), 2)</f>
        <v>72.21</v>
      </c>
      <c r="E176" s="280">
        <v>29.0</v>
      </c>
      <c r="F176" s="280">
        <v>44.0</v>
      </c>
      <c r="G176" s="280"/>
      <c r="H176" s="280"/>
      <c r="I176" s="280">
        <v>31.0</v>
      </c>
      <c r="J176" s="280"/>
      <c r="K176" s="280"/>
      <c r="L176" s="280"/>
      <c r="M176" s="281"/>
      <c r="N176" s="280"/>
      <c r="O176" s="280"/>
      <c r="P176" s="280"/>
      <c r="Q176" s="280"/>
      <c r="R176" s="290"/>
      <c r="S176" s="281"/>
      <c r="T176" s="291"/>
      <c r="U176" s="281"/>
      <c r="V176" s="281"/>
      <c r="W176" s="281"/>
    </row>
    <row r="177">
      <c r="A177" s="301"/>
      <c r="B177" s="288" t="s">
        <v>901</v>
      </c>
      <c r="C177" s="280" t="s">
        <v>649</v>
      </c>
      <c r="D177" s="289">
        <f>ROUND((F177*'Pawn Weights'!$K$22)+(G177*'Pawn Weights'!$K$23)+(H177*'Pawn Weights'!$K$24)+(I177*'Pawn Weights'!$K$25)+(J177*'Pawn Weights'!$K$26)+(K177*'Pawn Weights'!$K$27)+(L177*'Pawn Weights'!$K$28)+(M177*'Pawn Weights'!$K$29)+(N177*'Pawn Weights'!$K$30)+(O177*'Pawn Weights'!$K$31)+(P177*'Pawn Weights'!$K$32)+(Q177*'Pawn Weights'!$K$33), 2)</f>
        <v>72.01</v>
      </c>
      <c r="E177" s="280">
        <v>25.0</v>
      </c>
      <c r="F177" s="280"/>
      <c r="G177" s="280">
        <v>33.0</v>
      </c>
      <c r="H177" s="280">
        <v>66.0</v>
      </c>
      <c r="I177" s="280"/>
      <c r="J177" s="280"/>
      <c r="K177" s="280"/>
      <c r="L177" s="280"/>
      <c r="M177" s="281"/>
      <c r="N177" s="280"/>
      <c r="O177" s="280">
        <v>1.0</v>
      </c>
      <c r="P177" s="280"/>
      <c r="Q177" s="280">
        <v>1.0</v>
      </c>
      <c r="R177" s="290" t="s">
        <v>695</v>
      </c>
      <c r="S177" s="281"/>
      <c r="T177" s="291"/>
      <c r="U177" s="281"/>
      <c r="V177" s="281"/>
      <c r="W177" s="281"/>
    </row>
    <row r="178">
      <c r="A178" s="301"/>
      <c r="B178" s="288" t="s">
        <v>902</v>
      </c>
      <c r="C178" s="280" t="s">
        <v>871</v>
      </c>
      <c r="D178" s="289">
        <f>ROUND((F178*'Pawn Weights'!$K$22)+(G178*'Pawn Weights'!$K$23)+(H178*'Pawn Weights'!$K$24)+(I178*'Pawn Weights'!$K$25)+(J178*'Pawn Weights'!$K$26)+(K178*'Pawn Weights'!$K$27)+(L178*'Pawn Weights'!$K$28)+(M178*'Pawn Weights'!$K$29)+(N178*'Pawn Weights'!$K$30)+(O178*'Pawn Weights'!$K$31)+(P178*'Pawn Weights'!$K$32)+(Q178*'Pawn Weights'!$K$33), 2)</f>
        <v>72.01</v>
      </c>
      <c r="E178" s="280">
        <v>13.0</v>
      </c>
      <c r="F178" s="280"/>
      <c r="G178" s="280">
        <v>33.0</v>
      </c>
      <c r="H178" s="280">
        <v>66.0</v>
      </c>
      <c r="I178" s="280"/>
      <c r="J178" s="280"/>
      <c r="K178" s="280"/>
      <c r="L178" s="280"/>
      <c r="M178" s="281"/>
      <c r="N178" s="280"/>
      <c r="O178" s="280"/>
      <c r="P178" s="280"/>
      <c r="Q178" s="280">
        <v>2.0</v>
      </c>
      <c r="R178" s="290" t="s">
        <v>809</v>
      </c>
      <c r="S178" s="281"/>
      <c r="T178" s="291"/>
      <c r="U178" s="281"/>
      <c r="V178" s="281"/>
      <c r="W178" s="281"/>
    </row>
    <row r="179">
      <c r="A179" s="301" t="s">
        <v>627</v>
      </c>
      <c r="B179" s="311" t="s">
        <v>903</v>
      </c>
      <c r="C179" s="280" t="s">
        <v>904</v>
      </c>
      <c r="D179" s="289">
        <f>ROUND((F179*'Pawn Weights'!$K$22)+(G179*'Pawn Weights'!$K$23)+(H179*'Pawn Weights'!$K$24)+(I179*'Pawn Weights'!$K$25)+(J179*'Pawn Weights'!$K$26)+(K179*'Pawn Weights'!$K$27)+(L179*'Pawn Weights'!$K$28)+(M179*'Pawn Weights'!$K$29)+(N179*'Pawn Weights'!$K$30)+(O179*'Pawn Weights'!$K$31)+(P179*'Pawn Weights'!$K$32)+(Q179*'Pawn Weights'!$K$33)-10+9.55+2.727, 2)</f>
        <v>71.11</v>
      </c>
      <c r="E179" s="280"/>
      <c r="F179" s="280"/>
      <c r="G179" s="280"/>
      <c r="H179" s="280">
        <v>36.0</v>
      </c>
      <c r="I179" s="280">
        <v>17.0</v>
      </c>
      <c r="J179" s="280">
        <v>25.0</v>
      </c>
      <c r="K179" s="280"/>
      <c r="L179" s="280"/>
      <c r="M179" s="281"/>
      <c r="N179" s="280"/>
      <c r="O179" s="280">
        <v>1.0</v>
      </c>
      <c r="P179" s="280">
        <v>1.0</v>
      </c>
      <c r="Q179" s="280"/>
      <c r="R179" s="290" t="s">
        <v>809</v>
      </c>
      <c r="S179" s="281"/>
      <c r="T179" s="291"/>
      <c r="U179" s="281"/>
      <c r="V179" s="281"/>
      <c r="W179" s="281"/>
    </row>
    <row r="180">
      <c r="A180" s="309"/>
      <c r="B180" s="288" t="s">
        <v>1103</v>
      </c>
      <c r="C180" s="280" t="s">
        <v>1104</v>
      </c>
      <c r="D180" s="289">
        <f>ROUND((F180*'Pawn Weights'!$K$22)+(G180*'Pawn Weights'!$K$23)+(H180*'Pawn Weights'!$K$24)+(I180*'Pawn Weights'!$K$25)+(J180*'Pawn Weights'!$K$26)+(K180*'Pawn Weights'!$K$27)+(L180*'Pawn Weights'!$K$28)+(M180*'Pawn Weights'!$K$29)+(N180*'Pawn Weights'!$K$30)+(O180*'Pawn Weights'!$K$31)+(P180*'Pawn Weights'!$K$32)+(Q180*'Pawn Weights'!$K$33)-10+9.55+2.04, 2)</f>
        <v>69.77</v>
      </c>
      <c r="E180" s="280">
        <v>28.0</v>
      </c>
      <c r="F180" s="280"/>
      <c r="G180" s="280">
        <v>29.0</v>
      </c>
      <c r="H180" s="280">
        <v>44.0</v>
      </c>
      <c r="I180" s="280"/>
      <c r="J180" s="280">
        <v>13.0</v>
      </c>
      <c r="K180" s="280"/>
      <c r="L180" s="280"/>
      <c r="M180" s="281"/>
      <c r="N180" s="280"/>
      <c r="O180" s="280">
        <v>1.0</v>
      </c>
      <c r="P180" s="280">
        <v>1.0</v>
      </c>
      <c r="Q180" s="280"/>
      <c r="R180" s="290" t="s">
        <v>832</v>
      </c>
      <c r="S180" s="281"/>
      <c r="T180" s="291"/>
      <c r="U180" s="281"/>
      <c r="V180" s="281"/>
      <c r="W180" s="281"/>
    </row>
    <row r="181">
      <c r="A181" s="309"/>
      <c r="B181" s="288" t="s">
        <v>1105</v>
      </c>
      <c r="C181" s="280" t="s">
        <v>1106</v>
      </c>
      <c r="D181" s="289">
        <f>ROUND((F181*'Pawn Weights'!$K$22)+(G181*'Pawn Weights'!$K$23)+(H181*'Pawn Weights'!$K$24)+(I181*'Pawn Weights'!$K$25)+(J181*'Pawn Weights'!$K$26)+(K181*'Pawn Weights'!$K$27)+(L181*'Pawn Weights'!$K$28)+(M181*'Pawn Weights'!$K$29)+(N181*'Pawn Weights'!$K$30)+(O181*'Pawn Weights'!$K$31)+(P181*'Pawn Weights'!$K$32)+(Q181*'Pawn Weights'!$K$33)-10+9.55+3, 2)</f>
        <v>68.89</v>
      </c>
      <c r="E181" s="280">
        <v>28.0</v>
      </c>
      <c r="F181" s="280">
        <v>33.0</v>
      </c>
      <c r="G181" s="280">
        <v>20.0</v>
      </c>
      <c r="H181" s="280"/>
      <c r="I181" s="280"/>
      <c r="J181" s="280"/>
      <c r="K181" s="280"/>
      <c r="L181" s="280"/>
      <c r="M181" s="281"/>
      <c r="N181" s="280"/>
      <c r="O181" s="280">
        <v>1.0</v>
      </c>
      <c r="P181" s="280">
        <v>1.0</v>
      </c>
      <c r="Q181" s="280"/>
      <c r="R181" s="290" t="s">
        <v>698</v>
      </c>
      <c r="S181" s="281"/>
      <c r="T181" s="291"/>
      <c r="U181" s="281"/>
      <c r="V181" s="281"/>
      <c r="W181" s="281"/>
    </row>
    <row r="182">
      <c r="A182" s="301"/>
      <c r="B182" s="288" t="s">
        <v>1107</v>
      </c>
      <c r="C182" s="280" t="s">
        <v>842</v>
      </c>
      <c r="D182" s="289">
        <f>ROUND((F182*'Pawn Weights'!$K$22)+(G182*'Pawn Weights'!$K$23)+(H182*'Pawn Weights'!$K$24)+(I182*'Pawn Weights'!$K$25)+(J182*'Pawn Weights'!$K$26)+(K182*'Pawn Weights'!$K$27)+(L182*'Pawn Weights'!$K$28)+(M182*'Pawn Weights'!$K$29)+(N182*'Pawn Weights'!$K$30)+(O182*'Pawn Weights'!$K$31)+(P182*'Pawn Weights'!$K$32)+(Q182*'Pawn Weights'!$K$33), 2)</f>
        <v>67.66</v>
      </c>
      <c r="E182" s="280">
        <v>41.0</v>
      </c>
      <c r="F182" s="280"/>
      <c r="G182" s="280"/>
      <c r="H182" s="280">
        <v>98.0</v>
      </c>
      <c r="I182" s="280"/>
      <c r="J182" s="280">
        <v>34.0</v>
      </c>
      <c r="K182" s="280"/>
      <c r="L182" s="280"/>
      <c r="M182" s="281"/>
      <c r="N182" s="280"/>
      <c r="O182" s="280"/>
      <c r="P182" s="280"/>
      <c r="Q182" s="280"/>
      <c r="R182" s="290"/>
      <c r="S182" s="281"/>
      <c r="T182" s="291"/>
      <c r="U182" s="281"/>
      <c r="V182" s="281"/>
      <c r="W182" s="281"/>
    </row>
    <row r="183">
      <c r="A183" s="301" t="s">
        <v>991</v>
      </c>
      <c r="B183" s="288" t="s">
        <v>1108</v>
      </c>
      <c r="C183" s="280" t="s">
        <v>892</v>
      </c>
      <c r="D183" s="289">
        <f>ROUND((F183*'Pawn Weights'!$K$22)+(G183*'Pawn Weights'!$K$23)+(H183*'Pawn Weights'!$K$24)+(I183*'Pawn Weights'!$K$25)+(J183*'Pawn Weights'!$K$26)+(K183*'Pawn Weights'!$K$27)+(L183*'Pawn Weights'!$K$28)+(M183*'Pawn Weights'!$K$29)+(N183*'Pawn Weights'!$K$30)+(O183*'Pawn Weights'!$K$31)+(P183*'Pawn Weights'!$K$32)+(Q183*'Pawn Weights'!$K$33), 2)</f>
        <v>66.85</v>
      </c>
      <c r="E183" s="280">
        <v>49.0</v>
      </c>
      <c r="F183" s="280">
        <v>35.0</v>
      </c>
      <c r="G183" s="280"/>
      <c r="H183" s="280"/>
      <c r="I183" s="280">
        <v>35.0</v>
      </c>
      <c r="J183" s="280"/>
      <c r="K183" s="280"/>
      <c r="L183" s="280"/>
      <c r="M183" s="281"/>
      <c r="N183" s="280"/>
      <c r="O183" s="280"/>
      <c r="P183" s="280"/>
      <c r="Q183" s="280"/>
      <c r="R183" s="290"/>
      <c r="S183" s="281"/>
      <c r="T183" s="291" t="s">
        <v>850</v>
      </c>
      <c r="U183" s="281"/>
      <c r="V183" s="281"/>
      <c r="W183" s="281"/>
    </row>
    <row r="184">
      <c r="A184" s="224" t="s">
        <v>905</v>
      </c>
      <c r="B184" s="281"/>
      <c r="C184" s="281"/>
      <c r="D184" s="360"/>
      <c r="E184" s="281"/>
      <c r="F184" s="281"/>
      <c r="G184" s="281"/>
      <c r="H184" s="281"/>
      <c r="I184" s="281"/>
      <c r="J184" s="281"/>
      <c r="K184" s="281"/>
      <c r="L184" s="281"/>
      <c r="M184" s="281"/>
      <c r="N184" s="281"/>
      <c r="O184" s="281"/>
      <c r="P184" s="281"/>
      <c r="Q184" s="281"/>
      <c r="R184" s="282"/>
      <c r="S184" s="281"/>
      <c r="T184" s="285"/>
      <c r="U184" s="281"/>
      <c r="V184" s="281"/>
      <c r="W184" s="281"/>
    </row>
    <row r="185">
      <c r="A185" s="295"/>
      <c r="B185" s="296" t="s">
        <v>906</v>
      </c>
      <c r="C185" s="297" t="s">
        <v>669</v>
      </c>
      <c r="D185" s="289">
        <f>ROUND((F185*'Pawn Weights'!$K$22)+(G185*'Pawn Weights'!$K$23)+(H185*'Pawn Weights'!$K$24)+(I185*'Pawn Weights'!$K$25)+(J185*'Pawn Weights'!$K$26)+(K185*'Pawn Weights'!$K$27)+(L185*'Pawn Weights'!$K$28)+(M185*'Pawn Weights'!$K$29)+(N185*'Pawn Weights'!$K$30)+(O185*'Pawn Weights'!$K$31)+(P185*'Pawn Weights'!$K$32)+(Q185*'Pawn Weights'!$K$33), 2)</f>
        <v>90.51</v>
      </c>
      <c r="E185" s="298">
        <v>30.0</v>
      </c>
      <c r="F185" s="297"/>
      <c r="G185" s="297"/>
      <c r="H185" s="298">
        <v>66.0</v>
      </c>
      <c r="I185" s="298">
        <v>32.0</v>
      </c>
      <c r="J185" s="297"/>
      <c r="K185" s="297"/>
      <c r="L185" s="297"/>
      <c r="M185" s="359">
        <v>161.0</v>
      </c>
      <c r="N185" s="297"/>
      <c r="O185" s="297"/>
      <c r="P185" s="297"/>
      <c r="Q185" s="297"/>
      <c r="R185" s="295"/>
      <c r="S185" s="137"/>
      <c r="T185" s="295"/>
      <c r="U185" s="137"/>
      <c r="V185" s="137"/>
      <c r="W185" s="137"/>
      <c r="X185" s="137"/>
      <c r="Y185" s="137"/>
      <c r="Z185" s="137"/>
    </row>
    <row r="186">
      <c r="A186" s="281"/>
      <c r="B186" s="288" t="s">
        <v>907</v>
      </c>
      <c r="C186" s="280" t="s">
        <v>632</v>
      </c>
      <c r="D186" s="289">
        <f>ROUND((F186*'Pawn Weights'!$K$22)+(G186*'Pawn Weights'!$K$23)+(H186*'Pawn Weights'!$K$24)+(I186*'Pawn Weights'!$K$25)+(J186*'Pawn Weights'!$K$26)+(K186*'Pawn Weights'!$K$27)+(L186*'Pawn Weights'!$K$28)+(M186*'Pawn Weights'!$K$29)+(N186*'Pawn Weights'!$K$30)+(O186*'Pawn Weights'!$K$31)+(P186*'Pawn Weights'!$K$32)+(Q186*'Pawn Weights'!$K$33), 2)</f>
        <v>74.97</v>
      </c>
      <c r="E186" s="280">
        <v>33.0</v>
      </c>
      <c r="F186" s="280"/>
      <c r="G186" s="280"/>
      <c r="H186" s="280">
        <v>66.0</v>
      </c>
      <c r="I186" s="280"/>
      <c r="J186" s="280">
        <v>30.0</v>
      </c>
      <c r="K186" s="280"/>
      <c r="L186" s="280"/>
      <c r="M186" s="280">
        <v>126.0</v>
      </c>
      <c r="N186" s="280"/>
      <c r="O186" s="280"/>
      <c r="P186" s="280"/>
      <c r="Q186" s="280"/>
      <c r="R186" s="290"/>
      <c r="S186" s="281"/>
      <c r="T186" s="291"/>
      <c r="U186" s="281"/>
      <c r="V186" s="281"/>
      <c r="W186" s="281"/>
    </row>
    <row r="187">
      <c r="A187" s="137"/>
      <c r="B187" s="296" t="s">
        <v>908</v>
      </c>
      <c r="C187" s="297" t="s">
        <v>909</v>
      </c>
      <c r="D187" s="289">
        <f>ROUND((F187*'Pawn Weights'!$K$22)+(G187*'Pawn Weights'!$K$23)+(H187*'Pawn Weights'!$K$24)+(I187*'Pawn Weights'!$K$25)+(J187*'Pawn Weights'!$K$26)+(K187*'Pawn Weights'!$K$27)+(L187*'Pawn Weights'!$K$28)+(M187*'Pawn Weights'!$K$29)+(N187*'Pawn Weights'!$K$30)+(O187*'Pawn Weights'!$K$31)+(P187*'Pawn Weights'!$K$32)+(Q187*'Pawn Weights'!$K$33), 2)</f>
        <v>70.27</v>
      </c>
      <c r="E187" s="298">
        <v>28.0</v>
      </c>
      <c r="F187" s="297"/>
      <c r="G187" s="298">
        <v>29.0</v>
      </c>
      <c r="H187" s="298">
        <v>58.0</v>
      </c>
      <c r="I187" s="297"/>
      <c r="J187" s="297"/>
      <c r="K187" s="297"/>
      <c r="L187" s="297"/>
      <c r="M187" s="359">
        <v>126.0</v>
      </c>
      <c r="N187" s="297"/>
      <c r="O187" s="297"/>
      <c r="P187" s="297"/>
      <c r="Q187" s="297"/>
      <c r="R187" s="295"/>
      <c r="S187" s="137"/>
      <c r="T187" s="295"/>
      <c r="U187" s="137"/>
      <c r="V187" s="137"/>
      <c r="W187" s="137"/>
      <c r="X187" s="137"/>
      <c r="Y187" s="137"/>
      <c r="Z187" s="137"/>
    </row>
    <row r="188">
      <c r="A188" s="137"/>
      <c r="B188" s="296" t="s">
        <v>912</v>
      </c>
      <c r="C188" s="297" t="s">
        <v>913</v>
      </c>
      <c r="D188" s="289">
        <f>ROUND((F188*'Pawn Weights'!$K$22)+(G188*'Pawn Weights'!$K$23)+(H188*'Pawn Weights'!$K$24)+(I188*'Pawn Weights'!$K$25)+(J188*'Pawn Weights'!$K$26)+(K188*'Pawn Weights'!$K$27)+(L188*'Pawn Weights'!$K$28)+(M188*'Pawn Weights'!$K$29)+(N188*'Pawn Weights'!$K$30)+(O188*'Pawn Weights'!$K$31)+(P188*'Pawn Weights'!$K$32)+(Q188*'Pawn Weights'!$K$33), 2)</f>
        <v>69.61</v>
      </c>
      <c r="E188" s="298">
        <v>30.0</v>
      </c>
      <c r="F188" s="297"/>
      <c r="G188" s="298">
        <v>28.0</v>
      </c>
      <c r="H188" s="298">
        <v>58.0</v>
      </c>
      <c r="I188" s="297"/>
      <c r="J188" s="297"/>
      <c r="K188" s="297"/>
      <c r="L188" s="297"/>
      <c r="M188" s="298">
        <v>126.0</v>
      </c>
      <c r="N188" s="297"/>
      <c r="O188" s="297"/>
      <c r="P188" s="297"/>
      <c r="Q188" s="297"/>
      <c r="R188" s="295"/>
      <c r="S188" s="137"/>
      <c r="T188" s="295"/>
      <c r="U188" s="137"/>
      <c r="V188" s="137"/>
      <c r="W188" s="137"/>
      <c r="X188" s="137"/>
      <c r="Y188" s="137"/>
      <c r="Z188" s="137"/>
    </row>
    <row r="189">
      <c r="A189" s="281"/>
      <c r="B189" s="288" t="s">
        <v>914</v>
      </c>
      <c r="C189" s="280" t="s">
        <v>857</v>
      </c>
      <c r="D189" s="289">
        <f>ROUND((F189*'Pawn Weights'!$K$22)+(G189*'Pawn Weights'!$K$23)+(H189*'Pawn Weights'!$K$24)+(I189*'Pawn Weights'!$K$25)+(J189*'Pawn Weights'!$K$26)+(K189*'Pawn Weights'!$K$27)+(L189*'Pawn Weights'!$K$28)+(M189*'Pawn Weights'!$K$29)+(N189*'Pawn Weights'!$K$30)+(O189*'Pawn Weights'!$K$31)+(P189*'Pawn Weights'!$K$32)+(Q189*'Pawn Weights'!$K$33), 2)</f>
        <v>63.3</v>
      </c>
      <c r="E189" s="280">
        <v>28.0</v>
      </c>
      <c r="F189" s="280">
        <v>36.0</v>
      </c>
      <c r="G189" s="280"/>
      <c r="H189" s="280"/>
      <c r="I189" s="280">
        <v>30.0</v>
      </c>
      <c r="J189" s="280"/>
      <c r="K189" s="280"/>
      <c r="L189" s="280"/>
      <c r="M189" s="281"/>
      <c r="N189" s="280"/>
      <c r="O189" s="280"/>
      <c r="P189" s="280"/>
      <c r="Q189" s="280"/>
      <c r="R189" s="290"/>
      <c r="S189" s="281"/>
      <c r="T189" s="291"/>
      <c r="U189" s="281"/>
      <c r="V189" s="281"/>
      <c r="W189" s="281"/>
    </row>
    <row r="190">
      <c r="A190" s="281"/>
      <c r="B190" s="288" t="s">
        <v>917</v>
      </c>
      <c r="C190" s="280" t="s">
        <v>741</v>
      </c>
      <c r="D190" s="289">
        <f>ROUND((F190*'Pawn Weights'!$K$22)+(G190*'Pawn Weights'!$K$23)+(H190*'Pawn Weights'!$K$24)+(I190*'Pawn Weights'!$K$25)+(J190*'Pawn Weights'!$K$26)+(K190*'Pawn Weights'!$K$27)+(L190*'Pawn Weights'!$K$28)+(M190*'Pawn Weights'!$K$29)+(N190*'Pawn Weights'!$K$30)+(O190*'Pawn Weights'!$K$31)+(P190*'Pawn Weights'!$K$32)+(Q190*'Pawn Weights'!$K$33), 2)</f>
        <v>63.17</v>
      </c>
      <c r="E190" s="280">
        <v>27.0</v>
      </c>
      <c r="F190" s="280"/>
      <c r="G190" s="280"/>
      <c r="H190" s="280">
        <v>56.0</v>
      </c>
      <c r="I190" s="280">
        <v>28.0</v>
      </c>
      <c r="J190" s="280">
        <v>18.0</v>
      </c>
      <c r="K190" s="280"/>
      <c r="L190" s="280"/>
      <c r="M190" s="281"/>
      <c r="N190" s="280"/>
      <c r="O190" s="280"/>
      <c r="P190" s="280"/>
      <c r="Q190" s="280"/>
      <c r="R190" s="290"/>
      <c r="S190" s="281"/>
      <c r="T190" s="291"/>
      <c r="U190" s="281"/>
      <c r="V190" s="281"/>
      <c r="W190" s="281"/>
    </row>
    <row r="191">
      <c r="A191" s="137" t="s">
        <v>671</v>
      </c>
      <c r="B191" s="296" t="s">
        <v>915</v>
      </c>
      <c r="C191" s="297" t="s">
        <v>916</v>
      </c>
      <c r="D191" s="289">
        <f>ROUND((F191*'Pawn Weights'!$K$22)+(G191*'Pawn Weights'!$K$23)+(H191*'Pawn Weights'!$K$24)+(I191*'Pawn Weights'!$K$25)+(J191*'Pawn Weights'!$K$26)+(K191*'Pawn Weights'!$K$27)+(L191*'Pawn Weights'!$K$28)+(M191*'Pawn Weights'!$K$29)+(N191*'Pawn Weights'!$K$30)+(O191*'Pawn Weights'!$K$31)+(P191*'Pawn Weights'!$K$32)+(Q191*'Pawn Weights'!$K$33), 2)</f>
        <v>61.85</v>
      </c>
      <c r="E191" s="298">
        <v>38.0</v>
      </c>
      <c r="F191" s="297"/>
      <c r="G191" s="297"/>
      <c r="H191" s="298">
        <v>52.0</v>
      </c>
      <c r="I191" s="298">
        <v>30.0</v>
      </c>
      <c r="J191" s="297"/>
      <c r="K191" s="297"/>
      <c r="L191" s="297"/>
      <c r="M191" s="359">
        <v>56.0</v>
      </c>
      <c r="N191" s="297"/>
      <c r="O191" s="297"/>
      <c r="P191" s="297"/>
      <c r="Q191" s="297"/>
      <c r="R191" s="295"/>
      <c r="S191" s="137"/>
      <c r="T191" s="297" t="s">
        <v>861</v>
      </c>
      <c r="U191" s="137"/>
      <c r="V191" s="137"/>
      <c r="W191" s="137"/>
      <c r="X191" s="137"/>
      <c r="Y191" s="137"/>
      <c r="Z191" s="137"/>
    </row>
    <row r="192">
      <c r="A192" s="137" t="s">
        <v>627</v>
      </c>
      <c r="B192" s="296" t="s">
        <v>910</v>
      </c>
      <c r="C192" s="297" t="s">
        <v>911</v>
      </c>
      <c r="D192" s="289">
        <f>ROUND((F192*'Pawn Weights'!$K$22)+(G192*'Pawn Weights'!$K$23)+(H192*'Pawn Weights'!$K$24)+(I192*'Pawn Weights'!$K$25)+(J192*'Pawn Weights'!$K$26)+(K192*'Pawn Weights'!$K$27)+(L192*'Pawn Weights'!$K$28)+(M192*'Pawn Weights'!$K$29)+(N192*'Pawn Weights'!$K$30)+(O192*'Pawn Weights'!$K$31)+(P192*'Pawn Weights'!$K$32)+(Q192*'Pawn Weights'!$K$33), 2)</f>
        <v>61.49</v>
      </c>
      <c r="E192" s="298">
        <v>42.0</v>
      </c>
      <c r="F192" s="297"/>
      <c r="G192" s="298">
        <v>30.0</v>
      </c>
      <c r="H192" s="298">
        <v>58.0</v>
      </c>
      <c r="I192" s="297"/>
      <c r="J192" s="297"/>
      <c r="K192" s="298">
        <v>28.0</v>
      </c>
      <c r="L192" s="297"/>
      <c r="M192" s="295"/>
      <c r="N192" s="297"/>
      <c r="O192" s="297"/>
      <c r="P192" s="297"/>
      <c r="Q192" s="297"/>
      <c r="R192" s="295"/>
      <c r="S192" s="137"/>
      <c r="T192" s="137"/>
      <c r="U192" s="137"/>
      <c r="V192" s="137"/>
      <c r="W192" s="137"/>
      <c r="X192" s="137"/>
      <c r="Y192" s="137"/>
      <c r="Z192" s="137"/>
    </row>
    <row r="193" ht="1.5" customHeight="1">
      <c r="A193" s="281"/>
      <c r="B193" s="288" t="s">
        <v>918</v>
      </c>
      <c r="C193" s="280" t="s">
        <v>919</v>
      </c>
      <c r="D193" s="289">
        <f>ROUND((F193*'Pawn Weights'!$K$22)+(G193*'Pawn Weights'!$K$23)+(H193*'Pawn Weights'!$K$24)+(I193*'Pawn Weights'!$K$25)+(J193*'Pawn Weights'!$K$26)+(K193*'Pawn Weights'!$K$27)+(L193*'Pawn Weights'!$K$28)+(M193*'Pawn Weights'!$K$29)+(N193*'Pawn Weights'!$K$30)+(O193*'Pawn Weights'!$K$31)+(P193*'Pawn Weights'!$K$32)+(Q193*'Pawn Weights'!$K$33), 2)</f>
        <v>46.61</v>
      </c>
      <c r="E193" s="280">
        <v>43.0</v>
      </c>
      <c r="F193" s="280"/>
      <c r="G193" s="280">
        <v>29.0</v>
      </c>
      <c r="H193" s="280">
        <v>60.0</v>
      </c>
      <c r="I193" s="280"/>
      <c r="J193" s="280"/>
      <c r="K193" s="280"/>
      <c r="L193" s="280"/>
      <c r="M193" s="281"/>
      <c r="N193" s="280"/>
      <c r="O193" s="280"/>
      <c r="P193" s="280"/>
      <c r="Q193" s="280"/>
      <c r="R193" s="290"/>
      <c r="S193" s="281"/>
      <c r="T193" s="291" t="s">
        <v>920</v>
      </c>
      <c r="U193" s="281"/>
      <c r="V193" s="281"/>
      <c r="W193" s="281"/>
    </row>
    <row r="194">
      <c r="A194" s="281"/>
      <c r="B194" s="288" t="s">
        <v>922</v>
      </c>
      <c r="C194" s="280" t="s">
        <v>708</v>
      </c>
      <c r="D194" s="289">
        <f>ROUND((F194*'Pawn Weights'!$K$22)+(G194*'Pawn Weights'!$K$23)+(H194*'Pawn Weights'!$K$24)+(I194*'Pawn Weights'!$K$25)+(J194*'Pawn Weights'!$K$26)+(K194*'Pawn Weights'!$K$27)+(L194*'Pawn Weights'!$K$28)+(M194*'Pawn Weights'!$K$29)+(N194*'Pawn Weights'!$K$30)+(O194*'Pawn Weights'!$K$31)+(P194*'Pawn Weights'!$K$32)+(Q194*'Pawn Weights'!$K$33), 2)</f>
        <v>55.67</v>
      </c>
      <c r="E194" s="280"/>
      <c r="F194" s="280"/>
      <c r="G194" s="280"/>
      <c r="H194" s="280">
        <v>62.0</v>
      </c>
      <c r="I194" s="280">
        <v>19.0</v>
      </c>
      <c r="J194" s="280">
        <v>15.0</v>
      </c>
      <c r="K194" s="280"/>
      <c r="L194" s="280"/>
      <c r="M194" s="281"/>
      <c r="N194" s="280"/>
      <c r="O194" s="280"/>
      <c r="P194" s="280"/>
      <c r="Q194" s="280"/>
      <c r="R194" s="290"/>
      <c r="S194" s="281"/>
      <c r="T194" s="291"/>
      <c r="U194" s="281"/>
      <c r="V194" s="281"/>
      <c r="W194" s="281"/>
    </row>
    <row r="195">
      <c r="A195" s="292" t="s">
        <v>991</v>
      </c>
      <c r="B195" s="288" t="s">
        <v>1109</v>
      </c>
      <c r="C195" s="280" t="s">
        <v>1110</v>
      </c>
      <c r="D195" s="289">
        <f>ROUND((F195*'Pawn Weights'!$K$22)+(G195*'Pawn Weights'!$K$23)+(H195*'Pawn Weights'!$K$24)+(I195*'Pawn Weights'!$K$25)+(J195*'Pawn Weights'!$K$26)+(K195*'Pawn Weights'!$K$27)+(L195*'Pawn Weights'!$K$28)+(M195*'Pawn Weights'!$K$29)+(N195*'Pawn Weights'!$K$30)+(O195*'Pawn Weights'!$K$31)+(P195*'Pawn Weights'!$K$32)+(Q195*'Pawn Weights'!$K$33), 2)</f>
        <v>54.58</v>
      </c>
      <c r="E195" s="280">
        <v>34.0</v>
      </c>
      <c r="F195" s="280"/>
      <c r="G195" s="280"/>
      <c r="H195" s="280">
        <v>44.0</v>
      </c>
      <c r="I195" s="280">
        <v>26.0</v>
      </c>
      <c r="J195" s="280"/>
      <c r="K195" s="280"/>
      <c r="L195" s="280"/>
      <c r="M195" s="280">
        <v>56.0</v>
      </c>
      <c r="N195" s="280"/>
      <c r="O195" s="280"/>
      <c r="P195" s="280"/>
      <c r="Q195" s="290"/>
      <c r="R195" s="290"/>
      <c r="S195" s="281"/>
      <c r="T195" s="291" t="s">
        <v>861</v>
      </c>
      <c r="U195" s="281"/>
      <c r="V195" s="281"/>
      <c r="W195" s="281"/>
    </row>
    <row r="196">
      <c r="A196" s="281"/>
      <c r="B196" s="288" t="s">
        <v>923</v>
      </c>
      <c r="C196" s="280" t="s">
        <v>656</v>
      </c>
      <c r="D196" s="289">
        <f>ROUND((F196*'Pawn Weights'!$K$22)+(G196*'Pawn Weights'!$K$23)+(H196*'Pawn Weights'!$K$24)+(I196*'Pawn Weights'!$K$25)+(J196*'Pawn Weights'!$K$26)+(K196*'Pawn Weights'!$K$27)+(L196*'Pawn Weights'!$K$28)+(M196*'Pawn Weights'!$K$29)+(N196*'Pawn Weights'!$K$30)+(O196*'Pawn Weights'!$K$31)+(P196*'Pawn Weights'!$K$32)+(Q196*'Pawn Weights'!$K$33), 2)</f>
        <v>53.85</v>
      </c>
      <c r="E196" s="280">
        <v>21.0</v>
      </c>
      <c r="F196" s="280"/>
      <c r="G196" s="280"/>
      <c r="H196" s="280">
        <v>44.0</v>
      </c>
      <c r="I196" s="280">
        <v>23.0</v>
      </c>
      <c r="J196" s="280">
        <v>19.0</v>
      </c>
      <c r="K196" s="280"/>
      <c r="L196" s="280"/>
      <c r="M196" s="281"/>
      <c r="N196" s="280"/>
      <c r="O196" s="280"/>
      <c r="P196" s="280"/>
      <c r="Q196" s="280"/>
      <c r="R196" s="290"/>
      <c r="S196" s="281"/>
      <c r="T196" s="291"/>
      <c r="U196" s="281"/>
      <c r="V196" s="281"/>
      <c r="W196" s="281"/>
    </row>
    <row r="197">
      <c r="A197" s="281"/>
      <c r="B197" s="288" t="s">
        <v>926</v>
      </c>
      <c r="C197" s="280" t="s">
        <v>723</v>
      </c>
      <c r="D197" s="289">
        <f>ROUND((F197*'Pawn Weights'!$K$22)+(G197*'Pawn Weights'!$K$23)+(H197*'Pawn Weights'!$K$24)+(I197*'Pawn Weights'!$K$25)+(J197*'Pawn Weights'!$K$26)+(K197*'Pawn Weights'!$K$27)+(L197*'Pawn Weights'!$K$28)+(M197*'Pawn Weights'!$K$29)+(N197*'Pawn Weights'!$K$30)+(O197*'Pawn Weights'!$K$31)+(P197*'Pawn Weights'!$K$32)+(Q197*'Pawn Weights'!$K$33), 2)</f>
        <v>53.29</v>
      </c>
      <c r="E197" s="280">
        <v>42.0</v>
      </c>
      <c r="F197" s="280"/>
      <c r="G197" s="280">
        <v>21.0</v>
      </c>
      <c r="H197" s="280">
        <v>58.0</v>
      </c>
      <c r="I197" s="280"/>
      <c r="J197" s="280">
        <v>19.0</v>
      </c>
      <c r="K197" s="280"/>
      <c r="L197" s="280"/>
      <c r="M197" s="281"/>
      <c r="N197" s="280"/>
      <c r="O197" s="280"/>
      <c r="P197" s="280"/>
      <c r="Q197" s="280"/>
      <c r="R197" s="290"/>
      <c r="S197" s="281"/>
      <c r="T197" s="291"/>
      <c r="U197" s="281"/>
      <c r="V197" s="281"/>
      <c r="W197" s="281"/>
    </row>
    <row r="198">
      <c r="A198" s="281"/>
      <c r="B198" s="288" t="s">
        <v>927</v>
      </c>
      <c r="C198" s="280" t="s">
        <v>710</v>
      </c>
      <c r="D198" s="289">
        <f>ROUND((F198*'Pawn Weights'!$K$22)+(G198*'Pawn Weights'!$K$23)+(H198*'Pawn Weights'!$K$24)+(I198*'Pawn Weights'!$K$25)+(J198*'Pawn Weights'!$K$26)+(K198*'Pawn Weights'!$K$27)+(L198*'Pawn Weights'!$K$28)+(M198*'Pawn Weights'!$K$29)+(N198*'Pawn Weights'!$K$30)+(O198*'Pawn Weights'!$K$31)+(P198*'Pawn Weights'!$K$32)+(Q198*'Pawn Weights'!$K$33), 2)</f>
        <v>51.65</v>
      </c>
      <c r="E198" s="280">
        <v>19.0</v>
      </c>
      <c r="F198" s="280"/>
      <c r="G198" s="280">
        <v>24.0</v>
      </c>
      <c r="H198" s="280">
        <v>50.0</v>
      </c>
      <c r="I198" s="280"/>
      <c r="J198" s="280">
        <v>19.0</v>
      </c>
      <c r="K198" s="280"/>
      <c r="L198" s="280"/>
      <c r="M198" s="281"/>
      <c r="N198" s="280"/>
      <c r="O198" s="280"/>
      <c r="P198" s="280"/>
      <c r="Q198" s="280"/>
      <c r="R198" s="290"/>
      <c r="S198" s="281"/>
      <c r="T198" s="291"/>
      <c r="U198" s="281"/>
      <c r="V198" s="281"/>
      <c r="W198" s="281"/>
    </row>
    <row r="199">
      <c r="A199" s="137"/>
      <c r="B199" s="296" t="s">
        <v>924</v>
      </c>
      <c r="C199" s="297" t="s">
        <v>744</v>
      </c>
      <c r="D199" s="289">
        <f>ROUND((F199*'Pawn Weights'!$K$22)+(G199*'Pawn Weights'!$K$23)+(H199*'Pawn Weights'!$K$24)+(I199*'Pawn Weights'!$K$25)+(J199*'Pawn Weights'!$K$26)+(K199*'Pawn Weights'!$K$27)+(L199*'Pawn Weights'!$K$28)+(M199*'Pawn Weights'!$K$29)+(N199*'Pawn Weights'!$K$30)+(O199*'Pawn Weights'!$K$31)+(P199*'Pawn Weights'!$K$32)+(Q199*'Pawn Weights'!$K$33), 2)</f>
        <v>51.84</v>
      </c>
      <c r="E199" s="298">
        <v>30.0</v>
      </c>
      <c r="F199" s="297"/>
      <c r="G199" s="297"/>
      <c r="H199" s="298">
        <v>58.0</v>
      </c>
      <c r="I199" s="298">
        <v>28.0</v>
      </c>
      <c r="J199" s="297"/>
      <c r="K199" s="297"/>
      <c r="L199" s="297"/>
      <c r="M199" s="137"/>
      <c r="N199" s="297"/>
      <c r="O199" s="297"/>
      <c r="P199" s="297"/>
      <c r="Q199" s="297"/>
      <c r="R199" s="295"/>
      <c r="S199" s="137"/>
      <c r="T199" s="297" t="s">
        <v>925</v>
      </c>
      <c r="U199" s="137"/>
      <c r="V199" s="137"/>
      <c r="W199" s="137"/>
      <c r="X199" s="137"/>
      <c r="Y199" s="137"/>
      <c r="Z199" s="137"/>
    </row>
    <row r="200">
      <c r="A200" s="281"/>
      <c r="B200" s="288" t="s">
        <v>1111</v>
      </c>
      <c r="C200" s="280" t="s">
        <v>1112</v>
      </c>
      <c r="D200" s="289">
        <f>ROUND((F200*'Pawn Weights'!$K$22)+(G200*'Pawn Weights'!$K$23)+(H200*'Pawn Weights'!$K$24)+(I200*'Pawn Weights'!$K$25)+(J200*'Pawn Weights'!$K$26)+(K200*'Pawn Weights'!$K$27)+(L200*'Pawn Weights'!$K$28)+(M200*'Pawn Weights'!$K$29)+(N200*'Pawn Weights'!$K$30)+(O200*'Pawn Weights'!$K$31)+(P200*'Pawn Weights'!$K$32)+(Q200*'Pawn Weights'!$K$33), 2)</f>
        <v>49.3</v>
      </c>
      <c r="E200" s="280"/>
      <c r="F200" s="280"/>
      <c r="G200" s="280"/>
      <c r="H200" s="280">
        <v>40.0</v>
      </c>
      <c r="I200" s="280">
        <v>20.0</v>
      </c>
      <c r="J200" s="280">
        <v>19.0</v>
      </c>
      <c r="K200" s="280"/>
      <c r="L200" s="280"/>
      <c r="M200" s="281"/>
      <c r="N200" s="280"/>
      <c r="O200" s="280"/>
      <c r="P200" s="280"/>
      <c r="Q200" s="280"/>
      <c r="R200" s="290"/>
      <c r="S200" s="281"/>
      <c r="T200" s="291"/>
      <c r="U200" s="281"/>
      <c r="V200" s="281"/>
      <c r="W200" s="281"/>
    </row>
    <row r="201">
      <c r="A201" s="281"/>
      <c r="B201" s="288" t="s">
        <v>921</v>
      </c>
      <c r="C201" s="280" t="s">
        <v>821</v>
      </c>
      <c r="D201" s="289">
        <f>ROUND((F201*'Pawn Weights'!$K$22)+(G201*'Pawn Weights'!$K$23)+(H201*'Pawn Weights'!$K$24)+(I201*'Pawn Weights'!$K$25)+(J201*'Pawn Weights'!$K$26)+(K201*'Pawn Weights'!$K$27)+(L201*'Pawn Weights'!$K$28)+(M201*'Pawn Weights'!$K$29)+(N201*'Pawn Weights'!$K$30)+(O201*'Pawn Weights'!$K$31)+(P201*'Pawn Weights'!$K$32)+(Q201*'Pawn Weights'!$K$33), 2)</f>
        <v>46.74</v>
      </c>
      <c r="E201" s="280"/>
      <c r="F201" s="280"/>
      <c r="G201" s="280"/>
      <c r="H201" s="280">
        <v>66.0</v>
      </c>
      <c r="I201" s="280"/>
      <c r="J201" s="280"/>
      <c r="K201" s="280">
        <v>31.0</v>
      </c>
      <c r="L201" s="280"/>
      <c r="M201" s="281"/>
      <c r="N201" s="280"/>
      <c r="O201" s="280"/>
      <c r="P201" s="280"/>
      <c r="Q201" s="280"/>
      <c r="R201" s="290"/>
      <c r="S201" s="281"/>
      <c r="T201" s="291"/>
      <c r="U201" s="281"/>
      <c r="V201" s="281"/>
      <c r="W201" s="281"/>
    </row>
    <row r="202">
      <c r="A202" s="281"/>
      <c r="B202" s="288" t="s">
        <v>1113</v>
      </c>
      <c r="C202" s="280" t="s">
        <v>881</v>
      </c>
      <c r="D202" s="289">
        <f>ROUND((F202*'Pawn Weights'!$K$22)+(G202*'Pawn Weights'!$K$23)+(H202*'Pawn Weights'!$K$24)+(I202*'Pawn Weights'!$K$25)+(J202*'Pawn Weights'!$K$26)+(K202*'Pawn Weights'!$K$27)+(L202*'Pawn Weights'!$K$28)+(M202*'Pawn Weights'!$K$29)+(N202*'Pawn Weights'!$K$30)+(O202*'Pawn Weights'!$K$31)+(P202*'Pawn Weights'!$K$32)+(Q202*'Pawn Weights'!$K$33), 2)</f>
        <v>46.02</v>
      </c>
      <c r="E202" s="280">
        <v>24.0</v>
      </c>
      <c r="F202" s="280">
        <v>26.0</v>
      </c>
      <c r="G202" s="280"/>
      <c r="H202" s="280"/>
      <c r="I202" s="280">
        <v>22.0</v>
      </c>
      <c r="J202" s="280"/>
      <c r="K202" s="280"/>
      <c r="L202" s="280"/>
      <c r="M202" s="281"/>
      <c r="N202" s="280"/>
      <c r="O202" s="280"/>
      <c r="P202" s="280"/>
      <c r="Q202" s="280"/>
      <c r="R202" s="290"/>
      <c r="S202" s="281"/>
      <c r="T202" s="291"/>
      <c r="U202" s="281"/>
      <c r="V202" s="281"/>
      <c r="W202" s="281"/>
    </row>
    <row r="203">
      <c r="A203" s="281"/>
      <c r="B203" s="288" t="s">
        <v>1114</v>
      </c>
      <c r="C203" s="280" t="s">
        <v>683</v>
      </c>
      <c r="D203" s="289">
        <f>ROUND((F203*'Pawn Weights'!$K$22)+(G203*'Pawn Weights'!$K$23)+(H203*'Pawn Weights'!$K$24)+(I203*'Pawn Weights'!$K$25)+(J203*'Pawn Weights'!$K$26)+(K203*'Pawn Weights'!$K$27)+(L203*'Pawn Weights'!$K$28)+(M203*'Pawn Weights'!$K$29)+(N203*'Pawn Weights'!$K$30)+(O203*'Pawn Weights'!$K$31)+(P203*'Pawn Weights'!$K$32)+(Q203*'Pawn Weights'!$K$33), 2)</f>
        <v>46.01</v>
      </c>
      <c r="E203" s="280">
        <v>30.0</v>
      </c>
      <c r="F203" s="280">
        <v>32.0</v>
      </c>
      <c r="G203" s="280">
        <v>21.0</v>
      </c>
      <c r="H203" s="280"/>
      <c r="I203" s="280"/>
      <c r="J203" s="280"/>
      <c r="K203" s="280"/>
      <c r="L203" s="280"/>
      <c r="M203" s="281"/>
      <c r="N203" s="280"/>
      <c r="O203" s="280"/>
      <c r="P203" s="280"/>
      <c r="Q203" s="280"/>
      <c r="R203" s="290"/>
      <c r="S203" s="281"/>
      <c r="T203" s="291"/>
      <c r="U203" s="281"/>
      <c r="V203" s="281"/>
      <c r="W203" s="281"/>
    </row>
    <row r="204">
      <c r="A204" s="281"/>
      <c r="B204" s="288" t="s">
        <v>1115</v>
      </c>
      <c r="C204" s="280" t="s">
        <v>1116</v>
      </c>
      <c r="D204" s="289">
        <f>ROUND((F204*'Pawn Weights'!$K$22)+(G204*'Pawn Weights'!$K$23)+(H204*'Pawn Weights'!$K$24)+(I204*'Pawn Weights'!$K$25)+(J204*'Pawn Weights'!$K$26)+(K204*'Pawn Weights'!$K$27)+(L204*'Pawn Weights'!$K$28)+(M204*'Pawn Weights'!$K$29)+(N204*'Pawn Weights'!$K$30)+(O204*'Pawn Weights'!$K$31)+(P204*'Pawn Weights'!$K$32)+(Q204*'Pawn Weights'!$K$33), 2)</f>
        <v>43.76</v>
      </c>
      <c r="E204" s="280">
        <v>25.0</v>
      </c>
      <c r="F204" s="280"/>
      <c r="G204" s="280">
        <v>20.0</v>
      </c>
      <c r="H204" s="280">
        <v>40.0</v>
      </c>
      <c r="I204" s="280"/>
      <c r="J204" s="280">
        <v>18.0</v>
      </c>
      <c r="K204" s="280"/>
      <c r="L204" s="280"/>
      <c r="M204" s="281"/>
      <c r="N204" s="280"/>
      <c r="O204" s="280"/>
      <c r="P204" s="280"/>
      <c r="Q204" s="280"/>
      <c r="R204" s="290"/>
      <c r="S204" s="281"/>
      <c r="T204" s="291"/>
      <c r="U204" s="281"/>
      <c r="V204" s="281"/>
      <c r="W204" s="281"/>
    </row>
    <row r="205">
      <c r="A205" s="224" t="s">
        <v>928</v>
      </c>
      <c r="B205" s="312" t="s">
        <v>1117</v>
      </c>
      <c r="C205" s="281"/>
      <c r="D205" s="360"/>
      <c r="E205" s="313" t="s">
        <v>607</v>
      </c>
      <c r="F205" s="314" t="s">
        <v>608</v>
      </c>
      <c r="G205" s="314" t="s">
        <v>561</v>
      </c>
      <c r="H205" s="314" t="s">
        <v>930</v>
      </c>
      <c r="I205" s="314" t="s">
        <v>330</v>
      </c>
      <c r="J205" s="314" t="s">
        <v>344</v>
      </c>
      <c r="K205" s="314" t="s">
        <v>356</v>
      </c>
      <c r="L205" s="314" t="s">
        <v>563</v>
      </c>
      <c r="M205" s="314" t="s">
        <v>564</v>
      </c>
      <c r="N205" s="281"/>
      <c r="O205" s="281"/>
      <c r="P205" s="281"/>
      <c r="Q205" s="281"/>
      <c r="R205" s="282"/>
      <c r="S205" s="281"/>
      <c r="T205" s="285"/>
      <c r="U205" s="281"/>
      <c r="V205" s="281"/>
      <c r="W205" s="281"/>
    </row>
    <row r="206">
      <c r="A206" s="292" t="s">
        <v>931</v>
      </c>
      <c r="B206" s="288" t="s">
        <v>932</v>
      </c>
      <c r="C206" s="280" t="s">
        <v>871</v>
      </c>
      <c r="D206" s="301"/>
      <c r="E206" s="280">
        <v>30.0</v>
      </c>
      <c r="F206" s="280"/>
      <c r="G206" s="280"/>
      <c r="H206" s="280"/>
      <c r="I206" s="280"/>
      <c r="J206" s="280"/>
      <c r="K206" s="280"/>
      <c r="L206" s="280"/>
      <c r="M206" s="281"/>
      <c r="N206" s="280"/>
      <c r="O206" s="280"/>
      <c r="P206" s="280"/>
      <c r="Q206" s="280"/>
      <c r="R206" s="290"/>
      <c r="S206" s="281"/>
      <c r="T206" s="291" t="s">
        <v>1118</v>
      </c>
      <c r="U206" s="281"/>
      <c r="V206" s="281"/>
      <c r="W206" s="281"/>
    </row>
    <row r="207">
      <c r="A207" s="295"/>
      <c r="B207" s="296" t="s">
        <v>938</v>
      </c>
      <c r="C207" s="297" t="s">
        <v>939</v>
      </c>
      <c r="D207" s="289">
        <f>ROUND((F207*'Pawn Weights'!$K$22)+(G207*'Pawn Weights'!$K$23)+(H207*'Pawn Weights'!$K$24)+(I207*'Pawn Weights'!$K$25)+(J207*'Pawn Weights'!$K$26)+(K207*'Pawn Weights'!$K$27)+(L207*'Pawn Weights'!$K$28)+(M207*'Pawn Weights'!$K$29)+(N207*'Pawn Weights'!$K$30)+(O207*'Pawn Weights'!$K$31)+(P207*'Pawn Weights'!$K$32)+(Q207*'Pawn Weights'!$K$33), 2)</f>
        <v>101.21</v>
      </c>
      <c r="E207" s="297"/>
      <c r="F207" s="297"/>
      <c r="G207" s="297"/>
      <c r="H207" s="298">
        <v>92.0</v>
      </c>
      <c r="I207" s="297"/>
      <c r="J207" s="297"/>
      <c r="K207" s="297"/>
      <c r="L207" s="298">
        <v>44.0</v>
      </c>
      <c r="M207" s="137"/>
      <c r="N207" s="297"/>
      <c r="O207" s="297"/>
      <c r="P207" s="297"/>
      <c r="Q207" s="297"/>
      <c r="R207" s="295"/>
      <c r="S207" s="137"/>
      <c r="T207" s="297" t="s">
        <v>940</v>
      </c>
      <c r="U207" s="137"/>
      <c r="V207" s="137"/>
      <c r="W207" s="137"/>
      <c r="X207" s="137"/>
      <c r="Y207" s="137"/>
      <c r="Z207" s="137"/>
    </row>
    <row r="208">
      <c r="A208" s="295"/>
      <c r="B208" s="296" t="s">
        <v>934</v>
      </c>
      <c r="C208" s="297" t="s">
        <v>744</v>
      </c>
      <c r="D208" s="289">
        <f>ROUND((F208*'Pawn Weights'!$K$22)+(G208*'Pawn Weights'!$K$23)+(H208*'Pawn Weights'!$K$24)+(I208*'Pawn Weights'!$K$25)+(J208*'Pawn Weights'!$K$26)+(K208*'Pawn Weights'!$K$27)+(L208*'Pawn Weights'!$K$28)+(M208*'Pawn Weights'!$K$29)+(N208*'Pawn Weights'!$K$30)+(O208*'Pawn Weights'!$K$31)+(P208*'Pawn Weights'!$K$32)+(Q208*'Pawn Weights'!$K$33), 2)</f>
        <v>89.15</v>
      </c>
      <c r="E208" s="297"/>
      <c r="F208" s="297"/>
      <c r="G208" s="297"/>
      <c r="H208" s="298">
        <v>132.0</v>
      </c>
      <c r="I208" s="297"/>
      <c r="J208" s="297"/>
      <c r="K208" s="298">
        <v>54.0</v>
      </c>
      <c r="L208" s="297"/>
      <c r="M208" s="361"/>
      <c r="N208" s="297"/>
      <c r="O208" s="297"/>
      <c r="P208" s="297"/>
      <c r="Q208" s="297"/>
      <c r="R208" s="295"/>
      <c r="S208" s="137"/>
      <c r="T208" s="297" t="s">
        <v>935</v>
      </c>
      <c r="U208" s="137"/>
      <c r="V208" s="137"/>
      <c r="W208" s="137"/>
      <c r="X208" s="137"/>
      <c r="Y208" s="137"/>
      <c r="Z208" s="137"/>
    </row>
    <row r="209" ht="14.25" customHeight="1">
      <c r="A209" s="281"/>
      <c r="B209" s="288" t="s">
        <v>941</v>
      </c>
      <c r="C209" s="280" t="s">
        <v>639</v>
      </c>
      <c r="D209" s="289">
        <f>ROUND((F209*'Pawn Weights'!$K$22)+(G209*'Pawn Weights'!$K$23)+(H209*'Pawn Weights'!$K$24)+(I209*'Pawn Weights'!$K$25)+(J209*'Pawn Weights'!$K$26)+(K209*'Pawn Weights'!$K$27)+(L209*'Pawn Weights'!$K$28)+(M209*'Pawn Weights'!$K$29)+(N209*'Pawn Weights'!$K$30)+(O209*'Pawn Weights'!$K$31)+(P209*'Pawn Weights'!$K$32)+(Q209*'Pawn Weights'!$K$33), 2)</f>
        <v>81.03</v>
      </c>
      <c r="E209" s="280"/>
      <c r="F209" s="280"/>
      <c r="G209" s="280"/>
      <c r="H209" s="280">
        <v>84.0</v>
      </c>
      <c r="I209" s="280"/>
      <c r="J209" s="280">
        <v>20.0</v>
      </c>
      <c r="K209" s="280"/>
      <c r="L209" s="280"/>
      <c r="M209" s="316">
        <v>150.0</v>
      </c>
      <c r="N209" s="280"/>
      <c r="O209" s="280"/>
      <c r="P209" s="280"/>
      <c r="Q209" s="280"/>
      <c r="R209" s="290"/>
      <c r="S209" s="281"/>
      <c r="T209" s="291" t="s">
        <v>1119</v>
      </c>
      <c r="U209" s="281"/>
      <c r="V209" s="281"/>
      <c r="W209" s="281"/>
    </row>
    <row r="210">
      <c r="A210" s="295" t="s">
        <v>943</v>
      </c>
      <c r="B210" s="296" t="s">
        <v>944</v>
      </c>
      <c r="C210" s="297" t="s">
        <v>744</v>
      </c>
      <c r="D210" s="289">
        <f>ROUND((F210*'Pawn Weights'!$K$22)+(G210*'Pawn Weights'!$K$23)+(H210*'Pawn Weights'!$K$24)+(I210*'Pawn Weights'!$K$25)+(J210*'Pawn Weights'!$K$26)+(K210*'Pawn Weights'!$K$27)+(L210*'Pawn Weights'!$K$28)+(M210*'Pawn Weights'!$K$29)+(N210*'Pawn Weights'!$K$30)+(O210*'Pawn Weights'!$K$31)+(P210*'Pawn Weights'!$K$32)+(Q210*'Pawn Weights'!$K$33), 2)</f>
        <v>72.9</v>
      </c>
      <c r="E210" s="297"/>
      <c r="F210" s="297"/>
      <c r="G210" s="297"/>
      <c r="H210" s="297"/>
      <c r="I210" s="297"/>
      <c r="J210" s="297"/>
      <c r="K210" s="297"/>
      <c r="L210" s="298">
        <v>54.0</v>
      </c>
      <c r="M210" s="137"/>
      <c r="N210" s="297"/>
      <c r="O210" s="297"/>
      <c r="P210" s="297"/>
      <c r="Q210" s="297"/>
      <c r="R210" s="295"/>
      <c r="S210" s="137"/>
      <c r="T210" s="297" t="s">
        <v>945</v>
      </c>
      <c r="U210" s="137"/>
      <c r="V210" s="137"/>
      <c r="W210" s="137"/>
      <c r="X210" s="137"/>
      <c r="Y210" s="137"/>
      <c r="Z210" s="137"/>
    </row>
    <row r="211">
      <c r="A211" s="281"/>
      <c r="B211" s="288" t="s">
        <v>936</v>
      </c>
      <c r="C211" s="280" t="s">
        <v>823</v>
      </c>
      <c r="D211" s="289">
        <f>ROUND((F211*'Pawn Weights'!$K$22)+(G211*'Pawn Weights'!$K$23)+(H211*'Pawn Weights'!$K$24)+(I211*'Pawn Weights'!$K$25)+(J211*'Pawn Weights'!$K$26)+(K211*'Pawn Weights'!$K$27)+(L211*'Pawn Weights'!$K$28)+(M211*'Pawn Weights'!$K$29)+(N211*'Pawn Weights'!$K$30)+(O211*'Pawn Weights'!$K$31)+(P211*'Pawn Weights'!$K$32)+(Q211*'Pawn Weights'!$K$33), 2)</f>
        <v>69.08</v>
      </c>
      <c r="E211" s="280"/>
      <c r="F211" s="280"/>
      <c r="G211" s="280"/>
      <c r="H211" s="280">
        <v>40.0</v>
      </c>
      <c r="I211" s="280"/>
      <c r="J211" s="280"/>
      <c r="K211" s="280">
        <v>94.25</v>
      </c>
      <c r="L211" s="280"/>
      <c r="M211" s="281"/>
      <c r="N211" s="280"/>
      <c r="O211" s="280"/>
      <c r="P211" s="280"/>
      <c r="Q211" s="280"/>
      <c r="R211" s="290"/>
      <c r="S211" s="281"/>
      <c r="T211" s="291" t="s">
        <v>937</v>
      </c>
      <c r="U211" s="281"/>
      <c r="V211" s="281"/>
      <c r="W211" s="281"/>
    </row>
    <row r="212">
      <c r="A212" s="137"/>
      <c r="B212" s="296" t="s">
        <v>946</v>
      </c>
      <c r="C212" s="297" t="s">
        <v>947</v>
      </c>
      <c r="D212" s="289">
        <f>ROUND((F212*'Pawn Weights'!$K$22)+(G212*'Pawn Weights'!$K$23)+(H212*'Pawn Weights'!$K$24)+(I212*'Pawn Weights'!$K$25)+(J212*'Pawn Weights'!$K$26)+(K212*'Pawn Weights'!$K$27)+(L212*'Pawn Weights'!$K$28)+(M212*'Pawn Weights'!$K$29)+(N212*'Pawn Weights'!$K$30)+(O212*'Pawn Weights'!$K$31)+(P212*'Pawn Weights'!$K$32)+(Q212*'Pawn Weights'!$K$33), 2)</f>
        <v>68.18</v>
      </c>
      <c r="E212" s="297"/>
      <c r="F212" s="297"/>
      <c r="G212" s="297"/>
      <c r="H212" s="298">
        <v>150.0</v>
      </c>
      <c r="I212" s="297"/>
      <c r="J212" s="297"/>
      <c r="K212" s="297"/>
      <c r="L212" s="297"/>
      <c r="M212" s="295"/>
      <c r="N212" s="297"/>
      <c r="O212" s="297"/>
      <c r="P212" s="297"/>
      <c r="Q212" s="297"/>
      <c r="R212" s="295"/>
      <c r="S212" s="137"/>
      <c r="T212" s="297" t="s">
        <v>948</v>
      </c>
      <c r="U212" s="137"/>
      <c r="V212" s="137"/>
      <c r="W212" s="137"/>
      <c r="X212" s="137"/>
      <c r="Y212" s="137"/>
      <c r="Z212" s="137"/>
    </row>
    <row r="213">
      <c r="A213" s="292" t="s">
        <v>949</v>
      </c>
      <c r="B213" s="288" t="s">
        <v>950</v>
      </c>
      <c r="C213" s="280" t="s">
        <v>951</v>
      </c>
      <c r="D213" s="289">
        <f>ROUND((F213*'Pawn Weights'!$K$22)+(G213*'Pawn Weights'!$K$23)+(H213*'Pawn Weights'!$K$24)+(I213*'Pawn Weights'!$K$25)+(J213*'Pawn Weights'!$K$26)+(K213*'Pawn Weights'!$K$27)+(L213*'Pawn Weights'!$K$28)+(M213*'Pawn Weights'!$K$29)+(N213*'Pawn Weights'!$K$30)+(O213*'Pawn Weights'!$K$31)+(P213*'Pawn Weights'!$K$32)+(Q213*'Pawn Weights'!$K$33), 2)</f>
        <v>68.18</v>
      </c>
      <c r="E213" s="280"/>
      <c r="F213" s="280"/>
      <c r="G213" s="280"/>
      <c r="H213" s="280">
        <v>150.0</v>
      </c>
      <c r="I213" s="280"/>
      <c r="J213" s="280"/>
      <c r="K213" s="280"/>
      <c r="L213" s="280"/>
      <c r="M213" s="281"/>
      <c r="N213" s="280"/>
      <c r="O213" s="280"/>
      <c r="P213" s="280"/>
      <c r="Q213" s="280"/>
      <c r="R213" s="290"/>
      <c r="S213" s="281"/>
      <c r="T213" s="291" t="s">
        <v>952</v>
      </c>
      <c r="U213" s="281"/>
      <c r="V213" s="281"/>
      <c r="W213" s="281"/>
    </row>
    <row r="214">
      <c r="A214" s="281"/>
      <c r="B214" s="288" t="s">
        <v>956</v>
      </c>
      <c r="C214" s="280" t="s">
        <v>957</v>
      </c>
      <c r="D214" s="289">
        <f>ROUND((F214*'Pawn Weights'!$K$22)+(G214*'Pawn Weights'!$K$23)+(H214*'Pawn Weights'!$K$24)+(I214*'Pawn Weights'!$K$25)+(J214*'Pawn Weights'!$K$26)+(K214*'Pawn Weights'!$K$27)+(L214*'Pawn Weights'!$K$28)+(M214*'Pawn Weights'!$K$29)+(N214*'Pawn Weights'!$K$30)+(O214*'Pawn Weights'!$K$31)+(P214*'Pawn Weights'!$K$32)+(Q214*'Pawn Weights'!$K$33), 2)</f>
        <v>61.38</v>
      </c>
      <c r="E214" s="280"/>
      <c r="F214" s="280"/>
      <c r="G214" s="280"/>
      <c r="H214" s="280">
        <v>44.0</v>
      </c>
      <c r="I214" s="280">
        <v>38.0</v>
      </c>
      <c r="J214" s="280">
        <v>10.0</v>
      </c>
      <c r="K214" s="280"/>
      <c r="L214" s="280"/>
      <c r="M214" s="281"/>
      <c r="N214" s="280"/>
      <c r="O214" s="280"/>
      <c r="P214" s="280"/>
      <c r="Q214" s="280"/>
      <c r="R214" s="290"/>
      <c r="S214" s="281"/>
      <c r="T214" s="291" t="s">
        <v>958</v>
      </c>
      <c r="U214" s="281"/>
      <c r="V214" s="281"/>
      <c r="W214" s="281"/>
    </row>
    <row r="215">
      <c r="A215" s="219" t="s">
        <v>627</v>
      </c>
      <c r="B215" s="317" t="s">
        <v>953</v>
      </c>
      <c r="C215" s="318" t="s">
        <v>954</v>
      </c>
      <c r="D215" s="289">
        <f>ROUND((F215*'Pawn Weights'!$K$22)+(G215*'Pawn Weights'!$K$23)+(H215*'Pawn Weights'!$K$24)+(I215*'Pawn Weights'!$K$25)+(J215*'Pawn Weights'!$K$26)+(K215*'Pawn Weights'!$K$27)+(L215*'Pawn Weights'!$K$28)+(M215*'Pawn Weights'!$K$29)+(N215*'Pawn Weights'!$K$30)+(O215*'Pawn Weights'!$K$31)+(P215*'Pawn Weights'!$K$32)+(Q215*'Pawn Weights'!$K$33), 2)</f>
        <v>60.6</v>
      </c>
      <c r="E215" s="297"/>
      <c r="F215" s="297"/>
      <c r="G215" s="297"/>
      <c r="H215" s="316">
        <v>133.33</v>
      </c>
      <c r="I215" s="297"/>
      <c r="J215" s="297"/>
      <c r="K215" s="297"/>
      <c r="L215" s="297"/>
      <c r="M215" s="295"/>
      <c r="N215" s="297"/>
      <c r="O215" s="297"/>
      <c r="P215" s="297"/>
      <c r="Q215" s="297"/>
      <c r="R215" s="295"/>
      <c r="S215" s="137"/>
      <c r="T215" s="318" t="s">
        <v>955</v>
      </c>
      <c r="U215" s="137"/>
      <c r="V215" s="137"/>
      <c r="W215" s="137"/>
      <c r="X215" s="137"/>
      <c r="Y215" s="137"/>
      <c r="Z215" s="137"/>
    </row>
    <row r="216">
      <c r="A216" s="281"/>
      <c r="B216" s="288" t="s">
        <v>959</v>
      </c>
      <c r="C216" s="154" t="s">
        <v>960</v>
      </c>
      <c r="D216" s="289">
        <f>ROUND((F216*'Pawn Weights'!$K$22)+(G216*'Pawn Weights'!$K$23)+(H216*'Pawn Weights'!$K$24)+(I216*'Pawn Weights'!$K$25)+(J216*'Pawn Weights'!$K$26)+(K216*'Pawn Weights'!$K$27)+(L216*'Pawn Weights'!$K$28)+(M216*'Pawn Weights'!$K$29)+(N216*'Pawn Weights'!$K$30)+(O216*'Pawn Weights'!$K$31)+(P216*'Pawn Weights'!$K$32)+(Q216*'Pawn Weights'!$K$33), 2)</f>
        <v>54.54</v>
      </c>
      <c r="E216" s="280"/>
      <c r="F216" s="280"/>
      <c r="G216" s="280"/>
      <c r="H216" s="280">
        <v>120.0</v>
      </c>
      <c r="I216" s="280"/>
      <c r="J216" s="280"/>
      <c r="K216" s="280"/>
      <c r="L216" s="280"/>
      <c r="M216" s="280"/>
      <c r="N216" s="280"/>
      <c r="O216" s="280"/>
      <c r="P216" s="280"/>
      <c r="Q216" s="280"/>
      <c r="R216" s="290"/>
      <c r="S216" s="281"/>
      <c r="T216" s="291" t="s">
        <v>961</v>
      </c>
      <c r="U216" s="281"/>
      <c r="V216" s="281"/>
      <c r="W216" s="281"/>
      <c r="X216" s="281"/>
    </row>
    <row r="217">
      <c r="A217" s="281"/>
      <c r="B217" s="288" t="s">
        <v>962</v>
      </c>
      <c r="C217" s="280" t="s">
        <v>963</v>
      </c>
      <c r="D217" s="289">
        <f>ROUND((F217*'Pawn Weights'!$K$22)+(G217*'Pawn Weights'!$K$23)+(H217*'Pawn Weights'!$K$24)+(I217*'Pawn Weights'!$K$25)+(J217*'Pawn Weights'!$K$26)+(K217*'Pawn Weights'!$K$27)+(L217*'Pawn Weights'!$K$28)+(M217*'Pawn Weights'!$K$29)+(N217*'Pawn Weights'!$K$30)+(O217*'Pawn Weights'!$K$31)+(P217*'Pawn Weights'!$K$32)+(Q217*'Pawn Weights'!$K$33), 2)</f>
        <v>53.63</v>
      </c>
      <c r="E217" s="280"/>
      <c r="F217" s="280"/>
      <c r="G217" s="280"/>
      <c r="H217" s="280">
        <v>118.0</v>
      </c>
      <c r="I217" s="280"/>
      <c r="J217" s="280"/>
      <c r="K217" s="280"/>
      <c r="L217" s="280"/>
      <c r="M217" s="280"/>
      <c r="N217" s="280"/>
      <c r="O217" s="280"/>
      <c r="P217" s="280"/>
      <c r="Q217" s="280"/>
      <c r="R217" s="290"/>
      <c r="S217" s="281"/>
      <c r="T217" s="291" t="s">
        <v>964</v>
      </c>
      <c r="U217" s="281"/>
      <c r="V217" s="281"/>
      <c r="W217" s="281"/>
      <c r="X217" s="281"/>
    </row>
    <row r="218">
      <c r="A218" s="292" t="s">
        <v>965</v>
      </c>
      <c r="B218" s="288" t="s">
        <v>966</v>
      </c>
      <c r="C218" s="280" t="s">
        <v>967</v>
      </c>
      <c r="D218" s="289">
        <f>ROUND((F218*'Pawn Weights'!$K$22)+(G218*'Pawn Weights'!$K$23)+(H218*'Pawn Weights'!$K$24)+(I218*'Pawn Weights'!$K$25)+(J218*'Pawn Weights'!$K$26)+(K218*'Pawn Weights'!$K$27)+(L218*'Pawn Weights'!$K$28)+(M218*'Pawn Weights'!$K$29)+(N218*'Pawn Weights'!$K$30)+(O218*'Pawn Weights'!$K$31)+(P218*'Pawn Weights'!$K$32)+(Q218*'Pawn Weights'!$K$33), 2)</f>
        <v>48.63</v>
      </c>
      <c r="E218" s="280"/>
      <c r="F218" s="280"/>
      <c r="G218" s="280"/>
      <c r="H218" s="280">
        <v>107.0</v>
      </c>
      <c r="I218" s="280"/>
      <c r="J218" s="280"/>
      <c r="K218" s="280"/>
      <c r="L218" s="280"/>
      <c r="M218" s="281"/>
      <c r="N218" s="280"/>
      <c r="O218" s="280"/>
      <c r="P218" s="280"/>
      <c r="Q218" s="280"/>
      <c r="R218" s="290"/>
      <c r="S218" s="281"/>
      <c r="T218" s="291" t="s">
        <v>968</v>
      </c>
      <c r="U218" s="281"/>
      <c r="V218" s="281"/>
      <c r="W218" s="281"/>
    </row>
    <row r="219">
      <c r="A219" s="281"/>
      <c r="B219" s="311" t="s">
        <v>969</v>
      </c>
      <c r="C219" s="280" t="s">
        <v>970</v>
      </c>
      <c r="D219" s="289">
        <f>ROUND((F219*'Pawn Weights'!$K$22)+(G219*'Pawn Weights'!$K$23)+(H219*'Pawn Weights'!$K$24)+(I219*'Pawn Weights'!$K$25)+(J219*'Pawn Weights'!$K$26)+(K219*'Pawn Weights'!$K$27)+(L219*'Pawn Weights'!$K$28)+(M219*'Pawn Weights'!$K$29)+(N219*'Pawn Weights'!$K$30)+(O219*'Pawn Weights'!$K$31)+(P219*'Pawn Weights'!$K$32)+(Q219*'Pawn Weights'!$K$33), 2)</f>
        <v>46.85</v>
      </c>
      <c r="E219" s="280"/>
      <c r="F219" s="280"/>
      <c r="G219" s="280"/>
      <c r="H219" s="280">
        <v>39.0</v>
      </c>
      <c r="I219" s="280">
        <v>32.0</v>
      </c>
      <c r="J219" s="280"/>
      <c r="K219" s="280"/>
      <c r="L219" s="280"/>
      <c r="M219" s="280"/>
      <c r="N219" s="280"/>
      <c r="O219" s="280"/>
      <c r="P219" s="280"/>
      <c r="Q219" s="280"/>
      <c r="R219" s="290"/>
      <c r="S219" s="281"/>
      <c r="T219" s="291" t="s">
        <v>971</v>
      </c>
      <c r="U219" s="281"/>
      <c r="V219" s="281"/>
      <c r="W219" s="281"/>
      <c r="X219" s="281"/>
    </row>
    <row r="220">
      <c r="A220" s="272" t="s">
        <v>972</v>
      </c>
      <c r="B220" s="281"/>
      <c r="C220" s="281"/>
      <c r="D220" s="301"/>
      <c r="E220" s="281"/>
      <c r="F220" s="281"/>
      <c r="G220" s="281"/>
      <c r="H220" s="281"/>
      <c r="I220" s="281"/>
      <c r="J220" s="281"/>
      <c r="K220" s="281"/>
      <c r="L220" s="281"/>
      <c r="M220" s="281"/>
      <c r="N220" s="281"/>
      <c r="O220" s="281"/>
      <c r="P220" s="281"/>
      <c r="Q220" s="281"/>
      <c r="R220" s="282"/>
      <c r="S220" s="281"/>
      <c r="T220" s="285"/>
      <c r="U220" s="281"/>
      <c r="V220" s="281"/>
      <c r="W220" s="281"/>
    </row>
    <row r="221" ht="15.0" customHeight="1">
      <c r="A221" s="137" t="s">
        <v>973</v>
      </c>
      <c r="B221" s="364" t="s">
        <v>974</v>
      </c>
      <c r="C221" s="297" t="s">
        <v>621</v>
      </c>
      <c r="D221" s="289">
        <f>ROUND((F221*'Pawn Weights'!$K$22)+(G221*'Pawn Weights'!$K$23)+(H221*'Pawn Weights'!$K$24)+(I221*'Pawn Weights'!$K$25)+(J221*'Pawn Weights'!$K$26)+(K221*'Pawn Weights'!$K$27)+(L221*'Pawn Weights'!$K$28)+(M221*'Pawn Weights'!$K$29)+(N221*'Pawn Weights'!$K$30)+(O221*'Pawn Weights'!$K$31)+(P221*'Pawn Weights'!$K$32)+(Q221*'Pawn Weights'!$K$33), 2)</f>
        <v>63.19</v>
      </c>
      <c r="E221" s="297"/>
      <c r="F221" s="297"/>
      <c r="G221" s="298">
        <v>17.0</v>
      </c>
      <c r="H221" s="298">
        <v>34.0</v>
      </c>
      <c r="I221" s="298">
        <v>16.0</v>
      </c>
      <c r="J221" s="297"/>
      <c r="K221" s="137"/>
      <c r="L221" s="137"/>
      <c r="M221" s="359">
        <v>112.0</v>
      </c>
      <c r="N221" s="137"/>
      <c r="O221" s="297"/>
      <c r="P221" s="137"/>
      <c r="Q221" s="137"/>
      <c r="R221" s="295"/>
      <c r="S221" s="137"/>
      <c r="T221" s="295"/>
      <c r="U221" s="137"/>
      <c r="V221" s="137"/>
      <c r="W221" s="137"/>
      <c r="X221" s="137"/>
      <c r="Y221" s="137"/>
      <c r="Z221" s="137"/>
    </row>
    <row r="222" ht="15.0" customHeight="1">
      <c r="A222" s="137"/>
      <c r="B222" s="296" t="s">
        <v>975</v>
      </c>
      <c r="C222" s="297" t="s">
        <v>669</v>
      </c>
      <c r="D222" s="289">
        <f>ROUND((F222*'Pawn Weights'!$K$22)+(G222*'Pawn Weights'!$K$23)+(H222*'Pawn Weights'!$K$24)+(I222*'Pawn Weights'!$K$25)+(J222*'Pawn Weights'!$K$26)+(K222*'Pawn Weights'!$K$27)+(L222*'Pawn Weights'!$K$28)+(M222*'Pawn Weights'!$K$29)+(N222*'Pawn Weights'!$K$30)+(O222*'Pawn Weights'!$K$31)+(P222*'Pawn Weights'!$K$32)+(Q222*'Pawn Weights'!$K$33), 2)</f>
        <v>61.58</v>
      </c>
      <c r="E222" s="297"/>
      <c r="F222" s="297"/>
      <c r="G222" s="298">
        <v>18.0</v>
      </c>
      <c r="H222" s="298">
        <v>34.0</v>
      </c>
      <c r="I222" s="297"/>
      <c r="J222" s="297"/>
      <c r="K222" s="137"/>
      <c r="L222" s="137"/>
      <c r="M222" s="359">
        <v>175.0</v>
      </c>
      <c r="N222" s="137"/>
      <c r="O222" s="297"/>
      <c r="P222" s="137"/>
      <c r="Q222" s="137"/>
      <c r="R222" s="295"/>
      <c r="S222" s="137"/>
      <c r="T222" s="295"/>
      <c r="U222" s="137"/>
      <c r="V222" s="137"/>
      <c r="W222" s="137"/>
      <c r="X222" s="137"/>
      <c r="Y222" s="137"/>
      <c r="Z222" s="137"/>
    </row>
    <row r="223">
      <c r="A223" s="137"/>
      <c r="B223" s="296" t="s">
        <v>976</v>
      </c>
      <c r="C223" s="297" t="s">
        <v>947</v>
      </c>
      <c r="D223" s="289">
        <f>ROUND((F223*'Pawn Weights'!$K$22)+(G223*'Pawn Weights'!$K$23)+(H223*'Pawn Weights'!$K$24)+(I223*'Pawn Weights'!$K$25)+(J223*'Pawn Weights'!$K$26)+(K223*'Pawn Weights'!$K$27)+(L223*'Pawn Weights'!$K$28)+(M223*'Pawn Weights'!$K$29)+(N223*'Pawn Weights'!$K$30)+(O223*'Pawn Weights'!$K$31)+(P223*'Pawn Weights'!$K$32)+(Q223*'Pawn Weights'!$K$33), 2)</f>
        <v>41.84</v>
      </c>
      <c r="E223" s="297"/>
      <c r="F223" s="297"/>
      <c r="G223" s="297"/>
      <c r="H223" s="298">
        <v>38.0</v>
      </c>
      <c r="I223" s="297"/>
      <c r="J223" s="297"/>
      <c r="K223" s="137"/>
      <c r="L223" s="137"/>
      <c r="M223" s="359">
        <v>126.0</v>
      </c>
      <c r="N223" s="137"/>
      <c r="O223" s="297"/>
      <c r="P223" s="137"/>
      <c r="Q223" s="137"/>
      <c r="R223" s="295"/>
      <c r="S223" s="137"/>
      <c r="T223" s="295"/>
      <c r="U223" s="137"/>
      <c r="V223" s="137"/>
      <c r="W223" s="137"/>
      <c r="X223" s="137"/>
      <c r="Y223" s="137"/>
      <c r="Z223" s="137"/>
    </row>
    <row r="224" ht="15.0" customHeight="1">
      <c r="A224" s="137"/>
      <c r="B224" s="296" t="s">
        <v>979</v>
      </c>
      <c r="C224" s="297" t="s">
        <v>980</v>
      </c>
      <c r="D224" s="289">
        <f>ROUND((F224*'Pawn Weights'!$K$22)+(G224*'Pawn Weights'!$K$23)+(H224*'Pawn Weights'!$K$24)+(I224*'Pawn Weights'!$K$25)+(J224*'Pawn Weights'!$K$26)+(K224*'Pawn Weights'!$K$27)+(L224*'Pawn Weights'!$K$28)+(M224*'Pawn Weights'!$K$29)+(N224*'Pawn Weights'!$K$30)+(O224*'Pawn Weights'!$K$31)+(P224*'Pawn Weights'!$K$32)+(Q224*'Pawn Weights'!$K$33), 2)</f>
        <v>40.44</v>
      </c>
      <c r="E224" s="295"/>
      <c r="F224" s="295"/>
      <c r="G224" s="295"/>
      <c r="H224" s="298">
        <v>32.0</v>
      </c>
      <c r="I224" s="298">
        <v>18.0</v>
      </c>
      <c r="J224" s="298">
        <v>14.0</v>
      </c>
      <c r="K224" s="137"/>
      <c r="L224" s="137"/>
      <c r="M224" s="137"/>
      <c r="N224" s="137"/>
      <c r="O224" s="295"/>
      <c r="P224" s="137"/>
      <c r="Q224" s="137"/>
      <c r="R224" s="295"/>
      <c r="S224" s="137"/>
      <c r="T224" s="295"/>
      <c r="U224" s="137"/>
      <c r="V224" s="137"/>
      <c r="W224" s="137"/>
      <c r="X224" s="137"/>
      <c r="Y224" s="137"/>
      <c r="Z224" s="137"/>
    </row>
    <row r="225" ht="15.0" customHeight="1">
      <c r="A225" s="137"/>
      <c r="B225" s="296" t="s">
        <v>977</v>
      </c>
      <c r="C225" s="297" t="s">
        <v>978</v>
      </c>
      <c r="D225" s="289">
        <f>ROUND((F225*'Pawn Weights'!$K$22)+(G225*'Pawn Weights'!$K$23)+(H225*'Pawn Weights'!$K$24)+(I225*'Pawn Weights'!$K$25)+(J225*'Pawn Weights'!$K$26)+(K225*'Pawn Weights'!$K$27)+(L225*'Pawn Weights'!$K$28)+(M225*'Pawn Weights'!$K$29)+(N225*'Pawn Weights'!$K$30)+(O225*'Pawn Weights'!$K$31)+(P225*'Pawn Weights'!$K$32)+(Q225*'Pawn Weights'!$K$33)-10+9.55+1.818, 2)</f>
        <v>36.37</v>
      </c>
      <c r="E225" s="298">
        <v>19.0</v>
      </c>
      <c r="F225" s="297"/>
      <c r="G225" s="297"/>
      <c r="H225" s="298">
        <v>36.0</v>
      </c>
      <c r="I225" s="297"/>
      <c r="J225" s="297"/>
      <c r="K225" s="359">
        <v>16.0</v>
      </c>
      <c r="L225" s="361"/>
      <c r="M225" s="137"/>
      <c r="N225" s="361"/>
      <c r="O225" s="297"/>
      <c r="P225" s="359">
        <v>1.0</v>
      </c>
      <c r="Q225" s="361"/>
      <c r="R225" s="298" t="s">
        <v>660</v>
      </c>
      <c r="S225" s="137"/>
      <c r="T225" s="295"/>
      <c r="U225" s="137"/>
      <c r="V225" s="137"/>
      <c r="W225" s="137"/>
      <c r="X225" s="137"/>
      <c r="Y225" s="137"/>
      <c r="Z225" s="137"/>
    </row>
    <row r="226">
      <c r="A226" s="281"/>
      <c r="B226" s="288" t="s">
        <v>981</v>
      </c>
      <c r="C226" s="280" t="s">
        <v>982</v>
      </c>
      <c r="D226" s="289">
        <f>ROUND((F226*'Pawn Weights'!$K$22)+(G226*'Pawn Weights'!$K$23)+(H226*'Pawn Weights'!$K$24)+(I226*'Pawn Weights'!$K$25)+(J226*'Pawn Weights'!$K$26)+(K226*'Pawn Weights'!$K$27)+(L226*'Pawn Weights'!$K$28)+(M226*'Pawn Weights'!$K$29)+(N226*'Pawn Weights'!$K$30)+(O226*'Pawn Weights'!$K$31)+(P226*'Pawn Weights'!$K$32)+(Q226*'Pawn Weights'!$K$33)+2.73, 2)</f>
        <v>33.4</v>
      </c>
      <c r="E226" s="280"/>
      <c r="F226" s="280"/>
      <c r="G226" s="280">
        <v>16.0</v>
      </c>
      <c r="H226" s="280"/>
      <c r="I226" s="280"/>
      <c r="J226" s="280"/>
      <c r="K226" s="320"/>
      <c r="L226" s="320"/>
      <c r="M226" s="281"/>
      <c r="N226" s="320"/>
      <c r="O226" s="280">
        <v>2.0</v>
      </c>
      <c r="P226" s="320"/>
      <c r="Q226" s="320"/>
      <c r="R226" s="290" t="s">
        <v>702</v>
      </c>
      <c r="S226" s="281"/>
      <c r="T226" s="291"/>
      <c r="U226" s="281"/>
      <c r="V226" s="281"/>
      <c r="W226" s="281"/>
    </row>
    <row r="227" ht="15.0" customHeight="1">
      <c r="A227" s="137" t="s">
        <v>671</v>
      </c>
      <c r="B227" s="296" t="s">
        <v>985</v>
      </c>
      <c r="C227" s="297" t="s">
        <v>637</v>
      </c>
      <c r="D227" s="289">
        <f>ROUND((F227*'Pawn Weights'!$K$22)+(G227*'Pawn Weights'!$K$23)+(H227*'Pawn Weights'!$K$24)+(I227*'Pawn Weights'!$K$25)+(J227*'Pawn Weights'!$K$26)+(K227*'Pawn Weights'!$K$27)+(L227*'Pawn Weights'!$K$28)+(M227*'Pawn Weights'!$K$29)+(N227*'Pawn Weights'!$K$30)+(O227*'Pawn Weights'!$K$31)+(P227*'Pawn Weights'!$K$32)+(Q227*'Pawn Weights'!$K$33), 2)</f>
        <v>31.83</v>
      </c>
      <c r="E227" s="298">
        <v>27.0</v>
      </c>
      <c r="F227" s="295"/>
      <c r="G227" s="295"/>
      <c r="H227" s="298">
        <v>34.0</v>
      </c>
      <c r="I227" s="298">
        <v>18.0</v>
      </c>
      <c r="J227" s="295"/>
      <c r="K227" s="137"/>
      <c r="L227" s="137"/>
      <c r="M227" s="137"/>
      <c r="N227" s="137"/>
      <c r="O227" s="295"/>
      <c r="P227" s="137"/>
      <c r="Q227" s="137"/>
      <c r="R227" s="295"/>
      <c r="S227" s="137"/>
      <c r="T227" s="297" t="s">
        <v>986</v>
      </c>
      <c r="U227" s="137"/>
      <c r="V227" s="137"/>
      <c r="W227" s="137"/>
      <c r="X227" s="137"/>
      <c r="Y227" s="137"/>
      <c r="Z227" s="137"/>
    </row>
    <row r="228">
      <c r="A228" s="281"/>
      <c r="B228" s="288" t="s">
        <v>987</v>
      </c>
      <c r="C228" s="280" t="s">
        <v>649</v>
      </c>
      <c r="D228" s="289">
        <f>ROUND((F228*'Pawn Weights'!$K$22)+(G228*'Pawn Weights'!$K$23)+(H228*'Pawn Weights'!$K$24)+(I228*'Pawn Weights'!$K$25)+(J228*'Pawn Weights'!$K$26)+(K228*'Pawn Weights'!$K$27)+(L228*'Pawn Weights'!$K$28)+(M228*'Pawn Weights'!$K$29)+(N228*'Pawn Weights'!$K$30)+(O228*'Pawn Weights'!$K$31)+(P228*'Pawn Weights'!$K$32)+(Q228*'Pawn Weights'!$K$33), 2)</f>
        <v>31.83</v>
      </c>
      <c r="E228" s="280">
        <v>17.0</v>
      </c>
      <c r="F228" s="280"/>
      <c r="G228" s="280"/>
      <c r="H228" s="280">
        <v>38.0</v>
      </c>
      <c r="I228" s="280">
        <v>16.0</v>
      </c>
      <c r="J228" s="280"/>
      <c r="K228" s="320"/>
      <c r="L228" s="320"/>
      <c r="M228" s="281"/>
      <c r="N228" s="320"/>
      <c r="O228" s="280"/>
      <c r="P228" s="320"/>
      <c r="Q228" s="320"/>
      <c r="R228" s="290"/>
      <c r="S228" s="281"/>
      <c r="T228" s="291"/>
      <c r="U228" s="281"/>
      <c r="V228" s="281"/>
      <c r="W228" s="281"/>
    </row>
    <row r="229">
      <c r="A229" s="281"/>
      <c r="B229" s="288" t="s">
        <v>988</v>
      </c>
      <c r="C229" s="280" t="s">
        <v>727</v>
      </c>
      <c r="D229" s="289">
        <f>ROUND((F229*'Pawn Weights'!$K$22)+(G229*'Pawn Weights'!$K$23)+(H229*'Pawn Weights'!$K$24)+(I229*'Pawn Weights'!$K$25)+(J229*'Pawn Weights'!$K$26)+(K229*'Pawn Weights'!$K$27)+(L229*'Pawn Weights'!$K$28)+(M229*'Pawn Weights'!$K$29)+(N229*'Pawn Weights'!$K$30)+(O229*'Pawn Weights'!$K$31)+(P229*'Pawn Weights'!$K$32)+(Q229*'Pawn Weights'!$K$33), 2)</f>
        <v>29.9</v>
      </c>
      <c r="E229" s="280"/>
      <c r="F229" s="280"/>
      <c r="G229" s="280">
        <v>23.0</v>
      </c>
      <c r="H229" s="280"/>
      <c r="I229" s="280">
        <v>16.0</v>
      </c>
      <c r="J229" s="280"/>
      <c r="K229" s="320"/>
      <c r="L229" s="320"/>
      <c r="M229" s="281"/>
      <c r="N229" s="320"/>
      <c r="O229" s="280"/>
      <c r="P229" s="320"/>
      <c r="Q229" s="320"/>
      <c r="R229" s="290"/>
      <c r="S229" s="281"/>
      <c r="T229" s="291"/>
      <c r="U229" s="281"/>
      <c r="V229" s="281"/>
      <c r="W229" s="281"/>
    </row>
    <row r="230" ht="14.25" customHeight="1">
      <c r="A230" s="219" t="s">
        <v>991</v>
      </c>
      <c r="B230" s="288" t="s">
        <v>992</v>
      </c>
      <c r="C230" s="154" t="s">
        <v>646</v>
      </c>
      <c r="D230" s="289">
        <f>ROUND((F230*'Pawn Weights'!$K$22)+(G230*'Pawn Weights'!$K$23)+(H230*'Pawn Weights'!$K$24)+(I230*'Pawn Weights'!$K$25)+(J230*'Pawn Weights'!$K$26)+(K230*'Pawn Weights'!$K$27)+(L230*'Pawn Weights'!$K$28)+(M230*'Pawn Weights'!$K$29)+(N230*'Pawn Weights'!$K$30)+(O230*'Pawn Weights'!$K$31)+(P230*'Pawn Weights'!$K$32)+(Q230*'Pawn Weights'!$K$33), 2)</f>
        <v>29.11</v>
      </c>
      <c r="E230" s="280">
        <v>24.0</v>
      </c>
      <c r="F230" s="280"/>
      <c r="G230" s="280"/>
      <c r="H230" s="280">
        <v>30.0</v>
      </c>
      <c r="I230" s="280">
        <v>17.0</v>
      </c>
      <c r="J230" s="280"/>
      <c r="K230" s="280"/>
      <c r="L230" s="280"/>
      <c r="M230" s="281"/>
      <c r="N230" s="280"/>
      <c r="O230" s="280"/>
      <c r="P230" s="280"/>
      <c r="Q230" s="280"/>
      <c r="R230" s="290"/>
      <c r="S230" s="281"/>
      <c r="T230" s="291" t="s">
        <v>986</v>
      </c>
      <c r="U230" s="281"/>
      <c r="V230" s="281"/>
      <c r="W230" s="281"/>
    </row>
    <row r="231">
      <c r="A231" s="281"/>
      <c r="B231" s="288" t="s">
        <v>994</v>
      </c>
      <c r="C231" s="280" t="s">
        <v>656</v>
      </c>
      <c r="D231" s="289">
        <f>ROUND((F231*'Pawn Weights'!$K$22)+(G231*'Pawn Weights'!$K$23)+(H231*'Pawn Weights'!$K$24)+(I231*'Pawn Weights'!$K$25)+(J231*'Pawn Weights'!$K$26)+(K231*'Pawn Weights'!$K$27)+(L231*'Pawn Weights'!$K$28)+(M231*'Pawn Weights'!$K$29)+(N231*'Pawn Weights'!$K$30)+(O231*'Pawn Weights'!$K$31)+(P231*'Pawn Weights'!$K$32)+(Q231*'Pawn Weights'!$K$33), 2)</f>
        <v>28.13</v>
      </c>
      <c r="E231" s="280"/>
      <c r="F231" s="280"/>
      <c r="G231" s="280">
        <v>19.0</v>
      </c>
      <c r="H231" s="280">
        <v>34.0</v>
      </c>
      <c r="I231" s="280"/>
      <c r="J231" s="280"/>
      <c r="K231" s="320"/>
      <c r="L231" s="320"/>
      <c r="M231" s="281"/>
      <c r="N231" s="320"/>
      <c r="O231" s="320"/>
      <c r="P231" s="320"/>
      <c r="Q231" s="320"/>
      <c r="R231" s="321"/>
      <c r="S231" s="281"/>
      <c r="T231" s="291"/>
      <c r="U231" s="281"/>
      <c r="V231" s="281"/>
      <c r="W231" s="281"/>
    </row>
    <row r="232" ht="14.25" customHeight="1">
      <c r="A232" s="219" t="s">
        <v>995</v>
      </c>
      <c r="B232" s="288" t="s">
        <v>996</v>
      </c>
      <c r="C232" s="154" t="s">
        <v>997</v>
      </c>
      <c r="D232" s="289">
        <f>ROUND((F232*'Pawn Weights'!$K$22)+(G232*'Pawn Weights'!$K$23)+(H232*'Pawn Weights'!$K$24)+(I232*'Pawn Weights'!$K$25)+(J232*'Pawn Weights'!$K$26)+(K232*'Pawn Weights'!$K$27)+(L232*'Pawn Weights'!$K$28)+(M232*'Pawn Weights'!$K$29)+(N232*'Pawn Weights'!$K$30)+(O232*'Pawn Weights'!$K$31)+(P232*'Pawn Weights'!$K$32)+(Q232*'Pawn Weights'!$K$33), 2)</f>
        <v>27.29</v>
      </c>
      <c r="E232" s="280">
        <v>21.0</v>
      </c>
      <c r="F232" s="280"/>
      <c r="G232" s="280"/>
      <c r="H232" s="280">
        <v>28.0</v>
      </c>
      <c r="I232" s="280">
        <v>16.0</v>
      </c>
      <c r="J232" s="280"/>
      <c r="K232" s="280"/>
      <c r="L232" s="280"/>
      <c r="M232" s="281"/>
      <c r="N232" s="280"/>
      <c r="O232" s="280"/>
      <c r="P232" s="280"/>
      <c r="Q232" s="280"/>
      <c r="R232" s="290"/>
      <c r="S232" s="281"/>
      <c r="T232" s="291" t="s">
        <v>986</v>
      </c>
      <c r="U232" s="281"/>
      <c r="V232" s="281"/>
      <c r="W232" s="281"/>
    </row>
    <row r="233">
      <c r="A233" s="137"/>
      <c r="B233" s="296" t="s">
        <v>983</v>
      </c>
      <c r="C233" s="297" t="s">
        <v>984</v>
      </c>
      <c r="D233" s="289">
        <f>ROUND((F233*'Pawn Weights'!$K$22)+(G233*'Pawn Weights'!$K$23)+(H233*'Pawn Weights'!$K$24)+(I233*'Pawn Weights'!$K$25)+(J233*'Pawn Weights'!$K$26)+(K233*'Pawn Weights'!$K$27)+(L233*'Pawn Weights'!$K$28)+(M233*'Pawn Weights'!$K$29)+(N233*'Pawn Weights'!$K$30)+(O233*'Pawn Weights'!$K$31)+(P233*'Pawn Weights'!$K$32)+(Q233*'Pawn Weights'!$K$33), 2)</f>
        <v>26.99</v>
      </c>
      <c r="E233" s="297"/>
      <c r="F233" s="297"/>
      <c r="G233" s="297"/>
      <c r="H233" s="298">
        <v>38.0</v>
      </c>
      <c r="I233" s="297"/>
      <c r="J233" s="297"/>
      <c r="K233" s="359">
        <v>18.0</v>
      </c>
      <c r="L233" s="137"/>
      <c r="M233" s="137"/>
      <c r="N233" s="137"/>
      <c r="O233" s="297"/>
      <c r="P233" s="137"/>
      <c r="Q233" s="137"/>
      <c r="R233" s="295"/>
      <c r="S233" s="137"/>
      <c r="T233" s="295"/>
      <c r="U233" s="137"/>
      <c r="V233" s="137"/>
      <c r="W233" s="137"/>
      <c r="X233" s="137"/>
      <c r="Y233" s="137"/>
      <c r="Z233" s="137"/>
    </row>
    <row r="234">
      <c r="B234" s="322" t="s">
        <v>998</v>
      </c>
      <c r="C234" s="154" t="s">
        <v>999</v>
      </c>
      <c r="D234" s="289">
        <f>ROUND((F234*'Pawn Weights'!$K$22)+(G234*'Pawn Weights'!$K$23)+(H234*'Pawn Weights'!$K$24)+(I234*'Pawn Weights'!$K$25)+(J234*'Pawn Weights'!$K$26)+(K234*'Pawn Weights'!$K$27)+(L234*'Pawn Weights'!$K$28)+(M234*'Pawn Weights'!$K$29)+(N234*'Pawn Weights'!$K$30)+(O234*'Pawn Weights'!$K$31)+(P234*'Pawn Weights'!$K$32)+(Q234*'Pawn Weights'!$K$33), 2)</f>
        <v>26.67</v>
      </c>
      <c r="E234" s="280"/>
      <c r="F234" s="280"/>
      <c r="G234" s="280">
        <v>10.0</v>
      </c>
      <c r="H234" s="280">
        <v>32.0</v>
      </c>
      <c r="I234" s="280">
        <v>6.0</v>
      </c>
      <c r="J234" s="280"/>
      <c r="K234" s="280"/>
      <c r="L234" s="280"/>
      <c r="M234" s="281"/>
      <c r="N234" s="280"/>
      <c r="O234" s="280"/>
      <c r="P234" s="280"/>
      <c r="Q234" s="280"/>
      <c r="R234" s="290"/>
      <c r="S234" s="281"/>
      <c r="T234" s="291"/>
      <c r="U234" s="281"/>
      <c r="V234" s="281"/>
      <c r="W234" s="281"/>
    </row>
    <row r="235" ht="15.0" customHeight="1">
      <c r="A235" s="137"/>
      <c r="B235" s="296" t="s">
        <v>989</v>
      </c>
      <c r="C235" s="297" t="s">
        <v>990</v>
      </c>
      <c r="D235" s="289">
        <f>ROUND((F235*'Pawn Weights'!$K$22)+(G235*'Pawn Weights'!$K$23)+(H235*'Pawn Weights'!$K$24)+(I235*'Pawn Weights'!$K$25)+(J235*'Pawn Weights'!$K$26)+(K235*'Pawn Weights'!$K$27)+(L235*'Pawn Weights'!$K$28)+(M235*'Pawn Weights'!$K$29)+(N235*'Pawn Weights'!$K$30)+(O235*'Pawn Weights'!$K$31)+(P235*'Pawn Weights'!$K$32)+(Q235*'Pawn Weights'!$K$33), 2)</f>
        <v>26.56</v>
      </c>
      <c r="E235" s="295"/>
      <c r="F235" s="295"/>
      <c r="G235" s="298">
        <v>14.0</v>
      </c>
      <c r="H235" s="298">
        <v>26.0</v>
      </c>
      <c r="I235" s="295"/>
      <c r="J235" s="295"/>
      <c r="K235" s="359">
        <v>10.0</v>
      </c>
      <c r="L235" s="137"/>
      <c r="M235" s="137"/>
      <c r="N235" s="137"/>
      <c r="O235" s="295"/>
      <c r="P235" s="137"/>
      <c r="Q235" s="137"/>
      <c r="R235" s="295"/>
      <c r="S235" s="137"/>
      <c r="T235" s="295"/>
      <c r="U235" s="137"/>
      <c r="V235" s="137"/>
      <c r="W235" s="137"/>
      <c r="X235" s="137"/>
      <c r="Y235" s="137"/>
      <c r="Z235" s="137"/>
    </row>
    <row r="236">
      <c r="A236" s="281"/>
      <c r="B236" s="288" t="s">
        <v>1120</v>
      </c>
      <c r="C236" s="280" t="s">
        <v>681</v>
      </c>
      <c r="D236" s="289">
        <f>ROUND((F236*'Pawn Weights'!$K$22)+(G236*'Pawn Weights'!$K$23)+(H236*'Pawn Weights'!$K$24)+(I236*'Pawn Weights'!$K$25)+(J236*'Pawn Weights'!$K$26)+(K236*'Pawn Weights'!$K$27)+(L236*'Pawn Weights'!$K$28)+(M236*'Pawn Weights'!$K$29)+(N236*'Pawn Weights'!$K$30)+(O236*'Pawn Weights'!$K$31)+(P236*'Pawn Weights'!$K$32)+(Q236*'Pawn Weights'!$K$33), 2)</f>
        <v>26.36</v>
      </c>
      <c r="E236" s="280">
        <v>14.0</v>
      </c>
      <c r="F236" s="280"/>
      <c r="G236" s="280"/>
      <c r="H236" s="280"/>
      <c r="I236" s="280">
        <v>20.0</v>
      </c>
      <c r="J236" s="280">
        <v>12.0</v>
      </c>
      <c r="K236" s="320"/>
      <c r="L236" s="320"/>
      <c r="M236" s="281"/>
      <c r="N236" s="320"/>
      <c r="O236" s="280"/>
      <c r="P236" s="320"/>
      <c r="Q236" s="320"/>
      <c r="R236" s="290"/>
      <c r="S236" s="281"/>
      <c r="T236" s="291"/>
      <c r="U236" s="281"/>
      <c r="V236" s="281"/>
      <c r="W236" s="281"/>
    </row>
    <row r="237">
      <c r="A237" s="281"/>
      <c r="B237" s="288" t="s">
        <v>1121</v>
      </c>
      <c r="C237" s="280" t="s">
        <v>1122</v>
      </c>
      <c r="D237" s="289">
        <f>ROUND((F237*'Pawn Weights'!$K$22)+(G237*'Pawn Weights'!$K$23)+(H237*'Pawn Weights'!$K$24)+(I237*'Pawn Weights'!$K$25)+(J237*'Pawn Weights'!$K$26)+(K237*'Pawn Weights'!$K$27)+(L237*'Pawn Weights'!$K$28)+(M237*'Pawn Weights'!$K$29)+(N237*'Pawn Weights'!$K$30)+(O237*'Pawn Weights'!$K$31)+(P237*'Pawn Weights'!$K$32)+(Q237*'Pawn Weights'!$K$33), 2)</f>
        <v>26.36</v>
      </c>
      <c r="E237" s="280"/>
      <c r="F237" s="280"/>
      <c r="G237" s="280"/>
      <c r="H237" s="280"/>
      <c r="I237" s="280">
        <v>20.0</v>
      </c>
      <c r="J237" s="280">
        <v>12.0</v>
      </c>
      <c r="K237" s="280"/>
      <c r="L237" s="280"/>
      <c r="M237" s="281"/>
      <c r="N237" s="280"/>
      <c r="O237" s="280"/>
      <c r="P237" s="280"/>
      <c r="Q237" s="280"/>
      <c r="R237" s="290"/>
      <c r="S237" s="281"/>
      <c r="T237" s="291"/>
      <c r="U237" s="281"/>
      <c r="V237" s="281"/>
      <c r="W237" s="281"/>
    </row>
    <row r="238">
      <c r="A238" s="281"/>
      <c r="B238" s="288" t="s">
        <v>1123</v>
      </c>
      <c r="C238" s="280" t="s">
        <v>1025</v>
      </c>
      <c r="D238" s="289">
        <f>ROUND((F238*'Pawn Weights'!$K$22)+(G238*'Pawn Weights'!$K$23)+(H238*'Pawn Weights'!$K$24)+(I238*'Pawn Weights'!$K$25)+(J238*'Pawn Weights'!$K$26)+(K238*'Pawn Weights'!$K$27)+(L238*'Pawn Weights'!$K$28)+(M238*'Pawn Weights'!$K$29)+(N238*'Pawn Weights'!$K$30)+(O238*'Pawn Weights'!$K$31)+(P238*'Pawn Weights'!$K$32)+(Q238*'Pawn Weights'!$K$33), 2)</f>
        <v>26.26</v>
      </c>
      <c r="E238" s="280"/>
      <c r="F238" s="280"/>
      <c r="G238" s="280">
        <v>20.0</v>
      </c>
      <c r="H238" s="280"/>
      <c r="I238" s="280"/>
      <c r="J238" s="280">
        <v>19.0</v>
      </c>
      <c r="K238" s="320"/>
      <c r="L238" s="320"/>
      <c r="M238" s="281"/>
      <c r="N238" s="320"/>
      <c r="O238" s="280"/>
      <c r="P238" s="320"/>
      <c r="Q238" s="320"/>
      <c r="R238" s="290"/>
      <c r="S238" s="281"/>
      <c r="T238" s="291"/>
      <c r="U238" s="281"/>
      <c r="V238" s="281"/>
      <c r="W238" s="281"/>
    </row>
    <row r="239">
      <c r="A239" s="281"/>
      <c r="B239" s="311" t="s">
        <v>1000</v>
      </c>
      <c r="C239" s="280" t="s">
        <v>1001</v>
      </c>
      <c r="D239" s="289">
        <f>ROUND((F239*'Pawn Weights'!$K$22)+(G239*'Pawn Weights'!$K$23)+(H239*'Pawn Weights'!$K$24)+(I239*'Pawn Weights'!$K$25)+(J239*'Pawn Weights'!$K$26)+(K239*'Pawn Weights'!$K$27)+(L239*'Pawn Weights'!$K$28)+(M239*'Pawn Weights'!$K$29)+(N239*'Pawn Weights'!$K$30)+(O239*'Pawn Weights'!$K$31)+(P239*'Pawn Weights'!$K$32)+(Q239*'Pawn Weights'!$K$33), 2)</f>
        <v>20.3</v>
      </c>
      <c r="E239" s="280">
        <v>16.0</v>
      </c>
      <c r="F239" s="280"/>
      <c r="G239" s="280"/>
      <c r="H239" s="280"/>
      <c r="I239" s="280"/>
      <c r="J239" s="280">
        <v>10.0</v>
      </c>
      <c r="K239" s="280"/>
      <c r="L239" s="280">
        <v>10.0</v>
      </c>
      <c r="M239" s="280"/>
      <c r="N239" s="280"/>
      <c r="O239" s="280"/>
      <c r="P239" s="280"/>
      <c r="Q239" s="280"/>
      <c r="R239" s="290"/>
      <c r="S239" s="281"/>
      <c r="T239" s="291" t="s">
        <v>971</v>
      </c>
      <c r="U239" s="281"/>
      <c r="V239" s="281"/>
      <c r="W239" s="281"/>
      <c r="X239" s="281"/>
    </row>
    <row r="240">
      <c r="A240" s="224" t="s">
        <v>1124</v>
      </c>
      <c r="B240" s="323" t="s">
        <v>604</v>
      </c>
      <c r="C240" s="323" t="s">
        <v>605</v>
      </c>
      <c r="D240" s="365" t="s">
        <v>606</v>
      </c>
      <c r="E240" s="224" t="s">
        <v>1003</v>
      </c>
      <c r="F240" s="224" t="s">
        <v>1004</v>
      </c>
      <c r="G240" s="224" t="s">
        <v>561</v>
      </c>
      <c r="H240" s="224" t="s">
        <v>562</v>
      </c>
      <c r="I240" s="224" t="s">
        <v>330</v>
      </c>
      <c r="J240" s="224" t="s">
        <v>563</v>
      </c>
      <c r="K240" s="272" t="s">
        <v>344</v>
      </c>
      <c r="L240" s="224" t="s">
        <v>607</v>
      </c>
      <c r="M240" s="224" t="s">
        <v>564</v>
      </c>
      <c r="N240" s="224" t="s">
        <v>1006</v>
      </c>
      <c r="O240" s="274" t="s">
        <v>610</v>
      </c>
      <c r="P240" s="275" t="s">
        <v>611</v>
      </c>
      <c r="Q240" s="276" t="s">
        <v>612</v>
      </c>
      <c r="R240" s="277" t="s">
        <v>613</v>
      </c>
      <c r="S240" s="366" t="s">
        <v>356</v>
      </c>
      <c r="T240" s="224" t="s">
        <v>615</v>
      </c>
      <c r="U240" s="324"/>
      <c r="V240" s="324"/>
      <c r="W240" s="324"/>
    </row>
    <row r="241">
      <c r="A241" s="292"/>
      <c r="B241" s="325" t="s">
        <v>1125</v>
      </c>
      <c r="C241" s="326"/>
      <c r="D241" s="301"/>
      <c r="E241" s="326"/>
      <c r="F241" s="326"/>
      <c r="G241" s="154"/>
      <c r="H241" s="326"/>
      <c r="I241" s="326"/>
      <c r="J241" s="326"/>
      <c r="K241" s="326"/>
      <c r="L241" s="326"/>
      <c r="M241" s="326"/>
      <c r="N241" s="326"/>
      <c r="O241" s="326"/>
      <c r="P241" s="326"/>
      <c r="Q241" s="326"/>
      <c r="R241" s="327"/>
      <c r="S241" s="326"/>
      <c r="T241" s="328"/>
      <c r="U241" s="326"/>
      <c r="V241" s="326"/>
      <c r="W241" s="329"/>
    </row>
    <row r="242">
      <c r="A242" s="295" t="s">
        <v>583</v>
      </c>
      <c r="B242" s="296" t="s">
        <v>1126</v>
      </c>
      <c r="C242" s="330" t="s">
        <v>621</v>
      </c>
      <c r="D242" s="367">
        <f>ROUND((E242*'Pawn Weights'!$K$34)+(G242*'Pawn Weights'!$K$23)+(H242*'Pawn Weights'!$K$24)+(I242*'Pawn Weights'!$K$25)+(J242*'Pawn Weights'!$K$28)+(K242*'Pawn Weights'!$K$26)+(M242*'Pawn Weights'!$K$29)+(N242*'Pawn Weights'!$K$22)+(O242*'Pawn Weights'!$K$31)+(P242*'Pawn Weights'!$K$32)+(Q242*'Pawn Weights'!$K$33)+(F242*'Pawn Weights'!$K$35)+(S242*'Pawn Weights'!$K$27)+'Pawn Weights'!$K$36, 2)</f>
        <v>1983.47</v>
      </c>
      <c r="E242" s="332">
        <v>148.7</v>
      </c>
      <c r="F242" s="332">
        <v>3.4</v>
      </c>
      <c r="G242" s="330"/>
      <c r="H242" s="332">
        <v>126.0</v>
      </c>
      <c r="I242" s="332">
        <v>42.0</v>
      </c>
      <c r="J242" s="330"/>
      <c r="K242" s="330"/>
      <c r="L242" s="332">
        <v>75.0</v>
      </c>
      <c r="M242" s="330"/>
      <c r="N242" s="330"/>
      <c r="O242" s="332">
        <v>3.0</v>
      </c>
      <c r="P242" s="330"/>
      <c r="Q242" s="330"/>
      <c r="R242" s="332" t="s">
        <v>633</v>
      </c>
      <c r="S242" s="332">
        <v>32.0</v>
      </c>
      <c r="T242" s="306"/>
      <c r="U242" s="330"/>
      <c r="V242" s="330"/>
      <c r="W242" s="137"/>
      <c r="X242" s="137"/>
      <c r="Y242" s="137"/>
      <c r="Z242" s="137"/>
    </row>
    <row r="243">
      <c r="A243" s="295" t="s">
        <v>583</v>
      </c>
      <c r="B243" s="296" t="s">
        <v>1127</v>
      </c>
      <c r="C243" s="330" t="s">
        <v>637</v>
      </c>
      <c r="D243" s="367">
        <f>ROUND((E243*'Pawn Weights'!$K$34)+(G243*'Pawn Weights'!$K$23)+(H243*'Pawn Weights'!$K$24)+(I243*'Pawn Weights'!$K$25)+(J243*'Pawn Weights'!$K$28)+(K243*'Pawn Weights'!$K$26)+(M243*'Pawn Weights'!$K$29)+(N243*'Pawn Weights'!$K$22)+(O243*'Pawn Weights'!$K$31)+(P243*'Pawn Weights'!$K$32)+(Q243*'Pawn Weights'!$K$33)+(F243*'Pawn Weights'!$K$35)+(S243*'Pawn Weights'!$K$27)+'Pawn Weights'!$K$36, 2)</f>
        <v>1886.83</v>
      </c>
      <c r="E243" s="332">
        <v>140.3</v>
      </c>
      <c r="F243" s="332">
        <v>3.6</v>
      </c>
      <c r="G243" s="330"/>
      <c r="H243" s="330"/>
      <c r="I243" s="332">
        <v>50.0</v>
      </c>
      <c r="J243" s="330"/>
      <c r="K243" s="332">
        <v>19.0</v>
      </c>
      <c r="L243" s="332">
        <v>66.0</v>
      </c>
      <c r="M243" s="332">
        <v>98.0</v>
      </c>
      <c r="N243" s="332">
        <v>50.0</v>
      </c>
      <c r="O243" s="330"/>
      <c r="P243" s="330"/>
      <c r="Q243" s="330"/>
      <c r="R243" s="332"/>
      <c r="S243" s="330"/>
      <c r="T243" s="295"/>
      <c r="U243" s="330"/>
      <c r="V243" s="330"/>
      <c r="W243" s="137"/>
      <c r="X243" s="137"/>
      <c r="Y243" s="137"/>
      <c r="Z243" s="137"/>
    </row>
    <row r="244">
      <c r="A244" s="301" t="s">
        <v>583</v>
      </c>
      <c r="B244" s="288" t="s">
        <v>1128</v>
      </c>
      <c r="C244" s="326" t="s">
        <v>642</v>
      </c>
      <c r="D244" s="367">
        <f>ROUND((E244*'Pawn Weights'!$K$34)+(G244*'Pawn Weights'!$K$23)+(H244*'Pawn Weights'!$K$24)+(I244*'Pawn Weights'!$K$25)+(J244*'Pawn Weights'!$K$28)+(K244*'Pawn Weights'!$K$26)+(M244*'Pawn Weights'!$K$29)+(N244*'Pawn Weights'!$K$22)+(O244*'Pawn Weights'!$K$31)+(P244*'Pawn Weights'!$K$32)+(Q244*'Pawn Weights'!$K$33)+(F244*'Pawn Weights'!$K$35)+(S244*'Pawn Weights'!$K$27)+'Pawn Weights'!$K$36, 2)</f>
        <v>1868.83</v>
      </c>
      <c r="E244" s="326">
        <v>138.0</v>
      </c>
      <c r="F244" s="326">
        <v>3.5</v>
      </c>
      <c r="G244" s="326"/>
      <c r="H244" s="326"/>
      <c r="I244" s="326"/>
      <c r="J244" s="326"/>
      <c r="K244" s="326"/>
      <c r="L244" s="326">
        <v>49.0</v>
      </c>
      <c r="M244" s="326">
        <v>335.0</v>
      </c>
      <c r="N244" s="326">
        <v>75.0</v>
      </c>
      <c r="O244" s="326"/>
      <c r="P244" s="326"/>
      <c r="Q244" s="326"/>
      <c r="R244" s="327"/>
      <c r="S244" s="326"/>
      <c r="T244" s="328"/>
      <c r="U244" s="326"/>
      <c r="V244" s="326"/>
      <c r="W244" s="329"/>
    </row>
    <row r="245">
      <c r="A245" s="295" t="s">
        <v>1129</v>
      </c>
      <c r="B245" s="296" t="s">
        <v>1130</v>
      </c>
      <c r="C245" s="330" t="s">
        <v>1131</v>
      </c>
      <c r="D245" s="367">
        <f>ROUND((E245*'Pawn Weights'!$K$34)+(G245*'Pawn Weights'!$K$23)+(H245*'Pawn Weights'!$K$24)+(I245*'Pawn Weights'!$K$25)+(J245*'Pawn Weights'!$K$28)+(K245*'Pawn Weights'!$K$26)+(M245*'Pawn Weights'!$K$29)+(N245*'Pawn Weights'!$K$22)+(O245*'Pawn Weights'!$K$31)+(P245*'Pawn Weights'!$K$32)+(Q245*'Pawn Weights'!$K$33)+(F245*'Pawn Weights'!$K$35)+(S245*'Pawn Weights'!$K$27), 2)</f>
        <v>1864.74</v>
      </c>
      <c r="E245" s="332">
        <v>140.4</v>
      </c>
      <c r="F245" s="332">
        <v>3.5</v>
      </c>
      <c r="G245" s="332">
        <v>52.0</v>
      </c>
      <c r="H245" s="332">
        <v>120.0</v>
      </c>
      <c r="I245" s="330"/>
      <c r="J245" s="330"/>
      <c r="K245" s="330"/>
      <c r="L245" s="330"/>
      <c r="M245" s="330"/>
      <c r="N245" s="330"/>
      <c r="O245" s="330"/>
      <c r="P245" s="332">
        <v>1.0</v>
      </c>
      <c r="Q245" s="330"/>
      <c r="R245" s="332" t="s">
        <v>660</v>
      </c>
      <c r="S245" s="332">
        <v>53.0</v>
      </c>
      <c r="T245" s="295"/>
      <c r="U245" s="330"/>
      <c r="V245" s="330"/>
      <c r="W245" s="137"/>
      <c r="X245" s="137"/>
      <c r="Y245" s="137"/>
      <c r="Z245" s="137"/>
    </row>
    <row r="246">
      <c r="A246" s="292" t="s">
        <v>583</v>
      </c>
      <c r="B246" s="288" t="s">
        <v>1132</v>
      </c>
      <c r="C246" s="326" t="s">
        <v>646</v>
      </c>
      <c r="D246" s="367">
        <f>ROUND((E246*'Pawn Weights'!$K$34)+(G246*'Pawn Weights'!$K$23)+(H246*'Pawn Weights'!$K$24)+(I246*'Pawn Weights'!$K$25)+(J246*'Pawn Weights'!$K$28)+(K246*'Pawn Weights'!$K$26)+(M246*'Pawn Weights'!$K$29)+(N246*'Pawn Weights'!$K$22)+(O246*'Pawn Weights'!$K$31)+(P246*'Pawn Weights'!$K$32)+(Q246*'Pawn Weights'!$K$33)+(F246*'Pawn Weights'!$K$35)+(S246*'Pawn Weights'!$K$27)+'Pawn Weights'!$K$36, 2)</f>
        <v>1809.37</v>
      </c>
      <c r="E246" s="326">
        <v>134.2</v>
      </c>
      <c r="F246" s="326">
        <v>3.6</v>
      </c>
      <c r="G246" s="326"/>
      <c r="H246" s="326"/>
      <c r="I246" s="326">
        <v>46.0</v>
      </c>
      <c r="J246" s="326"/>
      <c r="K246" s="326">
        <v>15.0</v>
      </c>
      <c r="L246" s="326">
        <v>62.0</v>
      </c>
      <c r="M246" s="326">
        <v>98.0</v>
      </c>
      <c r="N246" s="326">
        <v>46.0</v>
      </c>
      <c r="O246" s="326"/>
      <c r="P246" s="326"/>
      <c r="Q246" s="326"/>
      <c r="R246" s="327"/>
      <c r="S246" s="326"/>
      <c r="T246" s="328"/>
      <c r="U246" s="326"/>
      <c r="V246" s="326"/>
      <c r="W246" s="329"/>
    </row>
    <row r="247">
      <c r="A247" s="219" t="s">
        <v>1133</v>
      </c>
      <c r="B247" s="317" t="s">
        <v>1134</v>
      </c>
      <c r="C247" s="297" t="s">
        <v>980</v>
      </c>
      <c r="D247" s="367">
        <f>ROUND((E247*'Pawn Weights'!$K$34)+(G247*'Pawn Weights'!$K$23)+(H247*'Pawn Weights'!$K$24)+(I247*'Pawn Weights'!$K$25)+(J247*'Pawn Weights'!$K$28)+(K247*'Pawn Weights'!$K$26)+(M247*'Pawn Weights'!$K$29)+(N247*'Pawn Weights'!$K$22)+(O247*'Pawn Weights'!$K$31)+(P247*'Pawn Weights'!$K$32)+(Q247*'Pawn Weights'!$K$33)+(F247*'Pawn Weights'!$K$35)+(S247*'Pawn Weights'!$K$27), 2)</f>
        <v>1794.26</v>
      </c>
      <c r="E247" s="331">
        <v>134.0</v>
      </c>
      <c r="F247" s="331">
        <v>3.5</v>
      </c>
      <c r="G247" s="330"/>
      <c r="H247" s="368">
        <v>108.0</v>
      </c>
      <c r="I247" s="331">
        <v>55.0</v>
      </c>
      <c r="J247" s="330"/>
      <c r="K247" s="332"/>
      <c r="L247" s="332"/>
      <c r="M247" s="332"/>
      <c r="N247" s="332"/>
      <c r="O247" s="330"/>
      <c r="P247" s="330"/>
      <c r="Q247" s="330"/>
      <c r="R247" s="332"/>
      <c r="S247" s="368">
        <v>53.0</v>
      </c>
      <c r="T247" s="306" t="s">
        <v>1135</v>
      </c>
      <c r="U247" s="330"/>
      <c r="V247" s="330"/>
      <c r="W247" s="137"/>
      <c r="X247" s="137"/>
      <c r="Y247" s="137"/>
      <c r="Z247" s="137"/>
    </row>
    <row r="248">
      <c r="A248" s="301" t="s">
        <v>1133</v>
      </c>
      <c r="B248" s="288" t="s">
        <v>1136</v>
      </c>
      <c r="C248" s="326" t="s">
        <v>727</v>
      </c>
      <c r="D248" s="367">
        <f>ROUND((E248*'Pawn Weights'!$K$34)+(G248*'Pawn Weights'!$K$23)+(H248*'Pawn Weights'!$K$24)+(I248*'Pawn Weights'!$K$25)+(J248*'Pawn Weights'!$K$28)+(K248*'Pawn Weights'!$K$26)+(M248*'Pawn Weights'!$K$29)+(N248*'Pawn Weights'!$K$22)+(O248*'Pawn Weights'!$K$31)+(P248*'Pawn Weights'!$K$32)+(Q248*'Pawn Weights'!$K$33)+(F248*'Pawn Weights'!$K$35)+(S248*'Pawn Weights'!$K$27), 2)</f>
        <v>1764.33</v>
      </c>
      <c r="E248" s="326">
        <v>130.4</v>
      </c>
      <c r="F248" s="326">
        <v>3.7</v>
      </c>
      <c r="G248" s="326"/>
      <c r="H248" s="326"/>
      <c r="I248" s="326"/>
      <c r="J248" s="326"/>
      <c r="K248" s="326"/>
      <c r="L248" s="326">
        <v>63.0</v>
      </c>
      <c r="M248" s="326">
        <v>315.0</v>
      </c>
      <c r="N248" s="326">
        <v>65.0</v>
      </c>
      <c r="O248" s="326"/>
      <c r="P248" s="326"/>
      <c r="Q248" s="326"/>
      <c r="R248" s="327"/>
      <c r="S248" s="326"/>
      <c r="T248" s="306" t="s">
        <v>1135</v>
      </c>
      <c r="U248" s="326"/>
      <c r="V248" s="326"/>
      <c r="W248" s="329"/>
    </row>
    <row r="249">
      <c r="A249" s="292" t="s">
        <v>583</v>
      </c>
      <c r="B249" s="288" t="s">
        <v>1137</v>
      </c>
      <c r="C249" s="326" t="s">
        <v>741</v>
      </c>
      <c r="D249" s="367">
        <f>ROUND((E249*'Pawn Weights'!$K$34)+(G249*'Pawn Weights'!$K$23)+(H249*'Pawn Weights'!$K$24)+(I249*'Pawn Weights'!$K$25)+(J249*'Pawn Weights'!$K$28)+(K249*'Pawn Weights'!$K$26)+(M249*'Pawn Weights'!$K$29)+(N249*'Pawn Weights'!$K$22)+(O249*'Pawn Weights'!$K$31)+(P249*'Pawn Weights'!$K$32)+(Q249*'Pawn Weights'!$K$33)+(F249*'Pawn Weights'!$K$35)+(S249*'Pawn Weights'!$K$27)+'Pawn Weights'!$K$36, 2)</f>
        <v>1764.07</v>
      </c>
      <c r="E249" s="326">
        <v>130.4</v>
      </c>
      <c r="F249" s="326">
        <v>3.6</v>
      </c>
      <c r="G249" s="326"/>
      <c r="H249" s="326">
        <v>110.0</v>
      </c>
      <c r="I249" s="326">
        <v>37.0</v>
      </c>
      <c r="J249" s="326"/>
      <c r="K249" s="326"/>
      <c r="L249" s="326">
        <v>53.0</v>
      </c>
      <c r="M249" s="326"/>
      <c r="N249" s="326"/>
      <c r="O249" s="326">
        <v>1.0</v>
      </c>
      <c r="P249" s="326">
        <v>1.0</v>
      </c>
      <c r="Q249" s="326">
        <v>1.0</v>
      </c>
      <c r="R249" s="327" t="s">
        <v>660</v>
      </c>
      <c r="S249" s="326"/>
      <c r="T249" s="328"/>
      <c r="U249" s="326"/>
      <c r="V249" s="326"/>
      <c r="W249" s="329"/>
    </row>
    <row r="250">
      <c r="A250" s="301" t="s">
        <v>1138</v>
      </c>
      <c r="B250" s="288" t="s">
        <v>1139</v>
      </c>
      <c r="C250" s="326" t="s">
        <v>1140</v>
      </c>
      <c r="D250" s="367">
        <f>ROUND((E250*'Pawn Weights'!$K$34)+(G250*'Pawn Weights'!$K$23)+(H250*'Pawn Weights'!$K$24)+(I250*'Pawn Weights'!$K$25)+(J250*'Pawn Weights'!$K$28)+(K250*'Pawn Weights'!$K$26)+(M250*'Pawn Weights'!$K$29)+(N250*'Pawn Weights'!$K$22)+(O250*'Pawn Weights'!$K$31)+(P250*'Pawn Weights'!$K$32)+(Q250*'Pawn Weights'!$K$33)+(F250*'Pawn Weights'!$K$35)+(S250*'Pawn Weights'!$K$27)+'Pawn Weights'!$K$36+(43*'Pawn Weights'!K22), 2)</f>
        <v>1736.25</v>
      </c>
      <c r="E250" s="326">
        <v>126.9</v>
      </c>
      <c r="F250" s="326">
        <v>3.6</v>
      </c>
      <c r="G250" s="326">
        <v>44.0</v>
      </c>
      <c r="H250" s="326"/>
      <c r="I250" s="326"/>
      <c r="J250" s="326"/>
      <c r="K250" s="326"/>
      <c r="L250" s="326"/>
      <c r="M250" s="326"/>
      <c r="N250" s="326">
        <v>52.0</v>
      </c>
      <c r="O250" s="326"/>
      <c r="P250" s="326"/>
      <c r="Q250" s="326"/>
      <c r="R250" s="327"/>
      <c r="S250" s="326"/>
      <c r="T250" s="328" t="s">
        <v>1141</v>
      </c>
      <c r="U250" s="326"/>
      <c r="V250" s="326"/>
      <c r="W250" s="329"/>
    </row>
    <row r="251">
      <c r="A251" s="301" t="s">
        <v>1129</v>
      </c>
      <c r="B251" s="288" t="s">
        <v>1142</v>
      </c>
      <c r="C251" s="326" t="s">
        <v>716</v>
      </c>
      <c r="D251" s="367">
        <f>ROUND((E251*'Pawn Weights'!$K$34)+(G251*'Pawn Weights'!$K$23)+(H251*'Pawn Weights'!$K$24)+(I251*'Pawn Weights'!$K$25)+(J251*'Pawn Weights'!$K$28)+(K251*'Pawn Weights'!$K$26)+(M251*'Pawn Weights'!$K$29)+(N251*'Pawn Weights'!$K$22)+(O251*'Pawn Weights'!$K$31)+(P251*'Pawn Weights'!$K$32)+(Q251*'Pawn Weights'!$K$33)+(F251*'Pawn Weights'!$K$35)+(S251*'Pawn Weights'!$K$27), 2)</f>
        <v>1726.77</v>
      </c>
      <c r="E251" s="326">
        <v>130.4</v>
      </c>
      <c r="F251" s="326">
        <v>3.5</v>
      </c>
      <c r="G251" s="326">
        <v>51.0</v>
      </c>
      <c r="H251" s="326">
        <v>100.0</v>
      </c>
      <c r="I251" s="326"/>
      <c r="J251" s="326"/>
      <c r="K251" s="326">
        <v>30.0</v>
      </c>
      <c r="L251" s="326">
        <v>57.0</v>
      </c>
      <c r="M251" s="326"/>
      <c r="N251" s="326"/>
      <c r="O251" s="326"/>
      <c r="P251" s="326"/>
      <c r="Q251" s="326"/>
      <c r="R251" s="327"/>
      <c r="S251" s="326"/>
      <c r="T251" s="328"/>
      <c r="U251" s="326"/>
      <c r="V251" s="326"/>
      <c r="W251" s="329"/>
    </row>
    <row r="252">
      <c r="A252" s="301" t="s">
        <v>583</v>
      </c>
      <c r="B252" s="288" t="s">
        <v>1143</v>
      </c>
      <c r="C252" s="326" t="s">
        <v>1144</v>
      </c>
      <c r="D252" s="367">
        <f>ROUND((E252*'Pawn Weights'!$K$34)+(G252*'Pawn Weights'!$K$23)+(H252*'Pawn Weights'!$K$24)+(I252*'Pawn Weights'!$K$25)+(J252*'Pawn Weights'!$K$28)+(K252*'Pawn Weights'!$K$26)+(M252*'Pawn Weights'!$K$29)+(N252*'Pawn Weights'!$K$22)+(O252*'Pawn Weights'!$K$31)+(P252*'Pawn Weights'!$K$32)+(Q252*'Pawn Weights'!$K$33)+(F252*'Pawn Weights'!$K$35)+(S252*'Pawn Weights'!$K$27)+'Pawn Weights'!$K$36, 2)</f>
        <v>1712.74</v>
      </c>
      <c r="E252" s="326">
        <v>128.4</v>
      </c>
      <c r="F252" s="326">
        <v>3.7</v>
      </c>
      <c r="G252" s="326"/>
      <c r="H252" s="326">
        <v>120.0</v>
      </c>
      <c r="I252" s="326"/>
      <c r="J252" s="326"/>
      <c r="K252" s="326"/>
      <c r="L252" s="326">
        <v>49.0</v>
      </c>
      <c r="M252" s="326"/>
      <c r="N252" s="326"/>
      <c r="O252" s="326"/>
      <c r="P252" s="326"/>
      <c r="Q252" s="326"/>
      <c r="R252" s="327"/>
      <c r="S252" s="326">
        <v>45.0</v>
      </c>
      <c r="T252" s="328"/>
      <c r="U252" s="326"/>
      <c r="V252" s="326"/>
      <c r="W252" s="329"/>
    </row>
    <row r="253">
      <c r="A253" s="295" t="s">
        <v>583</v>
      </c>
      <c r="B253" s="296" t="s">
        <v>1145</v>
      </c>
      <c r="C253" s="330" t="s">
        <v>997</v>
      </c>
      <c r="D253" s="367">
        <f>ROUND((E253*'Pawn Weights'!$K$34)+(G253*'Pawn Weights'!$K$23)+(H253*'Pawn Weights'!$K$24)+(I253*'Pawn Weights'!$K$25)+(J253*'Pawn Weights'!$K$28)+(K253*'Pawn Weights'!$K$26)+(M253*'Pawn Weights'!$K$29)+(N253*'Pawn Weights'!$K$22)+(O253*'Pawn Weights'!$K$31)+(P253*'Pawn Weights'!$K$32)+(Q253*'Pawn Weights'!$K$33)+(F253*'Pawn Weights'!$K$35)+(S253*'Pawn Weights'!$K$27)+'Pawn Weights'!$K$36, 2)</f>
        <v>1704.36</v>
      </c>
      <c r="E253" s="332">
        <v>126.9</v>
      </c>
      <c r="F253" s="332">
        <v>3.6</v>
      </c>
      <c r="G253" s="330"/>
      <c r="H253" s="330"/>
      <c r="I253" s="332">
        <v>42.0</v>
      </c>
      <c r="J253" s="330"/>
      <c r="K253" s="332">
        <v>18.0</v>
      </c>
      <c r="L253" s="332">
        <v>55.0</v>
      </c>
      <c r="M253" s="330"/>
      <c r="N253" s="332">
        <v>42.0</v>
      </c>
      <c r="O253" s="330"/>
      <c r="P253" s="330"/>
      <c r="Q253" s="330"/>
      <c r="R253" s="295"/>
      <c r="S253" s="330"/>
      <c r="T253" s="295"/>
      <c r="U253" s="330"/>
      <c r="V253" s="330"/>
      <c r="W253" s="137"/>
      <c r="X253" s="137"/>
      <c r="Y253" s="137"/>
      <c r="Z253" s="137"/>
    </row>
    <row r="254">
      <c r="A254" s="292" t="s">
        <v>1146</v>
      </c>
      <c r="B254" s="288" t="s">
        <v>1147</v>
      </c>
      <c r="C254" s="326" t="s">
        <v>1148</v>
      </c>
      <c r="D254" s="367">
        <f>ROUND((E254*'Pawn Weights'!$K$34)+(G254*'Pawn Weights'!$K$23)+(H254*'Pawn Weights'!$K$24)+(I254*'Pawn Weights'!$K$25)+(J254*'Pawn Weights'!$K$28)+(K254*'Pawn Weights'!$K$26)+(M254*'Pawn Weights'!$K$29)+(N254*'Pawn Weights'!$K$22)+(O254*'Pawn Weights'!$K$31)+(P254*'Pawn Weights'!$K$32)+(Q254*'Pawn Weights'!$K$33)+(F254*'Pawn Weights'!$K$35)+(S254*'Pawn Weights'!$K$27), 2)</f>
        <v>1701.26</v>
      </c>
      <c r="E254" s="326">
        <v>126.9</v>
      </c>
      <c r="F254" s="326">
        <v>3.7</v>
      </c>
      <c r="G254" s="154"/>
      <c r="H254" s="326">
        <v>112.0</v>
      </c>
      <c r="I254" s="326">
        <v>56.0</v>
      </c>
      <c r="J254" s="326"/>
      <c r="K254" s="326"/>
      <c r="L254" s="326"/>
      <c r="M254" s="326"/>
      <c r="N254" s="326"/>
      <c r="O254" s="326"/>
      <c r="P254" s="326"/>
      <c r="Q254" s="326"/>
      <c r="R254" s="327"/>
      <c r="S254" s="326"/>
      <c r="T254" s="306" t="s">
        <v>1135</v>
      </c>
      <c r="U254" s="326"/>
      <c r="V254" s="326"/>
      <c r="W254" s="329"/>
    </row>
    <row r="255">
      <c r="A255" s="301" t="s">
        <v>1133</v>
      </c>
      <c r="B255" s="288" t="s">
        <v>1149</v>
      </c>
      <c r="C255" s="326" t="s">
        <v>1150</v>
      </c>
      <c r="D255" s="367">
        <f>ROUND((E255*'Pawn Weights'!$K$34)+(G255*'Pawn Weights'!$K$23)+(H255*'Pawn Weights'!$K$24)+(I255*'Pawn Weights'!$K$25)+(J255*'Pawn Weights'!$K$28)+(K255*'Pawn Weights'!$K$26)+(M255*'Pawn Weights'!$K$29)+(N255*'Pawn Weights'!$K$22)+(O255*'Pawn Weights'!$K$31)+(P255*'Pawn Weights'!$K$32)+(Q255*'Pawn Weights'!$K$33)+(F255*'Pawn Weights'!$K$35)+(S255*'Pawn Weights'!$K$27), 2)</f>
        <v>1654.04</v>
      </c>
      <c r="E255" s="326">
        <v>124.3</v>
      </c>
      <c r="F255" s="326">
        <v>3.6</v>
      </c>
      <c r="G255" s="326">
        <v>39.0</v>
      </c>
      <c r="H255" s="326">
        <v>94.0</v>
      </c>
      <c r="I255" s="326"/>
      <c r="J255" s="326"/>
      <c r="K255" s="326"/>
      <c r="L255" s="326">
        <v>58.0</v>
      </c>
      <c r="M255" s="326"/>
      <c r="N255" s="326"/>
      <c r="O255" s="326">
        <v>1.0</v>
      </c>
      <c r="P255" s="326"/>
      <c r="Q255" s="326">
        <v>1.0</v>
      </c>
      <c r="R255" s="327" t="s">
        <v>809</v>
      </c>
      <c r="S255" s="326"/>
      <c r="T255" s="306" t="s">
        <v>1135</v>
      </c>
      <c r="U255" s="326"/>
      <c r="V255" s="326"/>
      <c r="W255" s="329"/>
    </row>
    <row r="256">
      <c r="A256" s="301" t="s">
        <v>1138</v>
      </c>
      <c r="B256" s="288" t="s">
        <v>1151</v>
      </c>
      <c r="C256" s="326" t="s">
        <v>1152</v>
      </c>
      <c r="D256" s="367">
        <f>ROUND((E256*'Pawn Weights'!$K$34)+(G256*'Pawn Weights'!$K$23)+(H256*'Pawn Weights'!$K$24)+(I256*'Pawn Weights'!$K$25)+(J256*'Pawn Weights'!$K$28)+(K256*'Pawn Weights'!$K$26)+(M256*'Pawn Weights'!$K$29)+(N256*'Pawn Weights'!$K$22)+(O256*'Pawn Weights'!$K$31)+(P256*'Pawn Weights'!$K$32)+(Q256*'Pawn Weights'!$K$33)+(F256*'Pawn Weights'!$K$35)+(S256*'Pawn Weights'!$K$27)+'Pawn Weights'!$K$36+(43*'Pawn Weights'!K22), 2)</f>
        <v>1641.95</v>
      </c>
      <c r="E256" s="326">
        <v>118.6</v>
      </c>
      <c r="F256" s="326">
        <v>3.6</v>
      </c>
      <c r="G256" s="326">
        <v>44.0</v>
      </c>
      <c r="H256" s="326"/>
      <c r="I256" s="326"/>
      <c r="J256" s="326"/>
      <c r="K256" s="326"/>
      <c r="L256" s="326"/>
      <c r="M256" s="326"/>
      <c r="N256" s="326">
        <v>49.0</v>
      </c>
      <c r="O256" s="326"/>
      <c r="P256" s="326"/>
      <c r="Q256" s="326"/>
      <c r="R256" s="327"/>
      <c r="S256" s="326"/>
      <c r="T256" s="328" t="s">
        <v>1141</v>
      </c>
      <c r="U256" s="326"/>
      <c r="V256" s="326"/>
      <c r="W256" s="329"/>
    </row>
    <row r="257">
      <c r="A257" s="295" t="s">
        <v>1133</v>
      </c>
      <c r="B257" s="296" t="s">
        <v>1153</v>
      </c>
      <c r="C257" s="330" t="s">
        <v>1154</v>
      </c>
      <c r="D257" s="367">
        <f>ROUND((E257*'Pawn Weights'!$K$34)+(G257*'Pawn Weights'!$K$23)+(H257*'Pawn Weights'!$K$24)+(I257*'Pawn Weights'!$K$25)+(J257*'Pawn Weights'!$K$28)+(K257*'Pawn Weights'!$K$26)+(M257*'Pawn Weights'!$K$29)+(N257*'Pawn Weights'!$K$22)+(O257*'Pawn Weights'!$K$31)+(P257*'Pawn Weights'!$K$32)+(Q257*'Pawn Weights'!$K$33)+(F257*'Pawn Weights'!$K$35)+(S257*'Pawn Weights'!$K$27)+'Pawn Weights'!$K$36, 2)</f>
        <v>1614.7</v>
      </c>
      <c r="E257" s="332">
        <v>116.9</v>
      </c>
      <c r="F257" s="332">
        <v>3.7</v>
      </c>
      <c r="G257" s="295"/>
      <c r="H257" s="330"/>
      <c r="I257" s="332">
        <v>30.0</v>
      </c>
      <c r="J257" s="330"/>
      <c r="K257" s="330"/>
      <c r="L257" s="330"/>
      <c r="M257" s="330"/>
      <c r="N257" s="332">
        <v>50.0</v>
      </c>
      <c r="O257" s="332">
        <v>1.0</v>
      </c>
      <c r="P257" s="332">
        <v>2.0</v>
      </c>
      <c r="Q257" s="330"/>
      <c r="R257" s="332" t="s">
        <v>1155</v>
      </c>
      <c r="S257" s="330"/>
      <c r="T257" s="363" t="s">
        <v>1135</v>
      </c>
      <c r="U257" s="330"/>
      <c r="V257" s="330"/>
      <c r="W257" s="137"/>
      <c r="X257" s="137"/>
      <c r="Y257" s="137"/>
      <c r="Z257" s="137"/>
    </row>
    <row r="258">
      <c r="A258" s="301" t="s">
        <v>1146</v>
      </c>
      <c r="B258" s="288" t="s">
        <v>1156</v>
      </c>
      <c r="C258" s="326" t="s">
        <v>1157</v>
      </c>
      <c r="D258" s="367">
        <f>ROUND((E258*'Pawn Weights'!$K$34)+(G258*'Pawn Weights'!$K$23)+(H258*'Pawn Weights'!$K$24)+(I258*'Pawn Weights'!$K$25)+(J258*'Pawn Weights'!$K$28)+(K258*'Pawn Weights'!$K$26)+(M258*'Pawn Weights'!$K$29)+(N258*'Pawn Weights'!$K$22)+(O258*'Pawn Weights'!$K$31)+(P258*'Pawn Weights'!$K$32)+(Q258*'Pawn Weights'!$K$33)+(F258*'Pawn Weights'!$K$35)+(S258*'Pawn Weights'!$K$27), 2)</f>
        <v>1603.6</v>
      </c>
      <c r="E258" s="326">
        <v>118.6</v>
      </c>
      <c r="F258" s="326">
        <v>3.7</v>
      </c>
      <c r="G258" s="326"/>
      <c r="H258" s="326">
        <v>106.0</v>
      </c>
      <c r="I258" s="326">
        <v>52.0</v>
      </c>
      <c r="J258" s="326"/>
      <c r="K258" s="326"/>
      <c r="L258" s="326"/>
      <c r="M258" s="326"/>
      <c r="N258" s="326"/>
      <c r="O258" s="326"/>
      <c r="P258" s="326"/>
      <c r="Q258" s="326"/>
      <c r="R258" s="327"/>
      <c r="S258" s="326"/>
      <c r="T258" s="306" t="s">
        <v>1135</v>
      </c>
      <c r="U258" s="326"/>
      <c r="V258" s="326"/>
      <c r="W258" s="329"/>
    </row>
    <row r="259">
      <c r="A259" s="301" t="s">
        <v>583</v>
      </c>
      <c r="B259" s="288" t="s">
        <v>1158</v>
      </c>
      <c r="C259" s="326" t="s">
        <v>1159</v>
      </c>
      <c r="D259" s="367">
        <f>ROUND((E259*'Pawn Weights'!$K$34)+(G259*'Pawn Weights'!$K$23)+(H259*'Pawn Weights'!$K$24)+(I259*'Pawn Weights'!$K$25)+(J259*'Pawn Weights'!$K$28)+(K259*'Pawn Weights'!$K$26)+(M259*'Pawn Weights'!$K$29)+(N259*'Pawn Weights'!$K$22)+(O259*'Pawn Weights'!$K$31)+(P259*'Pawn Weights'!$K$32)+(Q259*'Pawn Weights'!$K$33)+(F259*'Pawn Weights'!$K$35)+(S259*'Pawn Weights'!$K$27)+'Pawn Weights'!$K$36, 2)</f>
        <v>1598.05</v>
      </c>
      <c r="E259" s="326">
        <v>118.6</v>
      </c>
      <c r="F259" s="326">
        <v>3.6</v>
      </c>
      <c r="G259" s="326"/>
      <c r="H259" s="326"/>
      <c r="I259" s="326">
        <v>35.0</v>
      </c>
      <c r="J259" s="326"/>
      <c r="K259" s="326">
        <v>20.0</v>
      </c>
      <c r="L259" s="326">
        <v>48.0</v>
      </c>
      <c r="M259" s="326"/>
      <c r="N259" s="326">
        <v>32.0</v>
      </c>
      <c r="O259" s="326"/>
      <c r="P259" s="326"/>
      <c r="Q259" s="326"/>
      <c r="R259" s="327"/>
      <c r="S259" s="326"/>
      <c r="T259" s="328"/>
      <c r="U259" s="326"/>
      <c r="V259" s="326"/>
      <c r="W259" s="329"/>
    </row>
    <row r="260">
      <c r="A260" s="301" t="s">
        <v>1133</v>
      </c>
      <c r="B260" s="288" t="s">
        <v>1160</v>
      </c>
      <c r="C260" s="326" t="s">
        <v>656</v>
      </c>
      <c r="D260" s="367">
        <f>ROUND((E260*'Pawn Weights'!$K$34)+(G260*'Pawn Weights'!$K$23)+(H260*'Pawn Weights'!$K$24)+(I260*'Pawn Weights'!$K$25)+(J260*'Pawn Weights'!$K$28)+(K260*'Pawn Weights'!$K$26)+(M260*'Pawn Weights'!$K$29)+(N260*'Pawn Weights'!$K$22)+(O260*'Pawn Weights'!$K$31)+(P260*'Pawn Weights'!$K$32)+(Q260*'Pawn Weights'!$K$33)+(F260*'Pawn Weights'!$K$35)+(S260*'Pawn Weights'!$K$27), 2)</f>
        <v>1594.58</v>
      </c>
      <c r="E260" s="326">
        <v>119.9</v>
      </c>
      <c r="F260" s="326">
        <v>3.6</v>
      </c>
      <c r="G260" s="326">
        <v>43.0</v>
      </c>
      <c r="H260" s="326"/>
      <c r="I260" s="326"/>
      <c r="J260" s="326"/>
      <c r="K260" s="326"/>
      <c r="L260" s="326">
        <v>51.0</v>
      </c>
      <c r="M260" s="326"/>
      <c r="N260" s="326">
        <v>49.0</v>
      </c>
      <c r="O260" s="326"/>
      <c r="P260" s="326"/>
      <c r="Q260" s="326"/>
      <c r="R260" s="327"/>
      <c r="S260" s="326"/>
      <c r="T260" s="306" t="s">
        <v>1135</v>
      </c>
      <c r="U260" s="326"/>
      <c r="V260" s="326"/>
      <c r="W260" s="329"/>
    </row>
    <row r="261">
      <c r="A261" s="301" t="s">
        <v>1133</v>
      </c>
      <c r="B261" s="288" t="s">
        <v>1161</v>
      </c>
      <c r="C261" s="326" t="s">
        <v>823</v>
      </c>
      <c r="D261" s="367">
        <f>ROUND((E261*'Pawn Weights'!$K$34)+(G261*'Pawn Weights'!$K$23)+(H261*'Pawn Weights'!$K$24)+(I261*'Pawn Weights'!$K$25)+(J261*'Pawn Weights'!$K$28)+(K261*'Pawn Weights'!$K$26)+(M261*'Pawn Weights'!$K$29)+(N261*'Pawn Weights'!$K$22)+(O261*'Pawn Weights'!$K$31)+(P261*'Pawn Weights'!$K$32)+(Q261*'Pawn Weights'!$K$33)+(F261*'Pawn Weights'!$K$35)+(S261*'Pawn Weights'!$K$27), 2)</f>
        <v>1573.26</v>
      </c>
      <c r="E261" s="326">
        <v>119.9</v>
      </c>
      <c r="F261" s="326">
        <v>3.6</v>
      </c>
      <c r="G261" s="154"/>
      <c r="H261" s="326">
        <v>124.0</v>
      </c>
      <c r="I261" s="326"/>
      <c r="J261" s="326"/>
      <c r="K261" s="326"/>
      <c r="L261" s="326">
        <v>66.0</v>
      </c>
      <c r="M261" s="326"/>
      <c r="N261" s="326"/>
      <c r="O261" s="326"/>
      <c r="P261" s="326"/>
      <c r="Q261" s="326"/>
      <c r="R261" s="327"/>
      <c r="S261" s="326"/>
      <c r="T261" s="306" t="s">
        <v>1135</v>
      </c>
      <c r="U261" s="326"/>
      <c r="V261" s="326"/>
      <c r="W261" s="329"/>
    </row>
    <row r="262">
      <c r="A262" s="292" t="s">
        <v>1129</v>
      </c>
      <c r="B262" s="288" t="s">
        <v>1162</v>
      </c>
      <c r="C262" s="326" t="s">
        <v>1163</v>
      </c>
      <c r="D262" s="367">
        <f>ROUND((E262*'Pawn Weights'!$K$34)+(G262*'Pawn Weights'!$K$23)+(H262*'Pawn Weights'!$K$24)+(I262*'Pawn Weights'!$K$25)+(J262*'Pawn Weights'!$K$28)+(K262*'Pawn Weights'!$K$26)+(M262*'Pawn Weights'!$K$29)+(N262*'Pawn Weights'!$K$22)+(O262*'Pawn Weights'!$K$31)+(P262*'Pawn Weights'!$K$32)+(Q262*'Pawn Weights'!$K$33)+(F262*'Pawn Weights'!$K$35)+(S262*'Pawn Weights'!$K$27)+'Pawn Weights'!$K$36, 2)</f>
        <v>1571.84</v>
      </c>
      <c r="E262" s="326">
        <v>119.7</v>
      </c>
      <c r="F262" s="326">
        <v>3.7</v>
      </c>
      <c r="G262" s="154"/>
      <c r="H262" s="326"/>
      <c r="I262" s="326">
        <v>4.0</v>
      </c>
      <c r="J262" s="326"/>
      <c r="K262" s="326"/>
      <c r="L262" s="326"/>
      <c r="M262" s="326"/>
      <c r="N262" s="326"/>
      <c r="O262" s="326">
        <v>3.0</v>
      </c>
      <c r="P262" s="326"/>
      <c r="Q262" s="326"/>
      <c r="R262" s="327"/>
      <c r="S262" s="326"/>
      <c r="T262" s="328" t="s">
        <v>1164</v>
      </c>
      <c r="U262" s="326"/>
      <c r="V262" s="326"/>
      <c r="W262" s="329"/>
    </row>
    <row r="263">
      <c r="A263" s="301" t="s">
        <v>1138</v>
      </c>
      <c r="B263" s="288" t="s">
        <v>1165</v>
      </c>
      <c r="C263" s="326" t="s">
        <v>1166</v>
      </c>
      <c r="D263" s="367">
        <f>ROUND((E263*'Pawn Weights'!$K$34)+(G263*'Pawn Weights'!$K$23)+(H263*'Pawn Weights'!$K$24)+(I263*'Pawn Weights'!$K$25)+(J263*'Pawn Weights'!$K$28)+(K263*'Pawn Weights'!$K$26)+(M263*'Pawn Weights'!$K$29)+(N263*'Pawn Weights'!$K$22)+(O263*'Pawn Weights'!$K$31)+(P263*'Pawn Weights'!$K$32)+(Q263*'Pawn Weights'!$K$33)+(F263*'Pawn Weights'!$K$35)+(S263*'Pawn Weights'!$K$27)+'Pawn Weights'!$K$36, 2)</f>
        <v>1496.61</v>
      </c>
      <c r="E263" s="326">
        <v>109.6</v>
      </c>
      <c r="F263" s="326">
        <v>3.6</v>
      </c>
      <c r="G263" s="326">
        <v>42.0</v>
      </c>
      <c r="H263" s="326"/>
      <c r="I263" s="326"/>
      <c r="J263" s="326"/>
      <c r="K263" s="326"/>
      <c r="L263" s="326"/>
      <c r="M263" s="326"/>
      <c r="N263" s="326">
        <v>47.0</v>
      </c>
      <c r="O263" s="326"/>
      <c r="P263" s="326"/>
      <c r="Q263" s="326"/>
      <c r="R263" s="327"/>
      <c r="S263" s="326"/>
      <c r="T263" s="328"/>
      <c r="U263" s="326"/>
      <c r="V263" s="326"/>
      <c r="W263" s="329"/>
    </row>
    <row r="264">
      <c r="A264" s="292" t="s">
        <v>1146</v>
      </c>
      <c r="B264" s="288" t="s">
        <v>1167</v>
      </c>
      <c r="C264" s="326" t="s">
        <v>1168</v>
      </c>
      <c r="D264" s="367">
        <f>ROUND((E264*'Pawn Weights'!$K$34)+(G264*'Pawn Weights'!$K$23)+(H264*'Pawn Weights'!$K$24)+(I264*'Pawn Weights'!$K$25)+(J264*'Pawn Weights'!$K$28)+(K264*'Pawn Weights'!$K$26)+(M264*'Pawn Weights'!$K$29)+(N264*'Pawn Weights'!$K$22)+(O264*'Pawn Weights'!$K$31)+(P264*'Pawn Weights'!$K$32)+(Q264*'Pawn Weights'!$K$33)+(F264*'Pawn Weights'!$K$35)+(S264*'Pawn Weights'!$K$27), 2)</f>
        <v>1495.5</v>
      </c>
      <c r="E264" s="326">
        <v>109.6</v>
      </c>
      <c r="F264" s="326">
        <v>3.7</v>
      </c>
      <c r="G264" s="326"/>
      <c r="H264" s="326">
        <v>96.0</v>
      </c>
      <c r="I264" s="326">
        <v>47.0</v>
      </c>
      <c r="J264" s="326"/>
      <c r="K264" s="326"/>
      <c r="L264" s="326"/>
      <c r="M264" s="326"/>
      <c r="N264" s="326"/>
      <c r="O264" s="326"/>
      <c r="P264" s="326"/>
      <c r="Q264" s="326"/>
      <c r="R264" s="327"/>
      <c r="S264" s="326"/>
      <c r="T264" s="306" t="s">
        <v>1135</v>
      </c>
      <c r="U264" s="326"/>
      <c r="V264" s="326"/>
      <c r="W264" s="329"/>
    </row>
    <row r="265">
      <c r="A265" s="224"/>
      <c r="B265" s="323"/>
      <c r="C265" s="323"/>
      <c r="D265" s="365"/>
      <c r="E265" s="224"/>
      <c r="F265" s="224"/>
      <c r="G265" s="224"/>
      <c r="H265" s="224"/>
      <c r="I265" s="224"/>
      <c r="J265" s="224"/>
      <c r="K265" s="272"/>
      <c r="L265" s="224"/>
      <c r="M265" s="224"/>
      <c r="N265" s="224"/>
      <c r="O265" s="274"/>
      <c r="P265" s="275"/>
      <c r="Q265" s="276"/>
      <c r="R265" s="277"/>
      <c r="S265" s="366"/>
      <c r="T265" s="224"/>
      <c r="U265" s="324"/>
      <c r="V265" s="324"/>
      <c r="W265" s="324"/>
    </row>
    <row r="266" ht="14.25" customHeight="1">
      <c r="A266" s="325" t="s">
        <v>1169</v>
      </c>
      <c r="B266" s="350"/>
      <c r="C266" s="326"/>
      <c r="D266" s="301"/>
      <c r="E266" s="326"/>
      <c r="F266" s="326"/>
      <c r="G266" s="326"/>
      <c r="H266" s="326"/>
      <c r="I266" s="326"/>
      <c r="J266" s="326"/>
      <c r="K266" s="326"/>
      <c r="L266" s="326"/>
      <c r="M266" s="326"/>
      <c r="N266" s="326"/>
      <c r="O266" s="326"/>
      <c r="P266" s="326"/>
      <c r="Q266" s="326"/>
      <c r="R266" s="327"/>
      <c r="S266" s="326"/>
      <c r="T266" s="327"/>
      <c r="U266" s="326"/>
      <c r="V266" s="326"/>
      <c r="W266" s="329"/>
    </row>
    <row r="267">
      <c r="A267" s="292"/>
      <c r="B267" s="288"/>
      <c r="C267" s="326"/>
      <c r="D267" s="301"/>
      <c r="E267" s="326"/>
      <c r="F267" s="326"/>
      <c r="G267" s="326"/>
      <c r="H267" s="326"/>
      <c r="I267" s="326"/>
      <c r="J267" s="326"/>
      <c r="K267" s="326"/>
      <c r="L267" s="326"/>
      <c r="M267" s="326"/>
      <c r="N267" s="326"/>
      <c r="O267" s="326"/>
      <c r="P267" s="326"/>
      <c r="Q267" s="326"/>
      <c r="R267" s="327"/>
      <c r="S267" s="326"/>
      <c r="T267" s="327"/>
      <c r="U267" s="326"/>
      <c r="V267" s="326"/>
      <c r="W267" s="329"/>
    </row>
    <row r="268">
      <c r="A268" s="369" t="s">
        <v>1170</v>
      </c>
      <c r="B268" s="370"/>
      <c r="C268" s="370"/>
      <c r="D268" s="370"/>
      <c r="E268" s="370"/>
      <c r="F268" s="370"/>
      <c r="G268" s="370"/>
      <c r="H268" s="370"/>
      <c r="I268" s="370"/>
      <c r="J268" s="370"/>
      <c r="K268" s="370"/>
      <c r="L268" s="295"/>
      <c r="M268" s="295"/>
      <c r="N268" s="295"/>
      <c r="O268" s="295"/>
      <c r="P268" s="295"/>
      <c r="Q268" s="295"/>
      <c r="R268" s="295"/>
      <c r="S268" s="295"/>
      <c r="T268" s="295"/>
      <c r="U268" s="295"/>
      <c r="V268" s="295"/>
      <c r="W268" s="137"/>
      <c r="X268" s="137"/>
      <c r="Y268" s="137"/>
      <c r="Z268" s="137"/>
    </row>
    <row r="269">
      <c r="A269" s="371" t="s">
        <v>1171</v>
      </c>
      <c r="B269" s="370"/>
      <c r="C269" s="370"/>
      <c r="D269" s="370"/>
      <c r="E269" s="370"/>
      <c r="F269" s="370"/>
      <c r="G269" s="370"/>
      <c r="H269" s="370"/>
      <c r="I269" s="370"/>
      <c r="J269" s="370"/>
      <c r="K269" s="370"/>
      <c r="L269" s="295"/>
      <c r="M269" s="295"/>
      <c r="N269" s="295"/>
      <c r="O269" s="295"/>
      <c r="P269" s="295"/>
      <c r="Q269" s="295"/>
      <c r="R269" s="295"/>
      <c r="S269" s="295"/>
      <c r="T269" s="295"/>
      <c r="U269" s="295"/>
      <c r="V269" s="295"/>
      <c r="W269" s="137"/>
      <c r="X269" s="137"/>
      <c r="Y269" s="137"/>
      <c r="Z269" s="137"/>
    </row>
    <row r="270">
      <c r="A270" s="193" t="s">
        <v>1172</v>
      </c>
      <c r="B270" s="370"/>
      <c r="C270" s="370"/>
      <c r="D270" s="370"/>
      <c r="E270" s="370"/>
      <c r="F270" s="370"/>
      <c r="G270" s="370"/>
      <c r="H270" s="370"/>
      <c r="I270" s="370"/>
      <c r="J270" s="295"/>
      <c r="K270" s="295"/>
      <c r="L270" s="295"/>
      <c r="M270" s="295"/>
      <c r="N270" s="295"/>
      <c r="O270" s="295"/>
      <c r="P270" s="295"/>
      <c r="Q270" s="295"/>
      <c r="R270" s="295"/>
      <c r="S270" s="295"/>
      <c r="T270" s="295"/>
      <c r="U270" s="295"/>
      <c r="V270" s="295"/>
      <c r="W270" s="137"/>
      <c r="X270" s="137"/>
      <c r="Y270" s="137"/>
      <c r="Z270" s="137"/>
    </row>
    <row r="271">
      <c r="A271" s="281"/>
      <c r="B271" s="288"/>
      <c r="C271" s="326"/>
      <c r="D271" s="301"/>
      <c r="E271" s="326"/>
      <c r="F271" s="326"/>
      <c r="G271" s="326"/>
      <c r="H271" s="326"/>
      <c r="I271" s="326"/>
      <c r="J271" s="326"/>
      <c r="K271" s="326"/>
      <c r="L271" s="326"/>
      <c r="M271" s="326"/>
      <c r="N271" s="326"/>
      <c r="O271" s="326"/>
      <c r="P271" s="326"/>
      <c r="Q271" s="326"/>
      <c r="R271" s="327"/>
      <c r="S271" s="326"/>
      <c r="T271" s="327"/>
      <c r="U271" s="326"/>
      <c r="V271" s="326"/>
      <c r="W271" s="329"/>
    </row>
    <row r="272">
      <c r="A272" s="372"/>
      <c r="B272" s="288"/>
      <c r="C272" s="326"/>
      <c r="D272" s="301"/>
      <c r="E272" s="326"/>
      <c r="F272" s="326"/>
      <c r="G272" s="326"/>
      <c r="H272" s="326"/>
      <c r="I272" s="326"/>
      <c r="J272" s="326"/>
      <c r="K272" s="326"/>
      <c r="L272" s="326"/>
      <c r="M272" s="326"/>
      <c r="N272" s="326"/>
      <c r="O272" s="326"/>
      <c r="P272" s="326"/>
      <c r="Q272" s="326"/>
      <c r="R272" s="327"/>
      <c r="S272" s="326"/>
      <c r="T272" s="373"/>
      <c r="U272" s="326"/>
      <c r="V272" s="326"/>
      <c r="W272" s="329"/>
    </row>
    <row r="273" ht="14.25" customHeight="1">
      <c r="A273" s="292"/>
      <c r="B273" s="288"/>
      <c r="C273" s="326"/>
      <c r="D273" s="301"/>
      <c r="E273" s="326"/>
      <c r="F273" s="326"/>
      <c r="G273" s="326"/>
      <c r="H273" s="326"/>
      <c r="I273" s="326"/>
      <c r="J273" s="326"/>
      <c r="K273" s="326"/>
      <c r="L273" s="326"/>
      <c r="M273" s="326"/>
      <c r="N273" s="326"/>
      <c r="O273" s="326"/>
      <c r="P273" s="326"/>
      <c r="Q273" s="326"/>
      <c r="R273" s="327"/>
      <c r="S273" s="326"/>
      <c r="T273" s="327"/>
      <c r="U273" s="326"/>
      <c r="V273" s="326"/>
      <c r="W273" s="329"/>
    </row>
    <row r="274" ht="14.25" customHeight="1">
      <c r="A274" s="292"/>
      <c r="B274" s="288"/>
      <c r="C274" s="326"/>
      <c r="D274" s="301"/>
      <c r="E274" s="326"/>
      <c r="F274" s="326"/>
      <c r="G274" s="326"/>
      <c r="H274" s="326"/>
      <c r="I274" s="326"/>
      <c r="J274" s="326"/>
      <c r="K274" s="326"/>
      <c r="L274" s="326"/>
      <c r="M274" s="326"/>
      <c r="N274" s="326"/>
      <c r="O274" s="326"/>
      <c r="P274" s="326"/>
      <c r="Q274" s="326"/>
      <c r="R274" s="327"/>
      <c r="S274" s="326"/>
      <c r="T274" s="327"/>
      <c r="U274" s="326"/>
      <c r="V274" s="326"/>
      <c r="W274" s="329"/>
    </row>
    <row r="275">
      <c r="A275" s="281"/>
      <c r="B275" s="288"/>
      <c r="C275" s="326"/>
      <c r="D275" s="301"/>
      <c r="E275" s="326"/>
      <c r="F275" s="326"/>
      <c r="G275" s="326"/>
      <c r="H275" s="326"/>
      <c r="I275" s="326"/>
      <c r="J275" s="326"/>
      <c r="K275" s="326"/>
      <c r="L275" s="326"/>
      <c r="M275" s="326"/>
      <c r="N275" s="326"/>
      <c r="O275" s="326"/>
      <c r="P275" s="326"/>
      <c r="Q275" s="326"/>
      <c r="R275" s="327"/>
      <c r="S275" s="326"/>
      <c r="T275" s="327"/>
      <c r="U275" s="326"/>
      <c r="V275" s="326"/>
      <c r="W275" s="329"/>
    </row>
    <row r="276">
      <c r="A276" s="281"/>
      <c r="B276" s="288"/>
      <c r="C276" s="326"/>
      <c r="D276" s="301"/>
      <c r="E276" s="326"/>
      <c r="F276" s="326"/>
      <c r="G276" s="326"/>
      <c r="H276" s="326"/>
      <c r="I276" s="326"/>
      <c r="J276" s="326"/>
      <c r="K276" s="326"/>
      <c r="L276" s="326"/>
      <c r="M276" s="326"/>
      <c r="N276" s="326"/>
      <c r="O276" s="326"/>
      <c r="P276" s="326"/>
      <c r="Q276" s="326"/>
      <c r="R276" s="327"/>
      <c r="S276" s="326"/>
      <c r="T276" s="327"/>
      <c r="U276" s="326"/>
      <c r="V276" s="326"/>
      <c r="W276" s="329"/>
    </row>
    <row r="277" ht="14.25" customHeight="1">
      <c r="A277" s="292"/>
      <c r="B277" s="288"/>
      <c r="C277" s="326"/>
      <c r="D277" s="289"/>
      <c r="E277" s="326"/>
      <c r="F277" s="326"/>
      <c r="G277" s="326"/>
      <c r="H277" s="326"/>
      <c r="I277" s="326"/>
      <c r="J277" s="326"/>
      <c r="K277" s="326"/>
      <c r="L277" s="326"/>
      <c r="M277" s="326"/>
      <c r="N277" s="326"/>
      <c r="O277" s="326"/>
      <c r="P277" s="326"/>
      <c r="Q277" s="326"/>
      <c r="R277" s="327"/>
      <c r="S277" s="326"/>
      <c r="T277" s="327"/>
      <c r="U277" s="326"/>
      <c r="V277" s="326"/>
      <c r="W277" s="329"/>
    </row>
    <row r="278">
      <c r="A278" s="281"/>
      <c r="B278" s="288"/>
      <c r="C278" s="326"/>
      <c r="D278" s="301"/>
      <c r="E278" s="326"/>
      <c r="F278" s="326"/>
      <c r="G278" s="326"/>
      <c r="H278" s="326"/>
      <c r="I278" s="326"/>
      <c r="J278" s="326"/>
      <c r="K278" s="326"/>
      <c r="L278" s="326"/>
      <c r="M278" s="326"/>
      <c r="N278" s="326"/>
      <c r="O278" s="326"/>
      <c r="P278" s="326"/>
      <c r="Q278" s="326"/>
      <c r="R278" s="327"/>
      <c r="S278" s="326"/>
      <c r="T278" s="373"/>
      <c r="U278" s="326"/>
      <c r="V278" s="326"/>
      <c r="W278" s="329"/>
    </row>
    <row r="279" ht="17.25" customHeight="1">
      <c r="A279" s="295"/>
      <c r="B279" s="296"/>
      <c r="C279" s="330"/>
      <c r="D279" s="374"/>
      <c r="E279" s="332"/>
      <c r="F279" s="332"/>
      <c r="G279" s="330"/>
      <c r="H279" s="330"/>
      <c r="I279" s="330"/>
      <c r="J279" s="330"/>
      <c r="K279" s="330"/>
      <c r="L279" s="332"/>
      <c r="M279" s="330"/>
      <c r="N279" s="330"/>
      <c r="O279" s="330"/>
      <c r="P279" s="330"/>
      <c r="Q279" s="330"/>
      <c r="R279" s="295"/>
      <c r="S279" s="330"/>
      <c r="T279" s="316"/>
      <c r="U279" s="330"/>
      <c r="V279" s="330"/>
      <c r="W279" s="137"/>
      <c r="X279" s="137"/>
      <c r="Y279" s="137"/>
      <c r="Z279" s="137"/>
    </row>
    <row r="280">
      <c r="A280" s="375"/>
      <c r="B280" s="288"/>
      <c r="C280" s="326"/>
      <c r="D280" s="289"/>
      <c r="E280" s="326"/>
      <c r="F280" s="326"/>
      <c r="G280" s="326"/>
      <c r="H280" s="326"/>
      <c r="I280" s="326"/>
      <c r="J280" s="326"/>
      <c r="K280" s="326"/>
      <c r="L280" s="326"/>
      <c r="M280" s="326"/>
      <c r="N280" s="326"/>
      <c r="O280" s="326"/>
      <c r="P280" s="326"/>
      <c r="Q280" s="326"/>
      <c r="R280" s="327"/>
      <c r="S280" s="326"/>
      <c r="T280" s="373"/>
      <c r="U280" s="326"/>
      <c r="V280" s="326"/>
      <c r="W280" s="329"/>
    </row>
    <row r="281" ht="15.0" customHeight="1">
      <c r="A281" s="345"/>
      <c r="B281" s="334"/>
      <c r="C281" s="335"/>
      <c r="D281" s="208"/>
      <c r="E281" s="335"/>
      <c r="F281" s="335"/>
      <c r="G281" s="335"/>
      <c r="H281" s="335"/>
      <c r="I281" s="336"/>
      <c r="J281" s="335"/>
      <c r="K281" s="336"/>
      <c r="L281" s="335"/>
      <c r="M281" s="336"/>
      <c r="N281" s="336"/>
      <c r="O281" s="336"/>
      <c r="P281" s="336"/>
      <c r="Q281" s="336"/>
      <c r="R281" s="337"/>
      <c r="S281" s="336"/>
      <c r="T281" s="335"/>
      <c r="U281" s="336"/>
      <c r="V281" s="348"/>
      <c r="W281" s="348"/>
      <c r="X281" s="340"/>
      <c r="Y281" s="340"/>
      <c r="Z281" s="340"/>
    </row>
    <row r="282" ht="14.25" customHeight="1">
      <c r="A282" s="292"/>
      <c r="B282" s="288"/>
      <c r="C282" s="326"/>
      <c r="D282" s="289"/>
      <c r="E282" s="326"/>
      <c r="F282" s="326"/>
      <c r="G282" s="326"/>
      <c r="H282" s="326"/>
      <c r="I282" s="326"/>
      <c r="J282" s="326"/>
      <c r="K282" s="326"/>
      <c r="L282" s="326"/>
      <c r="M282" s="326"/>
      <c r="N282" s="326"/>
      <c r="O282" s="326"/>
      <c r="P282" s="326"/>
      <c r="Q282" s="326"/>
      <c r="R282" s="327"/>
      <c r="S282" s="326"/>
      <c r="T282" s="327"/>
      <c r="U282" s="326"/>
      <c r="V282" s="326"/>
      <c r="W282" s="329"/>
    </row>
    <row r="283">
      <c r="A283" s="295"/>
      <c r="B283" s="296"/>
      <c r="C283" s="330"/>
      <c r="D283" s="374"/>
      <c r="E283" s="332"/>
      <c r="F283" s="332"/>
      <c r="G283" s="295"/>
      <c r="H283" s="332"/>
      <c r="I283" s="332"/>
      <c r="J283" s="330"/>
      <c r="K283" s="330"/>
      <c r="L283" s="330"/>
      <c r="M283" s="330"/>
      <c r="N283" s="330"/>
      <c r="O283" s="330"/>
      <c r="P283" s="332"/>
      <c r="Q283" s="330"/>
      <c r="R283" s="332"/>
      <c r="S283" s="330"/>
      <c r="T283" s="332"/>
      <c r="U283" s="330"/>
      <c r="V283" s="330"/>
      <c r="W283" s="137"/>
      <c r="X283" s="137"/>
      <c r="Y283" s="137"/>
      <c r="Z283" s="137"/>
    </row>
    <row r="284">
      <c r="A284" s="295"/>
      <c r="B284" s="296"/>
      <c r="C284" s="330"/>
      <c r="D284" s="289"/>
      <c r="E284" s="332"/>
      <c r="F284" s="332"/>
      <c r="G284" s="295"/>
      <c r="H284" s="330"/>
      <c r="I284" s="330"/>
      <c r="J284" s="330"/>
      <c r="K284" s="330"/>
      <c r="L284" s="332"/>
      <c r="M284" s="330"/>
      <c r="N284" s="330"/>
      <c r="O284" s="330"/>
      <c r="P284" s="330"/>
      <c r="Q284" s="330"/>
      <c r="R284" s="295"/>
      <c r="S284" s="330"/>
      <c r="T284" s="316"/>
      <c r="U284" s="368"/>
      <c r="V284" s="330"/>
      <c r="W284" s="137"/>
      <c r="X284" s="137"/>
      <c r="Y284" s="137"/>
      <c r="Z284" s="137"/>
    </row>
    <row r="285">
      <c r="A285" s="137"/>
      <c r="B285" s="296"/>
      <c r="C285" s="330"/>
      <c r="D285" s="374"/>
      <c r="E285" s="332"/>
      <c r="F285" s="332"/>
      <c r="G285" s="330"/>
      <c r="H285" s="330"/>
      <c r="I285" s="332"/>
      <c r="J285" s="330"/>
      <c r="K285" s="330"/>
      <c r="L285" s="330"/>
      <c r="M285" s="330"/>
      <c r="N285" s="330"/>
      <c r="O285" s="330"/>
      <c r="P285" s="330"/>
      <c r="Q285" s="330"/>
      <c r="R285" s="295"/>
      <c r="S285" s="330"/>
      <c r="T285" s="316"/>
      <c r="U285" s="330"/>
      <c r="V285" s="330"/>
      <c r="W285" s="137"/>
      <c r="X285" s="137"/>
      <c r="Y285" s="137"/>
      <c r="Z285" s="137"/>
    </row>
    <row r="286">
      <c r="A286" s="349"/>
      <c r="B286" s="351"/>
      <c r="C286" s="351"/>
      <c r="D286" s="351"/>
      <c r="E286" s="351"/>
      <c r="F286" s="351"/>
      <c r="G286" s="351"/>
      <c r="H286" s="351"/>
      <c r="I286" s="351"/>
      <c r="J286" s="351"/>
      <c r="K286" s="351"/>
      <c r="L286" s="351"/>
      <c r="M286" s="351"/>
      <c r="N286" s="351"/>
      <c r="O286" s="351"/>
      <c r="P286" s="351"/>
      <c r="Q286" s="351"/>
      <c r="R286" s="352"/>
      <c r="S286" s="351"/>
      <c r="T286" s="351"/>
      <c r="U286" s="351"/>
      <c r="V286" s="348"/>
      <c r="W286" s="348"/>
      <c r="X286" s="340"/>
      <c r="Y286" s="340"/>
      <c r="Z286" s="340"/>
    </row>
    <row r="287">
      <c r="A287" s="376"/>
      <c r="B287" s="354"/>
      <c r="C287" s="354"/>
      <c r="D287" s="354"/>
      <c r="E287" s="354"/>
      <c r="F287" s="354"/>
      <c r="G287" s="354"/>
      <c r="H287" s="354"/>
      <c r="I287" s="354"/>
      <c r="J287" s="354"/>
      <c r="K287" s="354"/>
      <c r="L287" s="354"/>
      <c r="M287" s="354"/>
      <c r="N287" s="354"/>
      <c r="O287" s="354"/>
      <c r="P287" s="354"/>
      <c r="Q287" s="354"/>
      <c r="R287" s="355"/>
      <c r="S287" s="354"/>
      <c r="T287" s="354"/>
      <c r="U287" s="354"/>
      <c r="V287" s="281"/>
      <c r="W287" s="281"/>
      <c r="X287" s="304"/>
      <c r="Y287" s="304"/>
      <c r="Z287" s="304"/>
    </row>
    <row r="288">
      <c r="A288" s="333"/>
      <c r="B288" s="354"/>
      <c r="C288" s="354"/>
      <c r="D288" s="354"/>
      <c r="E288" s="354"/>
      <c r="F288" s="354"/>
      <c r="G288" s="354"/>
      <c r="H288" s="354"/>
      <c r="I288" s="354"/>
      <c r="J288" s="354"/>
      <c r="K288" s="354"/>
      <c r="L288" s="354"/>
      <c r="M288" s="354"/>
      <c r="N288" s="354"/>
      <c r="O288" s="354"/>
      <c r="P288" s="354"/>
      <c r="Q288" s="354"/>
      <c r="R288" s="355"/>
      <c r="S288" s="354"/>
      <c r="T288" s="354"/>
      <c r="U288" s="354"/>
      <c r="V288" s="357"/>
      <c r="W288" s="357"/>
      <c r="X288" s="304"/>
      <c r="Y288" s="304"/>
      <c r="Z288" s="304"/>
    </row>
    <row r="289">
      <c r="A289" s="377"/>
      <c r="B289" s="354"/>
      <c r="C289" s="354"/>
      <c r="D289" s="354"/>
      <c r="E289" s="354"/>
      <c r="F289" s="354"/>
      <c r="G289" s="354"/>
      <c r="H289" s="354"/>
      <c r="I289" s="354"/>
      <c r="J289" s="354"/>
      <c r="K289" s="354"/>
      <c r="L289" s="354"/>
      <c r="M289" s="354"/>
      <c r="N289" s="354"/>
      <c r="O289" s="354"/>
      <c r="P289" s="354"/>
      <c r="Q289" s="354"/>
      <c r="R289" s="355"/>
      <c r="S289" s="354"/>
      <c r="T289" s="354"/>
      <c r="U289" s="354"/>
      <c r="V289" s="357"/>
      <c r="W289" s="357"/>
      <c r="X289" s="304"/>
      <c r="Y289" s="304"/>
      <c r="Z289" s="304"/>
    </row>
    <row r="290">
      <c r="A290" s="345"/>
      <c r="B290" s="354"/>
      <c r="C290" s="354"/>
      <c r="D290" s="354"/>
      <c r="E290" s="354"/>
      <c r="F290" s="354"/>
      <c r="G290" s="354"/>
      <c r="H290" s="354"/>
      <c r="I290" s="354"/>
      <c r="J290" s="354"/>
      <c r="K290" s="354"/>
      <c r="L290" s="354"/>
      <c r="M290" s="354"/>
      <c r="N290" s="354"/>
      <c r="O290" s="354"/>
      <c r="P290" s="354"/>
      <c r="Q290" s="354"/>
      <c r="R290" s="355"/>
      <c r="S290" s="354"/>
      <c r="T290" s="354"/>
      <c r="U290" s="354"/>
      <c r="V290" s="281"/>
      <c r="W290" s="281"/>
      <c r="X290" s="304"/>
      <c r="Y290" s="304"/>
      <c r="Z290" s="304"/>
    </row>
    <row r="291">
      <c r="A291" s="345"/>
      <c r="B291" s="354"/>
      <c r="C291" s="354"/>
      <c r="D291" s="354"/>
      <c r="E291" s="354"/>
      <c r="F291" s="354"/>
      <c r="G291" s="354"/>
      <c r="H291" s="354"/>
      <c r="I291" s="354"/>
      <c r="J291" s="354"/>
      <c r="K291" s="354"/>
      <c r="L291" s="354"/>
      <c r="M291" s="354"/>
      <c r="N291" s="354"/>
      <c r="O291" s="354"/>
      <c r="P291" s="354"/>
      <c r="Q291" s="354"/>
      <c r="R291" s="355"/>
      <c r="S291" s="354"/>
      <c r="T291" s="354"/>
      <c r="U291" s="354"/>
      <c r="V291" s="281"/>
      <c r="W291" s="281"/>
      <c r="X291" s="304"/>
      <c r="Y291" s="304"/>
      <c r="Z291" s="304"/>
    </row>
    <row r="292">
      <c r="A292" s="345"/>
      <c r="B292" s="354"/>
      <c r="C292" s="354"/>
      <c r="D292" s="354"/>
      <c r="E292" s="354"/>
      <c r="F292" s="354"/>
      <c r="G292" s="354"/>
      <c r="H292" s="354"/>
      <c r="I292" s="354"/>
      <c r="J292" s="354"/>
      <c r="K292" s="354"/>
      <c r="L292" s="354"/>
      <c r="M292" s="354"/>
      <c r="N292" s="354"/>
      <c r="O292" s="354"/>
      <c r="P292" s="354"/>
      <c r="Q292" s="354"/>
      <c r="R292" s="355"/>
      <c r="S292" s="354"/>
      <c r="T292" s="354"/>
      <c r="U292" s="354"/>
      <c r="V292" s="281"/>
      <c r="W292" s="281"/>
      <c r="X292" s="304"/>
      <c r="Y292" s="304"/>
      <c r="Z292" s="304"/>
    </row>
    <row r="293">
      <c r="A293" s="345"/>
      <c r="B293" s="281"/>
      <c r="C293" s="281"/>
      <c r="D293" s="281"/>
      <c r="E293" s="281"/>
      <c r="F293" s="281"/>
      <c r="G293" s="354"/>
      <c r="H293" s="281"/>
      <c r="I293" s="281"/>
      <c r="J293" s="281"/>
      <c r="K293" s="281"/>
      <c r="L293" s="281"/>
      <c r="M293" s="281"/>
      <c r="N293" s="281"/>
      <c r="O293" s="281"/>
      <c r="P293" s="281"/>
      <c r="Q293" s="281"/>
      <c r="R293" s="282"/>
      <c r="S293" s="281"/>
      <c r="T293" s="281"/>
      <c r="U293" s="281"/>
      <c r="V293" s="281"/>
      <c r="W293" s="281"/>
      <c r="X293" s="304"/>
      <c r="Y293" s="304"/>
      <c r="Z293" s="304"/>
    </row>
    <row r="294">
      <c r="A294" s="345"/>
      <c r="B294" s="281"/>
      <c r="C294" s="281"/>
      <c r="D294" s="281"/>
      <c r="E294" s="281"/>
      <c r="F294" s="281"/>
      <c r="G294" s="354"/>
      <c r="H294" s="281"/>
      <c r="I294" s="281"/>
      <c r="J294" s="281"/>
      <c r="K294" s="281"/>
      <c r="L294" s="281"/>
      <c r="M294" s="281"/>
      <c r="N294" s="281"/>
      <c r="O294" s="281"/>
      <c r="P294" s="281"/>
      <c r="Q294" s="281"/>
      <c r="R294" s="282"/>
      <c r="S294" s="281"/>
      <c r="T294" s="281"/>
      <c r="U294" s="281"/>
      <c r="V294" s="281"/>
      <c r="W294" s="281"/>
      <c r="X294" s="304"/>
      <c r="Y294" s="304"/>
      <c r="Z294" s="304"/>
    </row>
    <row r="295">
      <c r="A295" s="345"/>
      <c r="B295" s="281"/>
      <c r="C295" s="281"/>
      <c r="D295" s="281"/>
      <c r="E295" s="281"/>
      <c r="F295" s="281"/>
      <c r="G295" s="354"/>
      <c r="H295" s="281"/>
      <c r="I295" s="281"/>
      <c r="J295" s="281"/>
      <c r="K295" s="281"/>
      <c r="L295" s="281"/>
      <c r="M295" s="281"/>
      <c r="N295" s="281"/>
      <c r="O295" s="281"/>
      <c r="P295" s="281"/>
      <c r="Q295" s="281"/>
      <c r="R295" s="282"/>
      <c r="S295" s="281"/>
      <c r="T295" s="281"/>
      <c r="U295" s="281"/>
      <c r="V295" s="281"/>
      <c r="W295" s="281"/>
      <c r="X295" s="304"/>
      <c r="Y295" s="304"/>
      <c r="Z295" s="304"/>
    </row>
    <row r="296">
      <c r="A296" s="345"/>
      <c r="B296" s="281"/>
      <c r="C296" s="281"/>
      <c r="D296" s="281"/>
      <c r="E296" s="281"/>
      <c r="F296" s="281"/>
      <c r="G296" s="354"/>
      <c r="H296" s="281"/>
      <c r="I296" s="281"/>
      <c r="J296" s="281"/>
      <c r="K296" s="281"/>
      <c r="L296" s="281"/>
      <c r="M296" s="281"/>
      <c r="N296" s="281"/>
      <c r="O296" s="281"/>
      <c r="P296" s="281"/>
      <c r="Q296" s="281"/>
      <c r="R296" s="282"/>
      <c r="S296" s="281"/>
      <c r="T296" s="281"/>
      <c r="U296" s="281"/>
      <c r="V296" s="281"/>
      <c r="W296" s="281"/>
      <c r="X296" s="304"/>
      <c r="Y296" s="304"/>
      <c r="Z296" s="304"/>
    </row>
    <row r="297">
      <c r="A297" s="345"/>
      <c r="B297" s="281"/>
      <c r="C297" s="281"/>
      <c r="D297" s="281"/>
      <c r="E297" s="281"/>
      <c r="F297" s="281"/>
      <c r="G297" s="354"/>
      <c r="H297" s="281"/>
      <c r="I297" s="281"/>
      <c r="J297" s="281"/>
      <c r="K297" s="281"/>
      <c r="L297" s="281"/>
      <c r="M297" s="281"/>
      <c r="N297" s="281"/>
      <c r="O297" s="281"/>
      <c r="P297" s="281"/>
      <c r="Q297" s="281"/>
      <c r="R297" s="282"/>
      <c r="S297" s="281"/>
      <c r="T297" s="281"/>
      <c r="U297" s="281"/>
      <c r="V297" s="281"/>
      <c r="W297" s="281"/>
      <c r="X297" s="304"/>
      <c r="Y297" s="304"/>
      <c r="Z297" s="304"/>
    </row>
    <row r="298">
      <c r="A298" s="345"/>
      <c r="B298" s="281"/>
      <c r="C298" s="281"/>
      <c r="D298" s="281"/>
      <c r="E298" s="281"/>
      <c r="F298" s="281"/>
      <c r="G298" s="354"/>
      <c r="H298" s="281"/>
      <c r="I298" s="281"/>
      <c r="J298" s="281"/>
      <c r="K298" s="281"/>
      <c r="L298" s="281"/>
      <c r="M298" s="281"/>
      <c r="N298" s="281"/>
      <c r="O298" s="281"/>
      <c r="P298" s="281"/>
      <c r="Q298" s="281"/>
      <c r="R298" s="282"/>
      <c r="S298" s="281"/>
      <c r="T298" s="281"/>
      <c r="U298" s="281"/>
      <c r="V298" s="281"/>
      <c r="W298" s="281"/>
      <c r="X298" s="304"/>
      <c r="Y298" s="304"/>
      <c r="Z298" s="304"/>
    </row>
    <row r="299">
      <c r="A299" s="345"/>
      <c r="B299" s="281"/>
      <c r="C299" s="281"/>
      <c r="D299" s="281"/>
      <c r="E299" s="281"/>
      <c r="F299" s="281"/>
      <c r="G299" s="354"/>
      <c r="H299" s="281"/>
      <c r="I299" s="281"/>
      <c r="J299" s="281"/>
      <c r="K299" s="281"/>
      <c r="L299" s="281"/>
      <c r="M299" s="281"/>
      <c r="N299" s="281"/>
      <c r="O299" s="281"/>
      <c r="P299" s="281"/>
      <c r="Q299" s="281"/>
      <c r="R299" s="282"/>
      <c r="S299" s="281"/>
      <c r="T299" s="281"/>
      <c r="U299" s="281"/>
      <c r="V299" s="281"/>
      <c r="W299" s="281"/>
      <c r="X299" s="304"/>
      <c r="Y299" s="304"/>
      <c r="Z299" s="304"/>
    </row>
    <row r="300">
      <c r="A300" s="345"/>
      <c r="B300" s="281"/>
      <c r="C300" s="281"/>
      <c r="D300" s="281"/>
      <c r="E300" s="281"/>
      <c r="F300" s="281"/>
      <c r="G300" s="354"/>
      <c r="H300" s="281"/>
      <c r="I300" s="281"/>
      <c r="J300" s="281"/>
      <c r="K300" s="281"/>
      <c r="L300" s="281"/>
      <c r="M300" s="281"/>
      <c r="N300" s="281"/>
      <c r="O300" s="281"/>
      <c r="P300" s="281"/>
      <c r="Q300" s="281"/>
      <c r="R300" s="282"/>
      <c r="S300" s="281"/>
      <c r="T300" s="281"/>
      <c r="U300" s="281"/>
      <c r="V300" s="281"/>
      <c r="W300" s="281"/>
      <c r="X300" s="304"/>
      <c r="Y300" s="304"/>
      <c r="Z300" s="304"/>
    </row>
    <row r="301">
      <c r="A301" s="345"/>
      <c r="B301" s="281"/>
      <c r="C301" s="281"/>
      <c r="D301" s="281"/>
      <c r="E301" s="281"/>
      <c r="F301" s="281"/>
      <c r="G301" s="354"/>
      <c r="H301" s="281"/>
      <c r="I301" s="281"/>
      <c r="J301" s="281"/>
      <c r="K301" s="281"/>
      <c r="L301" s="281"/>
      <c r="M301" s="281"/>
      <c r="N301" s="281"/>
      <c r="O301" s="281"/>
      <c r="P301" s="281"/>
      <c r="Q301" s="281"/>
      <c r="R301" s="282"/>
      <c r="S301" s="281"/>
      <c r="T301" s="281"/>
      <c r="U301" s="281"/>
      <c r="V301" s="281"/>
      <c r="W301" s="281"/>
      <c r="X301" s="304"/>
      <c r="Y301" s="304"/>
      <c r="Z301" s="304"/>
    </row>
    <row r="302">
      <c r="A302" s="345"/>
      <c r="B302" s="281"/>
      <c r="C302" s="281"/>
      <c r="D302" s="281"/>
      <c r="E302" s="281"/>
      <c r="F302" s="281"/>
      <c r="G302" s="329"/>
      <c r="H302" s="281"/>
      <c r="I302" s="281"/>
      <c r="J302" s="281"/>
      <c r="K302" s="281"/>
      <c r="L302" s="281"/>
      <c r="M302" s="281"/>
      <c r="N302" s="281"/>
      <c r="O302" s="281"/>
      <c r="P302" s="281"/>
      <c r="Q302" s="281"/>
      <c r="R302" s="282"/>
      <c r="S302" s="281"/>
      <c r="T302" s="281"/>
      <c r="U302" s="281"/>
      <c r="V302" s="281"/>
      <c r="W302" s="281"/>
      <c r="X302" s="304"/>
      <c r="Y302" s="304"/>
      <c r="Z302" s="304"/>
    </row>
    <row r="303">
      <c r="A303" s="345"/>
      <c r="B303" s="281"/>
      <c r="C303" s="281"/>
      <c r="D303" s="281"/>
      <c r="E303" s="281"/>
      <c r="F303" s="281"/>
      <c r="G303" s="329"/>
      <c r="H303" s="281"/>
      <c r="I303" s="281"/>
      <c r="J303" s="281"/>
      <c r="K303" s="281"/>
      <c r="L303" s="281"/>
      <c r="M303" s="281"/>
      <c r="N303" s="281"/>
      <c r="O303" s="281"/>
      <c r="P303" s="281"/>
      <c r="Q303" s="281"/>
      <c r="R303" s="282"/>
      <c r="S303" s="281"/>
      <c r="T303" s="281"/>
      <c r="U303" s="281"/>
      <c r="V303" s="281"/>
      <c r="W303" s="281"/>
      <c r="X303" s="304"/>
      <c r="Y303" s="304"/>
      <c r="Z303" s="304"/>
    </row>
    <row r="304">
      <c r="A304" s="345"/>
      <c r="B304" s="281"/>
      <c r="C304" s="281"/>
      <c r="D304" s="281"/>
      <c r="E304" s="281"/>
      <c r="F304" s="281"/>
      <c r="G304" s="329"/>
      <c r="H304" s="281"/>
      <c r="I304" s="281"/>
      <c r="J304" s="281"/>
      <c r="K304" s="281"/>
      <c r="L304" s="281"/>
      <c r="M304" s="281"/>
      <c r="N304" s="281"/>
      <c r="O304" s="281"/>
      <c r="P304" s="281"/>
      <c r="Q304" s="281"/>
      <c r="R304" s="282"/>
      <c r="S304" s="281"/>
      <c r="T304" s="281"/>
      <c r="U304" s="281"/>
      <c r="V304" s="281"/>
      <c r="W304" s="281"/>
      <c r="X304" s="304"/>
      <c r="Y304" s="304"/>
      <c r="Z304" s="304"/>
    </row>
    <row r="305">
      <c r="A305" s="345"/>
      <c r="B305" s="281"/>
      <c r="C305" s="281"/>
      <c r="D305" s="281"/>
      <c r="E305" s="281"/>
      <c r="F305" s="281"/>
      <c r="G305" s="326"/>
      <c r="H305" s="281"/>
      <c r="I305" s="281"/>
      <c r="J305" s="281"/>
      <c r="K305" s="281"/>
      <c r="L305" s="281"/>
      <c r="M305" s="281"/>
      <c r="N305" s="281"/>
      <c r="O305" s="281"/>
      <c r="P305" s="281"/>
      <c r="Q305" s="281"/>
      <c r="R305" s="282"/>
      <c r="S305" s="281"/>
      <c r="T305" s="281"/>
      <c r="U305" s="281"/>
      <c r="V305" s="281"/>
      <c r="W305" s="281"/>
      <c r="X305" s="304"/>
      <c r="Y305" s="304"/>
      <c r="Z305" s="304"/>
    </row>
    <row r="306">
      <c r="A306" s="345"/>
      <c r="B306" s="281"/>
      <c r="C306" s="281"/>
      <c r="D306" s="281"/>
      <c r="E306" s="281"/>
      <c r="F306" s="281"/>
      <c r="G306" s="326"/>
      <c r="H306" s="281"/>
      <c r="I306" s="281"/>
      <c r="J306" s="281"/>
      <c r="K306" s="281"/>
      <c r="L306" s="281"/>
      <c r="M306" s="281"/>
      <c r="N306" s="281"/>
      <c r="O306" s="281"/>
      <c r="P306" s="281"/>
      <c r="Q306" s="281"/>
      <c r="R306" s="282"/>
      <c r="S306" s="281"/>
      <c r="T306" s="281"/>
      <c r="U306" s="281"/>
      <c r="V306" s="281"/>
      <c r="W306" s="281"/>
      <c r="X306" s="304"/>
      <c r="Y306" s="304"/>
      <c r="Z306" s="304"/>
    </row>
    <row r="307">
      <c r="A307" s="345"/>
      <c r="B307" s="281"/>
      <c r="C307" s="281"/>
      <c r="D307" s="281"/>
      <c r="E307" s="281"/>
      <c r="F307" s="281"/>
      <c r="G307" s="326"/>
      <c r="H307" s="281"/>
      <c r="I307" s="281"/>
      <c r="J307" s="281"/>
      <c r="K307" s="281"/>
      <c r="L307" s="281"/>
      <c r="M307" s="281"/>
      <c r="N307" s="281"/>
      <c r="O307" s="281"/>
      <c r="P307" s="281"/>
      <c r="Q307" s="281"/>
      <c r="R307" s="282"/>
      <c r="S307" s="281"/>
      <c r="T307" s="281"/>
      <c r="U307" s="281"/>
      <c r="V307" s="281"/>
      <c r="W307" s="281"/>
      <c r="X307" s="304"/>
      <c r="Y307" s="304"/>
      <c r="Z307" s="304"/>
    </row>
    <row r="308">
      <c r="A308" s="345"/>
      <c r="B308" s="281"/>
      <c r="C308" s="281"/>
      <c r="D308" s="281"/>
      <c r="E308" s="281"/>
      <c r="F308" s="281"/>
      <c r="G308" s="326"/>
      <c r="H308" s="281"/>
      <c r="I308" s="281"/>
      <c r="J308" s="281"/>
      <c r="K308" s="281"/>
      <c r="L308" s="281"/>
      <c r="M308" s="281"/>
      <c r="N308" s="281"/>
      <c r="O308" s="281"/>
      <c r="P308" s="281"/>
      <c r="Q308" s="281"/>
      <c r="R308" s="282"/>
      <c r="S308" s="281"/>
      <c r="T308" s="281"/>
      <c r="U308" s="281"/>
      <c r="V308" s="281"/>
      <c r="W308" s="281"/>
      <c r="X308" s="304"/>
      <c r="Y308" s="304"/>
      <c r="Z308" s="304"/>
    </row>
    <row r="309">
      <c r="A309" s="345"/>
      <c r="B309" s="281"/>
      <c r="C309" s="281"/>
      <c r="D309" s="281"/>
      <c r="E309" s="281"/>
      <c r="F309" s="281"/>
      <c r="G309" s="281"/>
      <c r="H309" s="281"/>
      <c r="I309" s="281"/>
      <c r="J309" s="281"/>
      <c r="K309" s="281"/>
      <c r="L309" s="281"/>
      <c r="M309" s="281"/>
      <c r="N309" s="281"/>
      <c r="O309" s="281"/>
      <c r="P309" s="281"/>
      <c r="Q309" s="281"/>
      <c r="R309" s="282"/>
      <c r="S309" s="281"/>
      <c r="T309" s="281"/>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1"/>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2"/>
      <c r="S311" s="281"/>
      <c r="T311" s="281"/>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2"/>
      <c r="S312" s="281"/>
      <c r="T312" s="281"/>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2"/>
      <c r="S313" s="281"/>
      <c r="T313" s="281"/>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2"/>
      <c r="S314" s="281"/>
      <c r="T314" s="281"/>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2"/>
      <c r="S315" s="281"/>
      <c r="T315" s="281"/>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2"/>
      <c r="S316" s="281"/>
      <c r="T316" s="281"/>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2"/>
      <c r="S317" s="281"/>
      <c r="T317" s="281"/>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2"/>
      <c r="S318" s="281"/>
      <c r="T318" s="281"/>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2"/>
      <c r="S319" s="281"/>
      <c r="T319" s="281"/>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2"/>
      <c r="S320" s="281"/>
      <c r="T320" s="281"/>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2"/>
      <c r="S321" s="281"/>
      <c r="T321" s="281"/>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2"/>
      <c r="S322" s="281"/>
      <c r="T322" s="281"/>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2"/>
      <c r="S323" s="281"/>
      <c r="T323" s="281"/>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2"/>
      <c r="S324" s="281"/>
      <c r="T324" s="281"/>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2"/>
      <c r="S325" s="281"/>
      <c r="T325" s="281"/>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2"/>
      <c r="S326" s="281"/>
      <c r="T326" s="281"/>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2"/>
      <c r="S327" s="281"/>
      <c r="T327" s="281"/>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2"/>
      <c r="S328" s="281"/>
      <c r="T328" s="281"/>
      <c r="U328" s="281"/>
      <c r="V328" s="281"/>
      <c r="W328" s="281"/>
      <c r="X328" s="304"/>
      <c r="Y328" s="304"/>
      <c r="Z328" s="304"/>
    </row>
    <row r="329">
      <c r="A329" s="345"/>
      <c r="B329" s="281"/>
      <c r="C329" s="281"/>
      <c r="D329" s="281"/>
      <c r="E329" s="281"/>
      <c r="F329" s="281"/>
      <c r="G329" s="281"/>
      <c r="H329" s="281"/>
      <c r="I329" s="281"/>
      <c r="J329" s="281"/>
      <c r="K329" s="281"/>
      <c r="L329" s="281"/>
      <c r="M329" s="281"/>
      <c r="N329" s="281"/>
      <c r="O329" s="281"/>
      <c r="P329" s="281"/>
      <c r="Q329" s="281"/>
      <c r="R329" s="282"/>
      <c r="S329" s="281"/>
      <c r="T329" s="281"/>
      <c r="U329" s="281"/>
      <c r="V329" s="281"/>
      <c r="W329" s="281"/>
      <c r="X329" s="304"/>
      <c r="Y329" s="304"/>
      <c r="Z329" s="304"/>
    </row>
    <row r="330">
      <c r="A330" s="345"/>
      <c r="B330" s="281"/>
      <c r="C330" s="281"/>
      <c r="D330" s="281"/>
      <c r="E330" s="281"/>
      <c r="F330" s="281"/>
      <c r="G330" s="281"/>
      <c r="H330" s="281"/>
      <c r="I330" s="281"/>
      <c r="J330" s="281"/>
      <c r="K330" s="281"/>
      <c r="L330" s="281"/>
      <c r="M330" s="281"/>
      <c r="N330" s="281"/>
      <c r="O330" s="281"/>
      <c r="P330" s="281"/>
      <c r="Q330" s="281"/>
      <c r="R330" s="282"/>
      <c r="S330" s="281"/>
      <c r="T330" s="281"/>
      <c r="U330" s="281"/>
      <c r="V330" s="281"/>
      <c r="W330" s="281"/>
      <c r="X330" s="304"/>
      <c r="Y330" s="304"/>
      <c r="Z330" s="304"/>
    </row>
    <row r="331">
      <c r="A331" s="345"/>
      <c r="B331" s="281"/>
      <c r="C331" s="281"/>
      <c r="D331" s="281"/>
      <c r="E331" s="281"/>
      <c r="F331" s="281"/>
      <c r="G331" s="281"/>
      <c r="H331" s="281"/>
      <c r="I331" s="281"/>
      <c r="J331" s="281"/>
      <c r="K331" s="281"/>
      <c r="L331" s="281"/>
      <c r="M331" s="281"/>
      <c r="N331" s="281"/>
      <c r="O331" s="281"/>
      <c r="P331" s="281"/>
      <c r="Q331" s="281"/>
      <c r="R331" s="282"/>
      <c r="S331" s="281"/>
      <c r="T331" s="281"/>
      <c r="U331" s="281"/>
      <c r="V331" s="281"/>
      <c r="W331" s="281"/>
      <c r="X331" s="304"/>
      <c r="Y331" s="304"/>
      <c r="Z331" s="304"/>
    </row>
    <row r="332">
      <c r="A332" s="345"/>
      <c r="B332" s="281"/>
      <c r="C332" s="281"/>
      <c r="D332" s="281"/>
      <c r="E332" s="281"/>
      <c r="F332" s="281"/>
      <c r="G332" s="281"/>
      <c r="H332" s="281"/>
      <c r="I332" s="281"/>
      <c r="J332" s="281"/>
      <c r="K332" s="281"/>
      <c r="L332" s="281"/>
      <c r="M332" s="281"/>
      <c r="N332" s="281"/>
      <c r="O332" s="281"/>
      <c r="P332" s="281"/>
      <c r="Q332" s="281"/>
      <c r="R332" s="281"/>
      <c r="S332" s="281"/>
      <c r="T332" s="281"/>
      <c r="U332" s="281"/>
      <c r="V332" s="281"/>
      <c r="W332" s="281"/>
      <c r="X332" s="304"/>
      <c r="Y332" s="304"/>
      <c r="Z332" s="304"/>
    </row>
    <row r="333">
      <c r="A333" s="345"/>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304"/>
      <c r="Y333" s="304"/>
      <c r="Z333" s="304"/>
    </row>
    <row r="334">
      <c r="A334" s="345"/>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304"/>
      <c r="Y334" s="304"/>
      <c r="Z334" s="304"/>
    </row>
    <row r="335">
      <c r="A335" s="345"/>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304"/>
      <c r="Y335" s="304"/>
      <c r="Z335" s="304"/>
    </row>
    <row r="336">
      <c r="A336" s="345"/>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304"/>
      <c r="Y336" s="304"/>
      <c r="Z336" s="304"/>
    </row>
    <row r="337">
      <c r="A337" s="345"/>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304"/>
      <c r="Y337" s="304"/>
      <c r="Z337" s="304"/>
    </row>
    <row r="338">
      <c r="A338" s="345"/>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304"/>
      <c r="Y338" s="304"/>
      <c r="Z338" s="304"/>
    </row>
    <row r="339">
      <c r="A339" s="345"/>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304"/>
      <c r="Y339" s="304"/>
      <c r="Z339" s="304"/>
    </row>
    <row r="340">
      <c r="A340" s="345"/>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304"/>
      <c r="Y340" s="304"/>
      <c r="Z340" s="304"/>
    </row>
    <row r="341">
      <c r="A341" s="345"/>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304"/>
      <c r="Y341" s="304"/>
      <c r="Z341" s="304"/>
    </row>
    <row r="342">
      <c r="A342" s="345"/>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304"/>
      <c r="Y342" s="304"/>
      <c r="Z342" s="304"/>
    </row>
    <row r="343">
      <c r="A343" s="345"/>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304"/>
      <c r="Y343" s="304"/>
      <c r="Z343" s="304"/>
    </row>
    <row r="344">
      <c r="A344" s="345"/>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304"/>
      <c r="Y344" s="304"/>
      <c r="Z344" s="304"/>
    </row>
    <row r="345">
      <c r="A345" s="345"/>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304"/>
      <c r="Y345" s="304"/>
      <c r="Z345" s="304"/>
    </row>
    <row r="346">
      <c r="A346" s="345"/>
      <c r="B346" s="281"/>
      <c r="C346" s="281"/>
      <c r="D346" s="281"/>
      <c r="E346" s="281"/>
      <c r="F346" s="281"/>
      <c r="G346" s="281"/>
      <c r="H346" s="281"/>
      <c r="I346" s="281"/>
      <c r="J346" s="281"/>
      <c r="K346" s="281"/>
      <c r="L346" s="281"/>
      <c r="M346" s="281"/>
      <c r="N346" s="281"/>
      <c r="O346" s="281"/>
      <c r="P346" s="281"/>
      <c r="Q346" s="281"/>
      <c r="R346" s="281"/>
      <c r="S346" s="281"/>
      <c r="T346" s="281"/>
      <c r="U346" s="281"/>
      <c r="V346" s="281"/>
      <c r="W346" s="281"/>
      <c r="X346" s="304"/>
      <c r="Y346" s="304"/>
      <c r="Z346" s="304"/>
    </row>
    <row r="347">
      <c r="A347" s="345"/>
      <c r="B347" s="281"/>
      <c r="C347" s="281"/>
      <c r="D347" s="281"/>
      <c r="E347" s="281"/>
      <c r="F347" s="281"/>
      <c r="G347" s="281"/>
      <c r="H347" s="281"/>
      <c r="I347" s="281"/>
      <c r="J347" s="281"/>
      <c r="K347" s="281"/>
      <c r="L347" s="281"/>
      <c r="M347" s="281"/>
      <c r="N347" s="281"/>
      <c r="O347" s="281"/>
      <c r="P347" s="281"/>
      <c r="Q347" s="281"/>
      <c r="R347" s="281"/>
      <c r="S347" s="281"/>
      <c r="T347" s="281"/>
      <c r="U347" s="281"/>
      <c r="V347" s="281"/>
      <c r="W347" s="281"/>
      <c r="X347" s="304"/>
      <c r="Y347" s="304"/>
      <c r="Z347" s="304"/>
    </row>
    <row r="348">
      <c r="A348" s="345"/>
      <c r="B348" s="281"/>
      <c r="C348" s="281"/>
      <c r="D348" s="281"/>
      <c r="E348" s="281"/>
      <c r="F348" s="281"/>
      <c r="G348" s="281"/>
      <c r="H348" s="281"/>
      <c r="I348" s="281"/>
      <c r="J348" s="281"/>
      <c r="K348" s="281"/>
      <c r="L348" s="281"/>
      <c r="M348" s="281"/>
      <c r="N348" s="281"/>
      <c r="O348" s="281"/>
      <c r="P348" s="281"/>
      <c r="Q348" s="281"/>
      <c r="R348" s="281"/>
      <c r="S348" s="281"/>
      <c r="T348" s="281"/>
      <c r="U348" s="281"/>
      <c r="V348" s="281"/>
      <c r="W348" s="281"/>
      <c r="X348" s="304"/>
      <c r="Y348" s="304"/>
      <c r="Z348" s="304"/>
    </row>
    <row r="349">
      <c r="A349" s="345"/>
      <c r="B349" s="281"/>
      <c r="C349" s="281"/>
      <c r="D349" s="281"/>
      <c r="E349" s="281"/>
      <c r="F349" s="281"/>
      <c r="G349" s="281"/>
      <c r="H349" s="281"/>
      <c r="I349" s="281"/>
      <c r="J349" s="281"/>
      <c r="K349" s="281"/>
      <c r="L349" s="281"/>
      <c r="M349" s="281"/>
      <c r="N349" s="281"/>
      <c r="O349" s="281"/>
      <c r="P349" s="281"/>
      <c r="Q349" s="281"/>
      <c r="R349" s="281"/>
      <c r="S349" s="281"/>
      <c r="T349" s="281"/>
      <c r="U349" s="281"/>
      <c r="V349" s="281"/>
      <c r="W349" s="281"/>
      <c r="X349" s="304"/>
      <c r="Y349" s="304"/>
      <c r="Z349" s="304"/>
    </row>
  </sheetData>
  <conditionalFormatting sqref="D1">
    <cfRule type="notContainsBlanks" dxfId="0" priority="1">
      <formula>LEN(TRIM(D1))&gt;0</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14"/>
    <col customWidth="1" min="2" max="2" width="38.0"/>
    <col customWidth="1" min="3" max="3" width="49.43"/>
    <col customWidth="1" min="4" max="4" width="19.0"/>
    <col customWidth="1" min="5" max="5" width="6.14"/>
    <col customWidth="1" min="6" max="6" width="9.14"/>
    <col customWidth="1" min="7" max="7" width="5.14"/>
    <col customWidth="1" min="8" max="8" width="10.14"/>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102.0"/>
    <col customWidth="1" min="21" max="21" width="18.14"/>
    <col customWidth="1" min="23" max="23" width="24.29"/>
    <col customWidth="1" min="24" max="24" width="20.57"/>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77" t="s">
        <v>615</v>
      </c>
    </row>
    <row r="2" ht="20.25" customHeight="1">
      <c r="A2" s="278"/>
      <c r="B2" s="279" t="s">
        <v>616</v>
      </c>
      <c r="C2" s="280"/>
      <c r="D2" s="378"/>
      <c r="E2" s="281"/>
      <c r="F2" s="281"/>
      <c r="G2" s="281"/>
      <c r="H2" s="281"/>
      <c r="I2" s="281"/>
      <c r="J2" s="281"/>
      <c r="K2" s="281"/>
      <c r="L2" s="281"/>
      <c r="M2" s="281"/>
      <c r="N2" s="280"/>
      <c r="O2" s="280"/>
      <c r="P2" s="280"/>
      <c r="Q2" s="280"/>
      <c r="R2" s="282"/>
      <c r="S2" s="281"/>
      <c r="T2" s="282"/>
      <c r="U2" s="281"/>
      <c r="V2" s="281"/>
      <c r="W2" s="281"/>
    </row>
    <row r="3">
      <c r="A3" s="272"/>
      <c r="B3" s="376" t="s">
        <v>1174</v>
      </c>
      <c r="C3" s="280"/>
      <c r="D3" s="378"/>
      <c r="E3" s="281"/>
      <c r="F3" s="281"/>
      <c r="G3" s="281"/>
      <c r="H3" s="281"/>
      <c r="I3" s="281"/>
      <c r="J3" s="281"/>
      <c r="K3" s="281"/>
      <c r="L3" s="281"/>
      <c r="M3" s="281"/>
      <c r="N3" s="281"/>
      <c r="O3" s="281"/>
      <c r="P3" s="281"/>
      <c r="Q3" s="281"/>
      <c r="R3" s="282"/>
      <c r="S3" s="281"/>
      <c r="T3" s="282"/>
      <c r="U3" s="137"/>
      <c r="V3" s="137"/>
      <c r="W3" s="137"/>
    </row>
    <row r="4">
      <c r="A4" s="286" t="s">
        <v>619</v>
      </c>
      <c r="B4" s="379" t="s">
        <v>1175</v>
      </c>
      <c r="C4" s="280"/>
      <c r="D4" s="378"/>
      <c r="E4" s="281"/>
      <c r="F4" s="281"/>
      <c r="G4" s="281"/>
      <c r="H4" s="281"/>
      <c r="I4" s="281"/>
      <c r="J4" s="281"/>
      <c r="K4" s="281"/>
      <c r="L4" s="281"/>
      <c r="M4" s="281"/>
      <c r="N4" s="281"/>
      <c r="O4" s="281"/>
      <c r="P4" s="281"/>
      <c r="Q4" s="281"/>
      <c r="R4" s="282"/>
      <c r="S4" s="281"/>
      <c r="T4" s="282"/>
      <c r="U4" s="281"/>
      <c r="V4" s="281"/>
      <c r="W4" s="281"/>
    </row>
    <row r="5">
      <c r="A5" s="137"/>
      <c r="B5" s="296" t="s">
        <v>625</v>
      </c>
      <c r="C5" s="297" t="s">
        <v>621</v>
      </c>
      <c r="D5" s="289">
        <f>ROUND((F5*'Pawn Weights'!$K$40)+(G5*'Pawn Weights'!$K$41)+(H5*'Pawn Weights'!$K$42)+(I5*'Pawn Weights'!$K$43)+(J5*'Pawn Weights'!$K$44)+(K5*'Pawn Weights'!$K$45)+(L5*'Pawn Weights'!$K$46)+(M5*'Pawn Weights'!$K$47)+(N5*'Pawn Weights'!$K$48)+(O5*'Pawn Weights'!$K$49)+(P5*'Pawn Weights'!$K$50)+(Q5*'Pawn Weights'!$K$51)-27.1+25.1+10.84, 2)</f>
        <v>507.01</v>
      </c>
      <c r="E5" s="359">
        <v>57.0</v>
      </c>
      <c r="F5" s="361"/>
      <c r="G5" s="359">
        <v>43.0</v>
      </c>
      <c r="H5" s="359">
        <v>126.0</v>
      </c>
      <c r="I5" s="361"/>
      <c r="J5" s="359">
        <v>30.0</v>
      </c>
      <c r="K5" s="359">
        <v>34.0</v>
      </c>
      <c r="L5" s="361"/>
      <c r="M5" s="137"/>
      <c r="N5" s="359">
        <v>1.0</v>
      </c>
      <c r="O5" s="359">
        <v>1.0</v>
      </c>
      <c r="P5" s="361"/>
      <c r="Q5" s="361"/>
      <c r="R5" s="359" t="s">
        <v>626</v>
      </c>
      <c r="S5" s="137"/>
      <c r="T5" s="137"/>
      <c r="U5" s="137"/>
      <c r="V5" s="137"/>
      <c r="W5" s="137"/>
      <c r="X5" s="137"/>
      <c r="Y5" s="137"/>
      <c r="Z5" s="137"/>
    </row>
    <row r="6" ht="14.25" customHeight="1">
      <c r="A6" s="25"/>
      <c r="B6" s="288" t="s">
        <v>631</v>
      </c>
      <c r="C6" s="280" t="s">
        <v>632</v>
      </c>
      <c r="D6" s="289">
        <f>ROUND((F6*'Pawn Weights'!$K$40)+(G6*'Pawn Weights'!$K$41)+(H6*'Pawn Weights'!$K$42)+(I6*'Pawn Weights'!$K$43)+(J6*'Pawn Weights'!$K$44)+(K6*'Pawn Weights'!$K$45)+(L6*'Pawn Weights'!$K$46)+(M6*'Pawn Weights'!$K$47)+(N6*'Pawn Weights'!$K$48)+(O6*'Pawn Weights'!$K$49)+(P6*'Pawn Weights'!$K$50)+(Q6*'Pawn Weights'!$K$51), 2)</f>
        <v>443.34</v>
      </c>
      <c r="E6" s="280">
        <v>46.0</v>
      </c>
      <c r="F6" s="280"/>
      <c r="G6" s="280">
        <v>39.0</v>
      </c>
      <c r="H6" s="280">
        <v>108.0</v>
      </c>
      <c r="I6" s="280">
        <v>38.0</v>
      </c>
      <c r="J6" s="280">
        <v>21.0</v>
      </c>
      <c r="K6" s="280"/>
      <c r="L6" s="280"/>
      <c r="M6" s="281"/>
      <c r="N6" s="280">
        <v>1.0</v>
      </c>
      <c r="O6" s="280"/>
      <c r="P6" s="280">
        <v>1.0</v>
      </c>
      <c r="Q6" s="280"/>
      <c r="R6" s="290" t="s">
        <v>633</v>
      </c>
      <c r="S6" s="281"/>
      <c r="T6" s="290"/>
      <c r="U6" s="137"/>
      <c r="V6" s="137"/>
      <c r="W6" s="137"/>
      <c r="X6" s="25"/>
    </row>
    <row r="7">
      <c r="A7" s="137" t="s">
        <v>627</v>
      </c>
      <c r="B7" s="317" t="s">
        <v>1176</v>
      </c>
      <c r="C7" s="297" t="s">
        <v>629</v>
      </c>
      <c r="D7" s="289">
        <f>ROUND((F7*'Pawn Weights'!$K$40)+(G7*'Pawn Weights'!$K$41)+(H7*'Pawn Weights'!$K$42)+(I7*'Pawn Weights'!$K$43)+(J7*'Pawn Weights'!$K$44)+(K7*'Pawn Weights'!$K$45)+(L7*'Pawn Weights'!$K$46)+(M7*'Pawn Weights'!$K$47)+(N7*'Pawn Weights'!$K$48)+(O7*'Pawn Weights'!$K$49)+(P7*'Pawn Weights'!$K$50)+(Q7*'Pawn Weights'!$K$51), 2)</f>
        <v>425.33</v>
      </c>
      <c r="E7" s="359">
        <v>47.0</v>
      </c>
      <c r="F7" s="359"/>
      <c r="G7" s="318">
        <v>61.0</v>
      </c>
      <c r="H7" s="318">
        <v>104.0</v>
      </c>
      <c r="I7" s="359"/>
      <c r="J7" s="316">
        <v>24.0</v>
      </c>
      <c r="K7" s="361"/>
      <c r="L7" s="361"/>
      <c r="M7" s="137"/>
      <c r="N7" s="359">
        <v>1.0</v>
      </c>
      <c r="O7" s="361"/>
      <c r="P7" s="361"/>
      <c r="Q7" s="359">
        <v>1.0</v>
      </c>
      <c r="R7" s="316" t="s">
        <v>622</v>
      </c>
      <c r="S7" s="137"/>
      <c r="T7" s="361" t="s">
        <v>630</v>
      </c>
      <c r="U7" s="137"/>
      <c r="V7" s="137"/>
      <c r="W7" s="137"/>
      <c r="X7" s="137"/>
      <c r="Y7" s="137"/>
      <c r="Z7" s="137"/>
    </row>
    <row r="8" ht="14.25" customHeight="1">
      <c r="A8" s="25" t="s">
        <v>640</v>
      </c>
      <c r="B8" s="288" t="s">
        <v>1177</v>
      </c>
      <c r="C8" s="280" t="s">
        <v>642</v>
      </c>
      <c r="D8" s="289">
        <f>ROUND((F8*'Pawn Weights'!$K$40)+(G8*'Pawn Weights'!$K$41)+(H8*'Pawn Weights'!$K$42)+(I8*'Pawn Weights'!$K$43)+(J8*'Pawn Weights'!$K$44)+(K8*'Pawn Weights'!$K$45)+(L8*'Pawn Weights'!$K$46)+(M8*'Pawn Weights'!$K$47)+(N8*'Pawn Weights'!$K$48)+(O8*'Pawn Weights'!$K$49)+(P8*'Pawn Weights'!$K$50)+(Q8*'Pawn Weights'!$K$51)+10.84, 2)</f>
        <v>416.58</v>
      </c>
      <c r="E8" s="280">
        <v>55.0</v>
      </c>
      <c r="F8" s="280"/>
      <c r="G8" s="280">
        <v>45.0</v>
      </c>
      <c r="H8" s="280">
        <v>92.0</v>
      </c>
      <c r="I8" s="280">
        <v>28.0</v>
      </c>
      <c r="J8" s="280">
        <v>15.0</v>
      </c>
      <c r="K8" s="280"/>
      <c r="L8" s="280"/>
      <c r="M8" s="281"/>
      <c r="N8" s="280">
        <v>1.0</v>
      </c>
      <c r="O8" s="280"/>
      <c r="P8" s="280">
        <v>1.0</v>
      </c>
      <c r="Q8" s="280"/>
      <c r="R8" s="290" t="s">
        <v>626</v>
      </c>
      <c r="S8" s="281"/>
      <c r="T8" s="290"/>
      <c r="U8" s="281"/>
      <c r="V8" s="281"/>
      <c r="W8" s="281"/>
      <c r="X8" s="25"/>
    </row>
    <row r="9" ht="14.25" customHeight="1">
      <c r="A9" s="25" t="s">
        <v>635</v>
      </c>
      <c r="B9" s="288" t="s">
        <v>1178</v>
      </c>
      <c r="C9" s="280" t="s">
        <v>637</v>
      </c>
      <c r="D9" s="289">
        <f>ROUND((F9*'Pawn Weights'!$K$40)+(G9*'Pawn Weights'!$K$41)+(H9*'Pawn Weights'!$K$42)+(I9*'Pawn Weights'!$K$43)+(J9*'Pawn Weights'!$K$44)+(K9*'Pawn Weights'!$K$45)+(L9*'Pawn Weights'!$K$46)+(M9*'Pawn Weights'!$K$47)+(N9*'Pawn Weights'!$K$48)+(O9*'Pawn Weights'!$K$49)+(P9*'Pawn Weights'!$K$50)+(Q9*'Pawn Weights'!$K$51), 2)</f>
        <v>388.45</v>
      </c>
      <c r="E9" s="280">
        <v>72.0</v>
      </c>
      <c r="F9" s="280"/>
      <c r="G9" s="280">
        <v>36.0</v>
      </c>
      <c r="H9" s="280">
        <v>62.0</v>
      </c>
      <c r="I9" s="280">
        <v>26.0</v>
      </c>
      <c r="J9" s="280">
        <v>17.0</v>
      </c>
      <c r="K9" s="280"/>
      <c r="L9" s="280"/>
      <c r="M9" s="280">
        <v>84.0</v>
      </c>
      <c r="N9" s="280">
        <v>1.0</v>
      </c>
      <c r="O9" s="280">
        <v>1.0</v>
      </c>
      <c r="P9" s="280"/>
      <c r="Q9" s="280"/>
      <c r="R9" s="290" t="s">
        <v>1179</v>
      </c>
      <c r="S9" s="281"/>
      <c r="T9" s="290"/>
      <c r="U9" s="281"/>
      <c r="X9" s="25"/>
    </row>
    <row r="10" ht="14.25" customHeight="1">
      <c r="A10" s="25" t="s">
        <v>644</v>
      </c>
      <c r="B10" s="288" t="s">
        <v>1180</v>
      </c>
      <c r="C10" s="280" t="s">
        <v>646</v>
      </c>
      <c r="D10" s="289">
        <f>ROUND((F10*'Pawn Weights'!$K$40)+(G10*'Pawn Weights'!$K$41)+(H10*'Pawn Weights'!$K$42)+(I10*'Pawn Weights'!$K$43)+(J10*'Pawn Weights'!$K$44)+(K10*'Pawn Weights'!$K$45)+(L10*'Pawn Weights'!$K$46)+(M10*'Pawn Weights'!$K$47)+(N10*'Pawn Weights'!$K$48)+(O10*'Pawn Weights'!$K$49)+(P10*'Pawn Weights'!$K$50)+(Q10*'Pawn Weights'!$K$51), 2)</f>
        <v>343.75</v>
      </c>
      <c r="E10" s="280">
        <v>65.0</v>
      </c>
      <c r="F10" s="280"/>
      <c r="G10" s="280">
        <v>31.0</v>
      </c>
      <c r="H10" s="280">
        <v>52.0</v>
      </c>
      <c r="I10" s="280">
        <v>21.0</v>
      </c>
      <c r="J10" s="280">
        <v>12.0</v>
      </c>
      <c r="K10" s="280"/>
      <c r="L10" s="280"/>
      <c r="M10" s="280">
        <v>84.0</v>
      </c>
      <c r="N10" s="280">
        <v>1.0</v>
      </c>
      <c r="O10" s="280">
        <v>1.0</v>
      </c>
      <c r="P10" s="280"/>
      <c r="Q10" s="280"/>
      <c r="R10" s="290" t="s">
        <v>1179</v>
      </c>
      <c r="S10" s="281"/>
      <c r="T10" s="290"/>
      <c r="U10" s="281"/>
      <c r="X10" s="25"/>
    </row>
    <row r="11">
      <c r="A11" s="292" t="s">
        <v>647</v>
      </c>
      <c r="B11" s="288" t="s">
        <v>1181</v>
      </c>
      <c r="C11" s="154" t="s">
        <v>649</v>
      </c>
      <c r="D11" s="289">
        <f>ROUND((F11*'Pawn Weights'!$K$40)+(G11*'Pawn Weights'!$K$41)+(H11*'Pawn Weights'!$K$42)+(I11*'Pawn Weights'!$K$43)+(J11*'Pawn Weights'!$K$44)+(K11*'Pawn Weights'!$K$45)+(L11*'Pawn Weights'!$K$46)+(M11*'Pawn Weights'!$K$47)+(N11*'Pawn Weights'!$K$48)+(O11*'Pawn Weights'!$K$49)+(P11*'Pawn Weights'!$K$50)+(Q11*'Pawn Weights'!$K$51)-27.1+25.1+8, 2)</f>
        <v>337.47</v>
      </c>
      <c r="E11" s="280">
        <v>48.0</v>
      </c>
      <c r="F11" s="280"/>
      <c r="G11" s="280">
        <v>39.0</v>
      </c>
      <c r="H11" s="280">
        <v>78.0</v>
      </c>
      <c r="I11" s="280">
        <v>25.0</v>
      </c>
      <c r="J11" s="280"/>
      <c r="K11" s="280"/>
      <c r="L11" s="280"/>
      <c r="M11" s="281"/>
      <c r="N11" s="280">
        <v>1.0</v>
      </c>
      <c r="O11" s="280">
        <v>1.0</v>
      </c>
      <c r="P11" s="280"/>
      <c r="Q11" s="280"/>
      <c r="R11" s="290" t="s">
        <v>745</v>
      </c>
      <c r="S11" s="281"/>
      <c r="T11" s="290"/>
      <c r="U11" s="281"/>
      <c r="V11" s="281"/>
      <c r="W11" s="281"/>
    </row>
    <row r="12" ht="14.25" customHeight="1">
      <c r="A12" s="25" t="s">
        <v>627</v>
      </c>
      <c r="B12" s="288" t="s">
        <v>1182</v>
      </c>
      <c r="C12" s="280" t="s">
        <v>653</v>
      </c>
      <c r="D12" s="289">
        <f>ROUND((F12*'Pawn Weights'!$K$40)+(G12*'Pawn Weights'!$K$41)+(H12*'Pawn Weights'!$K$42)+(I12*'Pawn Weights'!$K$43)+(J12*'Pawn Weights'!$K$44)+(K12*'Pawn Weights'!$K$45)+(L12*'Pawn Weights'!$K$46)+(M12*'Pawn Weights'!$K$47)+(N12*'Pawn Weights'!$K$48)+(O12*'Pawn Weights'!$K$49)+(P12*'Pawn Weights'!$K$50)+(Q12*'Pawn Weights'!$K$51), 2)</f>
        <v>332.07</v>
      </c>
      <c r="E12" s="280">
        <v>28.0</v>
      </c>
      <c r="F12" s="280"/>
      <c r="G12" s="280">
        <v>48.0</v>
      </c>
      <c r="H12" s="280">
        <v>76.0</v>
      </c>
      <c r="I12" s="280"/>
      <c r="J12" s="280">
        <v>11.0</v>
      </c>
      <c r="K12" s="280"/>
      <c r="L12" s="280"/>
      <c r="M12" s="281"/>
      <c r="N12" s="280">
        <v>1.0</v>
      </c>
      <c r="O12" s="280"/>
      <c r="P12" s="280"/>
      <c r="Q12" s="280">
        <v>1.0</v>
      </c>
      <c r="R12" s="290" t="s">
        <v>622</v>
      </c>
      <c r="S12" s="281"/>
      <c r="T12" s="290"/>
      <c r="U12" s="281"/>
      <c r="V12" s="281"/>
      <c r="W12" s="281"/>
      <c r="X12" s="25"/>
    </row>
    <row r="13">
      <c r="A13" s="295"/>
      <c r="B13" s="317" t="s">
        <v>1074</v>
      </c>
      <c r="C13" s="318" t="s">
        <v>1183</v>
      </c>
      <c r="D13" s="289">
        <f>ROUND((F13*'Pawn Weights'!$K$40)+(G13*'Pawn Weights'!$K$41)+(H13*'Pawn Weights'!$K$42)+(I13*'Pawn Weights'!$K$43)+(J13*'Pawn Weights'!$K$44)+(K13*'Pawn Weights'!$K$45)+(L13*'Pawn Weights'!$K$46)+(M13*'Pawn Weights'!$K$47)+(N13*'Pawn Weights'!$K$48)+(O13*'Pawn Weights'!$K$49)+(P13*'Pawn Weights'!$K$50)+(Q13*'Pawn Weights'!$K$51), 2)</f>
        <v>320.74</v>
      </c>
      <c r="E13" s="316">
        <v>48.0</v>
      </c>
      <c r="F13" s="297"/>
      <c r="G13" s="316">
        <v>40.0</v>
      </c>
      <c r="H13" s="316">
        <v>82.0</v>
      </c>
      <c r="I13" s="297"/>
      <c r="J13" s="316">
        <v>24.0</v>
      </c>
      <c r="K13" s="297"/>
      <c r="L13" s="297"/>
      <c r="M13" s="137"/>
      <c r="N13" s="297"/>
      <c r="O13" s="318">
        <v>1.0</v>
      </c>
      <c r="P13" s="318">
        <v>1.0</v>
      </c>
      <c r="Q13" s="318">
        <v>1.0</v>
      </c>
      <c r="R13" s="316" t="s">
        <v>745</v>
      </c>
      <c r="S13" s="137"/>
      <c r="T13" s="298"/>
      <c r="U13" s="281"/>
      <c r="V13" s="281"/>
      <c r="W13" s="281"/>
      <c r="X13" s="137"/>
      <c r="Y13" s="137"/>
      <c r="Z13" s="137"/>
    </row>
    <row r="14" ht="14.25" customHeight="1">
      <c r="A14" s="25"/>
      <c r="B14" s="288" t="s">
        <v>1184</v>
      </c>
      <c r="C14" s="280" t="s">
        <v>1185</v>
      </c>
      <c r="D14" s="289">
        <f>ROUND((F14*'Pawn Weights'!$K$40)+(G14*'Pawn Weights'!$K$41)+(H14*'Pawn Weights'!$K$42)+(I14*'Pawn Weights'!$K$43)+(J14*'Pawn Weights'!$K$44)+(K14*'Pawn Weights'!$K$45)+(L14*'Pawn Weights'!$K$46)+(M14*'Pawn Weights'!$K$47)+(N14*'Pawn Weights'!$K$48)+(O14*'Pawn Weights'!$K$49)+(P14*'Pawn Weights'!$K$50)+(Q14*'Pawn Weights'!$K$51)+9.24, 2)</f>
        <v>305.9</v>
      </c>
      <c r="E14" s="280">
        <v>36.0</v>
      </c>
      <c r="F14" s="280"/>
      <c r="G14" s="280">
        <v>32.0</v>
      </c>
      <c r="H14" s="280">
        <v>64.0</v>
      </c>
      <c r="I14" s="280"/>
      <c r="J14" s="280">
        <v>16.0</v>
      </c>
      <c r="K14" s="280"/>
      <c r="L14" s="280"/>
      <c r="M14" s="281"/>
      <c r="N14" s="280">
        <v>1.0</v>
      </c>
      <c r="O14" s="280"/>
      <c r="P14" s="280">
        <v>1.0</v>
      </c>
      <c r="Q14" s="280"/>
      <c r="R14" s="290" t="s">
        <v>622</v>
      </c>
      <c r="S14" s="281"/>
      <c r="T14" s="290"/>
      <c r="U14" s="281"/>
      <c r="V14" s="281"/>
      <c r="W14" s="281"/>
    </row>
    <row r="15" ht="14.25" customHeight="1">
      <c r="A15" s="25" t="s">
        <v>654</v>
      </c>
      <c r="B15" s="288" t="s">
        <v>1186</v>
      </c>
      <c r="C15" s="280" t="s">
        <v>656</v>
      </c>
      <c r="D15" s="289">
        <f>ROUND((F15*'Pawn Weights'!$K$40)+(G15*'Pawn Weights'!$K$41)+(H15*'Pawn Weights'!$K$42)+(I15*'Pawn Weights'!$K$43)+(J15*'Pawn Weights'!$K$44)+(K15*'Pawn Weights'!$K$45)+(L15*'Pawn Weights'!$K$46)+(M15*'Pawn Weights'!$K$47)+(N15*'Pawn Weights'!$K$48)+(O15*'Pawn Weights'!$K$49)+(P15*'Pawn Weights'!$K$50)+(Q15*'Pawn Weights'!$K$51)-27.1+25.1+9.24, 2)</f>
        <v>303.24</v>
      </c>
      <c r="E15" s="280">
        <v>39.0</v>
      </c>
      <c r="F15" s="280"/>
      <c r="G15" s="280">
        <v>28.0</v>
      </c>
      <c r="H15" s="280">
        <v>78.0</v>
      </c>
      <c r="I15" s="280"/>
      <c r="J15" s="280">
        <v>14.0</v>
      </c>
      <c r="K15" s="280"/>
      <c r="L15" s="280"/>
      <c r="M15" s="281"/>
      <c r="N15" s="280">
        <v>1.0</v>
      </c>
      <c r="O15" s="280">
        <v>1.0</v>
      </c>
      <c r="P15" s="280"/>
      <c r="Q15" s="280"/>
      <c r="R15" s="290" t="s">
        <v>622</v>
      </c>
      <c r="S15" s="281"/>
      <c r="T15" s="290"/>
      <c r="U15" s="137"/>
      <c r="V15" s="137"/>
      <c r="W15" s="137"/>
      <c r="X15" s="25"/>
    </row>
    <row r="16">
      <c r="A16" s="272" t="s">
        <v>657</v>
      </c>
      <c r="B16" s="281"/>
      <c r="C16" s="281"/>
      <c r="D16" s="360"/>
      <c r="E16" s="281"/>
      <c r="F16" s="281"/>
      <c r="G16" s="281"/>
      <c r="H16" s="281"/>
      <c r="I16" s="281"/>
      <c r="J16" s="281"/>
      <c r="K16" s="281"/>
      <c r="L16" s="281"/>
      <c r="M16" s="281"/>
      <c r="N16" s="281"/>
      <c r="O16" s="281"/>
      <c r="P16" s="281"/>
      <c r="Q16" s="281"/>
      <c r="R16" s="282"/>
      <c r="S16" s="281"/>
      <c r="T16" s="282"/>
      <c r="U16" s="281"/>
      <c r="V16" s="281"/>
      <c r="W16" s="281"/>
    </row>
    <row r="17">
      <c r="A17" s="137" t="s">
        <v>627</v>
      </c>
      <c r="B17" s="341" t="s">
        <v>658</v>
      </c>
      <c r="C17" s="280" t="s">
        <v>659</v>
      </c>
      <c r="D17" s="289">
        <f>ROUND((F17*'Pawn Weights'!$K$40)+(G17*'Pawn Weights'!$K$41)+(H17*'Pawn Weights'!$K$42)+(I17*'Pawn Weights'!$K$43)+(J17*'Pawn Weights'!$K$44)+(K17*'Pawn Weights'!$K$45)+(L17*'Pawn Weights'!$K$46)+(M17*'Pawn Weights'!$K$47)+(N17*'Pawn Weights'!$K$48)+(O17*'Pawn Weights'!$K$49)+(P17*'Pawn Weights'!$K$50)+(Q17*'Pawn Weights'!$K$51)+4, 2)</f>
        <v>211.06</v>
      </c>
      <c r="E17" s="359">
        <v>42.0</v>
      </c>
      <c r="F17" s="361"/>
      <c r="G17" s="361"/>
      <c r="H17" s="359">
        <v>58.0</v>
      </c>
      <c r="I17" s="361"/>
      <c r="J17" s="361"/>
      <c r="K17" s="359">
        <v>29.0</v>
      </c>
      <c r="L17" s="361"/>
      <c r="M17" s="359">
        <v>150.0</v>
      </c>
      <c r="N17" s="361"/>
      <c r="O17" s="361"/>
      <c r="P17" s="359">
        <v>1.0</v>
      </c>
      <c r="Q17" s="361"/>
      <c r="R17" s="359" t="s">
        <v>660</v>
      </c>
      <c r="S17" s="137"/>
      <c r="T17" s="361" t="s">
        <v>661</v>
      </c>
      <c r="U17" s="137"/>
      <c r="V17" s="137"/>
      <c r="W17" s="137"/>
      <c r="X17" s="137"/>
      <c r="Y17" s="137"/>
      <c r="Z17" s="137"/>
    </row>
    <row r="18">
      <c r="A18" s="137"/>
      <c r="B18" s="341" t="s">
        <v>662</v>
      </c>
      <c r="C18" s="361" t="s">
        <v>663</v>
      </c>
      <c r="D18" s="289">
        <f>ROUND((F18*'Pawn Weights'!$K$40)+(G18*'Pawn Weights'!$K$41)+(H18*'Pawn Weights'!$K$42)+(I18*'Pawn Weights'!$K$43)+(J18*'Pawn Weights'!$K$44)+(K18*'Pawn Weights'!$K$45)+(L18*'Pawn Weights'!$K$46)+(M18*'Pawn Weights'!$K$47)+(N18*'Pawn Weights'!$K$48)+(O18*'Pawn Weights'!$K$49)+(P18*'Pawn Weights'!$K$50)+(Q18*'Pawn Weights'!$K$51), 2)</f>
        <v>188.95</v>
      </c>
      <c r="E18" s="359">
        <v>33.0</v>
      </c>
      <c r="F18" s="361"/>
      <c r="G18" s="359">
        <v>25.0</v>
      </c>
      <c r="H18" s="359">
        <v>64.0</v>
      </c>
      <c r="I18" s="361"/>
      <c r="J18" s="361"/>
      <c r="K18" s="359">
        <v>30.0</v>
      </c>
      <c r="L18" s="361"/>
      <c r="M18" s="361"/>
      <c r="N18" s="361"/>
      <c r="O18" s="361"/>
      <c r="P18" s="361"/>
      <c r="Q18" s="361"/>
      <c r="R18" s="137"/>
      <c r="S18" s="137"/>
      <c r="T18" s="137"/>
      <c r="U18" s="137"/>
      <c r="V18" s="137"/>
      <c r="W18" s="137"/>
      <c r="X18" s="137"/>
      <c r="Y18" s="137"/>
      <c r="Z18" s="137"/>
    </row>
    <row r="19">
      <c r="A19" s="137"/>
      <c r="B19" s="296" t="s">
        <v>664</v>
      </c>
      <c r="C19" s="297" t="s">
        <v>665</v>
      </c>
      <c r="D19" s="289">
        <f>ROUND((F19*'Pawn Weights'!$K$40)+(G19*'Pawn Weights'!$K$41)+(H19*'Pawn Weights'!$K$42)+(I19*'Pawn Weights'!$K$43)+(J19*'Pawn Weights'!$K$44)+(K19*'Pawn Weights'!$K$45)+(L19*'Pawn Weights'!$K$46)+(M19*'Pawn Weights'!$K$47)+(N19*'Pawn Weights'!$K$48)+(O19*'Pawn Weights'!$K$49)+(P19*'Pawn Weights'!$K$50)+(Q19*'Pawn Weights'!$K$51), 2)</f>
        <v>180.75</v>
      </c>
      <c r="E19" s="297"/>
      <c r="F19" s="297"/>
      <c r="G19" s="297"/>
      <c r="H19" s="298">
        <v>72.0</v>
      </c>
      <c r="I19" s="298">
        <v>27.0</v>
      </c>
      <c r="J19" s="298">
        <v>21.0</v>
      </c>
      <c r="K19" s="297"/>
      <c r="L19" s="297"/>
      <c r="M19" s="297"/>
      <c r="N19" s="297"/>
      <c r="O19" s="297"/>
      <c r="P19" s="297"/>
      <c r="Q19" s="297"/>
      <c r="R19" s="295"/>
      <c r="S19" s="137"/>
      <c r="T19" s="359"/>
      <c r="U19" s="281"/>
      <c r="V19" s="281"/>
      <c r="W19" s="281"/>
      <c r="X19" s="137"/>
      <c r="Y19" s="137"/>
      <c r="Z19" s="137"/>
    </row>
    <row r="20">
      <c r="A20" s="137" t="s">
        <v>676</v>
      </c>
      <c r="B20" s="296" t="s">
        <v>677</v>
      </c>
      <c r="C20" s="297" t="s">
        <v>678</v>
      </c>
      <c r="D20" s="367">
        <f>ROUND((F20*'Pawn Weights'!$K$40)+(G20*'Pawn Weights'!$K$41)+(H20*'Pawn Weights'!$K$42)+(I20*'Pawn Weights'!$K$43)+(J20*'Pawn Weights'!$K$44)+(K20*'Pawn Weights'!$K$45)+(L20*'Pawn Weights'!$K$46)+(M20*'Pawn Weights'!$K$47)+(N20*'Pawn Weights'!$K$48)+(O20*'Pawn Weights'!$K$49)+(P20*'Pawn Weights'!$K$50)+(Q20*'Pawn Weights'!$K$51)+39.2, 2)</f>
        <v>144.78</v>
      </c>
      <c r="E20" s="298">
        <v>19.0</v>
      </c>
      <c r="F20" s="297"/>
      <c r="G20" s="298">
        <v>18.0</v>
      </c>
      <c r="H20" s="298">
        <v>64.0</v>
      </c>
      <c r="I20" s="297"/>
      <c r="J20" s="297"/>
      <c r="K20" s="297"/>
      <c r="L20" s="297"/>
      <c r="M20" s="295"/>
      <c r="N20" s="297"/>
      <c r="O20" s="297"/>
      <c r="P20" s="297"/>
      <c r="Q20" s="297"/>
      <c r="R20" s="295"/>
      <c r="S20" s="137"/>
      <c r="T20" s="362" t="s">
        <v>679</v>
      </c>
      <c r="U20" s="194"/>
      <c r="V20" s="194"/>
      <c r="W20" s="137"/>
      <c r="X20" s="137"/>
      <c r="Y20" s="137"/>
      <c r="Z20" s="137"/>
    </row>
    <row r="21">
      <c r="A21" s="137"/>
      <c r="B21" s="296" t="s">
        <v>668</v>
      </c>
      <c r="C21" s="297" t="s">
        <v>669</v>
      </c>
      <c r="D21" s="367">
        <f>ROUND((F21*'Pawn Weights'!$K$40)+(G21*'Pawn Weights'!$K$41)+(H21*'Pawn Weights'!$K$42)+(I21*'Pawn Weights'!$K$43)+(J21*'Pawn Weights'!$K$44)+(K21*'Pawn Weights'!$K$45)+(L21*'Pawn Weights'!$K$46)+(M21*'Pawn Weights'!$K$47)+(N21*'Pawn Weights'!$K$48)+(O21*'Pawn Weights'!$K$49)+(P21*'Pawn Weights'!$K$50)+(Q21*'Pawn Weights'!$K$51), 2)</f>
        <v>138.86</v>
      </c>
      <c r="E21" s="298">
        <v>18.0</v>
      </c>
      <c r="F21" s="297"/>
      <c r="G21" s="297"/>
      <c r="H21" s="298">
        <v>58.0</v>
      </c>
      <c r="I21" s="298">
        <v>28.0</v>
      </c>
      <c r="J21" s="297"/>
      <c r="K21" s="297"/>
      <c r="L21" s="297"/>
      <c r="M21" s="295"/>
      <c r="N21" s="297"/>
      <c r="O21" s="297"/>
      <c r="P21" s="297"/>
      <c r="Q21" s="298">
        <v>1.0</v>
      </c>
      <c r="R21" s="298" t="s">
        <v>660</v>
      </c>
      <c r="S21" s="137"/>
      <c r="T21" s="361" t="s">
        <v>670</v>
      </c>
      <c r="U21" s="137"/>
      <c r="V21" s="137"/>
      <c r="W21" s="137"/>
      <c r="X21" s="137"/>
      <c r="Y21" s="137"/>
      <c r="Z21" s="137"/>
    </row>
    <row r="22">
      <c r="A22" s="281"/>
      <c r="B22" s="288" t="s">
        <v>686</v>
      </c>
      <c r="C22" s="280" t="s">
        <v>687</v>
      </c>
      <c r="D22" s="289">
        <f>ROUND((F22*'Pawn Weights'!$K$40)+(G22*'Pawn Weights'!$K$41)+(H22*'Pawn Weights'!$K$42)+(I22*'Pawn Weights'!$K$43)+(J22*'Pawn Weights'!$K$44)+(K22*'Pawn Weights'!$K$45)+(L22*'Pawn Weights'!$K$46)+(M22*'Pawn Weights'!$K$47)+(N22*'Pawn Weights'!$K$48)+(O22*'Pawn Weights'!$K$49)+(P22*'Pawn Weights'!$K$50)+(Q22*'Pawn Weights'!$K$51), 2)</f>
        <v>136.98</v>
      </c>
      <c r="E22" s="280">
        <v>18.0</v>
      </c>
      <c r="F22" s="280"/>
      <c r="G22" s="280">
        <v>20.0</v>
      </c>
      <c r="H22" s="280">
        <v>42.0</v>
      </c>
      <c r="I22" s="280"/>
      <c r="J22" s="280">
        <v>18.0</v>
      </c>
      <c r="K22" s="280"/>
      <c r="L22" s="280"/>
      <c r="M22" s="280"/>
      <c r="N22" s="280"/>
      <c r="O22" s="280"/>
      <c r="P22" s="280"/>
      <c r="Q22" s="280"/>
      <c r="R22" s="290"/>
      <c r="S22" s="281"/>
      <c r="T22" s="310"/>
      <c r="U22" s="281"/>
      <c r="V22" s="281"/>
      <c r="W22" s="281"/>
      <c r="X22" s="281"/>
    </row>
    <row r="23">
      <c r="A23" s="137"/>
      <c r="B23" s="296" t="s">
        <v>666</v>
      </c>
      <c r="C23" s="297" t="s">
        <v>667</v>
      </c>
      <c r="D23" s="367">
        <f>ROUND((F23*'Pawn Weights'!$K$40)+(G23*'Pawn Weights'!$K$41)+(H23*'Pawn Weights'!$K$42)+(I23*'Pawn Weights'!$K$43)+(J23*'Pawn Weights'!$K$44)+(K23*'Pawn Weights'!$K$45)+(L23*'Pawn Weights'!$K$46)+(M23*'Pawn Weights'!$K$47)+(N23*'Pawn Weights'!$K$48)+(O23*'Pawn Weights'!$K$49)+(P23*'Pawn Weights'!$K$50)+(Q23*'Pawn Weights'!$K$51), 2)</f>
        <v>136.5</v>
      </c>
      <c r="E23" s="298">
        <v>37.0</v>
      </c>
      <c r="F23" s="297"/>
      <c r="G23" s="297"/>
      <c r="H23" s="298">
        <v>70.0</v>
      </c>
      <c r="I23" s="297"/>
      <c r="J23" s="297"/>
      <c r="K23" s="297"/>
      <c r="L23" s="297"/>
      <c r="M23" s="298">
        <v>175.0</v>
      </c>
      <c r="N23" s="297"/>
      <c r="O23" s="297"/>
      <c r="P23" s="297"/>
      <c r="Q23" s="297"/>
      <c r="R23" s="295"/>
      <c r="S23" s="137"/>
      <c r="T23" s="295"/>
      <c r="U23" s="137"/>
      <c r="V23" s="137"/>
      <c r="W23" s="137"/>
      <c r="X23" s="137"/>
      <c r="Y23" s="137"/>
      <c r="Z23" s="137"/>
    </row>
    <row r="24">
      <c r="A24" s="137" t="s">
        <v>671</v>
      </c>
      <c r="B24" s="296" t="s">
        <v>672</v>
      </c>
      <c r="C24" s="297" t="s">
        <v>673</v>
      </c>
      <c r="D24" s="289">
        <f>ROUND((F24*'Pawn Weights'!$K$40)+(G24*'Pawn Weights'!$K$41)+(H24*'Pawn Weights'!$K$42)+(I24*'Pawn Weights'!$K$43)+(J24*'Pawn Weights'!$K$44)+(K24*'Pawn Weights'!$K$45)+(L24*'Pawn Weights'!$K$46)+(M24*'Pawn Weights'!$K$47)+(N24*'Pawn Weights'!$K$48)+(O24*'Pawn Weights'!$K$49)+(P24*'Pawn Weights'!$K$50)+(Q24*'Pawn Weights'!$K$51), 2)</f>
        <v>135.02</v>
      </c>
      <c r="E24" s="298">
        <v>39.0</v>
      </c>
      <c r="F24" s="297"/>
      <c r="G24" s="297"/>
      <c r="H24" s="298">
        <v>58.0</v>
      </c>
      <c r="I24" s="298">
        <v>26.0</v>
      </c>
      <c r="J24" s="297"/>
      <c r="K24" s="297"/>
      <c r="L24" s="297"/>
      <c r="M24" s="295"/>
      <c r="N24" s="297"/>
      <c r="O24" s="297"/>
      <c r="P24" s="298">
        <v>1.0</v>
      </c>
      <c r="Q24" s="297"/>
      <c r="R24" s="298" t="s">
        <v>674</v>
      </c>
      <c r="S24" s="137"/>
      <c r="T24" s="297" t="s">
        <v>675</v>
      </c>
      <c r="U24" s="137"/>
      <c r="V24" s="137"/>
      <c r="W24" s="137"/>
      <c r="X24" s="137"/>
      <c r="Y24" s="137"/>
      <c r="Z24" s="137"/>
    </row>
    <row r="25">
      <c r="A25" s="137"/>
      <c r="B25" s="296" t="s">
        <v>1077</v>
      </c>
      <c r="C25" s="297" t="s">
        <v>1078</v>
      </c>
      <c r="D25" s="367">
        <f>ROUND((F25*'Pawn Weights'!$K$40)+(G25*'Pawn Weights'!$K$41)+(H25*'Pawn Weights'!$K$42)+(I25*'Pawn Weights'!$K$43)+(J25*'Pawn Weights'!$K$44)+(K25*'Pawn Weights'!$K$45)+(L25*'Pawn Weights'!$K$46)+(M25*'Pawn Weights'!$K$47)+(N25*'Pawn Weights'!$K$48)+(O25*'Pawn Weights'!$K$49)+(P25*'Pawn Weights'!$K$50)+(Q25*'Pawn Weights'!$K$51), 2)</f>
        <v>134.27</v>
      </c>
      <c r="E25" s="298">
        <v>21.0</v>
      </c>
      <c r="F25" s="297"/>
      <c r="G25" s="298">
        <v>20.0</v>
      </c>
      <c r="H25" s="298">
        <v>42.0</v>
      </c>
      <c r="I25" s="297"/>
      <c r="J25" s="298">
        <v>17.0</v>
      </c>
      <c r="K25" s="297"/>
      <c r="L25" s="297"/>
      <c r="M25" s="297"/>
      <c r="N25" s="297"/>
      <c r="O25" s="297"/>
      <c r="P25" s="297"/>
      <c r="Q25" s="297"/>
      <c r="R25" s="295"/>
      <c r="S25" s="137"/>
      <c r="T25" s="295"/>
      <c r="U25" s="137"/>
      <c r="V25" s="137"/>
      <c r="W25" s="137"/>
      <c r="X25" s="137"/>
      <c r="Y25" s="137"/>
      <c r="Z25" s="137"/>
    </row>
    <row r="26">
      <c r="A26" s="281"/>
      <c r="B26" s="288" t="s">
        <v>684</v>
      </c>
      <c r="C26" s="280" t="s">
        <v>685</v>
      </c>
      <c r="D26" s="289">
        <f>ROUND((F26*'Pawn Weights'!$K$40)+(G26*'Pawn Weights'!$K$41)+(H26*'Pawn Weights'!$K$42)+(I26*'Pawn Weights'!$K$43)+(J26*'Pawn Weights'!$K$44)+(K26*'Pawn Weights'!$K$45)+(L26*'Pawn Weights'!$K$46)+(M26*'Pawn Weights'!$K$47)+(N26*'Pawn Weights'!$K$48)+(O26*'Pawn Weights'!$K$49)+(P26*'Pawn Weights'!$K$50)+(Q26*'Pawn Weights'!$K$51), 2)</f>
        <v>132.37</v>
      </c>
      <c r="E26" s="280">
        <v>26.0</v>
      </c>
      <c r="F26" s="280"/>
      <c r="G26" s="280">
        <v>27.0</v>
      </c>
      <c r="H26" s="280">
        <v>70.0</v>
      </c>
      <c r="I26" s="280"/>
      <c r="J26" s="280"/>
      <c r="K26" s="280"/>
      <c r="L26" s="280"/>
      <c r="M26" s="281"/>
      <c r="N26" s="280"/>
      <c r="O26" s="280"/>
      <c r="P26" s="280"/>
      <c r="Q26" s="280"/>
      <c r="R26" s="290"/>
      <c r="S26" s="281"/>
      <c r="T26" s="380"/>
      <c r="U26" s="137"/>
      <c r="V26" s="137"/>
      <c r="W26" s="137"/>
      <c r="X26" s="281"/>
    </row>
    <row r="27">
      <c r="A27" s="137"/>
      <c r="B27" s="296" t="s">
        <v>690</v>
      </c>
      <c r="C27" s="318" t="s">
        <v>691</v>
      </c>
      <c r="D27" s="367">
        <f>ROUND((F27*'Pawn Weights'!$K$40)+(G27*'Pawn Weights'!$K$41)+(H27*'Pawn Weights'!$K$42)+(I27*'Pawn Weights'!$K$43)+(J27*'Pawn Weights'!$K$44)+(K27*'Pawn Weights'!$K$45)+(L27*'Pawn Weights'!$K$46)+(M27*'Pawn Weights'!$K$47)+(N27*'Pawn Weights'!$K$48)+(O27*'Pawn Weights'!$K$49)+(P27*'Pawn Weights'!$K$50)+(Q27*'Pawn Weights'!$K$51), 2)</f>
        <v>121.15</v>
      </c>
      <c r="E27" s="297"/>
      <c r="F27" s="297"/>
      <c r="G27" s="297"/>
      <c r="H27" s="297"/>
      <c r="I27" s="297"/>
      <c r="J27" s="298">
        <v>22.0</v>
      </c>
      <c r="K27" s="297"/>
      <c r="L27" s="298">
        <v>21.0</v>
      </c>
      <c r="M27" s="137"/>
      <c r="N27" s="297"/>
      <c r="O27" s="297"/>
      <c r="P27" s="297"/>
      <c r="Q27" s="297"/>
      <c r="R27" s="295"/>
      <c r="S27" s="137"/>
      <c r="T27" s="137"/>
      <c r="U27" s="137"/>
      <c r="V27" s="137"/>
      <c r="W27" s="137"/>
      <c r="X27" s="137"/>
      <c r="Y27" s="137"/>
      <c r="Z27" s="137"/>
    </row>
    <row r="28">
      <c r="A28" s="137" t="s">
        <v>676</v>
      </c>
      <c r="B28" s="296" t="s">
        <v>688</v>
      </c>
      <c r="C28" s="297" t="s">
        <v>678</v>
      </c>
      <c r="D28" s="367">
        <f>ROUND((F28*'Pawn Weights'!$K$40)+(G28*'Pawn Weights'!$K$41)+(H28*'Pawn Weights'!$K$42)+(I28*'Pawn Weights'!$K$43)+(J28*'Pawn Weights'!$K$44)+(K28*'Pawn Weights'!$K$45)+(L28*'Pawn Weights'!$K$46)+(M28*'Pawn Weights'!$K$47)+(N28*'Pawn Weights'!$K$48)+(O28*'Pawn Weights'!$K$49)+(P28*'Pawn Weights'!$K$50)+(Q28*'Pawn Weights'!$K$51), 2)</f>
        <v>105.58</v>
      </c>
      <c r="E28" s="298">
        <v>19.0</v>
      </c>
      <c r="F28" s="297"/>
      <c r="G28" s="298">
        <v>18.0</v>
      </c>
      <c r="H28" s="298">
        <v>64.0</v>
      </c>
      <c r="I28" s="297"/>
      <c r="J28" s="297"/>
      <c r="K28" s="297"/>
      <c r="L28" s="297"/>
      <c r="M28" s="295"/>
      <c r="N28" s="297"/>
      <c r="O28" s="297"/>
      <c r="P28" s="297"/>
      <c r="Q28" s="297"/>
      <c r="R28" s="295"/>
      <c r="S28" s="137"/>
      <c r="T28" s="361" t="s">
        <v>689</v>
      </c>
      <c r="U28" s="137"/>
      <c r="V28" s="137"/>
      <c r="W28" s="137"/>
      <c r="X28" s="137"/>
      <c r="Y28" s="137"/>
      <c r="Z28" s="137"/>
    </row>
    <row r="29">
      <c r="A29" s="272" t="s">
        <v>692</v>
      </c>
      <c r="B29" s="281"/>
      <c r="C29" s="281"/>
      <c r="D29" s="360"/>
      <c r="E29" s="281"/>
      <c r="F29" s="281"/>
      <c r="G29" s="281"/>
      <c r="H29" s="281"/>
      <c r="I29" s="281"/>
      <c r="J29" s="281"/>
      <c r="K29" s="281"/>
      <c r="L29" s="281"/>
      <c r="M29" s="281"/>
      <c r="N29" s="281"/>
      <c r="O29" s="281"/>
      <c r="P29" s="281"/>
      <c r="Q29" s="281"/>
      <c r="R29" s="282"/>
      <c r="S29" s="281"/>
      <c r="T29" s="282"/>
      <c r="U29" s="281"/>
      <c r="V29" s="281"/>
      <c r="W29" s="281"/>
    </row>
    <row r="30">
      <c r="A30" s="137"/>
      <c r="B30" s="341" t="s">
        <v>699</v>
      </c>
      <c r="C30" s="361" t="s">
        <v>669</v>
      </c>
      <c r="D30" s="289">
        <f>ROUND((F30*'Pawn Weights'!$K$40)+(G30*'Pawn Weights'!$K$41)+(H30*'Pawn Weights'!$K$42)+(I30*'Pawn Weights'!$K$43)+(J30*'Pawn Weights'!$K$44)+(K30*'Pawn Weights'!$K$45)+(L30*'Pawn Weights'!$K$46)+(M30*'Pawn Weights'!$K$47)+(N30*'Pawn Weights'!$K$48)+(O30*'Pawn Weights'!$K$49)+(P30*'Pawn Weights'!$K$50)+(Q30*'Pawn Weights'!$K$51), 2)</f>
        <v>303.89</v>
      </c>
      <c r="E30" s="359">
        <v>45.0</v>
      </c>
      <c r="F30" s="361"/>
      <c r="G30" s="359">
        <v>33.0</v>
      </c>
      <c r="H30" s="359">
        <v>90.0</v>
      </c>
      <c r="I30" s="361"/>
      <c r="J30" s="359">
        <v>26.0</v>
      </c>
      <c r="K30" s="359">
        <v>30.0</v>
      </c>
      <c r="L30" s="361"/>
      <c r="M30" s="361"/>
      <c r="N30" s="361"/>
      <c r="O30" s="361"/>
      <c r="P30" s="361"/>
      <c r="Q30" s="361"/>
      <c r="R30" s="137"/>
      <c r="S30" s="137"/>
      <c r="T30" s="137"/>
      <c r="U30" s="137"/>
      <c r="V30" s="137"/>
      <c r="W30" s="137"/>
      <c r="X30" s="137"/>
      <c r="Y30" s="137"/>
      <c r="Z30" s="137"/>
    </row>
    <row r="31">
      <c r="A31" s="301" t="s">
        <v>640</v>
      </c>
      <c r="B31" s="288" t="s">
        <v>1187</v>
      </c>
      <c r="C31" s="280" t="s">
        <v>701</v>
      </c>
      <c r="D31" s="289">
        <f>ROUND((F31*'Pawn Weights'!$K$40)+(G31*'Pawn Weights'!$K$41)+(H31*'Pawn Weights'!$K$42)+(I31*'Pawn Weights'!$K$43)+(J31*'Pawn Weights'!$K$44)+(K31*'Pawn Weights'!$K$45)+(L31*'Pawn Weights'!$K$46)+(M31*'Pawn Weights'!$K$47)+(N31*'Pawn Weights'!$K$48)+(O31*'Pawn Weights'!$K$49)+(P31*'Pawn Weights'!$K$50)+(Q31*'Pawn Weights'!$K$51), 2)</f>
        <v>267.24</v>
      </c>
      <c r="E31" s="280">
        <v>37.0</v>
      </c>
      <c r="F31" s="280"/>
      <c r="G31" s="280">
        <v>34.0</v>
      </c>
      <c r="H31" s="280">
        <v>68.0</v>
      </c>
      <c r="I31" s="280"/>
      <c r="J31" s="280"/>
      <c r="K31" s="280"/>
      <c r="L31" s="280"/>
      <c r="M31" s="280">
        <v>175.0</v>
      </c>
      <c r="N31" s="280"/>
      <c r="O31" s="280"/>
      <c r="P31" s="280">
        <v>1.0</v>
      </c>
      <c r="Q31" s="359">
        <v>1.0</v>
      </c>
      <c r="R31" s="290" t="s">
        <v>809</v>
      </c>
      <c r="S31" s="281"/>
      <c r="T31" s="290"/>
      <c r="U31" s="281"/>
      <c r="V31" s="281"/>
      <c r="W31" s="281"/>
    </row>
    <row r="32">
      <c r="A32" s="300" t="s">
        <v>693</v>
      </c>
      <c r="B32" s="341" t="s">
        <v>694</v>
      </c>
      <c r="C32" s="361" t="s">
        <v>669</v>
      </c>
      <c r="D32" s="289">
        <f>ROUND((F32*'Pawn Weights'!$K$40)+(G32*'Pawn Weights'!$K$41)+(H32*'Pawn Weights'!$K$42)+(I32*'Pawn Weights'!$K$43)+(J32*'Pawn Weights'!$K$44)+(K32*'Pawn Weights'!$K$45)+(L32*'Pawn Weights'!$K$46)+(M32*'Pawn Weights'!$K$47)+(N32*'Pawn Weights'!$K$48)+(O32*'Pawn Weights'!$K$49)+(P32*'Pawn Weights'!$K$50)+(Q32*'Pawn Weights'!$K$51), 2)</f>
        <v>262.08</v>
      </c>
      <c r="E32" s="359">
        <v>38.0</v>
      </c>
      <c r="F32" s="359">
        <v>38.0</v>
      </c>
      <c r="G32" s="359">
        <v>38.0</v>
      </c>
      <c r="H32" s="361"/>
      <c r="I32" s="359">
        <v>20.0</v>
      </c>
      <c r="J32" s="361"/>
      <c r="K32" s="361"/>
      <c r="L32" s="361"/>
      <c r="M32" s="359">
        <v>105.0</v>
      </c>
      <c r="N32" s="361"/>
      <c r="O32" s="359">
        <v>1.0</v>
      </c>
      <c r="P32" s="361"/>
      <c r="Q32" s="359">
        <v>1.0</v>
      </c>
      <c r="R32" s="359" t="s">
        <v>695</v>
      </c>
      <c r="S32" s="137"/>
      <c r="T32" s="137"/>
      <c r="U32" s="137"/>
      <c r="V32" s="137"/>
      <c r="W32" s="137"/>
      <c r="X32" s="137"/>
      <c r="Y32" s="137"/>
      <c r="Z32" s="137"/>
    </row>
    <row r="33">
      <c r="A33" s="137" t="s">
        <v>635</v>
      </c>
      <c r="B33" s="341" t="s">
        <v>1188</v>
      </c>
      <c r="C33" s="361" t="s">
        <v>637</v>
      </c>
      <c r="D33" s="367">
        <f>ROUND((F33*'Pawn Weights'!$K$40)+(G33*'Pawn Weights'!$K$41)+(H33*'Pawn Weights'!$K$42)+(I33*'Pawn Weights'!$K$43)+(J33*'Pawn Weights'!$K$44)+(K33*'Pawn Weights'!$K$45)+(L33*'Pawn Weights'!$K$46)+(M33*'Pawn Weights'!$K$47)+(N33*'Pawn Weights'!$K$48)+(O33*'Pawn Weights'!$K$49)+(P33*'Pawn Weights'!$K$50)+(Q33*'Pawn Weights'!$K$51), 2)</f>
        <v>241.81</v>
      </c>
      <c r="E33" s="359">
        <v>55.0</v>
      </c>
      <c r="F33" s="137"/>
      <c r="G33" s="359">
        <v>39.0</v>
      </c>
      <c r="H33" s="359">
        <v>38.0</v>
      </c>
      <c r="I33" s="359">
        <v>31.0</v>
      </c>
      <c r="J33" s="137"/>
      <c r="K33" s="137"/>
      <c r="L33" s="137"/>
      <c r="M33" s="137"/>
      <c r="N33" s="137"/>
      <c r="O33" s="359">
        <v>1.0</v>
      </c>
      <c r="P33" s="359">
        <v>1.0</v>
      </c>
      <c r="Q33" s="137"/>
      <c r="R33" s="359" t="s">
        <v>1189</v>
      </c>
      <c r="S33" s="137"/>
      <c r="T33" s="359"/>
      <c r="U33" s="137"/>
      <c r="V33" s="137"/>
      <c r="W33" s="137"/>
      <c r="X33" s="137"/>
      <c r="Y33" s="137"/>
      <c r="Z33" s="137"/>
    </row>
    <row r="34">
      <c r="A34" s="315"/>
      <c r="B34" s="296" t="s">
        <v>1190</v>
      </c>
      <c r="C34" s="297" t="s">
        <v>1191</v>
      </c>
      <c r="D34" s="289">
        <f>ROUND((F34*'Pawn Weights'!$K$40)+(G34*'Pawn Weights'!$K$41)+(H34*'Pawn Weights'!$K$42)+(I34*'Pawn Weights'!$K$43)+(J34*'Pawn Weights'!$K$44)+(K34*'Pawn Weights'!$K$45)+(L34*'Pawn Weights'!$K$46)+(M34*'Pawn Weights'!$K$47)+(N34*'Pawn Weights'!$K$48)+(O34*'Pawn Weights'!$K$49)+(P34*'Pawn Weights'!$K$50)+(Q34*'Pawn Weights'!$K$51), 2)</f>
        <v>226.11</v>
      </c>
      <c r="E34" s="298">
        <v>34.0</v>
      </c>
      <c r="F34" s="297"/>
      <c r="G34" s="298">
        <v>29.0</v>
      </c>
      <c r="H34" s="298">
        <v>74.0</v>
      </c>
      <c r="I34" s="297"/>
      <c r="J34" s="297"/>
      <c r="K34" s="298">
        <v>38.0</v>
      </c>
      <c r="L34" s="297"/>
      <c r="M34" s="137"/>
      <c r="N34" s="297"/>
      <c r="O34" s="297"/>
      <c r="P34" s="297"/>
      <c r="Q34" s="297"/>
      <c r="R34" s="295"/>
      <c r="S34" s="137"/>
      <c r="T34" s="298"/>
      <c r="U34" s="137"/>
      <c r="V34" s="137"/>
      <c r="W34" s="137"/>
      <c r="X34" s="137"/>
      <c r="Y34" s="137"/>
      <c r="Z34" s="137"/>
    </row>
    <row r="35">
      <c r="A35" s="301"/>
      <c r="B35" s="288" t="s">
        <v>709</v>
      </c>
      <c r="C35" s="280" t="s">
        <v>710</v>
      </c>
      <c r="D35" s="289">
        <f>ROUND((F35*'Pawn Weights'!$K$40)+(G35*'Pawn Weights'!$K$41)+(H35*'Pawn Weights'!$K$42)+(I35*'Pawn Weights'!$K$43)+(J35*'Pawn Weights'!$K$44)+(K35*'Pawn Weights'!$K$45)+(L35*'Pawn Weights'!$K$46)+(M35*'Pawn Weights'!$K$47)+(N35*'Pawn Weights'!$K$48)+(O35*'Pawn Weights'!$K$49)+(P35*'Pawn Weights'!$K$50)+(Q35*'Pawn Weights'!$K$51)-27.1+25.1+4.62, 2)</f>
        <v>225.97</v>
      </c>
      <c r="E35" s="280">
        <v>28.0</v>
      </c>
      <c r="F35" s="280"/>
      <c r="G35" s="280">
        <v>33.0</v>
      </c>
      <c r="H35" s="280">
        <v>60.0</v>
      </c>
      <c r="I35" s="280">
        <v>16.0</v>
      </c>
      <c r="J35" s="280"/>
      <c r="K35" s="280"/>
      <c r="L35" s="280">
        <v>10.0</v>
      </c>
      <c r="M35" s="281"/>
      <c r="N35" s="280"/>
      <c r="O35" s="280">
        <v>1.0</v>
      </c>
      <c r="P35" s="280"/>
      <c r="Q35" s="280"/>
      <c r="R35" s="290" t="s">
        <v>711</v>
      </c>
      <c r="S35" s="281"/>
      <c r="T35" s="290" t="s">
        <v>1192</v>
      </c>
      <c r="U35" s="281"/>
      <c r="V35" s="281"/>
      <c r="W35" s="281"/>
    </row>
    <row r="36">
      <c r="A36" s="295"/>
      <c r="B36" s="296" t="s">
        <v>715</v>
      </c>
      <c r="C36" s="297" t="s">
        <v>716</v>
      </c>
      <c r="D36" s="289">
        <f>ROUND((F36*'Pawn Weights'!$K$40)+(G36*'Pawn Weights'!$K$41)+(H36*'Pawn Weights'!$K$42)+(I36*'Pawn Weights'!$K$43)+(J36*'Pawn Weights'!$K$44)+(K36*'Pawn Weights'!$K$45)+(L36*'Pawn Weights'!$K$46)+(M36*'Pawn Weights'!$K$47)+(N36*'Pawn Weights'!$K$48)+(O36*'Pawn Weights'!$K$49)+(P36*'Pawn Weights'!$K$50)+(Q36*'Pawn Weights'!$K$51), 2)</f>
        <v>216.98</v>
      </c>
      <c r="E36" s="298">
        <v>34.0</v>
      </c>
      <c r="F36" s="297"/>
      <c r="G36" s="297"/>
      <c r="H36" s="298">
        <v>94.0</v>
      </c>
      <c r="I36" s="298">
        <v>33.0</v>
      </c>
      <c r="J36" s="298">
        <v>22.0</v>
      </c>
      <c r="K36" s="297"/>
      <c r="L36" s="297"/>
      <c r="M36" s="137"/>
      <c r="N36" s="297"/>
      <c r="O36" s="297"/>
      <c r="P36" s="297"/>
      <c r="Q36" s="297"/>
      <c r="R36" s="295"/>
      <c r="S36" s="137"/>
      <c r="T36" s="298"/>
      <c r="U36" s="137"/>
      <c r="V36" s="137"/>
      <c r="W36" s="137"/>
      <c r="X36" s="137"/>
      <c r="Y36" s="137"/>
      <c r="Z36" s="137"/>
    </row>
    <row r="37">
      <c r="A37" s="301" t="s">
        <v>644</v>
      </c>
      <c r="B37" s="288" t="s">
        <v>1193</v>
      </c>
      <c r="C37" s="280" t="s">
        <v>646</v>
      </c>
      <c r="D37" s="289">
        <f>ROUND((F37*'Pawn Weights'!$K$40)+(G37*'Pawn Weights'!$K$41)+(H37*'Pawn Weights'!$K$42)+(I37*'Pawn Weights'!$K$43)+(J37*'Pawn Weights'!$K$44)+(K37*'Pawn Weights'!$K$45)+(L37*'Pawn Weights'!$K$46)+(M37*'Pawn Weights'!$K$47)+(N37*'Pawn Weights'!$K$48)+(O37*'Pawn Weights'!$K$49)+(P37*'Pawn Weights'!$K$50)+(Q37*'Pawn Weights'!$K$51), 2)</f>
        <v>214.58</v>
      </c>
      <c r="E37" s="280">
        <v>49.0</v>
      </c>
      <c r="F37" s="280"/>
      <c r="G37" s="280">
        <v>34.0</v>
      </c>
      <c r="H37" s="280">
        <v>30.0</v>
      </c>
      <c r="I37" s="280">
        <v>27.0</v>
      </c>
      <c r="J37" s="280"/>
      <c r="K37" s="280"/>
      <c r="L37" s="280"/>
      <c r="M37" s="281"/>
      <c r="N37" s="280"/>
      <c r="O37" s="280">
        <v>1.0</v>
      </c>
      <c r="P37" s="280">
        <v>1.0</v>
      </c>
      <c r="R37" s="290" t="s">
        <v>1189</v>
      </c>
      <c r="S37" s="281"/>
      <c r="T37" s="290"/>
      <c r="U37" s="281"/>
      <c r="V37" s="281"/>
      <c r="W37" s="281"/>
    </row>
    <row r="38">
      <c r="A38" s="301" t="s">
        <v>647</v>
      </c>
      <c r="B38" s="288" t="s">
        <v>1194</v>
      </c>
      <c r="C38" s="280" t="s">
        <v>1195</v>
      </c>
      <c r="D38" s="289">
        <f>ROUND((F38*'Pawn Weights'!$K$40)+(G38*'Pawn Weights'!$K$41)+(H38*'Pawn Weights'!$K$42)+(I38*'Pawn Weights'!$K$43)+(J38*'Pawn Weights'!$K$44)+(K38*'Pawn Weights'!$K$45)+(L38*'Pawn Weights'!$K$46)+(M38*'Pawn Weights'!$K$47)+(N38*'Pawn Weights'!$K$48)+(O38*'Pawn Weights'!$K$49)+(P38*'Pawn Weights'!$K$50)+(Q38*'Pawn Weights'!$K$51), 2)</f>
        <v>211.7</v>
      </c>
      <c r="E38" s="280">
        <v>37.0</v>
      </c>
      <c r="F38" s="280"/>
      <c r="G38" s="280">
        <v>34.0</v>
      </c>
      <c r="H38" s="280">
        <v>54.0</v>
      </c>
      <c r="I38" s="280">
        <v>13.0</v>
      </c>
      <c r="J38" s="280"/>
      <c r="K38" s="280"/>
      <c r="L38" s="280"/>
      <c r="M38" s="281"/>
      <c r="N38" s="280"/>
      <c r="O38" s="280">
        <v>1.0</v>
      </c>
      <c r="P38" s="280"/>
      <c r="Q38" s="280">
        <v>1.0</v>
      </c>
      <c r="R38" s="290" t="s">
        <v>702</v>
      </c>
      <c r="S38" s="281"/>
      <c r="T38" s="290"/>
      <c r="U38" s="281"/>
      <c r="V38" s="281"/>
      <c r="W38" s="281"/>
      <c r="X38" s="281"/>
    </row>
    <row r="39">
      <c r="A39" s="301" t="s">
        <v>1068</v>
      </c>
      <c r="B39" s="288" t="s">
        <v>1196</v>
      </c>
      <c r="C39" s="280" t="s">
        <v>997</v>
      </c>
      <c r="D39" s="289">
        <f>ROUND((F39*'Pawn Weights'!$K$40)+(G39*'Pawn Weights'!$K$41)+(H39*'Pawn Weights'!$K$42)+(I39*'Pawn Weights'!$K$43)+(J39*'Pawn Weights'!$K$44)+(K39*'Pawn Weights'!$K$45)+(L39*'Pawn Weights'!$K$46)+(M39*'Pawn Weights'!$K$47)+(N39*'Pawn Weights'!$K$48)+(O39*'Pawn Weights'!$K$49)+(P39*'Pawn Weights'!$K$50)+(Q39*'Pawn Weights'!$K$51), 2)</f>
        <v>198.2</v>
      </c>
      <c r="E39" s="280">
        <v>45.0</v>
      </c>
      <c r="F39" s="280"/>
      <c r="G39" s="280">
        <v>32.0</v>
      </c>
      <c r="H39" s="280">
        <v>24.0</v>
      </c>
      <c r="I39" s="280">
        <v>24.0</v>
      </c>
      <c r="J39" s="280"/>
      <c r="K39" s="280"/>
      <c r="L39" s="280"/>
      <c r="M39" s="281"/>
      <c r="N39" s="280"/>
      <c r="O39" s="280">
        <v>1.0</v>
      </c>
      <c r="P39" s="280">
        <v>1.0</v>
      </c>
      <c r="Q39" s="280"/>
      <c r="R39" s="290" t="s">
        <v>1189</v>
      </c>
      <c r="S39" s="281"/>
      <c r="T39" s="290"/>
      <c r="U39" s="281"/>
      <c r="V39" s="281"/>
      <c r="W39" s="281"/>
    </row>
    <row r="40">
      <c r="A40" s="301"/>
      <c r="B40" s="288" t="s">
        <v>1197</v>
      </c>
      <c r="C40" s="280" t="s">
        <v>1198</v>
      </c>
      <c r="D40" s="289">
        <f>ROUND((F40*'Pawn Weights'!$K$40)+(G40*'Pawn Weights'!$K$41)+(H40*'Pawn Weights'!$K$42)+(I40*'Pawn Weights'!$K$43)+(J40*'Pawn Weights'!$K$44)+(K40*'Pawn Weights'!$K$45)+(L40*'Pawn Weights'!$K$46)+(M40*'Pawn Weights'!$K$47)+(N40*'Pawn Weights'!$K$48)+(O40*'Pawn Weights'!$K$49)+(P40*'Pawn Weights'!$K$50)+(Q40*'Pawn Weights'!$K$51), 2)</f>
        <v>187.59</v>
      </c>
      <c r="E40" s="280">
        <v>39.0</v>
      </c>
      <c r="F40" s="280"/>
      <c r="G40" s="280">
        <v>33.0</v>
      </c>
      <c r="H40" s="280">
        <v>68.0</v>
      </c>
      <c r="I40" s="280"/>
      <c r="J40" s="280">
        <v>16.0</v>
      </c>
      <c r="K40" s="280"/>
      <c r="L40" s="280"/>
      <c r="M40" s="281"/>
      <c r="N40" s="280"/>
      <c r="O40" s="280"/>
      <c r="P40" s="280"/>
      <c r="Q40" s="280"/>
      <c r="R40" s="290"/>
      <c r="S40" s="281"/>
      <c r="T40" s="290"/>
      <c r="U40" s="281"/>
      <c r="V40" s="281"/>
      <c r="W40" s="281"/>
    </row>
    <row r="41">
      <c r="A41" s="301"/>
      <c r="B41" s="288" t="s">
        <v>1199</v>
      </c>
      <c r="C41" s="280" t="s">
        <v>842</v>
      </c>
      <c r="D41" s="289">
        <f>ROUND((F41*'Pawn Weights'!$K$40)+(G41*'Pawn Weights'!$K$41)+(H41*'Pawn Weights'!$K$42)+(I41*'Pawn Weights'!$K$43)+(J41*'Pawn Weights'!$K$44)+(K41*'Pawn Weights'!$K$45)+(L41*'Pawn Weights'!$K$46)+(M41*'Pawn Weights'!$K$47)+(N41*'Pawn Weights'!$K$48)+(O41*'Pawn Weights'!$K$49)+(P41*'Pawn Weights'!$K$50)+(Q41*'Pawn Weights'!$K$51), 2)</f>
        <v>184.84</v>
      </c>
      <c r="E41" s="280">
        <v>55.0</v>
      </c>
      <c r="F41" s="280"/>
      <c r="G41" s="280">
        <v>28.0</v>
      </c>
      <c r="H41" s="280">
        <v>76.0</v>
      </c>
      <c r="I41" s="280">
        <v>23.0</v>
      </c>
      <c r="J41" s="280"/>
      <c r="K41" s="280"/>
      <c r="L41" s="280"/>
      <c r="M41" s="281"/>
      <c r="N41" s="280"/>
      <c r="O41" s="280"/>
      <c r="P41" s="280"/>
      <c r="Q41" s="280"/>
      <c r="R41" s="290"/>
      <c r="S41" s="281"/>
      <c r="T41" s="290"/>
      <c r="U41" s="281"/>
      <c r="V41" s="281"/>
      <c r="W41" s="281"/>
    </row>
    <row r="42">
      <c r="A42" s="272" t="s">
        <v>724</v>
      </c>
      <c r="B42" s="281"/>
      <c r="C42" s="281"/>
      <c r="D42" s="360"/>
      <c r="E42" s="281"/>
      <c r="F42" s="281"/>
      <c r="G42" s="281"/>
      <c r="H42" s="281"/>
      <c r="I42" s="281"/>
      <c r="J42" s="281"/>
      <c r="K42" s="281"/>
      <c r="L42" s="281"/>
      <c r="M42" s="281"/>
      <c r="N42" s="281"/>
      <c r="O42" s="281"/>
      <c r="P42" s="281"/>
      <c r="Q42" s="280"/>
      <c r="R42" s="282"/>
      <c r="S42" s="281"/>
      <c r="T42" s="282"/>
      <c r="U42" s="281"/>
      <c r="V42" s="281"/>
      <c r="W42" s="281"/>
    </row>
    <row r="43">
      <c r="A43" s="137"/>
      <c r="B43" s="341" t="s">
        <v>725</v>
      </c>
      <c r="C43" s="361" t="s">
        <v>621</v>
      </c>
      <c r="D43" s="289">
        <f>ROUND((F43*'Pawn Weights'!$K$40)+(G43*'Pawn Weights'!$K$41)+(H43*'Pawn Weights'!$K$42)+(I43*'Pawn Weights'!$K$43)+(J43*'Pawn Weights'!$K$44)+(K43*'Pawn Weights'!$K$45)+(L43*'Pawn Weights'!$K$46)+(M43*'Pawn Weights'!$K$47)+(N43*'Pawn Weights'!$K$48)+(O43*'Pawn Weights'!$K$49)+(P43*'Pawn Weights'!$K$50)+(Q43*'Pawn Weights'!$K$51)+4, 2)</f>
        <v>234.84</v>
      </c>
      <c r="E43" s="359">
        <v>25.0</v>
      </c>
      <c r="F43" s="361"/>
      <c r="G43" s="359">
        <v>26.0</v>
      </c>
      <c r="H43" s="359">
        <v>72.0</v>
      </c>
      <c r="I43" s="361"/>
      <c r="J43" s="361"/>
      <c r="K43" s="359">
        <v>32.0</v>
      </c>
      <c r="L43" s="361"/>
      <c r="M43" s="361"/>
      <c r="N43" s="361"/>
      <c r="O43" s="361"/>
      <c r="P43" s="359">
        <v>1.0</v>
      </c>
      <c r="Q43" s="297"/>
      <c r="R43" s="359" t="s">
        <v>660</v>
      </c>
      <c r="S43" s="137"/>
      <c r="T43" s="137"/>
      <c r="U43" s="137"/>
      <c r="V43" s="137"/>
      <c r="W43" s="137"/>
      <c r="X43" s="137"/>
      <c r="Y43" s="137"/>
      <c r="Z43" s="137"/>
    </row>
    <row r="44">
      <c r="A44" s="137"/>
      <c r="B44" s="296" t="s">
        <v>726</v>
      </c>
      <c r="C44" s="297" t="s">
        <v>727</v>
      </c>
      <c r="D44" s="289">
        <f>ROUND((F44*'Pawn Weights'!$K$40)+(G44*'Pawn Weights'!$K$41)+(H44*'Pawn Weights'!$K$42)+(I44*'Pawn Weights'!$K$43)+(J44*'Pawn Weights'!$K$44)+(K44*'Pawn Weights'!$K$45)+(L44*'Pawn Weights'!$K$46)+(M44*'Pawn Weights'!$K$47)+(N44*'Pawn Weights'!$K$48)+(O44*'Pawn Weights'!$K$49)+(P44*'Pawn Weights'!$K$50)+(Q44*'Pawn Weights'!$K$51), 2)</f>
        <v>164.15</v>
      </c>
      <c r="E44" s="298">
        <v>24.0</v>
      </c>
      <c r="F44" s="297"/>
      <c r="G44" s="297"/>
      <c r="H44" s="298">
        <v>72.0</v>
      </c>
      <c r="I44" s="298">
        <v>24.0</v>
      </c>
      <c r="J44" s="298">
        <v>17.0</v>
      </c>
      <c r="K44" s="297"/>
      <c r="L44" s="297"/>
      <c r="M44" s="361"/>
      <c r="N44" s="297"/>
      <c r="O44" s="297"/>
      <c r="P44" s="297"/>
      <c r="Q44" s="297"/>
      <c r="R44" s="295"/>
      <c r="S44" s="137"/>
      <c r="T44" s="359"/>
      <c r="U44" s="137"/>
      <c r="V44" s="137"/>
      <c r="W44" s="137"/>
      <c r="X44" s="137"/>
      <c r="Y44" s="137"/>
      <c r="Z44" s="137"/>
    </row>
    <row r="45">
      <c r="A45" s="137"/>
      <c r="B45" s="296" t="s">
        <v>732</v>
      </c>
      <c r="C45" s="297" t="s">
        <v>733</v>
      </c>
      <c r="D45" s="289">
        <f>ROUND((F45*'Pawn Weights'!$K$40)+(G45*'Pawn Weights'!$K$41)+(H45*'Pawn Weights'!$K$42)+(I45*'Pawn Weights'!$K$43)+(J45*'Pawn Weights'!$K$44)+(K45*'Pawn Weights'!$K$45)+(L45*'Pawn Weights'!$K$46)+(M45*'Pawn Weights'!$K$47)+(N45*'Pawn Weights'!$K$48)+(O45*'Pawn Weights'!$K$49)+(P45*'Pawn Weights'!$K$50)+(Q45*'Pawn Weights'!$K$51), 2)</f>
        <v>148.2</v>
      </c>
      <c r="E45" s="298">
        <v>22.0</v>
      </c>
      <c r="F45" s="295"/>
      <c r="G45" s="298">
        <v>20.0</v>
      </c>
      <c r="H45" s="298">
        <v>46.0</v>
      </c>
      <c r="I45" s="295"/>
      <c r="J45" s="295"/>
      <c r="K45" s="298">
        <v>25.0</v>
      </c>
      <c r="L45" s="295"/>
      <c r="M45" s="295"/>
      <c r="N45" s="295"/>
      <c r="O45" s="295"/>
      <c r="P45" s="295"/>
      <c r="Q45" s="295"/>
      <c r="R45" s="295"/>
      <c r="S45" s="137"/>
      <c r="T45" s="359"/>
      <c r="U45" s="137"/>
      <c r="V45" s="137"/>
      <c r="W45" s="137"/>
      <c r="X45" s="137"/>
      <c r="Y45" s="137"/>
      <c r="Z45" s="137"/>
    </row>
    <row r="46">
      <c r="A46" s="137"/>
      <c r="B46" s="296" t="s">
        <v>1200</v>
      </c>
      <c r="C46" s="297" t="s">
        <v>1201</v>
      </c>
      <c r="D46" s="367">
        <f>ROUND((F46*'Pawn Weights'!$K$40)+(G46*'Pawn Weights'!$K$41)+(H46*'Pawn Weights'!$K$42)+(I46*'Pawn Weights'!$K$43)+(J46*'Pawn Weights'!$K$44)+(K46*'Pawn Weights'!$K$45)+(L46*'Pawn Weights'!$K$46)+(M46*'Pawn Weights'!$K$47)+(N46*'Pawn Weights'!$K$48)+(O46*'Pawn Weights'!$K$49)+(P46*'Pawn Weights'!$K$50)+(Q46*'Pawn Weights'!$K$51), 2)</f>
        <v>135.51</v>
      </c>
      <c r="E46" s="298">
        <v>21.0</v>
      </c>
      <c r="F46" s="297"/>
      <c r="G46" s="298">
        <v>24.0</v>
      </c>
      <c r="H46" s="298">
        <v>34.0</v>
      </c>
      <c r="I46" s="297"/>
      <c r="J46" s="298">
        <v>17.0</v>
      </c>
      <c r="K46" s="297"/>
      <c r="L46" s="297"/>
      <c r="M46" s="297"/>
      <c r="N46" s="297"/>
      <c r="O46" s="297"/>
      <c r="P46" s="297"/>
      <c r="Q46" s="297"/>
      <c r="R46" s="295"/>
      <c r="S46" s="137"/>
      <c r="T46" s="137"/>
      <c r="U46" s="137"/>
      <c r="V46" s="137"/>
      <c r="W46" s="137"/>
      <c r="X46" s="137"/>
      <c r="Y46" s="137"/>
      <c r="Z46" s="137"/>
    </row>
    <row r="47" ht="1.5" customHeight="1">
      <c r="A47" s="281"/>
      <c r="B47" s="302" t="s">
        <v>740</v>
      </c>
      <c r="C47" s="280" t="s">
        <v>741</v>
      </c>
      <c r="D47" s="289">
        <f>ROUND((F47*'Pawn Weights'!$K$40)+(G47*'Pawn Weights'!$K$41)+(H47*'Pawn Weights'!$K$42)+(I47*'Pawn Weights'!$K$43)+(J47*'Pawn Weights'!$K$44)+(K47*'Pawn Weights'!$K$45)+(L47*'Pawn Weights'!$K$46)+(M47*'Pawn Weights'!$K$47)+(N47*'Pawn Weights'!$K$48)+(O47*'Pawn Weights'!$K$49)+(P47*'Pawn Weights'!$K$50)+(Q47*'Pawn Weights'!$K$51), 2)</f>
        <v>132.68</v>
      </c>
      <c r="E47" s="280">
        <v>28.0</v>
      </c>
      <c r="F47" s="280"/>
      <c r="G47" s="280">
        <v>28.0</v>
      </c>
      <c r="H47" s="280">
        <v>68.0</v>
      </c>
      <c r="I47" s="280"/>
      <c r="J47" s="280"/>
      <c r="K47" s="280"/>
      <c r="L47" s="280"/>
      <c r="M47" s="280"/>
      <c r="N47" s="280"/>
      <c r="O47" s="280"/>
      <c r="P47" s="280"/>
      <c r="Q47" s="280"/>
      <c r="R47" s="290"/>
      <c r="S47" s="281"/>
      <c r="T47" s="380"/>
      <c r="U47" s="281"/>
      <c r="V47" s="281"/>
      <c r="W47" s="281"/>
      <c r="X47" s="281"/>
    </row>
    <row r="48">
      <c r="A48" s="137"/>
      <c r="B48" s="296" t="s">
        <v>728</v>
      </c>
      <c r="C48" s="318" t="s">
        <v>718</v>
      </c>
      <c r="D48" s="289">
        <f>ROUND((F48*'Pawn Weights'!$K$40)+(G48*'Pawn Weights'!$K$41)+(H48*'Pawn Weights'!$K$42)+(I48*'Pawn Weights'!$K$43)+(J48*'Pawn Weights'!$K$44)+(K48*'Pawn Weights'!$K$45)+(L48*'Pawn Weights'!$K$46)+(M48*'Pawn Weights'!$K$47)+(N48*'Pawn Weights'!$K$48)+(O48*'Pawn Weights'!$K$49)+(P48*'Pawn Weights'!$K$50)+(Q48*'Pawn Weights'!$K$51), 2)</f>
        <v>126.96</v>
      </c>
      <c r="E48" s="298">
        <v>34.0</v>
      </c>
      <c r="F48" s="297"/>
      <c r="G48" s="297"/>
      <c r="H48" s="298">
        <v>46.0</v>
      </c>
      <c r="I48" s="298">
        <v>20.0</v>
      </c>
      <c r="J48" s="297"/>
      <c r="K48" s="297"/>
      <c r="L48" s="297"/>
      <c r="M48" s="359">
        <v>112.0</v>
      </c>
      <c r="N48" s="297"/>
      <c r="O48" s="297"/>
      <c r="P48" s="297"/>
      <c r="Q48" s="297"/>
      <c r="R48" s="295"/>
      <c r="S48" s="137"/>
      <c r="T48" s="359" t="s">
        <v>704</v>
      </c>
      <c r="U48" s="137"/>
      <c r="V48" s="137"/>
      <c r="W48" s="137"/>
      <c r="X48" s="137"/>
      <c r="Y48" s="137"/>
      <c r="Z48" s="137"/>
    </row>
    <row r="49">
      <c r="A49" s="292" t="s">
        <v>627</v>
      </c>
      <c r="B49" s="288" t="s">
        <v>729</v>
      </c>
      <c r="C49" s="280" t="s">
        <v>730</v>
      </c>
      <c r="D49" s="289">
        <f>ROUND((F49*'Pawn Weights'!$K$40)+(G49*'Pawn Weights'!$K$41)+(H49*'Pawn Weights'!$K$42)+(I49*'Pawn Weights'!$K$43)+(J49*'Pawn Weights'!$K$44)+(K49*'Pawn Weights'!$K$45)+(L49*'Pawn Weights'!$K$46)+(M49*'Pawn Weights'!$K$47)+(N49*'Pawn Weights'!$K$48)+(O49*'Pawn Weights'!$K$49)+(P49*'Pawn Weights'!$K$50)+(Q49*'Pawn Weights'!$K$51)-27.1+25.1+5.42, 2)</f>
        <v>126.68</v>
      </c>
      <c r="E49" s="280"/>
      <c r="F49" s="280"/>
      <c r="G49" s="280"/>
      <c r="H49" s="280">
        <v>52.0</v>
      </c>
      <c r="I49" s="280">
        <v>23.0</v>
      </c>
      <c r="J49" s="280"/>
      <c r="K49" s="280"/>
      <c r="L49" s="280"/>
      <c r="M49" s="281"/>
      <c r="N49" s="280"/>
      <c r="O49" s="280">
        <v>1.0</v>
      </c>
      <c r="P49" s="280"/>
      <c r="Q49" s="280"/>
      <c r="R49" s="290" t="s">
        <v>731</v>
      </c>
      <c r="S49" s="281"/>
      <c r="T49" s="380"/>
      <c r="U49" s="281"/>
      <c r="V49" s="281"/>
      <c r="W49" s="281"/>
      <c r="X49" s="281"/>
    </row>
    <row r="50">
      <c r="A50" s="281"/>
      <c r="B50" s="302" t="s">
        <v>738</v>
      </c>
      <c r="C50" s="280" t="s">
        <v>739</v>
      </c>
      <c r="D50" s="289">
        <f>ROUND((F50*'Pawn Weights'!$K$40)+(G50*'Pawn Weights'!$K$41)+(H50*'Pawn Weights'!$K$42)+(I50*'Pawn Weights'!$K$43)+(J50*'Pawn Weights'!$K$44)+(K50*'Pawn Weights'!$K$45)+(L50*'Pawn Weights'!$K$46)+(M50*'Pawn Weights'!$K$47)+(N50*'Pawn Weights'!$K$48)+(O50*'Pawn Weights'!$K$49)+(P50*'Pawn Weights'!$K$50)+(Q50*'Pawn Weights'!$K$51), 2)</f>
        <v>117.6</v>
      </c>
      <c r="E50" s="280"/>
      <c r="F50" s="280"/>
      <c r="G50" s="280"/>
      <c r="H50" s="280">
        <v>60.0</v>
      </c>
      <c r="I50" s="280">
        <v>30.0</v>
      </c>
      <c r="J50" s="280"/>
      <c r="K50" s="280"/>
      <c r="L50" s="280"/>
      <c r="M50" s="280"/>
      <c r="N50" s="280"/>
      <c r="O50" s="280"/>
      <c r="P50" s="280"/>
      <c r="Q50" s="280"/>
      <c r="R50" s="290"/>
      <c r="S50" s="281"/>
      <c r="T50" s="380"/>
      <c r="U50" s="281"/>
      <c r="V50" s="281"/>
      <c r="W50" s="281"/>
      <c r="X50" s="281"/>
    </row>
    <row r="51">
      <c r="A51" s="272" t="s">
        <v>742</v>
      </c>
      <c r="B51" s="281"/>
      <c r="C51" s="281"/>
      <c r="D51" s="360"/>
      <c r="E51" s="281"/>
      <c r="F51" s="281"/>
      <c r="G51" s="281"/>
      <c r="H51" s="281"/>
      <c r="I51" s="281"/>
      <c r="J51" s="281"/>
      <c r="K51" s="281"/>
      <c r="L51" s="281"/>
      <c r="M51" s="281"/>
      <c r="N51" s="281"/>
      <c r="O51" s="281"/>
      <c r="P51" s="281"/>
      <c r="Q51" s="281"/>
      <c r="R51" s="282"/>
      <c r="S51" s="281"/>
      <c r="T51" s="380"/>
      <c r="U51" s="281"/>
      <c r="V51" s="281"/>
      <c r="W51" s="281"/>
    </row>
    <row r="52">
      <c r="A52" s="295"/>
      <c r="B52" s="308" t="s">
        <v>749</v>
      </c>
      <c r="C52" s="297" t="s">
        <v>750</v>
      </c>
      <c r="D52" s="289">
        <f>ROUND((F52*'Pawn Weights'!$K$40)+(G52*'Pawn Weights'!$K$41)+(H52*'Pawn Weights'!$K$42)+(I52*'Pawn Weights'!$K$43)+(J52*'Pawn Weights'!$K$44)+(K52*'Pawn Weights'!$K$45)+(L52*'Pawn Weights'!$K$46)+(M52*'Pawn Weights'!$K$47)+(N52*'Pawn Weights'!$K$48)+(O52*'Pawn Weights'!$K$49)+(P52*'Pawn Weights'!$K$50)+(Q52*'Pawn Weights'!$K$51)-54.2+50.2+8, 2)</f>
        <v>468.74</v>
      </c>
      <c r="E52" s="298">
        <v>45.0</v>
      </c>
      <c r="F52" s="297"/>
      <c r="G52" s="298">
        <v>42.0</v>
      </c>
      <c r="H52" s="298">
        <v>120.0</v>
      </c>
      <c r="I52" s="297"/>
      <c r="J52" s="298">
        <v>30.0</v>
      </c>
      <c r="K52" s="298">
        <v>38.0</v>
      </c>
      <c r="L52" s="297"/>
      <c r="M52" s="137"/>
      <c r="N52" s="297"/>
      <c r="O52" s="298">
        <v>2.0</v>
      </c>
      <c r="P52" s="298">
        <v>1.0</v>
      </c>
      <c r="Q52" s="297"/>
      <c r="R52" s="298" t="s">
        <v>745</v>
      </c>
      <c r="S52" s="137"/>
      <c r="T52" s="363" t="s">
        <v>748</v>
      </c>
      <c r="U52" s="137"/>
      <c r="V52" s="137"/>
      <c r="W52" s="137"/>
      <c r="X52" s="137"/>
      <c r="Y52" s="137"/>
      <c r="Z52" s="137"/>
    </row>
    <row r="53">
      <c r="A53" s="300" t="s">
        <v>693</v>
      </c>
      <c r="B53" s="381" t="s">
        <v>743</v>
      </c>
      <c r="C53" s="361" t="s">
        <v>744</v>
      </c>
      <c r="D53" s="289">
        <f>ROUND((F53*'Pawn Weights'!$K$40)+(G53*'Pawn Weights'!$K$41)+(H53*'Pawn Weights'!$K$42)+(I53*'Pawn Weights'!$K$43)+(J53*'Pawn Weights'!$K$44)+(K53*'Pawn Weights'!$K$45)+(L53*'Pawn Weights'!$K$46)+(M53*'Pawn Weights'!$K$47)+(N53*'Pawn Weights'!$K$48)+(O53*'Pawn Weights'!$K$49)+(P53*'Pawn Weights'!$K$50)+(Q53*'Pawn Weights'!$K$51), 2)</f>
        <v>451.08</v>
      </c>
      <c r="E53" s="359">
        <v>45.0</v>
      </c>
      <c r="F53" s="361"/>
      <c r="G53" s="359">
        <v>42.0</v>
      </c>
      <c r="H53" s="359">
        <v>120.0</v>
      </c>
      <c r="I53" s="359">
        <v>38.0</v>
      </c>
      <c r="J53" s="361"/>
      <c r="K53" s="361"/>
      <c r="L53" s="361"/>
      <c r="M53" s="359">
        <v>210.0</v>
      </c>
      <c r="N53" s="361"/>
      <c r="O53" s="359">
        <v>1.0</v>
      </c>
      <c r="P53" s="359">
        <v>1.0</v>
      </c>
      <c r="Q53" s="359">
        <v>1.0</v>
      </c>
      <c r="R53" s="359" t="s">
        <v>745</v>
      </c>
      <c r="S53" s="137"/>
      <c r="T53" s="137"/>
      <c r="U53" s="137"/>
      <c r="V53" s="137"/>
      <c r="W53" s="137"/>
      <c r="X53" s="137"/>
      <c r="Y53" s="137"/>
      <c r="Z53" s="137"/>
    </row>
    <row r="54">
      <c r="A54" s="301" t="s">
        <v>640</v>
      </c>
      <c r="B54" s="305" t="s">
        <v>1202</v>
      </c>
      <c r="C54" s="307" t="s">
        <v>632</v>
      </c>
      <c r="D54" s="289">
        <f>ROUND((F54*'Pawn Weights'!$K$40)+(G54*'Pawn Weights'!$K$41)+(H54*'Pawn Weights'!$K$42)+(I54*'Pawn Weights'!$K$43)+(J54*'Pawn Weights'!$K$44)+(K54*'Pawn Weights'!$K$45)+(L54*'Pawn Weights'!$K$46)+(M54*'Pawn Weights'!$K$47)+(N54*'Pawn Weights'!$K$48)+(O54*'Pawn Weights'!$K$49)+(P54*'Pawn Weights'!$K$50)+(Q54*'Pawn Weights'!$K$51), 2)</f>
        <v>371.66</v>
      </c>
      <c r="E54" s="280">
        <v>55.0</v>
      </c>
      <c r="F54" s="280"/>
      <c r="G54" s="280">
        <v>45.0</v>
      </c>
      <c r="H54" s="280">
        <v>92.0</v>
      </c>
      <c r="I54" s="280">
        <v>28.0</v>
      </c>
      <c r="J54" s="280">
        <v>15.0</v>
      </c>
      <c r="K54" s="280"/>
      <c r="L54" s="280"/>
      <c r="M54" s="281"/>
      <c r="N54" s="280"/>
      <c r="O54" s="280"/>
      <c r="P54" s="280">
        <v>2.0</v>
      </c>
      <c r="Q54" s="280">
        <v>1.0</v>
      </c>
      <c r="R54" s="290" t="s">
        <v>745</v>
      </c>
      <c r="S54" s="281"/>
      <c r="T54" s="290"/>
      <c r="U54" s="281"/>
      <c r="V54" s="281"/>
      <c r="W54" s="281"/>
    </row>
    <row r="55">
      <c r="A55" s="295"/>
      <c r="B55" s="308" t="s">
        <v>758</v>
      </c>
      <c r="C55" s="297" t="s">
        <v>642</v>
      </c>
      <c r="D55" s="289">
        <f>ROUND((F55*'Pawn Weights'!$K$40)+(G55*'Pawn Weights'!$K$41)+(H55*'Pawn Weights'!$K$42)+(I55*'Pawn Weights'!$K$43)+(J55*'Pawn Weights'!$K$44)+(K55*'Pawn Weights'!$K$45)+(L55*'Pawn Weights'!$K$46)+(M55*'Pawn Weights'!$K$47)+(N55*'Pawn Weights'!$K$48)+(O55*'Pawn Weights'!$K$49)+(P55*'Pawn Weights'!$K$50)+(Q55*'Pawn Weights'!$K$51), 2)</f>
        <v>354.21</v>
      </c>
      <c r="E55" s="298">
        <v>64.0</v>
      </c>
      <c r="F55" s="297"/>
      <c r="G55" s="297"/>
      <c r="H55" s="298">
        <v>106.0</v>
      </c>
      <c r="I55" s="298">
        <v>46.0</v>
      </c>
      <c r="J55" s="298">
        <v>29.0</v>
      </c>
      <c r="K55" s="297"/>
      <c r="L55" s="297"/>
      <c r="M55" s="137"/>
      <c r="N55" s="297"/>
      <c r="O55" s="298">
        <v>1.0</v>
      </c>
      <c r="P55" s="298">
        <v>1.0</v>
      </c>
      <c r="Q55" s="298">
        <v>1.0</v>
      </c>
      <c r="R55" s="298" t="s">
        <v>745</v>
      </c>
      <c r="S55" s="137"/>
      <c r="T55" s="298"/>
      <c r="U55" s="137"/>
      <c r="V55" s="137"/>
      <c r="W55" s="137"/>
      <c r="X55" s="137"/>
      <c r="Y55" s="137"/>
      <c r="Z55" s="137"/>
    </row>
    <row r="56">
      <c r="A56" s="137" t="s">
        <v>635</v>
      </c>
      <c r="B56" s="381" t="s">
        <v>1203</v>
      </c>
      <c r="C56" s="361" t="s">
        <v>637</v>
      </c>
      <c r="D56" s="367">
        <f>ROUND((F56*'Pawn Weights'!$K$40)+(G56*'Pawn Weights'!$K$41)+(H56*'Pawn Weights'!$K$42)+(I56*'Pawn Weights'!$K$43)+(J56*'Pawn Weights'!$K$44)+(K56*'Pawn Weights'!$K$45)+(L56*'Pawn Weights'!$K$46)+(M56*'Pawn Weights'!$K$47)+(N56*'Pawn Weights'!$K$48)+(O56*'Pawn Weights'!$K$49)+(P56*'Pawn Weights'!$K$50)+(Q56*'Pawn Weights'!$K$51)-54.2+50.2+7.68, 2)</f>
        <v>346.37</v>
      </c>
      <c r="E56" s="359">
        <v>71.0</v>
      </c>
      <c r="F56" s="137"/>
      <c r="G56" s="359">
        <v>36.0</v>
      </c>
      <c r="H56" s="359">
        <v>58.0</v>
      </c>
      <c r="I56" s="359">
        <v>22.0</v>
      </c>
      <c r="J56" s="359">
        <v>17.0</v>
      </c>
      <c r="K56" s="137"/>
      <c r="L56" s="137"/>
      <c r="M56" s="359">
        <v>84.0</v>
      </c>
      <c r="N56" s="137"/>
      <c r="O56" s="359">
        <v>2.0</v>
      </c>
      <c r="P56" s="359">
        <v>1.0</v>
      </c>
      <c r="Q56" s="137"/>
      <c r="R56" s="359" t="s">
        <v>624</v>
      </c>
      <c r="S56" s="137"/>
      <c r="T56" s="137"/>
      <c r="U56" s="137"/>
      <c r="V56" s="137"/>
      <c r="W56" s="137"/>
      <c r="X56" s="137"/>
      <c r="Y56" s="137"/>
      <c r="Z56" s="137"/>
    </row>
    <row r="57" ht="15.0" customHeight="1">
      <c r="A57" s="295"/>
      <c r="B57" s="308" t="s">
        <v>767</v>
      </c>
      <c r="C57" s="297" t="s">
        <v>665</v>
      </c>
      <c r="D57" s="289">
        <f>ROUND((F57*'Pawn Weights'!$K$40)+(G57*'Pawn Weights'!$K$41)+(H57*'Pawn Weights'!$K$42)+(I57*'Pawn Weights'!$K$43)+(J57*'Pawn Weights'!$K$44)+(K57*'Pawn Weights'!$K$45)+(L57*'Pawn Weights'!$K$46)+(M57*'Pawn Weights'!$K$47)+(N57*'Pawn Weights'!$K$48)+(O57*'Pawn Weights'!$K$49)+(P57*'Pawn Weights'!$K$50)+(Q57*'Pawn Weights'!$K$51), 2)</f>
        <v>345.31</v>
      </c>
      <c r="E57" s="298">
        <v>52.0</v>
      </c>
      <c r="F57" s="297"/>
      <c r="G57" s="298">
        <v>36.0</v>
      </c>
      <c r="H57" s="298">
        <v>86.0</v>
      </c>
      <c r="I57" s="297"/>
      <c r="J57" s="298">
        <v>35.0</v>
      </c>
      <c r="K57" s="297"/>
      <c r="L57" s="297"/>
      <c r="M57" s="137"/>
      <c r="N57" s="297"/>
      <c r="O57" s="298">
        <v>1.0</v>
      </c>
      <c r="P57" s="298">
        <v>1.0</v>
      </c>
      <c r="Q57" s="298">
        <v>1.0</v>
      </c>
      <c r="R57" s="298" t="s">
        <v>745</v>
      </c>
      <c r="S57" s="137"/>
      <c r="T57" s="298"/>
      <c r="U57" s="137"/>
      <c r="V57" s="137"/>
      <c r="W57" s="137"/>
      <c r="X57" s="137"/>
      <c r="Y57" s="137"/>
      <c r="Z57" s="137"/>
    </row>
    <row r="58">
      <c r="A58" s="295"/>
      <c r="B58" s="308" t="s">
        <v>777</v>
      </c>
      <c r="C58" s="297" t="s">
        <v>775</v>
      </c>
      <c r="D58" s="289">
        <f>ROUND((F58*'Pawn Weights'!$K$40)+(G58*'Pawn Weights'!$K$41)+(H58*'Pawn Weights'!$K$42)+(I58*'Pawn Weights'!$K$43)+(J58*'Pawn Weights'!$K$44)+(K58*'Pawn Weights'!$K$45)+(L58*'Pawn Weights'!$K$46)+(M58*'Pawn Weights'!$K$47)+(N58*'Pawn Weights'!$K$48)+(O58*'Pawn Weights'!$K$49)+(P58*'Pawn Weights'!$K$50)+(Q58*'Pawn Weights'!$K$51), 2)</f>
        <v>322.88</v>
      </c>
      <c r="E58" s="298">
        <v>51.0</v>
      </c>
      <c r="F58" s="297"/>
      <c r="G58" s="298">
        <v>44.0</v>
      </c>
      <c r="H58" s="298">
        <v>102.0</v>
      </c>
      <c r="I58" s="297"/>
      <c r="J58" s="298">
        <v>34.0</v>
      </c>
      <c r="K58" s="297"/>
      <c r="L58" s="297"/>
      <c r="M58" s="361"/>
      <c r="N58" s="297"/>
      <c r="O58" s="298">
        <v>1.0</v>
      </c>
      <c r="P58" s="297"/>
      <c r="Q58" s="297"/>
      <c r="R58" s="298" t="s">
        <v>674</v>
      </c>
      <c r="S58" s="137"/>
      <c r="T58" s="295"/>
      <c r="U58" s="137"/>
      <c r="V58" s="137"/>
      <c r="W58" s="137"/>
      <c r="X58" s="137"/>
      <c r="Y58" s="137"/>
      <c r="Z58" s="137"/>
    </row>
    <row r="59">
      <c r="A59" s="281"/>
      <c r="B59" s="305" t="s">
        <v>764</v>
      </c>
      <c r="C59" s="307" t="s">
        <v>765</v>
      </c>
      <c r="D59" s="289">
        <f>ROUND((F59*'Pawn Weights'!$K$40)+(G59*'Pawn Weights'!$K$41)+(H59*'Pawn Weights'!$K$42)+(I59*'Pawn Weights'!$K$43)+(J59*'Pawn Weights'!$K$44)+(K59*'Pawn Weights'!$K$45)+(L59*'Pawn Weights'!$K$46)+(M59*'Pawn Weights'!$K$47)+(N59*'Pawn Weights'!$K$48)+(O59*'Pawn Weights'!$K$49)+(P59*'Pawn Weights'!$K$50)+(Q59*'Pawn Weights'!$K$51), 2)</f>
        <v>315.59</v>
      </c>
      <c r="E59" s="280">
        <v>24.0</v>
      </c>
      <c r="F59" s="280"/>
      <c r="G59" s="280"/>
      <c r="H59" s="280">
        <v>92.0</v>
      </c>
      <c r="I59" s="280">
        <v>36.0</v>
      </c>
      <c r="J59" s="280">
        <v>27.0</v>
      </c>
      <c r="K59" s="280"/>
      <c r="L59" s="280"/>
      <c r="M59" s="281"/>
      <c r="N59" s="280"/>
      <c r="O59" s="280"/>
      <c r="P59" s="280">
        <v>2.0</v>
      </c>
      <c r="Q59" s="280">
        <v>1.0</v>
      </c>
      <c r="R59" s="298" t="s">
        <v>745</v>
      </c>
      <c r="S59" s="281"/>
      <c r="T59" s="290"/>
      <c r="U59" s="281"/>
      <c r="V59" s="281"/>
      <c r="W59" s="281"/>
    </row>
    <row r="60">
      <c r="A60" s="219" t="s">
        <v>644</v>
      </c>
      <c r="B60" s="382" t="s">
        <v>1204</v>
      </c>
      <c r="C60" s="318" t="s">
        <v>646</v>
      </c>
      <c r="D60" s="289">
        <f>ROUND((F60*'Pawn Weights'!$K$40)+(G60*'Pawn Weights'!$K$41)+(H60*'Pawn Weights'!$K$42)+(I60*'Pawn Weights'!$K$43)+(J60*'Pawn Weights'!$K$44)+(K60*'Pawn Weights'!$K$45)+(L60*'Pawn Weights'!$K$46)+(M60*'Pawn Weights'!$K$47)+(N60*'Pawn Weights'!$K$48)+(O60*'Pawn Weights'!$K$49)+(P60*'Pawn Weights'!$K$50)+(Q60*'Pawn Weights'!$K$51)-54.2+50.2+7.68, 2)</f>
        <v>301.67</v>
      </c>
      <c r="E60" s="316">
        <v>64.0</v>
      </c>
      <c r="F60" s="298"/>
      <c r="G60" s="316">
        <v>31.0</v>
      </c>
      <c r="H60" s="318">
        <v>48.0</v>
      </c>
      <c r="I60" s="318">
        <v>17.0</v>
      </c>
      <c r="J60" s="318">
        <v>12.0</v>
      </c>
      <c r="K60" s="297"/>
      <c r="L60" s="297"/>
      <c r="M60" s="316">
        <v>84.0</v>
      </c>
      <c r="N60" s="297"/>
      <c r="O60" s="318">
        <v>2.0</v>
      </c>
      <c r="P60" s="318">
        <v>1.0</v>
      </c>
      <c r="Q60" s="297"/>
      <c r="R60" s="316" t="s">
        <v>624</v>
      </c>
      <c r="S60" s="137"/>
      <c r="T60" s="298"/>
      <c r="U60" s="137"/>
      <c r="V60" s="137"/>
      <c r="W60" s="137"/>
      <c r="X60" s="137"/>
      <c r="Y60" s="137"/>
      <c r="Z60" s="137"/>
    </row>
    <row r="61" ht="14.25" customHeight="1">
      <c r="A61" s="292"/>
      <c r="B61" s="305" t="s">
        <v>776</v>
      </c>
      <c r="C61" s="280" t="s">
        <v>739</v>
      </c>
      <c r="D61" s="289">
        <f>ROUND((F61*'Pawn Weights'!$K$40)+(G61*'Pawn Weights'!$K$41)+(H61*'Pawn Weights'!$K$42)+(I61*'Pawn Weights'!$K$43)+(J61*'Pawn Weights'!$K$44)+(K61*'Pawn Weights'!$K$45)+(L61*'Pawn Weights'!$K$46)+(M61*'Pawn Weights'!$K$47)+(N61*'Pawn Weights'!$K$48)+(O61*'Pawn Weights'!$K$49)+(P61*'Pawn Weights'!$K$50)+(Q61*'Pawn Weights'!$K$51)-27.1+25.1+7.68, 2)</f>
        <v>287.89</v>
      </c>
      <c r="E61" s="280"/>
      <c r="F61" s="280"/>
      <c r="G61" s="280"/>
      <c r="H61" s="280">
        <v>96.0</v>
      </c>
      <c r="I61" s="280">
        <v>25.0</v>
      </c>
      <c r="J61" s="280">
        <v>21.0</v>
      </c>
      <c r="K61" s="280"/>
      <c r="L61" s="280"/>
      <c r="M61" s="281"/>
      <c r="N61" s="280"/>
      <c r="O61" s="280">
        <v>1.0</v>
      </c>
      <c r="P61" s="280">
        <v>2.0</v>
      </c>
      <c r="Q61" s="280"/>
      <c r="R61" s="290" t="s">
        <v>624</v>
      </c>
      <c r="S61" s="281"/>
      <c r="T61" s="290"/>
      <c r="U61" s="281"/>
      <c r="V61" s="281"/>
      <c r="W61" s="281"/>
    </row>
    <row r="62">
      <c r="A62" s="292" t="s">
        <v>647</v>
      </c>
      <c r="B62" s="305" t="s">
        <v>1205</v>
      </c>
      <c r="C62" s="280" t="s">
        <v>741</v>
      </c>
      <c r="D62" s="289">
        <f>ROUND((F62*'Pawn Weights'!$K$40)+(G62*'Pawn Weights'!$K$41)+(H62*'Pawn Weights'!$K$42)+(I62*'Pawn Weights'!$K$43)+(J62*'Pawn Weights'!$K$44)+(K62*'Pawn Weights'!$K$45)+(L62*'Pawn Weights'!$K$46)+(M62*'Pawn Weights'!$K$47)+(N62*'Pawn Weights'!$K$48)+(O62*'Pawn Weights'!$K$49)+(P62*'Pawn Weights'!$K$50)+(Q62*'Pawn Weights'!$K$51), 2)</f>
        <v>284.17</v>
      </c>
      <c r="E62" s="280">
        <v>57.0</v>
      </c>
      <c r="F62" s="280"/>
      <c r="G62" s="280">
        <v>33.0</v>
      </c>
      <c r="H62" s="280">
        <v>94.0</v>
      </c>
      <c r="I62" s="280">
        <v>17.0</v>
      </c>
      <c r="J62" s="280"/>
      <c r="K62" s="280"/>
      <c r="L62" s="280"/>
      <c r="M62" s="281"/>
      <c r="N62" s="280"/>
      <c r="O62" s="280"/>
      <c r="P62" s="280">
        <v>2.0</v>
      </c>
      <c r="Q62" s="280">
        <v>1.0</v>
      </c>
      <c r="R62" s="290" t="s">
        <v>622</v>
      </c>
      <c r="S62" s="281"/>
      <c r="T62" s="290"/>
      <c r="U62" s="281"/>
      <c r="V62" s="281"/>
      <c r="W62" s="281"/>
    </row>
    <row r="63" ht="9.0" customHeight="1">
      <c r="A63" s="295"/>
      <c r="B63" s="308" t="s">
        <v>768</v>
      </c>
      <c r="C63" s="297" t="s">
        <v>769</v>
      </c>
      <c r="D63" s="289">
        <f>ROUND((F63*'Pawn Weights'!$K$40)+(G63*'Pawn Weights'!$K$41)+(H63*'Pawn Weights'!$K$42)+(I63*'Pawn Weights'!$K$43)+(J63*'Pawn Weights'!$K$44)+(K63*'Pawn Weights'!$K$45)+(L63*'Pawn Weights'!$K$46)+(M63*'Pawn Weights'!$K$47)+(N63*'Pawn Weights'!$K$48)+(O63*'Pawn Weights'!$K$49)+(P63*'Pawn Weights'!$K$50)+(Q63*'Pawn Weights'!$K$51), 2)</f>
        <v>275.75</v>
      </c>
      <c r="E63" s="298">
        <v>46.0</v>
      </c>
      <c r="F63" s="297"/>
      <c r="G63" s="298">
        <v>45.0</v>
      </c>
      <c r="H63" s="298">
        <v>92.0</v>
      </c>
      <c r="I63" s="297"/>
      <c r="J63" s="297"/>
      <c r="K63" s="297"/>
      <c r="L63" s="297"/>
      <c r="M63" s="359">
        <v>210.0</v>
      </c>
      <c r="N63" s="297"/>
      <c r="O63" s="297"/>
      <c r="P63" s="297"/>
      <c r="Q63" s="297"/>
      <c r="R63" s="295"/>
      <c r="S63" s="137"/>
      <c r="T63" s="298"/>
      <c r="U63" s="137"/>
      <c r="V63" s="137"/>
      <c r="W63" s="137"/>
      <c r="X63" s="137"/>
      <c r="Y63" s="137"/>
      <c r="Z63" s="137"/>
    </row>
    <row r="64">
      <c r="A64" s="272" t="s">
        <v>779</v>
      </c>
      <c r="B64" s="281"/>
      <c r="C64" s="281"/>
      <c r="D64" s="360"/>
      <c r="E64" s="281"/>
      <c r="F64" s="281"/>
      <c r="G64" s="281"/>
      <c r="H64" s="281"/>
      <c r="I64" s="281"/>
      <c r="J64" s="281"/>
      <c r="K64" s="281"/>
      <c r="L64" s="281"/>
      <c r="M64" s="281"/>
      <c r="N64" s="281"/>
      <c r="O64" s="281"/>
      <c r="P64" s="281"/>
      <c r="Q64" s="281"/>
      <c r="R64" s="282"/>
      <c r="S64" s="281"/>
      <c r="T64" s="282"/>
      <c r="U64" s="281"/>
      <c r="V64" s="281"/>
      <c r="W64" s="281"/>
    </row>
    <row r="65">
      <c r="A65" s="137" t="s">
        <v>640</v>
      </c>
      <c r="B65" s="317" t="s">
        <v>1206</v>
      </c>
      <c r="C65" s="361" t="s">
        <v>781</v>
      </c>
      <c r="D65" s="289">
        <f>ROUND((F65*'Pawn Weights'!$K$40)+(G65*'Pawn Weights'!$K$41)+(H65*'Pawn Weights'!$K$42)+(I65*'Pawn Weights'!$K$43)+(J65*'Pawn Weights'!$K$44)+(K65*'Pawn Weights'!$K$45)+(L65*'Pawn Weights'!$K$46)+(M65*'Pawn Weights'!$K$47)+(N65*'Pawn Weights'!$K$48)+(O65*'Pawn Weights'!$K$49)+(P65*'Pawn Weights'!$K$50)+(Q65*'Pawn Weights'!$K$51), 2)</f>
        <v>240.33</v>
      </c>
      <c r="E65" s="318">
        <v>16.0</v>
      </c>
      <c r="F65" s="359"/>
      <c r="G65" s="318">
        <v>27.0</v>
      </c>
      <c r="H65" s="318">
        <v>64.0</v>
      </c>
      <c r="I65" s="359"/>
      <c r="J65" s="316">
        <v>18.0</v>
      </c>
      <c r="K65" s="318">
        <v>17.0</v>
      </c>
      <c r="L65" s="361"/>
      <c r="M65" s="359"/>
      <c r="N65" s="361"/>
      <c r="O65" s="359">
        <v>1.0</v>
      </c>
      <c r="P65" s="361"/>
      <c r="Q65" s="361"/>
      <c r="R65" s="359" t="s">
        <v>674</v>
      </c>
      <c r="S65" s="137"/>
      <c r="T65" s="137"/>
      <c r="U65" s="137"/>
      <c r="V65" s="137"/>
      <c r="W65" s="137"/>
      <c r="X65" s="137"/>
      <c r="Y65" s="137"/>
      <c r="Z65" s="137"/>
    </row>
    <row r="66">
      <c r="A66" s="137"/>
      <c r="B66" s="296" t="s">
        <v>785</v>
      </c>
      <c r="C66" s="297" t="s">
        <v>727</v>
      </c>
      <c r="D66" s="289">
        <f>ROUND((F66*'Pawn Weights'!$K$40)+(G66*'Pawn Weights'!$K$41)+(H66*'Pawn Weights'!$K$42)+(I66*'Pawn Weights'!$K$43)+(J66*'Pawn Weights'!$K$44)+(K66*'Pawn Weights'!$K$45)+(L66*'Pawn Weights'!$K$46)+(M66*'Pawn Weights'!$K$47)+(N66*'Pawn Weights'!$K$48)+(O66*'Pawn Weights'!$K$49)+(P66*'Pawn Weights'!$K$50)+(Q66*'Pawn Weights'!$K$51)+4.62, 2)</f>
        <v>186.92</v>
      </c>
      <c r="E66" s="298">
        <v>28.0</v>
      </c>
      <c r="F66" s="297"/>
      <c r="G66" s="298">
        <v>28.0</v>
      </c>
      <c r="H66" s="298">
        <v>58.0</v>
      </c>
      <c r="I66" s="297"/>
      <c r="J66" s="298">
        <v>12.0</v>
      </c>
      <c r="K66" s="297"/>
      <c r="L66" s="297"/>
      <c r="M66" s="297"/>
      <c r="N66" s="297"/>
      <c r="O66" s="297"/>
      <c r="P66" s="298">
        <v>1.0</v>
      </c>
      <c r="Q66" s="297"/>
      <c r="R66" s="316" t="s">
        <v>711</v>
      </c>
      <c r="S66" s="137"/>
      <c r="T66" s="359"/>
      <c r="U66" s="137"/>
      <c r="V66" s="137"/>
      <c r="W66" s="137"/>
      <c r="X66" s="137"/>
      <c r="Y66" s="137"/>
      <c r="Z66" s="137"/>
    </row>
    <row r="67">
      <c r="A67" s="137"/>
      <c r="B67" s="296" t="s">
        <v>782</v>
      </c>
      <c r="C67" s="297" t="s">
        <v>706</v>
      </c>
      <c r="D67" s="289">
        <f>ROUND((F67*'Pawn Weights'!$K$40)+(G67*'Pawn Weights'!$K$41)+(H67*'Pawn Weights'!$K$42)+(I67*'Pawn Weights'!$K$43)+(J67*'Pawn Weights'!$K$44)+(K67*'Pawn Weights'!$K$45)+(L67*'Pawn Weights'!$K$46)+(M67*'Pawn Weights'!$K$47)+(N67*'Pawn Weights'!$K$48)+(O67*'Pawn Weights'!$K$49)+(P67*'Pawn Weights'!$K$50)+(Q67*'Pawn Weights'!$K$51), 2)</f>
        <v>171.38</v>
      </c>
      <c r="E67" s="298">
        <v>28.0</v>
      </c>
      <c r="F67" s="297"/>
      <c r="G67" s="297"/>
      <c r="H67" s="298">
        <v>58.0</v>
      </c>
      <c r="I67" s="298">
        <v>28.0</v>
      </c>
      <c r="J67" s="298">
        <v>12.0</v>
      </c>
      <c r="K67" s="297"/>
      <c r="L67" s="297"/>
      <c r="M67" s="297"/>
      <c r="N67" s="297"/>
      <c r="O67" s="297"/>
      <c r="P67" s="298">
        <v>1.0</v>
      </c>
      <c r="Q67" s="297"/>
      <c r="R67" s="316" t="s">
        <v>674</v>
      </c>
      <c r="S67" s="137"/>
      <c r="T67" s="359"/>
      <c r="U67" s="137"/>
      <c r="V67" s="137"/>
      <c r="W67" s="137"/>
      <c r="X67" s="137"/>
      <c r="Y67" s="137"/>
      <c r="Z67" s="137"/>
    </row>
    <row r="68">
      <c r="A68" s="137" t="s">
        <v>627</v>
      </c>
      <c r="B68" s="296" t="s">
        <v>796</v>
      </c>
      <c r="C68" s="297" t="s">
        <v>788</v>
      </c>
      <c r="D68" s="289">
        <f>ROUND((F68*'Pawn Weights'!$K$40)+(G68*'Pawn Weights'!$K$41)+(H68*'Pawn Weights'!$K$42)+(I68*'Pawn Weights'!$K$43)+(J68*'Pawn Weights'!$K$44)+(K68*'Pawn Weights'!$K$45)+(L68*'Pawn Weights'!$K$46)+(M68*'Pawn Weights'!$K$47)+(N68*'Pawn Weights'!$K$48)+(O68*'Pawn Weights'!$K$49)+(P68*'Pawn Weights'!$K$50)+(Q68*'Pawn Weights'!$K$51), 2)</f>
        <v>156.68</v>
      </c>
      <c r="E68" s="298">
        <v>34.0</v>
      </c>
      <c r="F68" s="297"/>
      <c r="G68" s="298">
        <v>20.0</v>
      </c>
      <c r="H68" s="298">
        <v>50.0</v>
      </c>
      <c r="I68" s="297"/>
      <c r="J68" s="297"/>
      <c r="K68" s="298">
        <v>27.0</v>
      </c>
      <c r="L68" s="297"/>
      <c r="M68" s="297"/>
      <c r="N68" s="297"/>
      <c r="O68" s="297"/>
      <c r="P68" s="297"/>
      <c r="Q68" s="297"/>
      <c r="R68" s="295"/>
      <c r="S68" s="137"/>
      <c r="T68" s="359"/>
      <c r="U68" s="137"/>
      <c r="V68" s="137"/>
      <c r="W68" s="137"/>
      <c r="X68" s="137"/>
      <c r="Y68" s="137"/>
      <c r="Z68" s="137"/>
    </row>
    <row r="69">
      <c r="A69" s="137"/>
      <c r="B69" s="296" t="s">
        <v>795</v>
      </c>
      <c r="C69" s="297" t="s">
        <v>691</v>
      </c>
      <c r="D69" s="289">
        <f>ROUND((F69*'Pawn Weights'!$K$40)+(G69*'Pawn Weights'!$K$41)+(H69*'Pawn Weights'!$K$42)+(I69*'Pawn Weights'!$K$43)+(J69*'Pawn Weights'!$K$44)+(K69*'Pawn Weights'!$K$45)+(L69*'Pawn Weights'!$K$46)+(M69*'Pawn Weights'!$K$47)+(N69*'Pawn Weights'!$K$48)+(O69*'Pawn Weights'!$K$49)+(P69*'Pawn Weights'!$K$50)+(Q69*'Pawn Weights'!$K$51)+3.84, 2)</f>
        <v>154.77</v>
      </c>
      <c r="E69" s="298">
        <v>22.0</v>
      </c>
      <c r="F69" s="297"/>
      <c r="G69" s="298">
        <v>17.0</v>
      </c>
      <c r="H69" s="298">
        <v>50.0</v>
      </c>
      <c r="I69" s="298">
        <v>18.0</v>
      </c>
      <c r="J69" s="297"/>
      <c r="K69" s="297"/>
      <c r="L69" s="297"/>
      <c r="M69" s="297"/>
      <c r="N69" s="297"/>
      <c r="O69" s="297"/>
      <c r="P69" s="298">
        <v>1.0</v>
      </c>
      <c r="Q69" s="297"/>
      <c r="R69" s="298" t="s">
        <v>736</v>
      </c>
      <c r="S69" s="137"/>
      <c r="T69" s="359"/>
      <c r="U69" s="137"/>
      <c r="V69" s="137"/>
      <c r="W69" s="137"/>
      <c r="X69" s="137"/>
      <c r="Y69" s="137"/>
      <c r="Z69" s="137"/>
    </row>
    <row r="70">
      <c r="A70" s="281"/>
      <c r="B70" s="288" t="s">
        <v>1207</v>
      </c>
      <c r="C70" s="307" t="s">
        <v>871</v>
      </c>
      <c r="D70" s="289">
        <f>ROUND((F70*'Pawn Weights'!$K$40)+(G70*'Pawn Weights'!$K$41)+(H70*'Pawn Weights'!$K$42)+(I70*'Pawn Weights'!$K$43)+(J70*'Pawn Weights'!$K$44)+(K70*'Pawn Weights'!$K$45)+(L70*'Pawn Weights'!$K$46)+(M70*'Pawn Weights'!$K$47)+(N70*'Pawn Weights'!$K$48)+(O70*'Pawn Weights'!$K$49)+(P70*'Pawn Weights'!$K$50)+(Q70*'Pawn Weights'!$K$51), 2)</f>
        <v>134.54</v>
      </c>
      <c r="E70" s="280">
        <v>24.0</v>
      </c>
      <c r="F70" s="280"/>
      <c r="G70" s="280">
        <v>24.0</v>
      </c>
      <c r="H70" s="280">
        <v>52.0</v>
      </c>
      <c r="I70" s="280"/>
      <c r="J70" s="280"/>
      <c r="K70" s="280"/>
      <c r="L70" s="280"/>
      <c r="M70" s="280"/>
      <c r="N70" s="280"/>
      <c r="O70" s="280"/>
      <c r="P70" s="280"/>
      <c r="Q70" s="280">
        <v>1.0</v>
      </c>
      <c r="R70" s="290" t="s">
        <v>660</v>
      </c>
      <c r="S70" s="281"/>
      <c r="T70" s="310"/>
      <c r="U70" s="281"/>
      <c r="V70" s="281"/>
      <c r="W70" s="281"/>
      <c r="X70" s="281"/>
    </row>
    <row r="71" ht="14.25" customHeight="1">
      <c r="A71" s="281"/>
      <c r="B71" s="288" t="s">
        <v>1208</v>
      </c>
      <c r="C71" s="280" t="s">
        <v>1209</v>
      </c>
      <c r="D71" s="289">
        <f>ROUND((F71*'Pawn Weights'!$K$40)+(G71*'Pawn Weights'!$K$41)+(H71*'Pawn Weights'!$K$42)+(I71*'Pawn Weights'!$K$43)+(J71*'Pawn Weights'!$K$44)+(K71*'Pawn Weights'!$K$45)+(L71*'Pawn Weights'!$K$46)+(M71*'Pawn Weights'!$K$47)+(N71*'Pawn Weights'!$K$48)+(O71*'Pawn Weights'!$K$49)+(P71*'Pawn Weights'!$K$50)+(Q71*'Pawn Weights'!$K$51), 2)</f>
        <v>115.3</v>
      </c>
      <c r="E71" s="280">
        <v>18.0</v>
      </c>
      <c r="F71" s="280"/>
      <c r="G71" s="280">
        <v>20.0</v>
      </c>
      <c r="H71" s="280">
        <v>42.0</v>
      </c>
      <c r="I71" s="280"/>
      <c r="J71" s="280"/>
      <c r="K71" s="280"/>
      <c r="L71" s="280"/>
      <c r="M71" s="280"/>
      <c r="N71" s="280"/>
      <c r="O71" s="280"/>
      <c r="P71" s="280"/>
      <c r="Q71" s="280">
        <v>1.0</v>
      </c>
      <c r="R71" s="290" t="s">
        <v>660</v>
      </c>
      <c r="S71" s="281"/>
      <c r="T71" s="380"/>
      <c r="U71" s="281"/>
      <c r="V71" s="281"/>
      <c r="W71" s="281"/>
      <c r="X71" s="281"/>
    </row>
    <row r="72">
      <c r="A72" s="281"/>
      <c r="B72" s="311" t="s">
        <v>1210</v>
      </c>
      <c r="C72" s="280" t="s">
        <v>1211</v>
      </c>
      <c r="D72" s="289">
        <f>ROUND((F72*'Pawn Weights'!$K$40)+(G72*'Pawn Weights'!$K$41)+(H72*'Pawn Weights'!$K$42)+(I72*'Pawn Weights'!$K$43)+(J72*'Pawn Weights'!$K$44)+(K72*'Pawn Weights'!$K$45)+(L72*'Pawn Weights'!$K$46)+(M72*'Pawn Weights'!$K$47)+(N72*'Pawn Weights'!$K$48)+(O72*'Pawn Weights'!$K$49)+(P72*'Pawn Weights'!$K$50)+(Q72*'Pawn Weights'!$K$51), 2)</f>
        <v>109.33</v>
      </c>
      <c r="E72" s="280">
        <v>15.0</v>
      </c>
      <c r="F72" s="280"/>
      <c r="G72" s="280">
        <v>18.0</v>
      </c>
      <c r="H72" s="280"/>
      <c r="I72" s="280"/>
      <c r="J72" s="280">
        <v>15.0</v>
      </c>
      <c r="K72" s="280"/>
      <c r="L72" s="280"/>
      <c r="M72" s="280"/>
      <c r="N72" s="280"/>
      <c r="O72" s="280">
        <v>1.0</v>
      </c>
      <c r="P72" s="280"/>
      <c r="Q72" s="280"/>
      <c r="R72" s="290" t="s">
        <v>1212</v>
      </c>
      <c r="S72" s="281"/>
      <c r="T72" s="380"/>
      <c r="U72" s="281"/>
      <c r="V72" s="281"/>
      <c r="W72" s="281"/>
      <c r="X72" s="281"/>
    </row>
    <row r="73">
      <c r="A73" s="281"/>
      <c r="B73" s="288" t="s">
        <v>1213</v>
      </c>
      <c r="C73" s="280" t="s">
        <v>1214</v>
      </c>
      <c r="D73" s="289">
        <f>ROUND((F73*'Pawn Weights'!$K$40)+(G73*'Pawn Weights'!$K$41)+(H73*'Pawn Weights'!$K$42)+(I73*'Pawn Weights'!$K$43)+(J73*'Pawn Weights'!$K$44)+(K73*'Pawn Weights'!$K$45)+(L73*'Pawn Weights'!$K$46)+(M73*'Pawn Weights'!$K$47)+(N73*'Pawn Weights'!$K$48)+(O73*'Pawn Weights'!$K$49)+(P73*'Pawn Weights'!$K$50)+(Q73*'Pawn Weights'!$K$51), 2)</f>
        <v>101.44</v>
      </c>
      <c r="E73" s="280">
        <v>22.0</v>
      </c>
      <c r="F73" s="280"/>
      <c r="G73" s="280">
        <v>24.0</v>
      </c>
      <c r="H73" s="280">
        <v>46.0</v>
      </c>
      <c r="I73" s="280"/>
      <c r="J73" s="280"/>
      <c r="K73" s="280"/>
      <c r="L73" s="280"/>
      <c r="M73" s="280"/>
      <c r="N73" s="280"/>
      <c r="O73" s="280"/>
      <c r="P73" s="280"/>
      <c r="Q73" s="280"/>
      <c r="R73" s="290"/>
      <c r="S73" s="281"/>
      <c r="T73" s="380"/>
      <c r="U73" s="281"/>
      <c r="V73" s="281"/>
      <c r="W73" s="281"/>
      <c r="X73" s="281"/>
    </row>
    <row r="74" ht="4.5" customHeight="1">
      <c r="A74" s="292" t="s">
        <v>627</v>
      </c>
      <c r="B74" s="288" t="s">
        <v>1215</v>
      </c>
      <c r="C74" s="307" t="s">
        <v>1216</v>
      </c>
      <c r="D74" s="289">
        <f>ROUND((F74*'Pawn Weights'!$K$40)+(G74*'Pawn Weights'!$K$41)+(H74*'Pawn Weights'!$K$42)+(I74*'Pawn Weights'!$K$43)+(J74*'Pawn Weights'!$K$44)+(K74*'Pawn Weights'!$K$45)+(L74*'Pawn Weights'!$K$46)+(M74*'Pawn Weights'!$K$47)+(N74*'Pawn Weights'!$K$48)+(O74*'Pawn Weights'!$K$49)+(P74*'Pawn Weights'!$K$50)+(Q74*'Pawn Weights'!$K$51), 2)</f>
        <v>98.65</v>
      </c>
      <c r="E74" s="280">
        <v>21.0</v>
      </c>
      <c r="F74" s="280"/>
      <c r="G74" s="280">
        <v>15.0</v>
      </c>
      <c r="H74" s="280">
        <v>64.0</v>
      </c>
      <c r="I74" s="280"/>
      <c r="J74" s="280"/>
      <c r="K74" s="280"/>
      <c r="L74" s="280"/>
      <c r="M74" s="280"/>
      <c r="N74" s="280"/>
      <c r="O74" s="280"/>
      <c r="P74" s="280"/>
      <c r="Q74" s="280"/>
      <c r="R74" s="290"/>
      <c r="S74" s="281"/>
      <c r="T74" s="310"/>
      <c r="U74" s="281"/>
      <c r="V74" s="281"/>
      <c r="W74" s="281"/>
      <c r="X74" s="281"/>
    </row>
    <row r="75">
      <c r="A75" s="272" t="s">
        <v>800</v>
      </c>
      <c r="B75" s="281"/>
      <c r="C75" s="281"/>
      <c r="D75" s="360"/>
      <c r="E75" s="281"/>
      <c r="F75" s="281"/>
      <c r="G75" s="281"/>
      <c r="H75" s="281"/>
      <c r="I75" s="281"/>
      <c r="J75" s="281"/>
      <c r="K75" s="281"/>
      <c r="L75" s="281"/>
      <c r="M75" s="281"/>
      <c r="N75" s="281"/>
      <c r="O75" s="281"/>
      <c r="P75" s="281"/>
      <c r="Q75" s="281"/>
      <c r="R75" s="282"/>
      <c r="S75" s="281"/>
      <c r="T75" s="282"/>
      <c r="U75" s="281"/>
      <c r="V75" s="281"/>
      <c r="W75" s="281"/>
    </row>
    <row r="76">
      <c r="A76" s="137" t="s">
        <v>627</v>
      </c>
      <c r="B76" s="341" t="s">
        <v>801</v>
      </c>
      <c r="C76" s="361" t="s">
        <v>802</v>
      </c>
      <c r="D76" s="289">
        <f>ROUND((F76*'Pawn Weights'!$K$40)+(G76*'Pawn Weights'!$K$41)+(H76*'Pawn Weights'!$K$42)+(I76*'Pawn Weights'!$K$43)+(J76*'Pawn Weights'!$K$44)+(K76*'Pawn Weights'!$K$45)+(L76*'Pawn Weights'!$K$46)+(M76*'Pawn Weights'!$K$47)+(N76*'Pawn Weights'!$K$48)+(O76*'Pawn Weights'!$K$49)+(P76*'Pawn Weights'!$K$50)+(Q76*'Pawn Weights'!$K$51)-54.2+50.2+5.76, 2)</f>
        <v>331.38</v>
      </c>
      <c r="E76" s="359">
        <v>33.0</v>
      </c>
      <c r="F76" s="361"/>
      <c r="G76" s="359">
        <v>30.0</v>
      </c>
      <c r="H76" s="359">
        <v>90.0</v>
      </c>
      <c r="I76" s="359">
        <v>30.0</v>
      </c>
      <c r="J76" s="361"/>
      <c r="K76" s="361"/>
      <c r="L76" s="361"/>
      <c r="M76" s="359">
        <v>154.0</v>
      </c>
      <c r="N76" s="361"/>
      <c r="O76" s="359">
        <v>2.0</v>
      </c>
      <c r="P76" s="361"/>
      <c r="Q76" s="361"/>
      <c r="R76" s="359" t="s">
        <v>702</v>
      </c>
      <c r="S76" s="137"/>
      <c r="T76" s="137"/>
      <c r="U76" s="137"/>
      <c r="V76" s="137"/>
      <c r="W76" s="137"/>
      <c r="X76" s="137"/>
      <c r="Y76" s="137"/>
      <c r="Z76" s="137"/>
    </row>
    <row r="77">
      <c r="A77" s="295"/>
      <c r="B77" s="296" t="s">
        <v>807</v>
      </c>
      <c r="C77" s="297" t="s">
        <v>744</v>
      </c>
      <c r="D77" s="289">
        <f>ROUND((F77*'Pawn Weights'!$K$40)+(G77*'Pawn Weights'!$K$41)+(H77*'Pawn Weights'!$K$42)+(I77*'Pawn Weights'!$K$43)+(J77*'Pawn Weights'!$K$44)+(K77*'Pawn Weights'!$K$45)+(L77*'Pawn Weights'!$K$46)+(M77*'Pawn Weights'!$K$47)+(N77*'Pawn Weights'!$K$48)+(O77*'Pawn Weights'!$K$49)+(P77*'Pawn Weights'!$K$50)+(Q77*'Pawn Weights'!$K$51), 2)</f>
        <v>298.11</v>
      </c>
      <c r="E77" s="298">
        <v>33.0</v>
      </c>
      <c r="F77" s="297"/>
      <c r="G77" s="298">
        <v>41.0</v>
      </c>
      <c r="H77" s="298">
        <v>82.0</v>
      </c>
      <c r="I77" s="297"/>
      <c r="J77" s="297"/>
      <c r="K77" s="298">
        <v>30.0</v>
      </c>
      <c r="L77" s="297"/>
      <c r="M77" s="295"/>
      <c r="N77" s="297"/>
      <c r="O77" s="298">
        <v>1.0</v>
      </c>
      <c r="P77" s="297"/>
      <c r="Q77" s="298">
        <v>1.0</v>
      </c>
      <c r="R77" s="298" t="s">
        <v>695</v>
      </c>
      <c r="S77" s="137"/>
      <c r="T77" s="295"/>
      <c r="U77" s="137"/>
      <c r="V77" s="137"/>
      <c r="W77" s="137"/>
      <c r="X77" s="137"/>
      <c r="Y77" s="137"/>
      <c r="Z77" s="137"/>
    </row>
    <row r="78">
      <c r="A78" s="25" t="s">
        <v>640</v>
      </c>
      <c r="B78" s="288" t="s">
        <v>1217</v>
      </c>
      <c r="C78" s="280" t="s">
        <v>814</v>
      </c>
      <c r="D78" s="289">
        <f>ROUND((F78*'Pawn Weights'!$K$40)+(G78*'Pawn Weights'!$K$41)+(H78*'Pawn Weights'!$K$42)+(I78*'Pawn Weights'!$K$43)+(J78*'Pawn Weights'!$K$44)+(K78*'Pawn Weights'!$K$45)+(L78*'Pawn Weights'!$K$46)+(M78*'Pawn Weights'!$K$47)+(N78*'Pawn Weights'!$K$48)+(O78*'Pawn Weights'!$K$49)+(P78*'Pawn Weights'!$K$50)+(Q78*'Pawn Weights'!$K$51), 2)</f>
        <v>288.92</v>
      </c>
      <c r="E78" s="280">
        <v>36.0</v>
      </c>
      <c r="F78" s="280"/>
      <c r="G78" s="280">
        <v>34.0</v>
      </c>
      <c r="H78" s="280">
        <v>68.0</v>
      </c>
      <c r="I78" s="280"/>
      <c r="J78" s="280">
        <v>18.0</v>
      </c>
      <c r="K78" s="280"/>
      <c r="L78" s="280"/>
      <c r="M78" s="280">
        <v>175.0</v>
      </c>
      <c r="N78" s="280"/>
      <c r="O78" s="280"/>
      <c r="P78" s="280"/>
      <c r="Q78" s="280">
        <v>1.0</v>
      </c>
      <c r="R78" s="290" t="s">
        <v>660</v>
      </c>
      <c r="S78" s="281"/>
      <c r="T78" s="290"/>
      <c r="U78" s="281"/>
      <c r="V78" s="281"/>
      <c r="W78" s="281"/>
    </row>
    <row r="79" ht="15.0" customHeight="1">
      <c r="A79" s="295"/>
      <c r="B79" s="296" t="s">
        <v>815</v>
      </c>
      <c r="C79" s="297" t="s">
        <v>816</v>
      </c>
      <c r="D79" s="289">
        <f>ROUND((F79*'Pawn Weights'!$K$40)+(G79*'Pawn Weights'!$K$41)+(H79*'Pawn Weights'!$K$42)+(I79*'Pawn Weights'!$K$43)+(J79*'Pawn Weights'!$K$44)+(K79*'Pawn Weights'!$K$45)+(L79*'Pawn Weights'!$K$46)+(M79*'Pawn Weights'!$K$47)+(N79*'Pawn Weights'!$K$48)+(O79*'Pawn Weights'!$K$49)+(P79*'Pawn Weights'!$K$50)+(Q79*'Pawn Weights'!$K$51), 2)</f>
        <v>221.25</v>
      </c>
      <c r="E79" s="298">
        <v>38.0</v>
      </c>
      <c r="F79" s="297"/>
      <c r="G79" s="298">
        <v>27.0</v>
      </c>
      <c r="H79" s="298">
        <v>76.0</v>
      </c>
      <c r="I79" s="297"/>
      <c r="J79" s="297"/>
      <c r="K79" s="298">
        <v>37.0</v>
      </c>
      <c r="L79" s="297"/>
      <c r="M79" s="361"/>
      <c r="N79" s="297"/>
      <c r="O79" s="297"/>
      <c r="P79" s="297"/>
      <c r="Q79" s="297"/>
      <c r="R79" s="295"/>
      <c r="S79" s="137"/>
      <c r="T79" s="298"/>
      <c r="U79" s="137"/>
      <c r="V79" s="137"/>
      <c r="W79" s="137"/>
      <c r="X79" s="137"/>
      <c r="Y79" s="137"/>
      <c r="Z79" s="137"/>
    </row>
    <row r="80">
      <c r="A80" s="301" t="s">
        <v>647</v>
      </c>
      <c r="B80" s="288" t="s">
        <v>1218</v>
      </c>
      <c r="C80" s="280" t="s">
        <v>957</v>
      </c>
      <c r="D80" s="289">
        <f>ROUND((F80*'Pawn Weights'!$K$40)+(G80*'Pawn Weights'!$K$41)+(H80*'Pawn Weights'!$K$42)+(I80*'Pawn Weights'!$K$43)+(J80*'Pawn Weights'!$K$44)+(K80*'Pawn Weights'!$K$45)+(L80*'Pawn Weights'!$K$46)+(M80*'Pawn Weights'!$K$47)+(N80*'Pawn Weights'!$K$48)+(O80*'Pawn Weights'!$K$49)+(P80*'Pawn Weights'!$K$50)+(Q80*'Pawn Weights'!$K$51), 2)</f>
        <v>218.2</v>
      </c>
      <c r="E80" s="280">
        <v>34.0</v>
      </c>
      <c r="F80" s="280"/>
      <c r="G80" s="280">
        <v>36.0</v>
      </c>
      <c r="H80" s="280">
        <v>70.0</v>
      </c>
      <c r="I80" s="280"/>
      <c r="J80" s="280">
        <v>24.0</v>
      </c>
      <c r="K80" s="280"/>
      <c r="L80" s="280"/>
      <c r="M80" s="281"/>
      <c r="N80" s="280"/>
      <c r="O80" s="280"/>
      <c r="P80" s="280"/>
      <c r="Q80" s="280"/>
      <c r="R80" s="290"/>
      <c r="S80" s="281"/>
      <c r="T80" s="290"/>
      <c r="U80" s="281"/>
      <c r="V80" s="281"/>
      <c r="W80" s="281"/>
    </row>
    <row r="81">
      <c r="A81" s="301"/>
      <c r="B81" s="288" t="s">
        <v>1219</v>
      </c>
      <c r="C81" s="280" t="s">
        <v>718</v>
      </c>
      <c r="D81" s="289">
        <f>ROUND((F81*'Pawn Weights'!$K$40)+(G81*'Pawn Weights'!$K$41)+(H81*'Pawn Weights'!$K$42)+(I81*'Pawn Weights'!$K$43)+(J81*'Pawn Weights'!$K$44)+(K81*'Pawn Weights'!$K$45)+(L81*'Pawn Weights'!$K$46)+(M81*'Pawn Weights'!$K$47)+(N81*'Pawn Weights'!$K$48)+(O81*'Pawn Weights'!$K$49)+(P81*'Pawn Weights'!$K$50)+(Q81*'Pawn Weights'!$K$51), 2)</f>
        <v>193.3</v>
      </c>
      <c r="E81" s="280">
        <v>28.0</v>
      </c>
      <c r="F81" s="280"/>
      <c r="G81" s="280">
        <v>30.0</v>
      </c>
      <c r="H81" s="280">
        <v>68.0</v>
      </c>
      <c r="I81" s="280"/>
      <c r="J81" s="280"/>
      <c r="K81" s="280">
        <v>25.0</v>
      </c>
      <c r="L81" s="280"/>
      <c r="M81" s="281"/>
      <c r="N81" s="280"/>
      <c r="O81" s="280"/>
      <c r="P81" s="280"/>
      <c r="Q81" s="280"/>
      <c r="R81" s="290"/>
      <c r="S81" s="281"/>
      <c r="T81" s="290"/>
      <c r="U81" s="281"/>
      <c r="V81" s="281"/>
      <c r="W81" s="281"/>
    </row>
    <row r="82">
      <c r="B82" s="288" t="s">
        <v>1094</v>
      </c>
      <c r="C82" s="280" t="s">
        <v>1025</v>
      </c>
      <c r="D82" s="289">
        <f>ROUND((F82*'Pawn Weights'!$K$40)+(G82*'Pawn Weights'!$K$41)+(H82*'Pawn Weights'!$K$42)+(I82*'Pawn Weights'!$K$43)+(J82*'Pawn Weights'!$K$44)+(K82*'Pawn Weights'!$K$45)+(L82*'Pawn Weights'!$K$46)+(M82*'Pawn Weights'!$K$47)+(N82*'Pawn Weights'!$K$48)+(O82*'Pawn Weights'!$K$49)+(P82*'Pawn Weights'!$K$50)+(Q82*'Pawn Weights'!$K$51), 2)</f>
        <v>194.97</v>
      </c>
      <c r="E82" s="280">
        <v>37.0</v>
      </c>
      <c r="F82" s="280"/>
      <c r="G82" s="280">
        <v>33.0</v>
      </c>
      <c r="H82" s="280">
        <v>66.0</v>
      </c>
      <c r="I82" s="280"/>
      <c r="J82" s="280"/>
      <c r="K82" s="280"/>
      <c r="L82" s="280">
        <v>18.0</v>
      </c>
      <c r="M82" s="281"/>
      <c r="N82" s="280"/>
      <c r="O82" s="280"/>
      <c r="P82" s="280"/>
      <c r="Q82" s="280"/>
      <c r="R82" s="290"/>
      <c r="S82" s="281"/>
      <c r="T82" s="290" t="s">
        <v>1192</v>
      </c>
      <c r="U82" s="281"/>
      <c r="V82" s="281"/>
      <c r="W82" s="281"/>
    </row>
    <row r="83">
      <c r="A83" s="25" t="s">
        <v>627</v>
      </c>
      <c r="B83" s="311" t="s">
        <v>1097</v>
      </c>
      <c r="C83" s="280" t="s">
        <v>904</v>
      </c>
      <c r="D83" s="289">
        <f>ROUND((F83*'Pawn Weights'!$K$40)+(G83*'Pawn Weights'!$K$41)+(H83*'Pawn Weights'!$K$42)+(I83*'Pawn Weights'!$K$43)+(J83*'Pawn Weights'!$K$44)+(K83*'Pawn Weights'!$K$45)+(L83*'Pawn Weights'!$K$46)+(M83*'Pawn Weights'!$K$47)+(N83*'Pawn Weights'!$K$48)+(O83*'Pawn Weights'!$K$49)+(P83*'Pawn Weights'!$K$50)+(Q83*'Pawn Weights'!$K$51)-27.1+25.1+6, 2)</f>
        <v>186.35</v>
      </c>
      <c r="E83" s="280"/>
      <c r="F83" s="280"/>
      <c r="G83" s="280"/>
      <c r="H83" s="280">
        <v>36.0</v>
      </c>
      <c r="I83" s="280">
        <v>24.0</v>
      </c>
      <c r="J83" s="280">
        <v>17.0</v>
      </c>
      <c r="K83" s="280"/>
      <c r="L83" s="280"/>
      <c r="M83" s="281"/>
      <c r="N83" s="280"/>
      <c r="O83" s="280">
        <v>1.0</v>
      </c>
      <c r="P83" s="280">
        <v>1.0</v>
      </c>
      <c r="Q83" s="280"/>
      <c r="R83" s="290" t="s">
        <v>809</v>
      </c>
      <c r="S83" s="281"/>
      <c r="T83" s="290"/>
      <c r="U83" s="281"/>
      <c r="V83" s="281"/>
      <c r="W83" s="281"/>
    </row>
    <row r="84" ht="15.0" customHeight="1">
      <c r="A84" s="219" t="s">
        <v>635</v>
      </c>
      <c r="B84" s="317" t="s">
        <v>1220</v>
      </c>
      <c r="C84" s="318" t="s">
        <v>637</v>
      </c>
      <c r="D84" s="367">
        <f>ROUND((F84*'Pawn Weights'!$K$40)+(G84*'Pawn Weights'!$K$41)+(H84*'Pawn Weights'!$K$42)+(I84*'Pawn Weights'!$K$43)+(J84*'Pawn Weights'!$K$44)+(K84*'Pawn Weights'!$K$45)+(L84*'Pawn Weights'!$K$46)+(M84*'Pawn Weights'!$K$47)+(N84*'Pawn Weights'!$K$48)+(O84*'Pawn Weights'!$K$49)+(P84*'Pawn Weights'!$K$50)+(Q84*'Pawn Weights'!$K$51), 2)</f>
        <v>179.55</v>
      </c>
      <c r="E84" s="316">
        <v>55.0</v>
      </c>
      <c r="F84" s="297"/>
      <c r="G84" s="316">
        <v>37.0</v>
      </c>
      <c r="H84" s="316">
        <v>48.0</v>
      </c>
      <c r="I84" s="298">
        <v>24.0</v>
      </c>
      <c r="J84" s="297"/>
      <c r="K84" s="297"/>
      <c r="L84" s="297"/>
      <c r="M84" s="137"/>
      <c r="N84" s="297"/>
      <c r="O84" s="297"/>
      <c r="P84" s="297"/>
      <c r="Q84" s="297"/>
      <c r="R84" s="295"/>
      <c r="S84" s="137"/>
      <c r="T84" s="295"/>
      <c r="U84" s="137"/>
      <c r="V84" s="137"/>
      <c r="W84" s="137"/>
      <c r="X84" s="137"/>
      <c r="Y84" s="137"/>
      <c r="Z84" s="137"/>
    </row>
    <row r="85">
      <c r="B85" s="288" t="s">
        <v>1221</v>
      </c>
      <c r="C85" s="280" t="s">
        <v>1222</v>
      </c>
      <c r="D85" s="289">
        <f>ROUND((F85*'Pawn Weights'!$K$40)+(G85*'Pawn Weights'!$K$41)+(H85*'Pawn Weights'!$K$42)+(I85*'Pawn Weights'!$K$43)+(J85*'Pawn Weights'!$K$44)+(K85*'Pawn Weights'!$K$45)+(L85*'Pawn Weights'!$K$46)+(M85*'Pawn Weights'!$K$47)+(N85*'Pawn Weights'!$K$48)+(O85*'Pawn Weights'!$K$49)+(P85*'Pawn Weights'!$K$50)+(Q85*'Pawn Weights'!$K$51), 2)</f>
        <v>177.05</v>
      </c>
      <c r="E85" s="280">
        <v>22.0</v>
      </c>
      <c r="F85" s="280"/>
      <c r="G85" s="280">
        <v>35.0</v>
      </c>
      <c r="H85" s="280">
        <v>42.0</v>
      </c>
      <c r="I85" s="280"/>
      <c r="J85" s="280"/>
      <c r="K85" s="280"/>
      <c r="L85" s="280"/>
      <c r="M85" s="281"/>
      <c r="N85" s="280"/>
      <c r="O85" s="280">
        <v>1.0</v>
      </c>
      <c r="P85" s="280"/>
      <c r="Q85" s="280">
        <v>1.0</v>
      </c>
      <c r="R85" s="290" t="s">
        <v>702</v>
      </c>
      <c r="S85" s="281"/>
      <c r="T85" s="290"/>
      <c r="U85" s="281"/>
      <c r="V85" s="281"/>
      <c r="W85" s="281"/>
    </row>
    <row r="86">
      <c r="A86" s="301"/>
      <c r="B86" s="288" t="s">
        <v>824</v>
      </c>
      <c r="C86" s="280" t="s">
        <v>825</v>
      </c>
      <c r="D86" s="289">
        <f>ROUND((F86*'Pawn Weights'!$K$40)+(G86*'Pawn Weights'!$K$41)+(H86*'Pawn Weights'!$K$42)+(I86*'Pawn Weights'!$K$43)+(J86*'Pawn Weights'!$K$44)+(K86*'Pawn Weights'!$K$45)+(L86*'Pawn Weights'!$K$46)+(M86*'Pawn Weights'!$K$47)+(N86*'Pawn Weights'!$K$48)+(O86*'Pawn Weights'!$K$49)+(P86*'Pawn Weights'!$K$50)+(Q86*'Pawn Weights'!$K$51), 2)</f>
        <v>176.12</v>
      </c>
      <c r="E86" s="280">
        <v>31.0</v>
      </c>
      <c r="F86" s="280"/>
      <c r="G86" s="280"/>
      <c r="H86" s="280">
        <v>72.0</v>
      </c>
      <c r="I86" s="280">
        <v>26.0</v>
      </c>
      <c r="J86" s="280"/>
      <c r="K86" s="280"/>
      <c r="L86" s="280"/>
      <c r="M86" s="281"/>
      <c r="N86" s="280"/>
      <c r="O86" s="280"/>
      <c r="P86" s="280"/>
      <c r="Q86" s="280">
        <v>2.0</v>
      </c>
      <c r="R86" s="290" t="s">
        <v>702</v>
      </c>
      <c r="S86" s="281"/>
      <c r="T86" s="290"/>
      <c r="U86" s="281"/>
      <c r="V86" s="281"/>
      <c r="W86" s="281"/>
    </row>
    <row r="87">
      <c r="B87" s="288" t="s">
        <v>1223</v>
      </c>
      <c r="C87" s="280" t="s">
        <v>1224</v>
      </c>
      <c r="D87" s="289">
        <f>ROUND((F87*'Pawn Weights'!$K$40)+(G87*'Pawn Weights'!$K$41)+(H87*'Pawn Weights'!$K$42)+(I87*'Pawn Weights'!$K$43)+(J87*'Pawn Weights'!$K$44)+(K87*'Pawn Weights'!$K$45)+(L87*'Pawn Weights'!$K$46)+(M87*'Pawn Weights'!$K$47)+(N87*'Pawn Weights'!$K$48)+(O87*'Pawn Weights'!$K$49)+(P87*'Pawn Weights'!$K$50)+(Q87*'Pawn Weights'!$K$51), 2)</f>
        <v>170.94</v>
      </c>
      <c r="E87" s="280">
        <v>34.0</v>
      </c>
      <c r="F87" s="280"/>
      <c r="G87" s="280">
        <v>29.0</v>
      </c>
      <c r="H87" s="280">
        <v>60.0</v>
      </c>
      <c r="I87" s="280"/>
      <c r="J87" s="280"/>
      <c r="K87" s="280"/>
      <c r="L87" s="280">
        <v>15.0</v>
      </c>
      <c r="M87" s="281"/>
      <c r="N87" s="280"/>
      <c r="O87" s="280"/>
      <c r="P87" s="280"/>
      <c r="Q87" s="280"/>
      <c r="R87" s="290"/>
      <c r="S87" s="281"/>
      <c r="T87" s="290"/>
      <c r="U87" s="281"/>
      <c r="V87" s="281"/>
      <c r="W87" s="281"/>
    </row>
    <row r="88">
      <c r="A88" s="301" t="s">
        <v>654</v>
      </c>
      <c r="B88" s="288" t="s">
        <v>1225</v>
      </c>
      <c r="C88" s="280" t="s">
        <v>1116</v>
      </c>
      <c r="D88" s="289">
        <f>ROUND((F88*'Pawn Weights'!$K$40)+(G88*'Pawn Weights'!$K$41)+(H88*'Pawn Weights'!$K$42)+(I88*'Pawn Weights'!$K$43)+(J88*'Pawn Weights'!$K$44)+(K88*'Pawn Weights'!$K$45)+(L88*'Pawn Weights'!$K$46)+(M88*'Pawn Weights'!$K$47)+(N88*'Pawn Weights'!$K$48)+(O88*'Pawn Weights'!$K$49)+(P88*'Pawn Weights'!$K$50)+(Q88*'Pawn Weights'!$K$51), 2)</f>
        <v>166.07</v>
      </c>
      <c r="E88" s="280">
        <v>34.0</v>
      </c>
      <c r="F88" s="280"/>
      <c r="G88" s="280"/>
      <c r="H88" s="280">
        <v>72.0</v>
      </c>
      <c r="I88" s="280">
        <v>25.0</v>
      </c>
      <c r="J88" s="280">
        <v>17.0</v>
      </c>
      <c r="K88" s="280"/>
      <c r="L88" s="280"/>
      <c r="M88" s="281"/>
      <c r="N88" s="280"/>
      <c r="O88" s="280"/>
      <c r="P88" s="280"/>
      <c r="Q88" s="280"/>
      <c r="R88" s="290"/>
      <c r="S88" s="281"/>
      <c r="T88" s="290"/>
      <c r="U88" s="281"/>
      <c r="V88" s="281"/>
      <c r="W88" s="281"/>
    </row>
    <row r="89">
      <c r="A89" s="25" t="s">
        <v>644</v>
      </c>
      <c r="B89" s="288" t="s">
        <v>1226</v>
      </c>
      <c r="C89" s="280" t="s">
        <v>646</v>
      </c>
      <c r="D89" s="289">
        <f>ROUND((F89*'Pawn Weights'!$K$40)+(G89*'Pawn Weights'!$K$41)+(H89*'Pawn Weights'!$K$42)+(I89*'Pawn Weights'!$K$43)+(J89*'Pawn Weights'!$K$44)+(K89*'Pawn Weights'!$K$45)+(L89*'Pawn Weights'!$K$46)+(M89*'Pawn Weights'!$K$47)+(N89*'Pawn Weights'!$K$48)+(O89*'Pawn Weights'!$K$49)+(P89*'Pawn Weights'!$K$50)+(Q89*'Pawn Weights'!$K$51), 2)</f>
        <v>162.31</v>
      </c>
      <c r="E89" s="280">
        <v>49.0</v>
      </c>
      <c r="F89" s="280"/>
      <c r="G89" s="280">
        <v>33.0</v>
      </c>
      <c r="H89" s="280">
        <v>40.0</v>
      </c>
      <c r="I89" s="280">
        <v>24.0</v>
      </c>
      <c r="J89" s="280"/>
      <c r="K89" s="280"/>
      <c r="L89" s="280"/>
      <c r="M89" s="281"/>
      <c r="N89" s="280"/>
      <c r="O89" s="280"/>
      <c r="P89" s="280"/>
      <c r="Q89" s="280"/>
      <c r="R89" s="290"/>
      <c r="S89" s="281"/>
      <c r="T89" s="290"/>
      <c r="U89" s="281"/>
      <c r="V89" s="281"/>
      <c r="W89" s="281"/>
    </row>
    <row r="90">
      <c r="A90" s="272" t="s">
        <v>828</v>
      </c>
      <c r="B90" s="281"/>
      <c r="C90" s="281"/>
      <c r="D90" s="360"/>
      <c r="E90" s="281"/>
      <c r="F90" s="281"/>
      <c r="G90" s="281"/>
      <c r="H90" s="281"/>
      <c r="I90" s="281"/>
      <c r="J90" s="281"/>
      <c r="K90" s="281"/>
      <c r="L90" s="281"/>
      <c r="M90" s="281"/>
      <c r="N90" s="281"/>
      <c r="O90" s="281"/>
      <c r="P90" s="281"/>
      <c r="Q90" s="281"/>
      <c r="R90" s="282"/>
      <c r="S90" s="281"/>
      <c r="T90" s="282"/>
      <c r="U90" s="281"/>
      <c r="V90" s="281"/>
      <c r="W90" s="281"/>
    </row>
    <row r="91">
      <c r="A91" s="137" t="s">
        <v>640</v>
      </c>
      <c r="B91" s="317" t="s">
        <v>1227</v>
      </c>
      <c r="C91" s="361" t="s">
        <v>663</v>
      </c>
      <c r="D91" s="289">
        <f>ROUND((F91*'Pawn Weights'!$K$40)+(G91*'Pawn Weights'!$K$41)+(H91*'Pawn Weights'!$K$42)+(I91*'Pawn Weights'!$K$43)+(J91*'Pawn Weights'!$K$44)+(K91*'Pawn Weights'!$K$45)+(L91*'Pawn Weights'!$K$46)+(M91*'Pawn Weights'!$K$47)+(N91*'Pawn Weights'!$K$48)+(O91*'Pawn Weights'!$K$49)+(P91*'Pawn Weights'!$K$50)+(Q91*'Pawn Weights'!$K$51)-27.1+25.1+3.84, 2)</f>
        <v>348.67</v>
      </c>
      <c r="E91" s="318">
        <v>21.0</v>
      </c>
      <c r="F91" s="359"/>
      <c r="G91" s="318">
        <v>29.0</v>
      </c>
      <c r="H91" s="318">
        <v>86.0</v>
      </c>
      <c r="I91" s="316">
        <v>13.0</v>
      </c>
      <c r="J91" s="318">
        <v>30.0</v>
      </c>
      <c r="K91" s="316">
        <v>27.0</v>
      </c>
      <c r="L91" s="359"/>
      <c r="M91" s="137"/>
      <c r="N91" s="361"/>
      <c r="O91" s="318">
        <v>1.0</v>
      </c>
      <c r="P91" s="359"/>
      <c r="Q91" s="361"/>
      <c r="R91" s="316" t="s">
        <v>736</v>
      </c>
      <c r="S91" s="137"/>
      <c r="T91" s="137"/>
      <c r="U91" s="137"/>
      <c r="V91" s="137"/>
      <c r="W91" s="137"/>
      <c r="X91" s="137"/>
      <c r="Y91" s="137"/>
      <c r="Z91" s="137"/>
    </row>
    <row r="92">
      <c r="A92" s="292"/>
      <c r="B92" s="288" t="s">
        <v>830</v>
      </c>
      <c r="C92" s="280" t="s">
        <v>649</v>
      </c>
      <c r="D92" s="289">
        <f>ROUND((F92*'Pawn Weights'!$K$40)+(G92*'Pawn Weights'!$K$41)+(H92*'Pawn Weights'!$K$42)+(I92*'Pawn Weights'!$K$43)+(J92*'Pawn Weights'!$K$44)+(K92*'Pawn Weights'!$K$45)+(L92*'Pawn Weights'!$K$46)+(M92*'Pawn Weights'!$K$47)+(N92*'Pawn Weights'!$K$48)+(O92*'Pawn Weights'!$K$49)+(P92*'Pawn Weights'!$K$50)+(Q92*'Pawn Weights'!$K$51), 2)</f>
        <v>268.44</v>
      </c>
      <c r="E92" s="280">
        <v>25.0</v>
      </c>
      <c r="F92" s="280"/>
      <c r="G92" s="280">
        <v>29.0</v>
      </c>
      <c r="H92" s="280">
        <v>74.0</v>
      </c>
      <c r="I92" s="280"/>
      <c r="J92" s="280"/>
      <c r="K92" s="280"/>
      <c r="L92" s="280">
        <v>25.0</v>
      </c>
      <c r="M92" s="281"/>
      <c r="N92" s="280"/>
      <c r="O92" s="280">
        <v>1.0</v>
      </c>
      <c r="P92" s="280"/>
      <c r="Q92" s="280">
        <v>1.0</v>
      </c>
      <c r="R92" s="290" t="s">
        <v>695</v>
      </c>
      <c r="S92" s="281"/>
      <c r="T92" s="290"/>
      <c r="U92" s="281"/>
      <c r="V92" s="281"/>
      <c r="W92" s="281"/>
    </row>
    <row r="93">
      <c r="A93" s="295"/>
      <c r="B93" s="296" t="s">
        <v>843</v>
      </c>
      <c r="C93" s="297" t="s">
        <v>844</v>
      </c>
      <c r="D93" s="289">
        <f>ROUND((F93*'Pawn Weights'!$K$40)+(G93*'Pawn Weights'!$K$41)+(H93*'Pawn Weights'!$K$42)+(I93*'Pawn Weights'!$K$43)+(J93*'Pawn Weights'!$K$44)+(K93*'Pawn Weights'!$K$45)+(L93*'Pawn Weights'!$K$46)+(M93*'Pawn Weights'!$K$47)+(N93*'Pawn Weights'!$K$48)+(O93*'Pawn Weights'!$K$49)+(P93*'Pawn Weights'!$K$50)+(Q93*'Pawn Weights'!$K$51)+4.62, 2)</f>
        <v>250.59</v>
      </c>
      <c r="E93" s="298">
        <v>33.0</v>
      </c>
      <c r="F93" s="297"/>
      <c r="G93" s="298">
        <v>34.0</v>
      </c>
      <c r="H93" s="298">
        <v>78.0</v>
      </c>
      <c r="I93" s="297"/>
      <c r="J93" s="298">
        <v>23.0</v>
      </c>
      <c r="K93" s="297"/>
      <c r="L93" s="297"/>
      <c r="M93" s="137"/>
      <c r="N93" s="297"/>
      <c r="O93" s="297"/>
      <c r="P93" s="298">
        <v>1.0</v>
      </c>
      <c r="Q93" s="297"/>
      <c r="R93" s="298" t="s">
        <v>711</v>
      </c>
      <c r="S93" s="137"/>
      <c r="T93" s="295"/>
      <c r="U93" s="137"/>
      <c r="V93" s="137"/>
      <c r="W93" s="137"/>
      <c r="X93" s="137"/>
      <c r="Y93" s="137"/>
      <c r="Z93" s="137"/>
    </row>
    <row r="94">
      <c r="A94" s="292" t="s">
        <v>627</v>
      </c>
      <c r="B94" s="288" t="s">
        <v>845</v>
      </c>
      <c r="C94" s="280" t="s">
        <v>846</v>
      </c>
      <c r="D94" s="289">
        <f>ROUND((F94*'Pawn Weights'!$K$40)+(G94*'Pawn Weights'!$K$41)+(H94*'Pawn Weights'!$K$42)+(I94*'Pawn Weights'!$K$43)+(J94*'Pawn Weights'!$K$44)+(K94*'Pawn Weights'!$K$45)+(L94*'Pawn Weights'!$K$46)+(M94*'Pawn Weights'!$K$47)+(N94*'Pawn Weights'!$K$48)+(O94*'Pawn Weights'!$K$49)+(P94*'Pawn Weights'!$K$50)+(Q94*'Pawn Weights'!$K$51), 2)</f>
        <v>242.9</v>
      </c>
      <c r="E94" s="280">
        <v>14.0</v>
      </c>
      <c r="F94" s="280"/>
      <c r="G94" s="280">
        <v>32.0</v>
      </c>
      <c r="H94" s="280">
        <v>66.0</v>
      </c>
      <c r="I94" s="280"/>
      <c r="J94" s="280">
        <v>18.0</v>
      </c>
      <c r="K94" s="280"/>
      <c r="L94" s="280"/>
      <c r="M94" s="281"/>
      <c r="N94" s="280"/>
      <c r="O94" s="280"/>
      <c r="P94" s="280"/>
      <c r="Q94" s="280">
        <v>2.0</v>
      </c>
      <c r="R94" s="290" t="s">
        <v>695</v>
      </c>
      <c r="S94" s="281"/>
      <c r="T94" s="290"/>
      <c r="U94" s="281"/>
      <c r="V94" s="281"/>
      <c r="W94" s="281"/>
    </row>
    <row r="95">
      <c r="A95" s="137"/>
      <c r="B95" s="296" t="s">
        <v>834</v>
      </c>
      <c r="C95" s="297" t="s">
        <v>835</v>
      </c>
      <c r="D95" s="289">
        <f>ROUND((F95*'Pawn Weights'!$K$40)+(G95*'Pawn Weights'!$K$41)+(H95*'Pawn Weights'!$K$42)+(I95*'Pawn Weights'!$K$43)+(J95*'Pawn Weights'!$K$44)+(K95*'Pawn Weights'!$K$45)+(L95*'Pawn Weights'!$K$46)+(M95*'Pawn Weights'!$K$47)+(N95*'Pawn Weights'!$K$48)+(O95*'Pawn Weights'!$K$49)+(P95*'Pawn Weights'!$K$50)+(Q95*'Pawn Weights'!$K$51), 2)</f>
        <v>233.67</v>
      </c>
      <c r="E95" s="298">
        <v>37.0</v>
      </c>
      <c r="F95" s="297"/>
      <c r="G95" s="298">
        <v>29.0</v>
      </c>
      <c r="H95" s="298">
        <v>76.0</v>
      </c>
      <c r="I95" s="298">
        <v>19.0</v>
      </c>
      <c r="J95" s="297"/>
      <c r="K95" s="297"/>
      <c r="L95" s="297"/>
      <c r="M95" s="137"/>
      <c r="N95" s="297"/>
      <c r="O95" s="298">
        <v>1.0</v>
      </c>
      <c r="P95" s="298">
        <v>1.0</v>
      </c>
      <c r="Q95" s="297"/>
      <c r="R95" s="316" t="s">
        <v>812</v>
      </c>
      <c r="S95" s="137"/>
      <c r="T95" s="298"/>
      <c r="U95" s="137"/>
      <c r="V95" s="137"/>
      <c r="W95" s="137"/>
      <c r="X95" s="137"/>
      <c r="Y95" s="137"/>
      <c r="Z95" s="137"/>
    </row>
    <row r="96">
      <c r="A96" s="295"/>
      <c r="B96" s="296" t="s">
        <v>840</v>
      </c>
      <c r="C96" s="297" t="s">
        <v>723</v>
      </c>
      <c r="D96" s="289">
        <f>ROUND((F96*'Pawn Weights'!$K$40)+(G96*'Pawn Weights'!$K$41)+(H96*'Pawn Weights'!$K$42)+(I96*'Pawn Weights'!$K$43)+(J96*'Pawn Weights'!$K$44)+(K96*'Pawn Weights'!$K$45)+(L96*'Pawn Weights'!$K$46)+(M96*'Pawn Weights'!$K$47)+(N96*'Pawn Weights'!$K$48)+(O96*'Pawn Weights'!$K$49)+(P96*'Pawn Weights'!$K$50)+(Q96*'Pawn Weights'!$K$51), 2)</f>
        <v>221.25</v>
      </c>
      <c r="E96" s="298">
        <v>38.0</v>
      </c>
      <c r="F96" s="297"/>
      <c r="G96" s="298">
        <v>27.0</v>
      </c>
      <c r="H96" s="298">
        <v>76.0</v>
      </c>
      <c r="I96" s="297"/>
      <c r="J96" s="297"/>
      <c r="K96" s="298">
        <v>37.0</v>
      </c>
      <c r="L96" s="297"/>
      <c r="M96" s="137"/>
      <c r="N96" s="297"/>
      <c r="O96" s="297"/>
      <c r="P96" s="297"/>
      <c r="Q96" s="297"/>
      <c r="R96" s="295"/>
      <c r="S96" s="137"/>
      <c r="T96" s="298"/>
      <c r="U96" s="137"/>
      <c r="V96" s="137"/>
      <c r="W96" s="137"/>
      <c r="X96" s="137"/>
      <c r="Y96" s="137"/>
      <c r="Z96" s="137"/>
    </row>
    <row r="97">
      <c r="A97" s="137"/>
      <c r="B97" s="296" t="s">
        <v>838</v>
      </c>
      <c r="C97" s="297" t="s">
        <v>839</v>
      </c>
      <c r="D97" s="289">
        <f>ROUND((F97*'Pawn Weights'!$K$40)+(G97*'Pawn Weights'!$K$41)+(H97*'Pawn Weights'!$K$42)+(I97*'Pawn Weights'!$K$43)+(J97*'Pawn Weights'!$K$44)+(K97*'Pawn Weights'!$K$45)+(L97*'Pawn Weights'!$K$46)+(M97*'Pawn Weights'!$K$47)+(N97*'Pawn Weights'!$K$48)+(O97*'Pawn Weights'!$K$49)+(P97*'Pawn Weights'!$K$50)+(Q97*'Pawn Weights'!$K$51), 2)</f>
        <v>212.43</v>
      </c>
      <c r="E97" s="298">
        <v>27.0</v>
      </c>
      <c r="F97" s="297"/>
      <c r="G97" s="298">
        <v>25.0</v>
      </c>
      <c r="H97" s="298">
        <v>58.0</v>
      </c>
      <c r="I97" s="298">
        <v>21.0</v>
      </c>
      <c r="J97" s="297"/>
      <c r="K97" s="297"/>
      <c r="L97" s="297"/>
      <c r="M97" s="359">
        <v>77.0</v>
      </c>
      <c r="N97" s="297"/>
      <c r="O97" s="297"/>
      <c r="P97" s="297"/>
      <c r="Q97" s="298">
        <v>1.0</v>
      </c>
      <c r="R97" s="298" t="s">
        <v>660</v>
      </c>
      <c r="S97" s="137"/>
      <c r="T97" s="298"/>
      <c r="U97" s="137"/>
      <c r="V97" s="137"/>
      <c r="W97" s="137"/>
      <c r="X97" s="137"/>
      <c r="Y97" s="137"/>
      <c r="Z97" s="137"/>
    </row>
    <row r="98">
      <c r="A98" s="281"/>
      <c r="B98" s="288" t="s">
        <v>1228</v>
      </c>
      <c r="C98" s="280" t="s">
        <v>1229</v>
      </c>
      <c r="D98" s="289">
        <f>ROUND((F98*'Pawn Weights'!$K$40)+(G98*'Pawn Weights'!$K$41)+(H98*'Pawn Weights'!$K$42)+(I98*'Pawn Weights'!$K$43)+(J98*'Pawn Weights'!$K$44)+(K98*'Pawn Weights'!$K$45)+(L98*'Pawn Weights'!$K$46)+(M98*'Pawn Weights'!$K$47)+(N98*'Pawn Weights'!$K$48)+(O98*'Pawn Weights'!$K$49)+(P98*'Pawn Weights'!$K$50)+(Q98*'Pawn Weights'!$K$51), 2)</f>
        <v>174.88</v>
      </c>
      <c r="E98" s="280">
        <v>28.0</v>
      </c>
      <c r="F98" s="280"/>
      <c r="G98" s="280">
        <v>28.0</v>
      </c>
      <c r="H98" s="280">
        <v>56.0</v>
      </c>
      <c r="I98" s="280"/>
      <c r="J98" s="280">
        <v>20.0</v>
      </c>
      <c r="K98" s="280"/>
      <c r="L98" s="280"/>
      <c r="M98" s="281"/>
      <c r="N98" s="280"/>
      <c r="O98" s="280"/>
      <c r="P98" s="280"/>
      <c r="Q98" s="280"/>
      <c r="R98" s="290"/>
      <c r="S98" s="281"/>
      <c r="T98" s="290"/>
      <c r="U98" s="281"/>
      <c r="V98" s="281"/>
      <c r="W98" s="281"/>
    </row>
    <row r="99">
      <c r="A99" s="281"/>
      <c r="B99" s="288" t="s">
        <v>1100</v>
      </c>
      <c r="C99" s="280" t="s">
        <v>823</v>
      </c>
      <c r="D99" s="289">
        <f>ROUND((F99*'Pawn Weights'!$K$40)+(G99*'Pawn Weights'!$K$41)+(H99*'Pawn Weights'!$K$42)+(I99*'Pawn Weights'!$K$43)+(J99*'Pawn Weights'!$K$44)+(K99*'Pawn Weights'!$K$45)+(L99*'Pawn Weights'!$K$46)+(M99*'Pawn Weights'!$K$47)+(N99*'Pawn Weights'!$K$48)+(O99*'Pawn Weights'!$K$49)+(P99*'Pawn Weights'!$K$50)+(Q99*'Pawn Weights'!$K$51), 2)</f>
        <v>174.2</v>
      </c>
      <c r="E99" s="280">
        <v>27.0</v>
      </c>
      <c r="F99" s="280"/>
      <c r="G99" s="280"/>
      <c r="H99" s="280">
        <v>72.0</v>
      </c>
      <c r="I99" s="280">
        <v>25.0</v>
      </c>
      <c r="J99" s="280"/>
      <c r="K99" s="280"/>
      <c r="L99" s="280"/>
      <c r="M99" s="281"/>
      <c r="N99" s="280"/>
      <c r="O99" s="280"/>
      <c r="P99" s="280">
        <v>1.0</v>
      </c>
      <c r="Q99" s="280">
        <v>1.0</v>
      </c>
      <c r="R99" s="290" t="s">
        <v>702</v>
      </c>
      <c r="S99" s="281"/>
      <c r="T99" s="290"/>
      <c r="U99" s="281"/>
      <c r="V99" s="281"/>
      <c r="W99" s="281"/>
    </row>
    <row r="100">
      <c r="A100" s="272" t="s">
        <v>852</v>
      </c>
      <c r="B100" s="281"/>
      <c r="C100" s="281"/>
      <c r="D100" s="360"/>
      <c r="E100" s="281"/>
      <c r="F100" s="281"/>
      <c r="G100" s="281"/>
      <c r="H100" s="281"/>
      <c r="I100" s="281"/>
      <c r="J100" s="281"/>
      <c r="K100" s="281"/>
      <c r="L100" s="281"/>
      <c r="M100" s="281"/>
      <c r="N100" s="281"/>
      <c r="O100" s="281"/>
      <c r="P100" s="281"/>
      <c r="Q100" s="281"/>
      <c r="R100" s="282"/>
      <c r="S100" s="281"/>
      <c r="T100" s="282"/>
      <c r="U100" s="281"/>
      <c r="V100" s="281"/>
      <c r="W100" s="281"/>
    </row>
    <row r="101">
      <c r="A101" s="137"/>
      <c r="B101" s="341" t="s">
        <v>853</v>
      </c>
      <c r="C101" s="361" t="s">
        <v>854</v>
      </c>
      <c r="D101" s="289">
        <f>ROUND((F101*'Pawn Weights'!$K$40)+(G101*'Pawn Weights'!$K$41)+(H101*'Pawn Weights'!$K$42)+(I101*'Pawn Weights'!$K$43)+(J101*'Pawn Weights'!$K$44)+(K101*'Pawn Weights'!$K$45)+(L101*'Pawn Weights'!$K$46)+(M101*'Pawn Weights'!$K$47)+(N101*'Pawn Weights'!$K$48)+(O101*'Pawn Weights'!$K$49)+(P101*'Pawn Weights'!$K$50)+(Q101*'Pawn Weights'!$K$51)-81.3+75.3+9.24, 2)</f>
        <v>475.09</v>
      </c>
      <c r="E101" s="359">
        <v>48.0</v>
      </c>
      <c r="F101" s="361"/>
      <c r="G101" s="359">
        <v>41.0</v>
      </c>
      <c r="H101" s="359">
        <v>124.0</v>
      </c>
      <c r="I101" s="361"/>
      <c r="J101" s="359">
        <v>32.0</v>
      </c>
      <c r="K101" s="361"/>
      <c r="L101" s="361"/>
      <c r="M101" s="359">
        <v>224.0</v>
      </c>
      <c r="N101" s="361"/>
      <c r="O101" s="316">
        <v>3.0</v>
      </c>
      <c r="P101" s="361"/>
      <c r="Q101" s="361"/>
      <c r="R101" s="359" t="s">
        <v>622</v>
      </c>
      <c r="S101" s="137"/>
      <c r="T101" s="137"/>
      <c r="U101" s="137"/>
      <c r="V101" s="137"/>
      <c r="W101" s="137"/>
      <c r="X101" s="137"/>
      <c r="Y101" s="137"/>
      <c r="Z101" s="137"/>
    </row>
    <row r="102">
      <c r="A102" s="295"/>
      <c r="B102" s="296" t="s">
        <v>869</v>
      </c>
      <c r="C102" s="297" t="s">
        <v>865</v>
      </c>
      <c r="D102" s="289">
        <f>ROUND((F102*'Pawn Weights'!$K$40)+(G102*'Pawn Weights'!$K$41)+(H102*'Pawn Weights'!$K$42)+(I102*'Pawn Weights'!$K$43)+(J102*'Pawn Weights'!$K$44)+(K102*'Pawn Weights'!$K$45)+(L102*'Pawn Weights'!$K$46)+(M102*'Pawn Weights'!$K$47)+(N102*'Pawn Weights'!$K$48)+(O102*'Pawn Weights'!$K$49)+(P102*'Pawn Weights'!$K$50)+(Q102*'Pawn Weights'!$K$51), 2)</f>
        <v>338.83</v>
      </c>
      <c r="E102" s="298">
        <v>45.0</v>
      </c>
      <c r="F102" s="297"/>
      <c r="G102" s="298">
        <v>43.0</v>
      </c>
      <c r="H102" s="298">
        <v>104.0</v>
      </c>
      <c r="I102" s="297"/>
      <c r="J102" s="298">
        <v>30.0</v>
      </c>
      <c r="K102" s="297"/>
      <c r="L102" s="297"/>
      <c r="M102" s="297"/>
      <c r="N102" s="297"/>
      <c r="O102" s="297"/>
      <c r="P102" s="298">
        <v>1.0</v>
      </c>
      <c r="Q102" s="298">
        <v>1.0</v>
      </c>
      <c r="R102" s="298" t="s">
        <v>832</v>
      </c>
      <c r="S102" s="137"/>
      <c r="T102" s="295"/>
      <c r="U102" s="137"/>
      <c r="V102" s="137"/>
      <c r="W102" s="137"/>
      <c r="X102" s="137"/>
      <c r="Y102" s="137"/>
      <c r="Z102" s="137"/>
    </row>
    <row r="103">
      <c r="A103" s="301" t="s">
        <v>640</v>
      </c>
      <c r="B103" s="288" t="s">
        <v>1230</v>
      </c>
      <c r="C103" s="280" t="s">
        <v>639</v>
      </c>
      <c r="D103" s="289">
        <f>ROUND((F103*'Pawn Weights'!$K$40)+(G103*'Pawn Weights'!$K$41)+(H103*'Pawn Weights'!$K$42)+(I103*'Pawn Weights'!$K$43)+(J103*'Pawn Weights'!$K$44)+(K103*'Pawn Weights'!$K$45)+(L103*'Pawn Weights'!$K$46)+(M103*'Pawn Weights'!$K$47)+(N103*'Pawn Weights'!$K$48)+(O103*'Pawn Weights'!$K$49)+(P103*'Pawn Weights'!$K$50)+(Q103*'Pawn Weights'!$K$51), 2)</f>
        <v>313.76</v>
      </c>
      <c r="E103" s="280">
        <v>54.0</v>
      </c>
      <c r="F103" s="280"/>
      <c r="G103" s="280">
        <v>46.0</v>
      </c>
      <c r="H103" s="280">
        <v>94.0</v>
      </c>
      <c r="I103" s="280">
        <v>45.0</v>
      </c>
      <c r="J103" s="280"/>
      <c r="K103" s="280"/>
      <c r="L103" s="280"/>
      <c r="M103" s="280"/>
      <c r="N103" s="280"/>
      <c r="O103" s="280"/>
      <c r="P103" s="280"/>
      <c r="Q103" s="280">
        <v>1.0</v>
      </c>
      <c r="R103" s="290" t="s">
        <v>660</v>
      </c>
      <c r="S103" s="281"/>
      <c r="T103" s="310"/>
      <c r="U103" s="281"/>
      <c r="V103" s="281"/>
      <c r="W103" s="281"/>
      <c r="X103" s="281"/>
    </row>
    <row r="104">
      <c r="A104" s="295"/>
      <c r="B104" s="296" t="s">
        <v>858</v>
      </c>
      <c r="C104" s="297" t="s">
        <v>854</v>
      </c>
      <c r="D104" s="289">
        <f>ROUND((F104*'Pawn Weights'!$K$40)+(G104*'Pawn Weights'!$K$41)+(H104*'Pawn Weights'!$K$42)+(I104*'Pawn Weights'!$K$43)+(J104*'Pawn Weights'!$K$44)+(K104*'Pawn Weights'!$K$45)+(L104*'Pawn Weights'!$K$46)+(M104*'Pawn Weights'!$K$47)+(N104*'Pawn Weights'!$K$48)+(O104*'Pawn Weights'!$K$49)+(P104*'Pawn Weights'!$K$50)+(Q104*'Pawn Weights'!$K$51), 2)</f>
        <v>307.78</v>
      </c>
      <c r="E104" s="298">
        <v>66.0</v>
      </c>
      <c r="F104" s="298">
        <v>44.0</v>
      </c>
      <c r="G104" s="298">
        <v>46.0</v>
      </c>
      <c r="H104" s="297"/>
      <c r="I104" s="297"/>
      <c r="J104" s="297"/>
      <c r="K104" s="297"/>
      <c r="L104" s="297"/>
      <c r="M104" s="298">
        <v>189.0</v>
      </c>
      <c r="N104" s="297"/>
      <c r="O104" s="298">
        <v>2.0</v>
      </c>
      <c r="P104" s="297"/>
      <c r="Q104" s="298">
        <v>1.0</v>
      </c>
      <c r="R104" s="298" t="s">
        <v>622</v>
      </c>
      <c r="S104" s="137"/>
      <c r="T104" s="295"/>
      <c r="U104" s="137"/>
      <c r="V104" s="137"/>
      <c r="W104" s="137"/>
      <c r="X104" s="137"/>
      <c r="Y104" s="137"/>
      <c r="Z104" s="137"/>
    </row>
    <row r="105">
      <c r="A105" s="301"/>
      <c r="B105" s="288" t="s">
        <v>880</v>
      </c>
      <c r="C105" s="280" t="s">
        <v>881</v>
      </c>
      <c r="D105" s="289">
        <f>ROUND((F105*'Pawn Weights'!$K$40)+(G105*'Pawn Weights'!$K$41)+(H105*'Pawn Weights'!$K$42)+(I105*'Pawn Weights'!$K$43)+(J105*'Pawn Weights'!$K$44)+(K105*'Pawn Weights'!$K$45)+(L105*'Pawn Weights'!$K$46)+(M105*'Pawn Weights'!$K$47)+(N105*'Pawn Weights'!$K$48)+(O105*'Pawn Weights'!$K$49)+(P105*'Pawn Weights'!$K$50)+(Q105*'Pawn Weights'!$K$51), 2)</f>
        <v>295.1</v>
      </c>
      <c r="E105" s="280">
        <v>28.0</v>
      </c>
      <c r="F105" s="280"/>
      <c r="G105" s="280">
        <v>32.0</v>
      </c>
      <c r="H105" s="280">
        <v>64.0</v>
      </c>
      <c r="I105" s="280"/>
      <c r="J105" s="280">
        <v>28.0</v>
      </c>
      <c r="K105" s="280"/>
      <c r="L105" s="280"/>
      <c r="M105" s="280"/>
      <c r="N105" s="280"/>
      <c r="O105" s="280">
        <v>2.0</v>
      </c>
      <c r="P105" s="280"/>
      <c r="Q105" s="280">
        <v>1.0</v>
      </c>
      <c r="R105" s="290" t="s">
        <v>882</v>
      </c>
      <c r="S105" s="281"/>
      <c r="T105" s="310"/>
      <c r="U105" s="281"/>
      <c r="V105" s="281"/>
      <c r="W105" s="281"/>
      <c r="X105" s="281"/>
    </row>
    <row r="106">
      <c r="A106" s="295" t="s">
        <v>635</v>
      </c>
      <c r="B106" s="317" t="s">
        <v>1231</v>
      </c>
      <c r="C106" s="297" t="s">
        <v>637</v>
      </c>
      <c r="D106" s="289">
        <f>ROUND((F106*'Pawn Weights'!$K$40)+(G106*'Pawn Weights'!$K$41)+(H106*'Pawn Weights'!$K$42)+(I106*'Pawn Weights'!$K$43)+(J106*'Pawn Weights'!$K$44)+(K106*'Pawn Weights'!$K$45)+(L106*'Pawn Weights'!$K$46)+(M106*'Pawn Weights'!$K$47)+(N106*'Pawn Weights'!$K$48)+(O106*'Pawn Weights'!$K$49)+(P106*'Pawn Weights'!$K$50)+(Q106*'Pawn Weights'!$K$51), 2)</f>
        <v>287.99</v>
      </c>
      <c r="E106" s="316">
        <v>74.0</v>
      </c>
      <c r="F106" s="298"/>
      <c r="G106" s="318">
        <v>40.0</v>
      </c>
      <c r="H106" s="318">
        <v>60.0</v>
      </c>
      <c r="I106" s="316">
        <v>30.0</v>
      </c>
      <c r="J106" s="316">
        <v>17.0</v>
      </c>
      <c r="K106" s="297"/>
      <c r="L106" s="297"/>
      <c r="M106" s="298">
        <v>84.0</v>
      </c>
      <c r="N106" s="297"/>
      <c r="O106" s="297"/>
      <c r="P106" s="297"/>
      <c r="Q106" s="297"/>
      <c r="R106" s="295"/>
      <c r="S106" s="137"/>
      <c r="T106" s="297" t="s">
        <v>861</v>
      </c>
      <c r="U106" s="137"/>
      <c r="V106" s="137"/>
      <c r="W106" s="137"/>
      <c r="X106" s="137"/>
      <c r="Y106" s="137"/>
      <c r="Z106" s="137"/>
    </row>
    <row r="107">
      <c r="A107" s="295"/>
      <c r="B107" s="296" t="s">
        <v>868</v>
      </c>
      <c r="C107" s="297" t="s">
        <v>814</v>
      </c>
      <c r="D107" s="289">
        <f>ROUND((F107*'Pawn Weights'!$K$40)+(G107*'Pawn Weights'!$K$41)+(H107*'Pawn Weights'!$K$42)+(I107*'Pawn Weights'!$K$43)+(J107*'Pawn Weights'!$K$44)+(K107*'Pawn Weights'!$K$45)+(L107*'Pawn Weights'!$K$46)+(M107*'Pawn Weights'!$K$47)+(N107*'Pawn Weights'!$K$48)+(O107*'Pawn Weights'!$K$49)+(P107*'Pawn Weights'!$K$50)+(Q107*'Pawn Weights'!$K$51), 2)</f>
        <v>284</v>
      </c>
      <c r="E107" s="298">
        <v>61.0</v>
      </c>
      <c r="F107" s="297"/>
      <c r="G107" s="298">
        <v>50.0</v>
      </c>
      <c r="H107" s="298">
        <v>102.0</v>
      </c>
      <c r="I107" s="297"/>
      <c r="J107" s="297"/>
      <c r="K107" s="297"/>
      <c r="L107" s="297"/>
      <c r="M107" s="298">
        <v>175.0</v>
      </c>
      <c r="N107" s="297"/>
      <c r="O107" s="297"/>
      <c r="P107" s="297"/>
      <c r="Q107" s="297"/>
      <c r="R107" s="295"/>
      <c r="S107" s="137"/>
      <c r="T107" s="298"/>
      <c r="U107" s="137"/>
      <c r="V107" s="137"/>
      <c r="W107" s="137"/>
      <c r="X107" s="137"/>
      <c r="Y107" s="137"/>
      <c r="Z107" s="137"/>
    </row>
    <row r="108">
      <c r="A108" s="295" t="s">
        <v>647</v>
      </c>
      <c r="B108" s="296" t="s">
        <v>1232</v>
      </c>
      <c r="C108" s="297" t="s">
        <v>1233</v>
      </c>
      <c r="D108" s="367">
        <f>ROUND((F108*'Pawn Weights'!$K$40)+(G108*'Pawn Weights'!$K$41)+(H108*'Pawn Weights'!$K$42)+(I108*'Pawn Weights'!$K$43)+(J108*'Pawn Weights'!$K$44)+(K108*'Pawn Weights'!$K$45)+(L108*'Pawn Weights'!$K$46)+(M108*'Pawn Weights'!$K$47)+(N108*'Pawn Weights'!$K$48)+(O108*'Pawn Weights'!$K$49)+(P108*'Pawn Weights'!$K$50)+(Q108*'Pawn Weights'!$K$51), 2)</f>
        <v>271.59</v>
      </c>
      <c r="E108" s="298">
        <v>49.0</v>
      </c>
      <c r="F108" s="297"/>
      <c r="G108" s="298">
        <v>47.0</v>
      </c>
      <c r="H108" s="298">
        <v>86.0</v>
      </c>
      <c r="I108" s="298">
        <v>26.0</v>
      </c>
      <c r="J108" s="297"/>
      <c r="K108" s="297"/>
      <c r="L108" s="297"/>
      <c r="M108" s="297"/>
      <c r="N108" s="297"/>
      <c r="O108" s="297"/>
      <c r="P108" s="297"/>
      <c r="Q108" s="298">
        <v>1.0</v>
      </c>
      <c r="R108" s="298" t="s">
        <v>660</v>
      </c>
      <c r="S108" s="137"/>
      <c r="T108" s="295"/>
      <c r="U108" s="137"/>
      <c r="V108" s="137"/>
      <c r="W108" s="137"/>
      <c r="X108" s="137"/>
      <c r="Y108" s="137"/>
      <c r="Z108" s="137"/>
    </row>
    <row r="109">
      <c r="A109" s="295"/>
      <c r="B109" s="296" t="s">
        <v>874</v>
      </c>
      <c r="C109" s="297" t="s">
        <v>741</v>
      </c>
      <c r="D109" s="367">
        <f>ROUND((F109*'Pawn Weights'!$K$40)+(G109*'Pawn Weights'!$K$41)+(H109*'Pawn Weights'!$K$42)+(I109*'Pawn Weights'!$K$43)+(J109*'Pawn Weights'!$K$44)+(K109*'Pawn Weights'!$K$45)+(L109*'Pawn Weights'!$K$46)+(M109*'Pawn Weights'!$K$47)+(N109*'Pawn Weights'!$K$48)+(O109*'Pawn Weights'!$K$49)+(P109*'Pawn Weights'!$K$50)+(Q109*'Pawn Weights'!$K$51), 2)</f>
        <v>266.99</v>
      </c>
      <c r="E109" s="298">
        <v>31.0</v>
      </c>
      <c r="F109" s="297"/>
      <c r="G109" s="298">
        <v>45.0</v>
      </c>
      <c r="H109" s="298">
        <v>92.0</v>
      </c>
      <c r="I109" s="298">
        <v>37.0</v>
      </c>
      <c r="J109" s="297"/>
      <c r="K109" s="297"/>
      <c r="L109" s="297"/>
      <c r="M109" s="297"/>
      <c r="N109" s="297"/>
      <c r="O109" s="297"/>
      <c r="P109" s="297"/>
      <c r="Q109" s="297"/>
      <c r="R109" s="295"/>
      <c r="S109" s="137"/>
      <c r="T109" s="295"/>
      <c r="U109" s="137"/>
      <c r="V109" s="137"/>
      <c r="W109" s="137"/>
      <c r="X109" s="137"/>
      <c r="Y109" s="137"/>
      <c r="Z109" s="137"/>
    </row>
    <row r="110">
      <c r="A110" s="295"/>
      <c r="B110" s="296" t="s">
        <v>1234</v>
      </c>
      <c r="C110" s="297" t="s">
        <v>879</v>
      </c>
      <c r="D110" s="289">
        <f>ROUND((F110*'Pawn Weights'!$K$40)+(G110*'Pawn Weights'!$K$41)+(H110*'Pawn Weights'!$K$42)+(I110*'Pawn Weights'!$K$43)+(J110*'Pawn Weights'!$K$44)+(K110*'Pawn Weights'!$K$45)+(L110*'Pawn Weights'!$K$46)+(M110*'Pawn Weights'!$K$47)+(N110*'Pawn Weights'!$K$48)+(O110*'Pawn Weights'!$K$49)+(P110*'Pawn Weights'!$K$50)+(Q110*'Pawn Weights'!$K$51), 2)</f>
        <v>263.15</v>
      </c>
      <c r="E110" s="298">
        <v>46.0</v>
      </c>
      <c r="F110" s="297"/>
      <c r="G110" s="298">
        <v>45.0</v>
      </c>
      <c r="H110" s="298">
        <v>92.0</v>
      </c>
      <c r="I110" s="297"/>
      <c r="J110" s="297"/>
      <c r="K110" s="298">
        <v>30.0</v>
      </c>
      <c r="L110" s="297"/>
      <c r="M110" s="297"/>
      <c r="N110" s="297"/>
      <c r="O110" s="297"/>
      <c r="P110" s="297"/>
      <c r="Q110" s="297"/>
      <c r="R110" s="295"/>
      <c r="S110" s="137"/>
      <c r="T110" s="298"/>
      <c r="U110" s="137"/>
      <c r="V110" s="137"/>
      <c r="W110" s="137"/>
      <c r="X110" s="137"/>
      <c r="Y110" s="137"/>
      <c r="Z110" s="137"/>
    </row>
    <row r="111">
      <c r="A111" s="295" t="s">
        <v>627</v>
      </c>
      <c r="B111" s="383" t="s">
        <v>1235</v>
      </c>
      <c r="C111" s="297" t="s">
        <v>904</v>
      </c>
      <c r="D111" s="367">
        <f>ROUND((F111*'Pawn Weights'!$K$40)+(G111*'Pawn Weights'!$K$41)+(H111*'Pawn Weights'!$K$42)+(I111*'Pawn Weights'!$K$43)+(J111*'Pawn Weights'!$K$44)+(K111*'Pawn Weights'!$K$45)+(L111*'Pawn Weights'!$K$46)+(M111*'Pawn Weights'!$K$47)+(N111*'Pawn Weights'!$K$48)+(O111*'Pawn Weights'!$K$49)+(P111*'Pawn Weights'!$K$50)+(Q111*'Pawn Weights'!$K$51)-27.1+25.1+8, 2)</f>
        <v>255.05</v>
      </c>
      <c r="E111" s="297"/>
      <c r="F111" s="297"/>
      <c r="G111" s="297"/>
      <c r="H111" s="298">
        <v>52.0</v>
      </c>
      <c r="I111" s="298">
        <v>25.0</v>
      </c>
      <c r="J111" s="298">
        <v>25.0</v>
      </c>
      <c r="K111" s="297"/>
      <c r="L111" s="297"/>
      <c r="M111" s="297"/>
      <c r="N111" s="297"/>
      <c r="O111" s="298">
        <v>1.0</v>
      </c>
      <c r="P111" s="298">
        <v>2.0</v>
      </c>
      <c r="Q111" s="297"/>
      <c r="R111" s="298" t="s">
        <v>745</v>
      </c>
      <c r="S111" s="137"/>
      <c r="T111" s="295"/>
      <c r="U111" s="137"/>
      <c r="V111" s="137"/>
      <c r="W111" s="137"/>
      <c r="X111" s="137"/>
      <c r="Y111" s="137"/>
      <c r="Z111" s="137"/>
    </row>
    <row r="112">
      <c r="A112" s="301" t="s">
        <v>654</v>
      </c>
      <c r="B112" s="288" t="s">
        <v>1236</v>
      </c>
      <c r="C112" s="280" t="s">
        <v>823</v>
      </c>
      <c r="D112" s="289">
        <f>ROUND((F112*'Pawn Weights'!$K$40)+(G112*'Pawn Weights'!$K$41)+(H112*'Pawn Weights'!$K$42)+(I112*'Pawn Weights'!$K$43)+(J112*'Pawn Weights'!$K$44)+(K112*'Pawn Weights'!$K$45)+(L112*'Pawn Weights'!$K$46)+(M112*'Pawn Weights'!$K$47)+(N112*'Pawn Weights'!$K$48)+(O112*'Pawn Weights'!$K$49)+(P112*'Pawn Weights'!$K$50)+(Q112*'Pawn Weights'!$K$51), 2)</f>
        <v>253.79</v>
      </c>
      <c r="E112" s="280">
        <v>40.0</v>
      </c>
      <c r="F112" s="280"/>
      <c r="G112" s="280">
        <v>43.0</v>
      </c>
      <c r="H112" s="280">
        <v>84.0</v>
      </c>
      <c r="I112" s="280"/>
      <c r="J112" s="280">
        <v>26.0</v>
      </c>
      <c r="K112" s="280"/>
      <c r="L112" s="280"/>
      <c r="M112" s="280"/>
      <c r="N112" s="280"/>
      <c r="O112" s="280"/>
      <c r="P112" s="280"/>
      <c r="Q112" s="280"/>
      <c r="R112" s="290"/>
      <c r="S112" s="281"/>
      <c r="T112" s="310"/>
      <c r="U112" s="281"/>
      <c r="V112" s="281"/>
      <c r="W112" s="281"/>
      <c r="X112" s="281"/>
    </row>
    <row r="113">
      <c r="A113" s="295"/>
      <c r="B113" s="296" t="s">
        <v>876</v>
      </c>
      <c r="C113" s="297" t="s">
        <v>865</v>
      </c>
      <c r="D113" s="289">
        <f>ROUND((F113*'Pawn Weights'!$K$40)+(G113*'Pawn Weights'!$K$41)+(H113*'Pawn Weights'!$K$42)+(I113*'Pawn Weights'!$K$43)+(J113*'Pawn Weights'!$K$44)+(K113*'Pawn Weights'!$K$45)+(L113*'Pawn Weights'!$K$46)+(M113*'Pawn Weights'!$K$47)+(N113*'Pawn Weights'!$K$48)+(O113*'Pawn Weights'!$K$49)+(P113*'Pawn Weights'!$K$50)+(Q113*'Pawn Weights'!$K$51), 2)</f>
        <v>247.12</v>
      </c>
      <c r="E113" s="298">
        <v>52.0</v>
      </c>
      <c r="F113" s="298">
        <v>39.0</v>
      </c>
      <c r="G113" s="298">
        <v>45.0</v>
      </c>
      <c r="H113" s="297"/>
      <c r="I113" s="297"/>
      <c r="J113" s="298">
        <v>17.0</v>
      </c>
      <c r="K113" s="297"/>
      <c r="L113" s="297"/>
      <c r="M113" s="297"/>
      <c r="N113" s="297"/>
      <c r="O113" s="298">
        <v>1.0</v>
      </c>
      <c r="P113" s="298">
        <v>1.0</v>
      </c>
      <c r="Q113" s="297"/>
      <c r="R113" s="298" t="s">
        <v>812</v>
      </c>
      <c r="S113" s="137"/>
      <c r="T113" s="295"/>
      <c r="U113" s="137"/>
      <c r="V113" s="137"/>
      <c r="W113" s="137"/>
      <c r="X113" s="137"/>
      <c r="Y113" s="137"/>
      <c r="Z113" s="137"/>
    </row>
    <row r="114">
      <c r="A114" s="301" t="s">
        <v>644</v>
      </c>
      <c r="B114" s="288" t="s">
        <v>1237</v>
      </c>
      <c r="C114" s="280" t="s">
        <v>646</v>
      </c>
      <c r="D114" s="289">
        <f>ROUND((F114*'Pawn Weights'!$K$40)+(G114*'Pawn Weights'!$K$41)+(H114*'Pawn Weights'!$K$42)+(I114*'Pawn Weights'!$K$43)+(J114*'Pawn Weights'!$K$44)+(K114*'Pawn Weights'!$K$45)+(L114*'Pawn Weights'!$K$46)+(M114*'Pawn Weights'!$K$47)+(N114*'Pawn Weights'!$K$48)+(O114*'Pawn Weights'!$K$49)+(P114*'Pawn Weights'!$K$50)+(Q114*'Pawn Weights'!$K$51), 2)</f>
        <v>243.29</v>
      </c>
      <c r="E114" s="280">
        <v>67.0</v>
      </c>
      <c r="F114" s="280"/>
      <c r="G114" s="280">
        <v>35.0</v>
      </c>
      <c r="H114" s="280">
        <v>50.0</v>
      </c>
      <c r="I114" s="280">
        <v>25.0</v>
      </c>
      <c r="J114" s="280">
        <v>12.0</v>
      </c>
      <c r="K114" s="280"/>
      <c r="L114" s="280"/>
      <c r="M114" s="280">
        <v>84.0</v>
      </c>
      <c r="N114" s="280"/>
      <c r="O114" s="280"/>
      <c r="P114" s="280"/>
      <c r="Q114" s="280"/>
      <c r="R114" s="290"/>
      <c r="S114" s="281"/>
      <c r="T114" s="310"/>
      <c r="U114" s="281"/>
      <c r="V114" s="281"/>
      <c r="W114" s="281"/>
      <c r="X114" s="281"/>
    </row>
    <row r="115">
      <c r="A115" s="309"/>
      <c r="B115" s="288" t="s">
        <v>1238</v>
      </c>
      <c r="C115" s="280" t="s">
        <v>1239</v>
      </c>
      <c r="D115" s="289">
        <f>ROUND((F115*'Pawn Weights'!$K$40)+(G115*'Pawn Weights'!$K$41)+(H115*'Pawn Weights'!$K$42)+(I115*'Pawn Weights'!$K$43)+(J115*'Pawn Weights'!$K$44)+(K115*'Pawn Weights'!$K$45)+(L115*'Pawn Weights'!$K$46)+(M115*'Pawn Weights'!$K$47)+(N115*'Pawn Weights'!$K$48)+(O115*'Pawn Weights'!$K$49)+(P115*'Pawn Weights'!$K$50)+(Q115*'Pawn Weights'!$K$51), 2)</f>
        <v>243.21</v>
      </c>
      <c r="E115" s="280">
        <v>30.0</v>
      </c>
      <c r="F115" s="280"/>
      <c r="G115" s="280"/>
      <c r="H115" s="280">
        <v>64.0</v>
      </c>
      <c r="I115" s="280">
        <v>27.0</v>
      </c>
      <c r="J115" s="280">
        <v>17.0</v>
      </c>
      <c r="K115" s="280"/>
      <c r="L115" s="280"/>
      <c r="M115" s="281"/>
      <c r="N115" s="280"/>
      <c r="O115" s="280">
        <v>2.0</v>
      </c>
      <c r="P115" s="280"/>
      <c r="Q115" s="280">
        <v>1.0</v>
      </c>
      <c r="R115" s="290" t="s">
        <v>626</v>
      </c>
      <c r="S115" s="281"/>
      <c r="T115" s="290"/>
      <c r="U115" s="281"/>
      <c r="V115" s="281"/>
      <c r="W115" s="281"/>
    </row>
    <row r="116">
      <c r="A116" s="272" t="s">
        <v>883</v>
      </c>
      <c r="B116" s="281"/>
      <c r="C116" s="281"/>
      <c r="D116" s="360"/>
      <c r="E116" s="281"/>
      <c r="F116" s="281"/>
      <c r="G116" s="281"/>
      <c r="H116" s="281"/>
      <c r="I116" s="281"/>
      <c r="J116" s="281"/>
      <c r="K116" s="281"/>
      <c r="L116" s="281"/>
      <c r="M116" s="281"/>
      <c r="N116" s="281"/>
      <c r="O116" s="281"/>
      <c r="P116" s="281"/>
      <c r="Q116" s="281"/>
      <c r="R116" s="282"/>
      <c r="S116" s="281"/>
      <c r="T116" s="282"/>
      <c r="U116" s="281"/>
      <c r="V116" s="281"/>
      <c r="W116" s="281"/>
    </row>
    <row r="117">
      <c r="A117" s="137" t="s">
        <v>640</v>
      </c>
      <c r="B117" s="317" t="s">
        <v>1240</v>
      </c>
      <c r="C117" s="361" t="s">
        <v>854</v>
      </c>
      <c r="D117" s="289">
        <f>ROUND((F117*'Pawn Weights'!$K$40)+(G117*'Pawn Weights'!$K$41)+(H117*'Pawn Weights'!$K$42)+(I117*'Pawn Weights'!$K$43)+(J117*'Pawn Weights'!$K$44)+(K117*'Pawn Weights'!$K$45)+(L117*'Pawn Weights'!$K$46)+(M117*'Pawn Weights'!$K$47)+(N117*'Pawn Weights'!$K$48)+(O117*'Pawn Weights'!$K$49)+(P117*'Pawn Weights'!$K$50)+(Q117*'Pawn Weights'!$K$51)-27.1+25.1+5.42, 2)</f>
        <v>362.74</v>
      </c>
      <c r="E117" s="318">
        <v>24.0</v>
      </c>
      <c r="F117" s="359"/>
      <c r="G117" s="318">
        <v>30.0</v>
      </c>
      <c r="H117" s="318">
        <v>86.0</v>
      </c>
      <c r="I117" s="316">
        <v>16.0</v>
      </c>
      <c r="J117" s="316">
        <v>28.0</v>
      </c>
      <c r="K117" s="359"/>
      <c r="L117" s="318">
        <v>24.0</v>
      </c>
      <c r="M117" s="137"/>
      <c r="N117" s="361"/>
      <c r="O117" s="318">
        <v>1.0</v>
      </c>
      <c r="P117" s="359"/>
      <c r="Q117" s="361"/>
      <c r="R117" s="316" t="s">
        <v>731</v>
      </c>
      <c r="S117" s="137"/>
      <c r="T117" s="137"/>
      <c r="U117" s="137"/>
      <c r="V117" s="137"/>
      <c r="W117" s="137"/>
      <c r="X117" s="137"/>
      <c r="Y117" s="137"/>
      <c r="Z117" s="137"/>
    </row>
    <row r="118">
      <c r="A118" s="137"/>
      <c r="B118" s="296" t="s">
        <v>888</v>
      </c>
      <c r="C118" s="297" t="s">
        <v>889</v>
      </c>
      <c r="D118" s="289">
        <f>ROUND((F118*'Pawn Weights'!$K$40)+(G118*'Pawn Weights'!$K$41)+(H118*'Pawn Weights'!$K$42)+(I118*'Pawn Weights'!$K$43)+(J118*'Pawn Weights'!$K$44)+(K118*'Pawn Weights'!$K$45)+(L118*'Pawn Weights'!$K$46)+(M118*'Pawn Weights'!$K$47)+(N118*'Pawn Weights'!$K$48)+(O118*'Pawn Weights'!$K$49)+(P118*'Pawn Weights'!$K$50)+(Q118*'Pawn Weights'!$K$51), 2)</f>
        <v>240.81</v>
      </c>
      <c r="E118" s="298">
        <v>21.0</v>
      </c>
      <c r="F118" s="297"/>
      <c r="G118" s="298">
        <v>29.0</v>
      </c>
      <c r="H118" s="298">
        <v>60.0</v>
      </c>
      <c r="I118" s="297"/>
      <c r="J118" s="298">
        <v>22.0</v>
      </c>
      <c r="K118" s="297"/>
      <c r="L118" s="297"/>
      <c r="M118" s="137"/>
      <c r="N118" s="297"/>
      <c r="O118" s="298">
        <v>1.0</v>
      </c>
      <c r="P118" s="297"/>
      <c r="Q118" s="298">
        <v>1.0</v>
      </c>
      <c r="R118" s="298" t="s">
        <v>832</v>
      </c>
      <c r="S118" s="137"/>
      <c r="T118" s="298"/>
      <c r="U118" s="137"/>
      <c r="V118" s="137"/>
      <c r="W118" s="137"/>
      <c r="X118" s="137"/>
      <c r="Y118" s="137"/>
      <c r="Z118" s="137"/>
    </row>
    <row r="119">
      <c r="A119" s="137"/>
      <c r="B119" s="296" t="s">
        <v>886</v>
      </c>
      <c r="C119" s="297" t="s">
        <v>701</v>
      </c>
      <c r="D119" s="289">
        <f>ROUND((F119*'Pawn Weights'!$K$40)+(G119*'Pawn Weights'!$K$41)+(H119*'Pawn Weights'!$K$42)+(I119*'Pawn Weights'!$K$43)+(J119*'Pawn Weights'!$K$44)+(K119*'Pawn Weights'!$K$45)+(L119*'Pawn Weights'!$K$46)+(M119*'Pawn Weights'!$K$47)+(N119*'Pawn Weights'!$K$48)+(O119*'Pawn Weights'!$K$49)+(P119*'Pawn Weights'!$K$50)+(Q119*'Pawn Weights'!$K$51)-27.1+25.1+5.76, 2)</f>
        <v>235.9</v>
      </c>
      <c r="E119" s="298">
        <v>38.0</v>
      </c>
      <c r="F119" s="297"/>
      <c r="G119" s="298">
        <v>30.0</v>
      </c>
      <c r="H119" s="298">
        <v>76.0</v>
      </c>
      <c r="I119" s="298">
        <v>17.0</v>
      </c>
      <c r="J119" s="297"/>
      <c r="K119" s="297"/>
      <c r="L119" s="297"/>
      <c r="M119" s="137"/>
      <c r="N119" s="297"/>
      <c r="O119" s="298">
        <v>1.0</v>
      </c>
      <c r="P119" s="298">
        <v>1.0</v>
      </c>
      <c r="Q119" s="297"/>
      <c r="R119" s="298" t="s">
        <v>702</v>
      </c>
      <c r="S119" s="137"/>
      <c r="T119" s="298"/>
      <c r="U119" s="137"/>
      <c r="V119" s="137"/>
      <c r="W119" s="137"/>
      <c r="X119" s="137"/>
      <c r="Y119" s="137"/>
      <c r="Z119" s="137"/>
    </row>
    <row r="120">
      <c r="A120" s="309"/>
      <c r="B120" s="288" t="s">
        <v>1103</v>
      </c>
      <c r="C120" s="280" t="s">
        <v>1104</v>
      </c>
      <c r="D120" s="289">
        <f>ROUND((F120*'Pawn Weights'!$K$40)+(G120*'Pawn Weights'!$K$41)+(H120*'Pawn Weights'!$K$42)+(I120*'Pawn Weights'!$K$43)+(J120*'Pawn Weights'!$K$44)+(K120*'Pawn Weights'!$K$45)+(L120*'Pawn Weights'!$K$46)+(M120*'Pawn Weights'!$K$47)+(N120*'Pawn Weights'!$K$48)+(O120*'Pawn Weights'!$K$49)+(P120*'Pawn Weights'!$K$50)+(Q120*'Pawn Weights'!$K$51)-27.1+25.1+8.13, 2)</f>
        <v>206.55</v>
      </c>
      <c r="E120" s="280">
        <v>28.0</v>
      </c>
      <c r="F120" s="280"/>
      <c r="G120" s="280">
        <v>29.0</v>
      </c>
      <c r="H120" s="280">
        <v>44.0</v>
      </c>
      <c r="I120" s="280"/>
      <c r="J120" s="280">
        <v>13.0</v>
      </c>
      <c r="K120" s="280"/>
      <c r="L120" s="280"/>
      <c r="M120" s="281"/>
      <c r="N120" s="280"/>
      <c r="O120" s="280">
        <v>1.0</v>
      </c>
      <c r="P120" s="280">
        <v>1.0</v>
      </c>
      <c r="Q120" s="280"/>
      <c r="R120" s="290" t="s">
        <v>832</v>
      </c>
      <c r="S120" s="281"/>
      <c r="T120" s="290"/>
      <c r="U120" s="281"/>
      <c r="V120" s="281"/>
      <c r="W120" s="281"/>
    </row>
    <row r="121">
      <c r="A121" s="137"/>
      <c r="B121" s="296" t="s">
        <v>890</v>
      </c>
      <c r="C121" s="297" t="s">
        <v>773</v>
      </c>
      <c r="D121" s="289">
        <f>ROUND((F121*'Pawn Weights'!$K$40)+(G121*'Pawn Weights'!$K$41)+(H121*'Pawn Weights'!$K$42)+(I121*'Pawn Weights'!$K$43)+(J121*'Pawn Weights'!$K$44)+(K121*'Pawn Weights'!$K$45)+(L121*'Pawn Weights'!$K$46)+(M121*'Pawn Weights'!$K$47)+(N121*'Pawn Weights'!$K$48)+(O121*'Pawn Weights'!$K$49)+(P121*'Pawn Weights'!$K$50)+(Q121*'Pawn Weights'!$K$51), 2)</f>
        <v>197.66</v>
      </c>
      <c r="E121" s="298">
        <v>28.0</v>
      </c>
      <c r="F121" s="297"/>
      <c r="G121" s="298">
        <v>28.0</v>
      </c>
      <c r="H121" s="298">
        <v>58.0</v>
      </c>
      <c r="I121" s="297"/>
      <c r="J121" s="297"/>
      <c r="K121" s="297"/>
      <c r="L121" s="297"/>
      <c r="M121" s="359">
        <v>126.0</v>
      </c>
      <c r="N121" s="297"/>
      <c r="O121" s="298">
        <v>1.0</v>
      </c>
      <c r="P121" s="297"/>
      <c r="Q121" s="297"/>
      <c r="R121" s="298" t="s">
        <v>674</v>
      </c>
      <c r="S121" s="137"/>
      <c r="T121" s="295"/>
      <c r="U121" s="137"/>
      <c r="V121" s="137"/>
      <c r="W121" s="137"/>
      <c r="X121" s="137"/>
      <c r="Y121" s="137"/>
      <c r="Z121" s="137"/>
    </row>
    <row r="122">
      <c r="A122" s="301" t="s">
        <v>627</v>
      </c>
      <c r="B122" s="311" t="s">
        <v>903</v>
      </c>
      <c r="C122" s="280" t="s">
        <v>904</v>
      </c>
      <c r="D122" s="289">
        <f>ROUND((F122*'Pawn Weights'!$K$40)+(G122*'Pawn Weights'!$K$41)+(H122*'Pawn Weights'!$K$42)+(I122*'Pawn Weights'!$K$43)+(J122*'Pawn Weights'!$K$44)+(K122*'Pawn Weights'!$K$45)+(L122*'Pawn Weights'!$K$46)+(M122*'Pawn Weights'!$K$47)+(N122*'Pawn Weights'!$K$48)+(O122*'Pawn Weights'!$K$49)+(P122*'Pawn Weights'!$K$50)+(Q122*'Pawn Weights'!$K$51)-27.1+25.1+6, 2)</f>
        <v>194.59</v>
      </c>
      <c r="E122" s="280"/>
      <c r="F122" s="280"/>
      <c r="G122" s="280"/>
      <c r="H122" s="280">
        <v>36.0</v>
      </c>
      <c r="I122" s="280">
        <v>17.0</v>
      </c>
      <c r="J122" s="280">
        <v>25.0</v>
      </c>
      <c r="K122" s="280"/>
      <c r="L122" s="280"/>
      <c r="M122" s="281"/>
      <c r="N122" s="280"/>
      <c r="O122" s="280">
        <v>1.0</v>
      </c>
      <c r="P122" s="280">
        <v>1.0</v>
      </c>
      <c r="Q122" s="280"/>
      <c r="R122" s="290" t="s">
        <v>809</v>
      </c>
      <c r="S122" s="281"/>
      <c r="T122" s="290"/>
      <c r="U122" s="281"/>
      <c r="V122" s="281"/>
      <c r="W122" s="281"/>
    </row>
    <row r="123">
      <c r="A123" s="137"/>
      <c r="B123" s="296" t="s">
        <v>1107</v>
      </c>
      <c r="C123" s="297" t="s">
        <v>842</v>
      </c>
      <c r="D123" s="289">
        <f>ROUND((F123*'Pawn Weights'!$K$40)+(G123*'Pawn Weights'!$K$41)+(H123*'Pawn Weights'!$K$42)+(I123*'Pawn Weights'!$K$43)+(J123*'Pawn Weights'!$K$44)+(K123*'Pawn Weights'!$K$45)+(L123*'Pawn Weights'!$K$46)+(M123*'Pawn Weights'!$K$47)+(N123*'Pawn Weights'!$K$48)+(O123*'Pawn Weights'!$K$49)+(P123*'Pawn Weights'!$K$50)+(Q123*'Pawn Weights'!$K$51), 2)</f>
        <v>190.14</v>
      </c>
      <c r="E123" s="298">
        <v>41.0</v>
      </c>
      <c r="F123" s="297"/>
      <c r="G123" s="297"/>
      <c r="H123" s="298">
        <v>98.0</v>
      </c>
      <c r="I123" s="297"/>
      <c r="J123" s="298">
        <v>34.0</v>
      </c>
      <c r="K123" s="297"/>
      <c r="L123" s="297"/>
      <c r="M123" s="137"/>
      <c r="N123" s="297"/>
      <c r="O123" s="297"/>
      <c r="P123" s="297"/>
      <c r="Q123" s="297"/>
      <c r="R123" s="295"/>
      <c r="S123" s="137"/>
      <c r="T123" s="298"/>
      <c r="U123" s="137"/>
      <c r="V123" s="137"/>
      <c r="W123" s="137"/>
      <c r="X123" s="137"/>
      <c r="Y123" s="137"/>
      <c r="Z123" s="137"/>
    </row>
    <row r="124">
      <c r="A124" s="301" t="s">
        <v>627</v>
      </c>
      <c r="B124" s="288" t="s">
        <v>897</v>
      </c>
      <c r="C124" s="280" t="s">
        <v>898</v>
      </c>
      <c r="D124" s="289">
        <f>ROUND((F124*'Pawn Weights'!$K$40)+(G124*'Pawn Weights'!$K$41)+(H124*'Pawn Weights'!$K$42)+(I124*'Pawn Weights'!$K$43)+(J124*'Pawn Weights'!$K$44)+(K124*'Pawn Weights'!$K$45)+(L124*'Pawn Weights'!$K$46)+(M124*'Pawn Weights'!$K$47)+(N124*'Pawn Weights'!$K$48)+(O124*'Pawn Weights'!$K$49)+(P124*'Pawn Weights'!$K$50)+(Q124*'Pawn Weights'!$K$51), 2)</f>
        <v>189.77</v>
      </c>
      <c r="E124" s="280">
        <v>34.0</v>
      </c>
      <c r="F124" s="280"/>
      <c r="G124" s="280"/>
      <c r="H124" s="280">
        <v>66.0</v>
      </c>
      <c r="I124" s="280">
        <v>32.0</v>
      </c>
      <c r="J124" s="280">
        <v>23.0</v>
      </c>
      <c r="K124" s="280"/>
      <c r="L124" s="280"/>
      <c r="M124" s="281"/>
      <c r="N124" s="280"/>
      <c r="O124" s="280"/>
      <c r="P124" s="280"/>
      <c r="Q124" s="280"/>
      <c r="R124" s="290"/>
      <c r="S124" s="281"/>
      <c r="T124" s="290"/>
      <c r="U124" s="281"/>
      <c r="V124" s="281"/>
      <c r="W124" s="281"/>
    </row>
    <row r="125">
      <c r="A125" s="309"/>
      <c r="B125" s="288" t="s">
        <v>1241</v>
      </c>
      <c r="C125" s="280" t="s">
        <v>683</v>
      </c>
      <c r="D125" s="289">
        <f>ROUND((F125*'Pawn Weights'!$K$40)+(G125*'Pawn Weights'!$K$41)+(H125*'Pawn Weights'!$K$42)+(I125*'Pawn Weights'!$K$43)+(J125*'Pawn Weights'!$K$44)+(K125*'Pawn Weights'!$K$45)+(L125*'Pawn Weights'!$K$46)+(M125*'Pawn Weights'!$K$47)+(N125*'Pawn Weights'!$K$48)+(O125*'Pawn Weights'!$K$49)+(P125*'Pawn Weights'!$K$50)+(Q125*'Pawn Weights'!$K$51), 2)</f>
        <v>155.02</v>
      </c>
      <c r="E125" s="280">
        <v>41.0</v>
      </c>
      <c r="F125" s="280"/>
      <c r="G125" s="280">
        <v>42.0</v>
      </c>
      <c r="H125" s="280">
        <v>58.0</v>
      </c>
      <c r="I125" s="280"/>
      <c r="J125" s="280"/>
      <c r="K125" s="280"/>
      <c r="L125" s="280"/>
      <c r="M125" s="281"/>
      <c r="N125" s="280"/>
      <c r="O125" s="280"/>
      <c r="P125" s="280"/>
      <c r="Q125" s="280"/>
      <c r="R125" s="290"/>
      <c r="S125" s="281"/>
      <c r="T125" s="290"/>
      <c r="U125" s="281"/>
      <c r="V125" s="281"/>
      <c r="W125" s="281"/>
    </row>
    <row r="126">
      <c r="A126" s="224" t="s">
        <v>905</v>
      </c>
      <c r="B126" s="281"/>
      <c r="C126" s="281"/>
      <c r="D126" s="360"/>
      <c r="E126" s="281"/>
      <c r="F126" s="281"/>
      <c r="G126" s="281"/>
      <c r="H126" s="281"/>
      <c r="I126" s="281"/>
      <c r="J126" s="281"/>
      <c r="K126" s="281"/>
      <c r="L126" s="281"/>
      <c r="M126" s="281"/>
      <c r="N126" s="281"/>
      <c r="O126" s="281"/>
      <c r="P126" s="281"/>
      <c r="Q126" s="281"/>
      <c r="R126" s="282"/>
      <c r="S126" s="281"/>
      <c r="T126" s="282"/>
      <c r="U126" s="281"/>
      <c r="V126" s="281"/>
      <c r="W126" s="281"/>
    </row>
    <row r="127">
      <c r="A127" s="137"/>
      <c r="B127" s="296" t="s">
        <v>907</v>
      </c>
      <c r="C127" s="297" t="s">
        <v>632</v>
      </c>
      <c r="D127" s="289">
        <f>ROUND((F127*'Pawn Weights'!$K$40)+(G127*'Pawn Weights'!$K$41)+(H127*'Pawn Weights'!$K$42)+(I127*'Pawn Weights'!$K$43)+(J127*'Pawn Weights'!$K$44)+(K127*'Pawn Weights'!$K$45)+(L127*'Pawn Weights'!$K$46)+(M127*'Pawn Weights'!$K$47)+(N127*'Pawn Weights'!$K$48)+(O127*'Pawn Weights'!$K$49)+(P127*'Pawn Weights'!$K$50)+(Q127*'Pawn Weights'!$K$51), 2)</f>
        <v>195.18</v>
      </c>
      <c r="E127" s="298">
        <v>33.0</v>
      </c>
      <c r="F127" s="297"/>
      <c r="G127" s="297"/>
      <c r="H127" s="298">
        <v>66.0</v>
      </c>
      <c r="I127" s="297"/>
      <c r="J127" s="298">
        <v>30.0</v>
      </c>
      <c r="K127" s="297"/>
      <c r="L127" s="297"/>
      <c r="M127" s="359">
        <v>126.0</v>
      </c>
      <c r="N127" s="297"/>
      <c r="O127" s="297"/>
      <c r="P127" s="297"/>
      <c r="Q127" s="297"/>
      <c r="R127" s="295"/>
      <c r="S127" s="137"/>
      <c r="T127" s="298"/>
      <c r="U127" s="137"/>
      <c r="V127" s="137"/>
      <c r="W127" s="137"/>
      <c r="X127" s="137"/>
      <c r="Y127" s="137"/>
      <c r="Z127" s="137"/>
    </row>
    <row r="128">
      <c r="A128" s="137" t="s">
        <v>627</v>
      </c>
      <c r="B128" s="296" t="s">
        <v>910</v>
      </c>
      <c r="C128" s="297" t="s">
        <v>911</v>
      </c>
      <c r="D128" s="289">
        <f>ROUND((F128*'Pawn Weights'!$K$40)+(G128*'Pawn Weights'!$K$41)+(H128*'Pawn Weights'!$K$42)+(I128*'Pawn Weights'!$K$43)+(J128*'Pawn Weights'!$K$44)+(K128*'Pawn Weights'!$K$45)+(L128*'Pawn Weights'!$K$46)+(M128*'Pawn Weights'!$K$47)+(N128*'Pawn Weights'!$K$48)+(O128*'Pawn Weights'!$K$49)+(P128*'Pawn Weights'!$K$50)+(Q128*'Pawn Weights'!$K$51), 2)</f>
        <v>190.02</v>
      </c>
      <c r="E128" s="298">
        <v>42.0</v>
      </c>
      <c r="F128" s="297"/>
      <c r="G128" s="298">
        <v>30.0</v>
      </c>
      <c r="H128" s="298">
        <v>58.0</v>
      </c>
      <c r="I128" s="297"/>
      <c r="J128" s="297"/>
      <c r="K128" s="298">
        <v>28.0</v>
      </c>
      <c r="L128" s="297"/>
      <c r="M128" s="137"/>
      <c r="N128" s="297"/>
      <c r="O128" s="297"/>
      <c r="P128" s="297"/>
      <c r="Q128" s="297"/>
      <c r="R128" s="295"/>
      <c r="S128" s="137"/>
      <c r="T128" s="295"/>
      <c r="U128" s="137"/>
      <c r="V128" s="137"/>
      <c r="W128" s="137"/>
      <c r="X128" s="137"/>
      <c r="Y128" s="137"/>
      <c r="Z128" s="137"/>
    </row>
    <row r="129">
      <c r="A129" s="295"/>
      <c r="B129" s="341" t="s">
        <v>906</v>
      </c>
      <c r="C129" s="361" t="s">
        <v>669</v>
      </c>
      <c r="D129" s="289">
        <f>ROUND((F129*'Pawn Weights'!$K$40)+(G129*'Pawn Weights'!$K$41)+(H129*'Pawn Weights'!$K$42)+(I129*'Pawn Weights'!$K$43)+(J129*'Pawn Weights'!$K$44)+(K129*'Pawn Weights'!$K$45)+(L129*'Pawn Weights'!$K$46)+(M129*'Pawn Weights'!$K$47)+(N129*'Pawn Weights'!$K$48)+(O129*'Pawn Weights'!$K$49)+(P129*'Pawn Weights'!$K$50)+(Q129*'Pawn Weights'!$K$51), 2)</f>
        <v>188.62</v>
      </c>
      <c r="E129" s="359">
        <v>30.0</v>
      </c>
      <c r="F129" s="361"/>
      <c r="G129" s="361"/>
      <c r="H129" s="359">
        <v>66.0</v>
      </c>
      <c r="I129" s="359">
        <v>32.0</v>
      </c>
      <c r="J129" s="361"/>
      <c r="K129" s="361"/>
      <c r="L129" s="361"/>
      <c r="M129" s="359">
        <v>161.0</v>
      </c>
      <c r="N129" s="361"/>
      <c r="O129" s="361"/>
      <c r="P129" s="361"/>
      <c r="Q129" s="361"/>
      <c r="R129" s="137"/>
      <c r="S129" s="137"/>
      <c r="T129" s="137"/>
      <c r="U129" s="137"/>
      <c r="V129" s="137"/>
      <c r="W129" s="137"/>
      <c r="X129" s="137"/>
      <c r="Y129" s="137"/>
      <c r="Z129" s="137"/>
    </row>
    <row r="130">
      <c r="A130" s="295"/>
      <c r="B130" s="341" t="s">
        <v>908</v>
      </c>
      <c r="C130" s="361" t="s">
        <v>909</v>
      </c>
      <c r="D130" s="289">
        <f>ROUND((F130*'Pawn Weights'!$K$40)+(G130*'Pawn Weights'!$K$41)+(H130*'Pawn Weights'!$K$42)+(I130*'Pawn Weights'!$K$43)+(J130*'Pawn Weights'!$K$44)+(K130*'Pawn Weights'!$K$45)+(L130*'Pawn Weights'!$K$46)+(M130*'Pawn Weights'!$K$47)+(N130*'Pawn Weights'!$K$48)+(O130*'Pawn Weights'!$K$49)+(P130*'Pawn Weights'!$K$50)+(Q130*'Pawn Weights'!$K$51), 2)</f>
        <v>172.87</v>
      </c>
      <c r="E130" s="359">
        <v>28.0</v>
      </c>
      <c r="F130" s="361"/>
      <c r="G130" s="359">
        <v>29.0</v>
      </c>
      <c r="H130" s="359">
        <v>58.0</v>
      </c>
      <c r="I130" s="361"/>
      <c r="J130" s="361"/>
      <c r="K130" s="361"/>
      <c r="L130" s="361"/>
      <c r="M130" s="359">
        <v>126.0</v>
      </c>
      <c r="N130" s="361"/>
      <c r="O130" s="361"/>
      <c r="P130" s="361"/>
      <c r="Q130" s="361"/>
      <c r="R130" s="137"/>
      <c r="S130" s="137"/>
      <c r="T130" s="137"/>
      <c r="U130" s="137"/>
      <c r="V130" s="137"/>
      <c r="W130" s="137"/>
      <c r="X130" s="137"/>
      <c r="Y130" s="137"/>
      <c r="Z130" s="137"/>
    </row>
    <row r="131">
      <c r="A131" s="137"/>
      <c r="B131" s="296" t="s">
        <v>912</v>
      </c>
      <c r="C131" s="297" t="s">
        <v>913</v>
      </c>
      <c r="D131" s="289">
        <f>ROUND((F131*'Pawn Weights'!$K$40)+(G131*'Pawn Weights'!$K$41)+(H131*'Pawn Weights'!$K$42)+(I131*'Pawn Weights'!$K$43)+(J131*'Pawn Weights'!$K$44)+(K131*'Pawn Weights'!$K$45)+(L131*'Pawn Weights'!$K$46)+(M131*'Pawn Weights'!$K$47)+(N131*'Pawn Weights'!$K$48)+(O131*'Pawn Weights'!$K$49)+(P131*'Pawn Weights'!$K$50)+(Q131*'Pawn Weights'!$K$51), 2)</f>
        <v>170.56</v>
      </c>
      <c r="E131" s="298">
        <v>30.0</v>
      </c>
      <c r="F131" s="297"/>
      <c r="G131" s="298">
        <v>28.0</v>
      </c>
      <c r="H131" s="298">
        <v>58.0</v>
      </c>
      <c r="I131" s="297"/>
      <c r="J131" s="297"/>
      <c r="K131" s="297"/>
      <c r="L131" s="297"/>
      <c r="M131" s="359">
        <v>126.0</v>
      </c>
      <c r="N131" s="297"/>
      <c r="O131" s="297"/>
      <c r="P131" s="297"/>
      <c r="Q131" s="297"/>
      <c r="R131" s="295"/>
      <c r="S131" s="137"/>
      <c r="T131" s="298"/>
      <c r="U131" s="137"/>
      <c r="V131" s="137"/>
      <c r="W131" s="137"/>
      <c r="X131" s="137"/>
      <c r="Y131" s="137"/>
      <c r="Z131" s="137"/>
    </row>
    <row r="132">
      <c r="A132" s="281"/>
      <c r="B132" s="288" t="s">
        <v>917</v>
      </c>
      <c r="C132" s="280" t="s">
        <v>741</v>
      </c>
      <c r="D132" s="289">
        <f>ROUND((F132*'Pawn Weights'!$K$40)+(G132*'Pawn Weights'!$K$41)+(H132*'Pawn Weights'!$K$42)+(I132*'Pawn Weights'!$K$43)+(J132*'Pawn Weights'!$K$44)+(K132*'Pawn Weights'!$K$45)+(L132*'Pawn Weights'!$K$46)+(M132*'Pawn Weights'!$K$47)+(N132*'Pawn Weights'!$K$48)+(O132*'Pawn Weights'!$K$49)+(P132*'Pawn Weights'!$K$50)+(Q132*'Pawn Weights'!$K$51), 2)</f>
        <v>158.54</v>
      </c>
      <c r="E132" s="280">
        <v>27.0</v>
      </c>
      <c r="F132" s="280"/>
      <c r="G132" s="280"/>
      <c r="H132" s="280">
        <v>56.0</v>
      </c>
      <c r="I132" s="280">
        <v>28.0</v>
      </c>
      <c r="J132" s="280">
        <v>18.0</v>
      </c>
      <c r="K132" s="280"/>
      <c r="L132" s="280"/>
      <c r="M132" s="281"/>
      <c r="N132" s="280"/>
      <c r="O132" s="280"/>
      <c r="P132" s="280"/>
      <c r="Q132" s="280"/>
      <c r="R132" s="290"/>
      <c r="S132" s="281"/>
      <c r="T132" s="290"/>
      <c r="U132" s="281"/>
      <c r="V132" s="281"/>
      <c r="W132" s="281"/>
    </row>
    <row r="133">
      <c r="A133" s="137"/>
      <c r="B133" s="296" t="s">
        <v>926</v>
      </c>
      <c r="C133" s="297" t="s">
        <v>723</v>
      </c>
      <c r="D133" s="289">
        <f>ROUND((F133*'Pawn Weights'!$K$40)+(G133*'Pawn Weights'!$K$41)+(H133*'Pawn Weights'!$K$42)+(I133*'Pawn Weights'!$K$43)+(J133*'Pawn Weights'!$K$44)+(K133*'Pawn Weights'!$K$45)+(L133*'Pawn Weights'!$K$46)+(M133*'Pawn Weights'!$K$47)+(N133*'Pawn Weights'!$K$48)+(O133*'Pawn Weights'!$K$49)+(P133*'Pawn Weights'!$K$50)+(Q133*'Pawn Weights'!$K$51), 2)</f>
        <v>158</v>
      </c>
      <c r="E133" s="298">
        <v>42.0</v>
      </c>
      <c r="F133" s="297"/>
      <c r="G133" s="298">
        <v>21.0</v>
      </c>
      <c r="H133" s="298">
        <v>58.0</v>
      </c>
      <c r="I133" s="297"/>
      <c r="J133" s="298">
        <v>19.0</v>
      </c>
      <c r="K133" s="297"/>
      <c r="L133" s="297"/>
      <c r="M133" s="137"/>
      <c r="N133" s="297"/>
      <c r="O133" s="297"/>
      <c r="P133" s="297"/>
      <c r="Q133" s="297"/>
      <c r="R133" s="295"/>
      <c r="S133" s="137"/>
      <c r="T133" s="298"/>
      <c r="U133" s="137"/>
      <c r="V133" s="137"/>
      <c r="W133" s="137"/>
      <c r="X133" s="137"/>
      <c r="Y133" s="137"/>
      <c r="Z133" s="137"/>
    </row>
    <row r="134">
      <c r="A134" s="281"/>
      <c r="B134" s="288" t="s">
        <v>927</v>
      </c>
      <c r="C134" s="280" t="s">
        <v>710</v>
      </c>
      <c r="D134" s="289">
        <f>ROUND((F134*'Pawn Weights'!$K$40)+(G134*'Pawn Weights'!$K$41)+(H134*'Pawn Weights'!$K$42)+(I134*'Pawn Weights'!$K$43)+(J134*'Pawn Weights'!$K$44)+(K134*'Pawn Weights'!$K$45)+(L134*'Pawn Weights'!$K$46)+(M134*'Pawn Weights'!$K$47)+(N134*'Pawn Weights'!$K$48)+(O134*'Pawn Weights'!$K$49)+(P134*'Pawn Weights'!$K$50)+(Q134*'Pawn Weights'!$K$51), 2)</f>
        <v>156.93</v>
      </c>
      <c r="E134" s="280">
        <v>19.0</v>
      </c>
      <c r="F134" s="280"/>
      <c r="G134" s="280">
        <v>24.0</v>
      </c>
      <c r="H134" s="280">
        <v>50.0</v>
      </c>
      <c r="I134" s="280"/>
      <c r="J134" s="280">
        <v>19.0</v>
      </c>
      <c r="K134" s="280"/>
      <c r="L134" s="280"/>
      <c r="M134" s="281"/>
      <c r="N134" s="280"/>
      <c r="O134" s="280"/>
      <c r="P134" s="280"/>
      <c r="Q134" s="280"/>
      <c r="R134" s="290"/>
      <c r="S134" s="281"/>
      <c r="T134" s="290"/>
      <c r="U134" s="281"/>
      <c r="V134" s="281"/>
      <c r="W134" s="281"/>
    </row>
    <row r="135">
      <c r="A135" s="137"/>
      <c r="B135" s="296" t="s">
        <v>918</v>
      </c>
      <c r="C135" s="318" t="s">
        <v>919</v>
      </c>
      <c r="D135" s="289">
        <f>ROUND((F135*'Pawn Weights'!$K$40)+(G135*'Pawn Weights'!$K$41)+(H135*'Pawn Weights'!$K$42)+(I135*'Pawn Weights'!$K$43)+(J135*'Pawn Weights'!$K$44)+(K135*'Pawn Weights'!$K$45)+(L135*'Pawn Weights'!$K$46)+(M135*'Pawn Weights'!$K$47)+(N135*'Pawn Weights'!$K$48)+(O135*'Pawn Weights'!$K$49)+(P135*'Pawn Weights'!$K$50)+(Q135*'Pawn Weights'!$K$51)+26.6, 2)</f>
        <v>153.59</v>
      </c>
      <c r="E135" s="298">
        <v>43.0</v>
      </c>
      <c r="F135" s="297"/>
      <c r="G135" s="298">
        <v>29.0</v>
      </c>
      <c r="H135" s="298">
        <v>60.0</v>
      </c>
      <c r="I135" s="297"/>
      <c r="J135" s="297"/>
      <c r="K135" s="297"/>
      <c r="L135" s="297"/>
      <c r="M135" s="137"/>
      <c r="N135" s="297"/>
      <c r="O135" s="297"/>
      <c r="P135" s="297"/>
      <c r="Q135" s="297"/>
      <c r="R135" s="295"/>
      <c r="S135" s="137"/>
      <c r="T135" s="298" t="s">
        <v>920</v>
      </c>
      <c r="U135" s="137"/>
      <c r="V135" s="137"/>
      <c r="W135" s="137"/>
      <c r="X135" s="137"/>
      <c r="Y135" s="137"/>
      <c r="Z135" s="137"/>
    </row>
    <row r="136">
      <c r="A136" s="137"/>
      <c r="B136" s="296" t="s">
        <v>923</v>
      </c>
      <c r="C136" s="297" t="s">
        <v>656</v>
      </c>
      <c r="D136" s="367">
        <f>ROUND((F136*'Pawn Weights'!$K$40)+(G136*'Pawn Weights'!$K$41)+(H136*'Pawn Weights'!$K$42)+(I136*'Pawn Weights'!$K$43)+(J136*'Pawn Weights'!$K$44)+(K136*'Pawn Weights'!$K$45)+(L136*'Pawn Weights'!$K$46)+(M136*'Pawn Weights'!$K$47)+(N136*'Pawn Weights'!$K$48)+(O136*'Pawn Weights'!$K$49)+(P136*'Pawn Weights'!$K$50)+(Q136*'Pawn Weights'!$K$51), 2)</f>
        <v>139.65</v>
      </c>
      <c r="E136" s="298">
        <v>21.0</v>
      </c>
      <c r="F136" s="297"/>
      <c r="G136" s="297"/>
      <c r="H136" s="298">
        <v>44.0</v>
      </c>
      <c r="I136" s="298">
        <v>23.0</v>
      </c>
      <c r="J136" s="298">
        <v>19.0</v>
      </c>
      <c r="K136" s="297"/>
      <c r="L136" s="297"/>
      <c r="M136" s="137"/>
      <c r="N136" s="297"/>
      <c r="O136" s="297"/>
      <c r="P136" s="297"/>
      <c r="Q136" s="297"/>
      <c r="R136" s="295"/>
      <c r="S136" s="137"/>
      <c r="T136" s="295"/>
      <c r="U136" s="137"/>
      <c r="V136" s="137"/>
      <c r="W136" s="137"/>
      <c r="X136" s="137"/>
      <c r="Y136" s="137"/>
      <c r="Z136" s="137"/>
    </row>
    <row r="137">
      <c r="A137" s="281"/>
      <c r="B137" s="288" t="s">
        <v>922</v>
      </c>
      <c r="C137" s="280" t="s">
        <v>708</v>
      </c>
      <c r="D137" s="289">
        <f>ROUND((F137*'Pawn Weights'!$K$40)+(G137*'Pawn Weights'!$K$41)+(H137*'Pawn Weights'!$K$42)+(I137*'Pawn Weights'!$K$43)+(J137*'Pawn Weights'!$K$44)+(K137*'Pawn Weights'!$K$45)+(L137*'Pawn Weights'!$K$46)+(M137*'Pawn Weights'!$K$47)+(N137*'Pawn Weights'!$K$48)+(O137*'Pawn Weights'!$K$49)+(P137*'Pawn Weights'!$K$50)+(Q137*'Pawn Weights'!$K$51), 2)</f>
        <v>139.13</v>
      </c>
      <c r="E137" s="280"/>
      <c r="F137" s="280"/>
      <c r="G137" s="280"/>
      <c r="H137" s="280">
        <v>62.0</v>
      </c>
      <c r="I137" s="280">
        <v>19.0</v>
      </c>
      <c r="J137" s="280">
        <v>15.0</v>
      </c>
      <c r="K137" s="280"/>
      <c r="L137" s="280"/>
      <c r="M137" s="281"/>
      <c r="N137" s="280"/>
      <c r="O137" s="280"/>
      <c r="P137" s="280"/>
      <c r="Q137" s="280"/>
      <c r="R137" s="290"/>
      <c r="S137" s="281"/>
      <c r="T137" s="290"/>
      <c r="U137" s="281"/>
      <c r="V137" s="281"/>
      <c r="W137" s="281"/>
    </row>
    <row r="138">
      <c r="A138" s="137"/>
      <c r="B138" s="296" t="s">
        <v>921</v>
      </c>
      <c r="C138" s="297" t="s">
        <v>821</v>
      </c>
      <c r="D138" s="289">
        <f>ROUND((F138*'Pawn Weights'!$K$40)+(G138*'Pawn Weights'!$K$41)+(H138*'Pawn Weights'!$K$42)+(I138*'Pawn Weights'!$K$43)+(J138*'Pawn Weights'!$K$44)+(K138*'Pawn Weights'!$K$45)+(L138*'Pawn Weights'!$K$46)+(M138*'Pawn Weights'!$K$47)+(N138*'Pawn Weights'!$K$48)+(O138*'Pawn Weights'!$K$49)+(P138*'Pawn Weights'!$K$50)+(Q138*'Pawn Weights'!$K$51), 2)</f>
        <v>135.44</v>
      </c>
      <c r="E138" s="297"/>
      <c r="F138" s="297"/>
      <c r="G138" s="297"/>
      <c r="H138" s="298">
        <v>66.0</v>
      </c>
      <c r="I138" s="297"/>
      <c r="J138" s="297"/>
      <c r="K138" s="298">
        <v>31.0</v>
      </c>
      <c r="L138" s="297"/>
      <c r="M138" s="137"/>
      <c r="N138" s="297"/>
      <c r="O138" s="297"/>
      <c r="P138" s="297"/>
      <c r="Q138" s="297"/>
      <c r="R138" s="295"/>
      <c r="S138" s="137"/>
      <c r="T138" s="295"/>
      <c r="U138" s="137"/>
      <c r="V138" s="137"/>
      <c r="W138" s="137"/>
      <c r="X138" s="137"/>
      <c r="Y138" s="137"/>
      <c r="Z138" s="137"/>
    </row>
    <row r="139">
      <c r="A139" s="281"/>
      <c r="B139" s="288" t="s">
        <v>1115</v>
      </c>
      <c r="C139" s="280" t="s">
        <v>1116</v>
      </c>
      <c r="D139" s="289">
        <f>ROUND((F139*'Pawn Weights'!$K$40)+(G139*'Pawn Weights'!$K$41)+(H139*'Pawn Weights'!$K$42)+(I139*'Pawn Weights'!$K$43)+(J139*'Pawn Weights'!$K$44)+(K139*'Pawn Weights'!$K$45)+(L139*'Pawn Weights'!$K$46)+(M139*'Pawn Weights'!$K$47)+(N139*'Pawn Weights'!$K$48)+(O139*'Pawn Weights'!$K$49)+(P139*'Pawn Weights'!$K$50)+(Q139*'Pawn Weights'!$K$51), 2)</f>
        <v>134.98</v>
      </c>
      <c r="E139" s="280">
        <v>25.0</v>
      </c>
      <c r="F139" s="280"/>
      <c r="G139" s="280">
        <v>20.0</v>
      </c>
      <c r="H139" s="280">
        <v>40.0</v>
      </c>
      <c r="I139" s="280"/>
      <c r="J139" s="280">
        <v>18.0</v>
      </c>
      <c r="K139" s="280"/>
      <c r="L139" s="280"/>
      <c r="M139" s="281"/>
      <c r="N139" s="280"/>
      <c r="O139" s="280"/>
      <c r="P139" s="280"/>
      <c r="Q139" s="280"/>
      <c r="R139" s="290"/>
      <c r="S139" s="281"/>
      <c r="T139" s="290"/>
      <c r="U139" s="281"/>
      <c r="V139" s="281"/>
      <c r="W139" s="281"/>
    </row>
    <row r="140">
      <c r="A140" s="137" t="s">
        <v>671</v>
      </c>
      <c r="B140" s="296" t="s">
        <v>915</v>
      </c>
      <c r="C140" s="297" t="s">
        <v>916</v>
      </c>
      <c r="D140" s="289">
        <f>ROUND((F140*'Pawn Weights'!$K$40)+(G140*'Pawn Weights'!$K$41)+(H140*'Pawn Weights'!$K$42)+(I140*'Pawn Weights'!$K$43)+(J140*'Pawn Weights'!$K$44)+(K140*'Pawn Weights'!$K$45)+(L140*'Pawn Weights'!$K$46)+(M140*'Pawn Weights'!$K$47)+(N140*'Pawn Weights'!$K$48)+(O140*'Pawn Weights'!$K$49)+(P140*'Pawn Weights'!$K$50)+(Q140*'Pawn Weights'!$K$51), 2)</f>
        <v>130.88</v>
      </c>
      <c r="E140" s="298">
        <v>38.0</v>
      </c>
      <c r="F140" s="297"/>
      <c r="G140" s="297"/>
      <c r="H140" s="298">
        <v>52.0</v>
      </c>
      <c r="I140" s="298">
        <v>30.0</v>
      </c>
      <c r="J140" s="297"/>
      <c r="K140" s="297"/>
      <c r="L140" s="297"/>
      <c r="M140" s="359">
        <v>56.0</v>
      </c>
      <c r="N140" s="297"/>
      <c r="O140" s="297"/>
      <c r="P140" s="297"/>
      <c r="Q140" s="297"/>
      <c r="R140" s="295"/>
      <c r="S140" s="137"/>
      <c r="T140" s="297" t="s">
        <v>861</v>
      </c>
      <c r="U140" s="137"/>
      <c r="V140" s="137"/>
      <c r="W140" s="137"/>
      <c r="X140" s="137"/>
      <c r="Y140" s="137"/>
      <c r="Z140" s="137"/>
    </row>
    <row r="141">
      <c r="A141" s="281"/>
      <c r="B141" s="288" t="s">
        <v>1111</v>
      </c>
      <c r="C141" s="280" t="s">
        <v>1112</v>
      </c>
      <c r="D141" s="289">
        <f>ROUND((F141*'Pawn Weights'!$K$40)+(G141*'Pawn Weights'!$K$41)+(H141*'Pawn Weights'!$K$42)+(I141*'Pawn Weights'!$K$43)+(J141*'Pawn Weights'!$K$44)+(K141*'Pawn Weights'!$K$45)+(L141*'Pawn Weights'!$K$46)+(M141*'Pawn Weights'!$K$47)+(N141*'Pawn Weights'!$K$48)+(O141*'Pawn Weights'!$K$49)+(P141*'Pawn Weights'!$K$50)+(Q141*'Pawn Weights'!$K$51), 2)</f>
        <v>129.89</v>
      </c>
      <c r="E141" s="280"/>
      <c r="F141" s="280"/>
      <c r="G141" s="280"/>
      <c r="H141" s="280">
        <v>40.0</v>
      </c>
      <c r="I141" s="280">
        <v>20.0</v>
      </c>
      <c r="J141" s="280">
        <v>19.0</v>
      </c>
      <c r="K141" s="280"/>
      <c r="L141" s="280"/>
      <c r="M141" s="281"/>
      <c r="N141" s="280"/>
      <c r="O141" s="280"/>
      <c r="P141" s="280"/>
      <c r="Q141" s="280"/>
      <c r="R141" s="290"/>
      <c r="S141" s="281"/>
      <c r="T141" s="290"/>
      <c r="U141" s="281"/>
      <c r="V141" s="281"/>
      <c r="W141" s="281"/>
    </row>
    <row r="142">
      <c r="A142" s="281"/>
      <c r="B142" s="288" t="s">
        <v>1242</v>
      </c>
      <c r="C142" s="280" t="s">
        <v>1243</v>
      </c>
      <c r="D142" s="289">
        <f>ROUND((F142*'Pawn Weights'!$K$40)+(G142*'Pawn Weights'!$K$41)+(H142*'Pawn Weights'!$K$42)+(I142*'Pawn Weights'!$K$43)+(J142*'Pawn Weights'!$K$44)+(K142*'Pawn Weights'!$K$45)+(L142*'Pawn Weights'!$K$46)+(M142*'Pawn Weights'!$K$47)+(N142*'Pawn Weights'!$K$48)+(O142*'Pawn Weights'!$K$49)+(P142*'Pawn Weights'!$K$50)+(Q142*'Pawn Weights'!$K$51), 2)</f>
        <v>123.75</v>
      </c>
      <c r="E142" s="280">
        <v>28.0</v>
      </c>
      <c r="F142" s="280"/>
      <c r="G142" s="280"/>
      <c r="H142" s="280">
        <v>56.0</v>
      </c>
      <c r="I142" s="280"/>
      <c r="J142" s="280">
        <v>25.0</v>
      </c>
      <c r="K142" s="280"/>
      <c r="L142" s="280"/>
      <c r="M142" s="281"/>
      <c r="N142" s="280"/>
      <c r="O142" s="280"/>
      <c r="P142" s="280"/>
      <c r="Q142" s="280"/>
      <c r="R142" s="290"/>
      <c r="S142" s="281"/>
      <c r="T142" s="290"/>
      <c r="U142" s="281"/>
      <c r="V142" s="281"/>
      <c r="W142" s="281"/>
    </row>
    <row r="143">
      <c r="A143" s="137"/>
      <c r="B143" s="296" t="s">
        <v>1244</v>
      </c>
      <c r="C143" s="297" t="s">
        <v>1245</v>
      </c>
      <c r="D143" s="367">
        <f>ROUND((F143*'Pawn Weights'!$K$40)+(G143*'Pawn Weights'!$K$41)+(H143*'Pawn Weights'!$K$42)+(I143*'Pawn Weights'!$K$43)+(J143*'Pawn Weights'!$K$44)+(K143*'Pawn Weights'!$K$45)+(L143*'Pawn Weights'!$K$46)+(M143*'Pawn Weights'!$K$47)+(N143*'Pawn Weights'!$K$48)+(O143*'Pawn Weights'!$K$49)+(P143*'Pawn Weights'!$K$50)+(Q143*'Pawn Weights'!$K$51), 2)</f>
        <v>116.35</v>
      </c>
      <c r="E143" s="298">
        <v>18.0</v>
      </c>
      <c r="F143" s="297"/>
      <c r="G143" s="298">
        <v>25.0</v>
      </c>
      <c r="H143" s="297"/>
      <c r="I143" s="297"/>
      <c r="J143" s="297"/>
      <c r="K143" s="297"/>
      <c r="L143" s="298">
        <v>20.0</v>
      </c>
      <c r="M143" s="137"/>
      <c r="N143" s="297"/>
      <c r="O143" s="297"/>
      <c r="P143" s="297"/>
      <c r="Q143" s="297"/>
      <c r="R143" s="295"/>
      <c r="S143" s="137"/>
      <c r="T143" s="295" t="s">
        <v>1246</v>
      </c>
      <c r="U143" s="137"/>
      <c r="V143" s="137"/>
      <c r="W143" s="137"/>
      <c r="X143" s="137"/>
      <c r="Y143" s="137"/>
      <c r="Z143" s="137"/>
    </row>
    <row r="144">
      <c r="A144" s="137" t="s">
        <v>991</v>
      </c>
      <c r="B144" s="296" t="s">
        <v>1109</v>
      </c>
      <c r="C144" s="297" t="s">
        <v>1110</v>
      </c>
      <c r="D144" s="289">
        <f>ROUND((F144*'Pawn Weights'!$K$40)+(G144*'Pawn Weights'!$K$41)+(H144*'Pawn Weights'!$K$42)+(I144*'Pawn Weights'!$K$43)+(J144*'Pawn Weights'!$K$44)+(K144*'Pawn Weights'!$K$45)+(L144*'Pawn Weights'!$K$46)+(M144*'Pawn Weights'!$K$47)+(N144*'Pawn Weights'!$K$48)+(O144*'Pawn Weights'!$K$49)+(P144*'Pawn Weights'!$K$50)+(Q144*'Pawn Weights'!$K$51), 2)</f>
        <v>115.2</v>
      </c>
      <c r="E144" s="298">
        <v>34.0</v>
      </c>
      <c r="F144" s="297"/>
      <c r="G144" s="297"/>
      <c r="H144" s="298">
        <v>44.0</v>
      </c>
      <c r="I144" s="298">
        <v>26.0</v>
      </c>
      <c r="J144" s="297"/>
      <c r="K144" s="297"/>
      <c r="L144" s="297"/>
      <c r="M144" s="359">
        <v>56.0</v>
      </c>
      <c r="N144" s="297"/>
      <c r="O144" s="297"/>
      <c r="P144" s="297"/>
      <c r="Q144" s="295"/>
      <c r="R144" s="295"/>
      <c r="S144" s="137"/>
      <c r="T144" s="298" t="s">
        <v>861</v>
      </c>
      <c r="U144" s="137"/>
      <c r="V144" s="137"/>
      <c r="W144" s="137"/>
      <c r="X144" s="137"/>
      <c r="Y144" s="137"/>
      <c r="Z144" s="137"/>
    </row>
    <row r="145">
      <c r="A145" s="224" t="s">
        <v>928</v>
      </c>
      <c r="B145" s="312" t="s">
        <v>929</v>
      </c>
      <c r="C145" s="281"/>
      <c r="D145" s="360"/>
      <c r="E145" s="313" t="s">
        <v>607</v>
      </c>
      <c r="F145" s="314" t="s">
        <v>608</v>
      </c>
      <c r="G145" s="314" t="s">
        <v>561</v>
      </c>
      <c r="H145" s="314" t="s">
        <v>930</v>
      </c>
      <c r="I145" s="314" t="s">
        <v>330</v>
      </c>
      <c r="J145" s="314" t="s">
        <v>344</v>
      </c>
      <c r="K145" s="314" t="s">
        <v>356</v>
      </c>
      <c r="L145" s="314" t="s">
        <v>563</v>
      </c>
      <c r="M145" s="314" t="s">
        <v>564</v>
      </c>
      <c r="N145" s="281"/>
      <c r="O145" s="281"/>
      <c r="P145" s="281"/>
      <c r="Q145" s="281"/>
      <c r="R145" s="282"/>
      <c r="S145" s="281"/>
      <c r="T145" s="282"/>
      <c r="U145" s="281"/>
      <c r="V145" s="281"/>
      <c r="W145" s="281"/>
    </row>
    <row r="146">
      <c r="A146" s="295"/>
      <c r="B146" s="296" t="s">
        <v>934</v>
      </c>
      <c r="C146" s="361" t="s">
        <v>744</v>
      </c>
      <c r="D146" s="289">
        <f>ROUND((F146*'Pawn Weights'!$K$40)+(G146*'Pawn Weights'!$K$41)+(H146*'Pawn Weights'!$K$42)+(I146*'Pawn Weights'!$K$43)+(J146*'Pawn Weights'!$K$44)+(K146*'Pawn Weights'!$K$45)+(L146*'Pawn Weights'!$K$46)+(M146*'Pawn Weights'!$K$47)+(N146*'Pawn Weights'!$K$48)+(O146*'Pawn Weights'!$K$49)+(P146*'Pawn Weights'!$K$50)+(Q146*'Pawn Weights'!$K$51), 2)</f>
        <v>252.96</v>
      </c>
      <c r="E146" s="361"/>
      <c r="F146" s="297"/>
      <c r="G146" s="297"/>
      <c r="H146" s="298">
        <v>132.0</v>
      </c>
      <c r="I146" s="297"/>
      <c r="J146" s="297"/>
      <c r="K146" s="298">
        <v>54.0</v>
      </c>
      <c r="L146" s="297"/>
      <c r="M146" s="297"/>
      <c r="N146" s="361"/>
      <c r="O146" s="361"/>
      <c r="P146" s="361"/>
      <c r="Q146" s="361"/>
      <c r="R146" s="137"/>
      <c r="S146" s="137"/>
      <c r="T146" s="359" t="s">
        <v>935</v>
      </c>
      <c r="U146" s="137"/>
      <c r="V146" s="137"/>
      <c r="W146" s="137"/>
      <c r="X146" s="137"/>
      <c r="Y146" s="137"/>
      <c r="Z146" s="137"/>
    </row>
    <row r="147">
      <c r="A147" s="137"/>
      <c r="B147" s="296" t="s">
        <v>936</v>
      </c>
      <c r="C147" s="297" t="s">
        <v>823</v>
      </c>
      <c r="D147" s="289">
        <f>ROUND((F147*'Pawn Weights'!$K$40)+(G147*'Pawn Weights'!$K$41)+(H147*'Pawn Weights'!$K$42)+(I147*'Pawn Weights'!$K$43)+(J147*'Pawn Weights'!$K$44)+(K147*'Pawn Weights'!$K$45)+(L147*'Pawn Weights'!$K$46)+(M147*'Pawn Weights'!$K$47)+(N147*'Pawn Weights'!$K$48)+(O147*'Pawn Weights'!$K$49)+(P147*'Pawn Weights'!$K$50)+(Q147*'Pawn Weights'!$K$51), 2)</f>
        <v>251.12</v>
      </c>
      <c r="E147" s="297"/>
      <c r="F147" s="297"/>
      <c r="G147" s="297"/>
      <c r="H147" s="298">
        <v>40.0</v>
      </c>
      <c r="I147" s="297"/>
      <c r="J147" s="297"/>
      <c r="K147" s="298">
        <v>94.25</v>
      </c>
      <c r="L147" s="297"/>
      <c r="M147" s="137"/>
      <c r="N147" s="297"/>
      <c r="O147" s="297"/>
      <c r="P147" s="297"/>
      <c r="Q147" s="297"/>
      <c r="R147" s="295"/>
      <c r="S147" s="137"/>
      <c r="T147" s="298" t="s">
        <v>937</v>
      </c>
      <c r="U147" s="295"/>
      <c r="V147" s="137"/>
      <c r="W147" s="137"/>
      <c r="X147" s="137"/>
      <c r="Y147" s="137"/>
      <c r="Z147" s="137"/>
    </row>
    <row r="148">
      <c r="A148" s="295"/>
      <c r="B148" s="296" t="s">
        <v>938</v>
      </c>
      <c r="C148" s="297" t="s">
        <v>939</v>
      </c>
      <c r="D148" s="289">
        <f>ROUND((F148*'Pawn Weights'!$K$40)+(G148*'Pawn Weights'!$K$41)+(H148*'Pawn Weights'!$K$42)+(I148*'Pawn Weights'!$K$43)+(J148*'Pawn Weights'!$K$44)+(K148*'Pawn Weights'!$K$45)+(L148*'Pawn Weights'!$K$46)+(M148*'Pawn Weights'!$K$47)+(N148*'Pawn Weights'!$K$48)+(O148*'Pawn Weights'!$K$49)+(P148*'Pawn Weights'!$K$50)+(Q148*'Pawn Weights'!$K$51), 2)</f>
        <v>220.92</v>
      </c>
      <c r="E148" s="297"/>
      <c r="F148" s="297"/>
      <c r="G148" s="297"/>
      <c r="H148" s="298">
        <v>92.0</v>
      </c>
      <c r="I148" s="297"/>
      <c r="J148" s="297"/>
      <c r="K148" s="297"/>
      <c r="L148" s="298">
        <v>44.0</v>
      </c>
      <c r="M148" s="295"/>
      <c r="N148" s="297"/>
      <c r="O148" s="297"/>
      <c r="P148" s="297"/>
      <c r="Q148" s="297"/>
      <c r="R148" s="295"/>
      <c r="S148" s="137"/>
      <c r="T148" s="298" t="s">
        <v>940</v>
      </c>
      <c r="U148" s="295"/>
      <c r="V148" s="137"/>
      <c r="W148" s="137"/>
      <c r="X148" s="137"/>
      <c r="Y148" s="137"/>
      <c r="Z148" s="137"/>
    </row>
    <row r="149">
      <c r="A149" s="281"/>
      <c r="B149" s="288" t="s">
        <v>1247</v>
      </c>
      <c r="C149" s="280" t="s">
        <v>1248</v>
      </c>
      <c r="D149" s="289">
        <f>ROUND((F149*'Pawn Weights'!$K$40)+(G149*'Pawn Weights'!$K$41)+(H149*'Pawn Weights'!$K$42)+(I149*'Pawn Weights'!$K$43)+(J149*'Pawn Weights'!$K$44)+(K149*'Pawn Weights'!$K$45)+(L149*'Pawn Weights'!$K$46)+(M149*'Pawn Weights'!$K$47)+(N149*'Pawn Weights'!$K$48)+(O149*'Pawn Weights'!$K$49)+(P149*'Pawn Weights'!$K$50)+(Q149*'Pawn Weights'!$K$51), 2)</f>
        <v>209.28</v>
      </c>
      <c r="E149" s="280"/>
      <c r="F149" s="280"/>
      <c r="G149" s="280"/>
      <c r="H149" s="280"/>
      <c r="I149" s="280">
        <v>109.0</v>
      </c>
      <c r="J149" s="280"/>
      <c r="K149" s="280"/>
      <c r="L149" s="280"/>
      <c r="M149" s="280"/>
      <c r="N149" s="280"/>
      <c r="O149" s="280"/>
      <c r="P149" s="280"/>
      <c r="Q149" s="280"/>
      <c r="R149" s="290"/>
      <c r="S149" s="281"/>
      <c r="T149" s="290"/>
      <c r="U149" s="281"/>
      <c r="V149" s="281"/>
      <c r="W149" s="281"/>
      <c r="X149" s="281"/>
    </row>
    <row r="150">
      <c r="A150" s="301" t="s">
        <v>943</v>
      </c>
      <c r="B150" s="288" t="s">
        <v>1249</v>
      </c>
      <c r="C150" s="280" t="s">
        <v>1195</v>
      </c>
      <c r="D150" s="289">
        <f>ROUND((F150*'Pawn Weights'!$K$40)+(G150*'Pawn Weights'!$K$41)+(H150*'Pawn Weights'!$K$42)+(I150*'Pawn Weights'!$K$43)+(J150*'Pawn Weights'!$K$44)+(K150*'Pawn Weights'!$K$45)+(L150*'Pawn Weights'!$K$46)+(M150*'Pawn Weights'!$K$47)+(N150*'Pawn Weights'!$K$48)+(O150*'Pawn Weights'!$K$49)+(P150*'Pawn Weights'!$K$50)+(Q150*'Pawn Weights'!$K$51), 2)</f>
        <v>205.11</v>
      </c>
      <c r="E150" s="280"/>
      <c r="F150" s="280"/>
      <c r="G150" s="280"/>
      <c r="H150" s="280"/>
      <c r="I150" s="280"/>
      <c r="J150" s="280">
        <v>21.0</v>
      </c>
      <c r="K150" s="280"/>
      <c r="L150" s="280"/>
      <c r="M150" s="280">
        <v>390.0</v>
      </c>
      <c r="N150" s="280"/>
      <c r="O150" s="280"/>
      <c r="P150" s="280"/>
      <c r="Q150" s="280"/>
      <c r="R150" s="290"/>
      <c r="S150" s="281"/>
      <c r="T150" s="290" t="s">
        <v>1250</v>
      </c>
      <c r="U150" s="280"/>
      <c r="V150" s="281"/>
      <c r="W150" s="281"/>
    </row>
    <row r="151">
      <c r="A151" s="137"/>
      <c r="B151" s="296" t="s">
        <v>941</v>
      </c>
      <c r="C151" s="297" t="s">
        <v>639</v>
      </c>
      <c r="D151" s="289">
        <f>ROUND((F151*'Pawn Weights'!$K$40)+(G151*'Pawn Weights'!$K$41)+(H151*'Pawn Weights'!$K$42)+(I151*'Pawn Weights'!$K$43)+(J151*'Pawn Weights'!$K$44)+(K151*'Pawn Weights'!$K$45)+(L151*'Pawn Weights'!$K$46)+(M151*'Pawn Weights'!$K$47)+(N151*'Pawn Weights'!$K$48)+(O151*'Pawn Weights'!$K$49)+(P151*'Pawn Weights'!$K$50)+(Q151*'Pawn Weights'!$K$51), 2)</f>
        <v>195.2</v>
      </c>
      <c r="E151" s="297"/>
      <c r="F151" s="297"/>
      <c r="G151" s="297"/>
      <c r="H151" s="298">
        <v>84.0</v>
      </c>
      <c r="I151" s="297"/>
      <c r="J151" s="298">
        <v>20.0</v>
      </c>
      <c r="K151" s="297"/>
      <c r="L151" s="297"/>
      <c r="M151" s="316">
        <v>150.0</v>
      </c>
      <c r="N151" s="297"/>
      <c r="O151" s="297"/>
      <c r="P151" s="297"/>
      <c r="Q151" s="297"/>
      <c r="R151" s="295"/>
      <c r="S151" s="137"/>
      <c r="T151" s="298" t="s">
        <v>942</v>
      </c>
      <c r="U151" s="137"/>
      <c r="V151" s="137"/>
      <c r="W151" s="137"/>
      <c r="X151" s="137"/>
      <c r="Y151" s="137"/>
      <c r="Z151" s="137"/>
    </row>
    <row r="152">
      <c r="A152" s="137"/>
      <c r="B152" s="296" t="s">
        <v>946</v>
      </c>
      <c r="C152" s="297" t="s">
        <v>947</v>
      </c>
      <c r="D152" s="289">
        <f>ROUND((F152*'Pawn Weights'!$K$40)+(G152*'Pawn Weights'!$K$41)+(H152*'Pawn Weights'!$K$42)+(I152*'Pawn Weights'!$K$43)+(J152*'Pawn Weights'!$K$44)+(K152*'Pawn Weights'!$K$45)+(L152*'Pawn Weights'!$K$46)+(M152*'Pawn Weights'!$K$47)+(N152*'Pawn Weights'!$K$48)+(O152*'Pawn Weights'!$K$49)+(P152*'Pawn Weights'!$K$50)+(Q152*'Pawn Weights'!$K$51), 2)</f>
        <v>150</v>
      </c>
      <c r="E152" s="297"/>
      <c r="F152" s="297"/>
      <c r="G152" s="297"/>
      <c r="H152" s="298">
        <v>150.0</v>
      </c>
      <c r="I152" s="297"/>
      <c r="J152" s="297"/>
      <c r="K152" s="297"/>
      <c r="L152" s="297"/>
      <c r="M152" s="137"/>
      <c r="N152" s="297"/>
      <c r="O152" s="297"/>
      <c r="P152" s="297"/>
      <c r="Q152" s="297"/>
      <c r="R152" s="295"/>
      <c r="S152" s="137"/>
      <c r="T152" s="298" t="s">
        <v>948</v>
      </c>
      <c r="U152" s="137"/>
      <c r="V152" s="137"/>
      <c r="W152" s="137"/>
      <c r="X152" s="137"/>
      <c r="Y152" s="137"/>
      <c r="Z152" s="137"/>
    </row>
    <row r="153">
      <c r="A153" s="292" t="s">
        <v>949</v>
      </c>
      <c r="B153" s="288" t="s">
        <v>950</v>
      </c>
      <c r="C153" s="280" t="s">
        <v>951</v>
      </c>
      <c r="D153" s="289">
        <f>ROUND((F153*'Pawn Weights'!$K$40)+(G153*'Pawn Weights'!$K$41)+(H153*'Pawn Weights'!$K$42)+(I153*'Pawn Weights'!$K$43)+(J153*'Pawn Weights'!$K$44)+(K153*'Pawn Weights'!$K$45)+(L153*'Pawn Weights'!$K$46)+(M153*'Pawn Weights'!$K$47)+(N153*'Pawn Weights'!$K$48)+(O153*'Pawn Weights'!$K$49)+(P153*'Pawn Weights'!$K$50)+(Q153*'Pawn Weights'!$K$51), 2)</f>
        <v>150</v>
      </c>
      <c r="E153" s="280"/>
      <c r="F153" s="280"/>
      <c r="G153" s="280"/>
      <c r="H153" s="280">
        <v>150.0</v>
      </c>
      <c r="I153" s="280"/>
      <c r="J153" s="280"/>
      <c r="K153" s="280"/>
      <c r="L153" s="280"/>
      <c r="M153" s="281"/>
      <c r="N153" s="280"/>
      <c r="O153" s="280"/>
      <c r="P153" s="280"/>
      <c r="Q153" s="280"/>
      <c r="R153" s="290"/>
      <c r="S153" s="281"/>
      <c r="T153" s="290" t="s">
        <v>952</v>
      </c>
      <c r="U153" s="281"/>
      <c r="V153" s="281"/>
      <c r="W153" s="281"/>
    </row>
    <row r="154">
      <c r="A154" s="281"/>
      <c r="B154" s="288" t="s">
        <v>956</v>
      </c>
      <c r="C154" s="280" t="s">
        <v>957</v>
      </c>
      <c r="D154" s="289">
        <f>ROUND((F154*'Pawn Weights'!$K$40)+(G154*'Pawn Weights'!$K$41)+(H154*'Pawn Weights'!$K$42)+(I154*'Pawn Weights'!$K$43)+(J154*'Pawn Weights'!$K$44)+(K154*'Pawn Weights'!$K$45)+(L154*'Pawn Weights'!$K$46)+(M154*'Pawn Weights'!$K$47)+(N154*'Pawn Weights'!$K$48)+(O154*'Pawn Weights'!$K$49)+(P154*'Pawn Weights'!$K$50)+(Q154*'Pawn Weights'!$K$51), 2)</f>
        <v>144.06</v>
      </c>
      <c r="E154" s="280"/>
      <c r="F154" s="280"/>
      <c r="G154" s="280"/>
      <c r="H154" s="280">
        <v>44.0</v>
      </c>
      <c r="I154" s="280">
        <v>38.0</v>
      </c>
      <c r="J154" s="280">
        <v>10.0</v>
      </c>
      <c r="K154" s="280"/>
      <c r="L154" s="280"/>
      <c r="M154" s="281"/>
      <c r="N154" s="280"/>
      <c r="O154" s="280"/>
      <c r="P154" s="280"/>
      <c r="Q154" s="280"/>
      <c r="R154" s="290"/>
      <c r="S154" s="281"/>
      <c r="T154" s="290" t="s">
        <v>958</v>
      </c>
      <c r="U154" s="281"/>
      <c r="V154" s="281"/>
      <c r="W154" s="281"/>
    </row>
    <row r="155">
      <c r="A155" s="219" t="s">
        <v>627</v>
      </c>
      <c r="B155" s="317" t="s">
        <v>953</v>
      </c>
      <c r="C155" s="318" t="s">
        <v>954</v>
      </c>
      <c r="D155" s="289">
        <f>ROUND((F155*'Pawn Weights'!$K$40)+(G155*'Pawn Weights'!$K$41)+(H155*'Pawn Weights'!$K$42)+(I155*'Pawn Weights'!$K$43)+(J155*'Pawn Weights'!$K$44)+(K155*'Pawn Weights'!$K$45)+(L155*'Pawn Weights'!$K$46)+(M155*'Pawn Weights'!$K$47)+(N155*'Pawn Weights'!$K$48)+(O155*'Pawn Weights'!$K$49)+(P155*'Pawn Weights'!$K$50)+(Q155*'Pawn Weights'!$K$51), 2)</f>
        <v>133.33</v>
      </c>
      <c r="E155" s="297"/>
      <c r="F155" s="297"/>
      <c r="G155" s="297"/>
      <c r="H155" s="316">
        <v>133.33</v>
      </c>
      <c r="I155" s="297"/>
      <c r="J155" s="297"/>
      <c r="K155" s="297"/>
      <c r="L155" s="297"/>
      <c r="M155" s="295"/>
      <c r="N155" s="297"/>
      <c r="O155" s="297"/>
      <c r="P155" s="297"/>
      <c r="Q155" s="297"/>
      <c r="R155" s="295"/>
      <c r="S155" s="137"/>
      <c r="T155" s="316" t="s">
        <v>955</v>
      </c>
      <c r="U155" s="137"/>
      <c r="V155" s="137"/>
      <c r="W155" s="137"/>
      <c r="X155" s="137"/>
      <c r="Y155" s="137"/>
      <c r="Z155" s="137"/>
    </row>
    <row r="156">
      <c r="A156" s="281"/>
      <c r="B156" s="288" t="s">
        <v>959</v>
      </c>
      <c r="C156" s="154" t="s">
        <v>960</v>
      </c>
      <c r="D156" s="289">
        <f>ROUND((F156*'Pawn Weights'!$K$40)+(G156*'Pawn Weights'!$K$41)+(H156*'Pawn Weights'!$K$42)+(I156*'Pawn Weights'!$K$43)+(J156*'Pawn Weights'!$K$44)+(K156*'Pawn Weights'!$K$45)+(L156*'Pawn Weights'!$K$46)+(M156*'Pawn Weights'!$K$47)+(N156*'Pawn Weights'!$K$48)+(O156*'Pawn Weights'!$K$49)+(P156*'Pawn Weights'!$K$50)+(Q156*'Pawn Weights'!$K$51), 2)</f>
        <v>120</v>
      </c>
      <c r="E156" s="280"/>
      <c r="F156" s="280"/>
      <c r="G156" s="280"/>
      <c r="H156" s="280">
        <v>120.0</v>
      </c>
      <c r="I156" s="280"/>
      <c r="J156" s="280"/>
      <c r="K156" s="280"/>
      <c r="L156" s="280"/>
      <c r="M156" s="280"/>
      <c r="N156" s="280"/>
      <c r="O156" s="280"/>
      <c r="P156" s="280"/>
      <c r="Q156" s="280"/>
      <c r="R156" s="290"/>
      <c r="S156" s="281"/>
      <c r="T156" s="290" t="s">
        <v>961</v>
      </c>
      <c r="U156" s="281"/>
      <c r="V156" s="281"/>
      <c r="W156" s="281"/>
      <c r="X156" s="281"/>
    </row>
    <row r="157">
      <c r="A157" s="281"/>
      <c r="B157" s="288" t="s">
        <v>962</v>
      </c>
      <c r="C157" s="280" t="s">
        <v>963</v>
      </c>
      <c r="D157" s="289">
        <f>ROUND((F157*'Pawn Weights'!$K$40)+(G157*'Pawn Weights'!$K$41)+(H157*'Pawn Weights'!$K$42)+(I157*'Pawn Weights'!$K$43)+(J157*'Pawn Weights'!$K$44)+(K157*'Pawn Weights'!$K$45)+(L157*'Pawn Weights'!$K$46)+(M157*'Pawn Weights'!$K$47)+(N157*'Pawn Weights'!$K$48)+(O157*'Pawn Weights'!$K$49)+(P157*'Pawn Weights'!$K$50)+(Q157*'Pawn Weights'!$K$51), 2)</f>
        <v>118</v>
      </c>
      <c r="E157" s="280"/>
      <c r="F157" s="280"/>
      <c r="G157" s="280"/>
      <c r="H157" s="280">
        <v>118.0</v>
      </c>
      <c r="I157" s="280"/>
      <c r="J157" s="280"/>
      <c r="K157" s="280"/>
      <c r="L157" s="280"/>
      <c r="M157" s="280"/>
      <c r="N157" s="280"/>
      <c r="O157" s="280"/>
      <c r="P157" s="280"/>
      <c r="Q157" s="280"/>
      <c r="R157" s="290"/>
      <c r="S157" s="281"/>
      <c r="T157" s="290" t="s">
        <v>964</v>
      </c>
      <c r="U157" s="281"/>
      <c r="V157" s="281"/>
      <c r="W157" s="281"/>
      <c r="X157" s="281"/>
    </row>
    <row r="158">
      <c r="A158" s="224" t="s">
        <v>972</v>
      </c>
      <c r="B158" s="281"/>
      <c r="C158" s="281"/>
      <c r="D158" s="301"/>
      <c r="E158" s="281"/>
      <c r="F158" s="281"/>
      <c r="G158" s="281"/>
      <c r="H158" s="281"/>
      <c r="I158" s="281"/>
      <c r="J158" s="281"/>
      <c r="K158" s="281"/>
      <c r="L158" s="281"/>
      <c r="M158" s="281"/>
      <c r="N158" s="281"/>
      <c r="O158" s="281"/>
      <c r="P158" s="281"/>
      <c r="Q158" s="281"/>
      <c r="R158" s="282"/>
      <c r="S158" s="281"/>
      <c r="T158" s="282"/>
      <c r="U158" s="281"/>
      <c r="V158" s="281"/>
      <c r="W158" s="281"/>
    </row>
    <row r="159">
      <c r="A159" s="295" t="s">
        <v>973</v>
      </c>
      <c r="B159" s="384" t="s">
        <v>974</v>
      </c>
      <c r="C159" s="361" t="s">
        <v>621</v>
      </c>
      <c r="D159" s="289">
        <f>ROUND((F159*'Pawn Weights'!$K$40)+(G159*'Pawn Weights'!$K$41)+(H159*'Pawn Weights'!$K$42)+(I159*'Pawn Weights'!$K$43)+(J159*'Pawn Weights'!$K$44)+(K159*'Pawn Weights'!$K$45)+(L159*'Pawn Weights'!$K$46)+(M159*'Pawn Weights'!$K$47)+(N159*'Pawn Weights'!$K$48)+(O159*'Pawn Weights'!$K$49)+(P159*'Pawn Weights'!$K$50)+(Q159*'Pawn Weights'!$K$51), 2)</f>
        <v>146.55</v>
      </c>
      <c r="E159" s="361"/>
      <c r="F159" s="361"/>
      <c r="G159" s="359">
        <v>17.0</v>
      </c>
      <c r="H159" s="359">
        <v>34.0</v>
      </c>
      <c r="I159" s="359">
        <v>16.0</v>
      </c>
      <c r="J159" s="361"/>
      <c r="K159" s="137"/>
      <c r="L159" s="137"/>
      <c r="M159" s="359">
        <v>112.0</v>
      </c>
      <c r="N159" s="137"/>
      <c r="O159" s="361"/>
      <c r="P159" s="137"/>
      <c r="Q159" s="137"/>
      <c r="R159" s="137"/>
      <c r="S159" s="137"/>
      <c r="T159" s="385"/>
      <c r="U159" s="137"/>
      <c r="V159" s="137"/>
      <c r="W159" s="137"/>
      <c r="X159" s="137"/>
      <c r="Y159" s="137"/>
      <c r="Z159" s="137"/>
    </row>
    <row r="160">
      <c r="A160" s="295"/>
      <c r="B160" s="341" t="s">
        <v>975</v>
      </c>
      <c r="C160" s="361" t="s">
        <v>669</v>
      </c>
      <c r="D160" s="289">
        <f>ROUND((F160*'Pawn Weights'!$K$40)+(G160*'Pawn Weights'!$K$41)+(H160*'Pawn Weights'!$K$42)+(I160*'Pawn Weights'!$K$43)+(J160*'Pawn Weights'!$K$44)+(K160*'Pawn Weights'!$K$45)+(L160*'Pawn Weights'!$K$46)+(M160*'Pawn Weights'!$K$47)+(N160*'Pawn Weights'!$K$48)+(O160*'Pawn Weights'!$K$49)+(P160*'Pawn Weights'!$K$50)+(Q160*'Pawn Weights'!$K$51), 2)</f>
        <v>142.08</v>
      </c>
      <c r="E160" s="361"/>
      <c r="F160" s="361"/>
      <c r="G160" s="359">
        <v>18.0</v>
      </c>
      <c r="H160" s="359">
        <v>34.0</v>
      </c>
      <c r="I160" s="361"/>
      <c r="J160" s="361"/>
      <c r="K160" s="137"/>
      <c r="L160" s="137"/>
      <c r="M160" s="359">
        <v>175.0</v>
      </c>
      <c r="N160" s="137"/>
      <c r="O160" s="361"/>
      <c r="P160" s="137"/>
      <c r="Q160" s="137"/>
      <c r="R160" s="137"/>
      <c r="S160" s="137"/>
      <c r="T160" s="385"/>
      <c r="U160" s="137"/>
      <c r="V160" s="137"/>
      <c r="W160" s="137"/>
      <c r="X160" s="137"/>
      <c r="Y160" s="137"/>
      <c r="Z160" s="137"/>
    </row>
    <row r="161">
      <c r="A161" s="137"/>
      <c r="B161" s="296" t="s">
        <v>979</v>
      </c>
      <c r="C161" s="297" t="s">
        <v>980</v>
      </c>
      <c r="D161" s="289">
        <f>ROUND((F161*'Pawn Weights'!$K$40)+(G161*'Pawn Weights'!$K$41)+(H161*'Pawn Weights'!$K$42)+(I161*'Pawn Weights'!$K$43)+(J161*'Pawn Weights'!$K$44)+(K161*'Pawn Weights'!$K$45)+(L161*'Pawn Weights'!$K$46)+(M161*'Pawn Weights'!$K$47)+(N161*'Pawn Weights'!$K$48)+(O161*'Pawn Weights'!$K$49)+(P161*'Pawn Weights'!$K$50)+(Q161*'Pawn Weights'!$K$51), 2)</f>
        <v>104.5</v>
      </c>
      <c r="E161" s="295"/>
      <c r="F161" s="295"/>
      <c r="G161" s="295"/>
      <c r="H161" s="298">
        <v>32.0</v>
      </c>
      <c r="I161" s="298">
        <v>18.0</v>
      </c>
      <c r="J161" s="298">
        <v>14.0</v>
      </c>
      <c r="K161" s="137"/>
      <c r="L161" s="137"/>
      <c r="M161" s="137"/>
      <c r="N161" s="137"/>
      <c r="O161" s="295"/>
      <c r="P161" s="137"/>
      <c r="Q161" s="137"/>
      <c r="R161" s="295"/>
      <c r="S161" s="137"/>
      <c r="T161" s="367"/>
      <c r="U161" s="137"/>
      <c r="V161" s="137"/>
      <c r="W161" s="137"/>
      <c r="X161" s="137"/>
      <c r="Y161" s="137"/>
      <c r="Z161" s="137"/>
    </row>
    <row r="162">
      <c r="A162" s="281"/>
      <c r="B162" s="288" t="s">
        <v>977</v>
      </c>
      <c r="C162" s="280" t="s">
        <v>978</v>
      </c>
      <c r="D162" s="289">
        <f>ROUND((F162*'Pawn Weights'!$K$40)+(G162*'Pawn Weights'!$K$41)+(H162*'Pawn Weights'!$K$42)+(I162*'Pawn Weights'!$K$43)+(J162*'Pawn Weights'!$K$44)+(K162*'Pawn Weights'!$K$45)+(L162*'Pawn Weights'!$K$46)+(M162*'Pawn Weights'!$K$47)+(N162*'Pawn Weights'!$K$48)+(O162*'Pawn Weights'!$K$49)+(P162*'Pawn Weights'!$K$50)+(Q162*'Pawn Weights'!$K$51), 2)</f>
        <v>98.94</v>
      </c>
      <c r="E162" s="280">
        <v>19.0</v>
      </c>
      <c r="F162" s="280"/>
      <c r="G162" s="280"/>
      <c r="H162" s="280">
        <v>36.0</v>
      </c>
      <c r="I162" s="280"/>
      <c r="J162" s="280"/>
      <c r="K162" s="280">
        <v>16.0</v>
      </c>
      <c r="L162" s="280"/>
      <c r="M162" s="281"/>
      <c r="N162" s="280"/>
      <c r="O162" s="280"/>
      <c r="P162" s="280">
        <v>1.0</v>
      </c>
      <c r="Q162" s="280"/>
      <c r="R162" s="290" t="s">
        <v>660</v>
      </c>
      <c r="S162" s="281"/>
      <c r="T162" s="291"/>
      <c r="U162" s="281"/>
      <c r="V162" s="281"/>
      <c r="W162" s="281"/>
    </row>
    <row r="163">
      <c r="A163" s="137"/>
      <c r="B163" s="296" t="s">
        <v>1123</v>
      </c>
      <c r="C163" s="297" t="s">
        <v>1025</v>
      </c>
      <c r="D163" s="289">
        <f>ROUND((F163*'Pawn Weights'!$K$40)+(G163*'Pawn Weights'!$K$41)+(H163*'Pawn Weights'!$K$42)+(I163*'Pawn Weights'!$K$43)+(J163*'Pawn Weights'!$K$44)+(K163*'Pawn Weights'!$K$45)+(L163*'Pawn Weights'!$K$46)+(M163*'Pawn Weights'!$K$47)+(N163*'Pawn Weights'!$K$48)+(O163*'Pawn Weights'!$K$49)+(P163*'Pawn Weights'!$K$50)+(Q163*'Pawn Weights'!$K$51), 2)</f>
        <v>97.69</v>
      </c>
      <c r="E163" s="297"/>
      <c r="F163" s="297"/>
      <c r="G163" s="298">
        <v>20.0</v>
      </c>
      <c r="H163" s="297"/>
      <c r="I163" s="297"/>
      <c r="J163" s="298">
        <v>19.0</v>
      </c>
      <c r="K163" s="295"/>
      <c r="L163" s="295"/>
      <c r="M163" s="137"/>
      <c r="N163" s="295"/>
      <c r="O163" s="297"/>
      <c r="P163" s="295"/>
      <c r="Q163" s="295"/>
      <c r="R163" s="295"/>
      <c r="S163" s="137"/>
      <c r="T163" s="298"/>
      <c r="U163" s="137"/>
      <c r="V163" s="137"/>
      <c r="W163" s="137"/>
      <c r="X163" s="137"/>
      <c r="Y163" s="137"/>
      <c r="Z163" s="137"/>
    </row>
    <row r="164">
      <c r="A164" s="137"/>
      <c r="B164" s="296" t="s">
        <v>981</v>
      </c>
      <c r="C164" s="297" t="s">
        <v>982</v>
      </c>
      <c r="D164" s="289">
        <f>ROUND((F164*'Pawn Weights'!$K$40)+(G164*'Pawn Weights'!$K$41)+(H164*'Pawn Weights'!$K$42)+(I164*'Pawn Weights'!$K$43)+(J164*'Pawn Weights'!$K$44)+(K164*'Pawn Weights'!$K$45)+(L164*'Pawn Weights'!$K$46)+(M164*'Pawn Weights'!$K$47)+(N164*'Pawn Weights'!$K$48)+(O164*'Pawn Weights'!$K$49)+(P164*'Pawn Weights'!$K$50)+(Q164*'Pawn Weights'!$K$51)-54.2+50.2+5.76, 2)</f>
        <v>92.92</v>
      </c>
      <c r="E164" s="297"/>
      <c r="F164" s="297"/>
      <c r="G164" s="298">
        <v>16.0</v>
      </c>
      <c r="H164" s="297"/>
      <c r="I164" s="297"/>
      <c r="J164" s="297"/>
      <c r="K164" s="137"/>
      <c r="L164" s="137"/>
      <c r="M164" s="137"/>
      <c r="N164" s="137"/>
      <c r="O164" s="298">
        <v>2.0</v>
      </c>
      <c r="P164" s="137"/>
      <c r="Q164" s="137"/>
      <c r="R164" s="298" t="s">
        <v>702</v>
      </c>
      <c r="S164" s="137"/>
      <c r="T164" s="298"/>
      <c r="U164" s="137"/>
      <c r="V164" s="137"/>
      <c r="W164" s="137"/>
      <c r="X164" s="137"/>
      <c r="Y164" s="137"/>
      <c r="Z164" s="137"/>
    </row>
    <row r="165">
      <c r="A165" s="137"/>
      <c r="B165" s="296" t="s">
        <v>976</v>
      </c>
      <c r="C165" s="297" t="s">
        <v>947</v>
      </c>
      <c r="D165" s="289">
        <f>ROUND((F165*'Pawn Weights'!$K$40)+(G165*'Pawn Weights'!$K$41)+(H165*'Pawn Weights'!$K$42)+(I165*'Pawn Weights'!$K$43)+(J165*'Pawn Weights'!$K$44)+(K165*'Pawn Weights'!$K$45)+(L165*'Pawn Weights'!$K$46)+(M165*'Pawn Weights'!$K$47)+(N165*'Pawn Weights'!$K$48)+(O165*'Pawn Weights'!$K$49)+(P165*'Pawn Weights'!$K$50)+(Q165*'Pawn Weights'!$K$51), 2)</f>
        <v>85.88</v>
      </c>
      <c r="E165" s="297"/>
      <c r="F165" s="297"/>
      <c r="G165" s="297"/>
      <c r="H165" s="298">
        <v>38.0</v>
      </c>
      <c r="I165" s="297"/>
      <c r="J165" s="297"/>
      <c r="K165" s="137"/>
      <c r="L165" s="137"/>
      <c r="M165" s="359">
        <v>126.0</v>
      </c>
      <c r="N165" s="137"/>
      <c r="O165" s="297"/>
      <c r="P165" s="137"/>
      <c r="Q165" s="137"/>
      <c r="R165" s="295"/>
      <c r="S165" s="137"/>
      <c r="T165" s="298"/>
      <c r="U165" s="137"/>
      <c r="V165" s="137"/>
      <c r="W165" s="137"/>
      <c r="X165" s="137"/>
      <c r="Y165" s="137"/>
      <c r="Z165" s="137"/>
    </row>
    <row r="166">
      <c r="A166" s="137"/>
      <c r="B166" s="296" t="s">
        <v>989</v>
      </c>
      <c r="C166" s="297" t="s">
        <v>990</v>
      </c>
      <c r="D166" s="289">
        <f>ROUND((F166*'Pawn Weights'!$K$40)+(G166*'Pawn Weights'!$K$41)+(H166*'Pawn Weights'!$K$42)+(I166*'Pawn Weights'!$K$43)+(J166*'Pawn Weights'!$K$44)+(K166*'Pawn Weights'!$K$45)+(L166*'Pawn Weights'!$K$46)+(M166*'Pawn Weights'!$K$47)+(N166*'Pawn Weights'!$K$48)+(O166*'Pawn Weights'!$K$49)+(P166*'Pawn Weights'!$K$50)+(Q166*'Pawn Weights'!$K$51), 2)</f>
        <v>80.74</v>
      </c>
      <c r="E166" s="295"/>
      <c r="F166" s="295"/>
      <c r="G166" s="298">
        <v>14.0</v>
      </c>
      <c r="H166" s="298">
        <v>26.0</v>
      </c>
      <c r="I166" s="295"/>
      <c r="J166" s="295"/>
      <c r="K166" s="359">
        <v>10.0</v>
      </c>
      <c r="L166" s="137"/>
      <c r="M166" s="137"/>
      <c r="N166" s="137"/>
      <c r="O166" s="295"/>
      <c r="P166" s="137"/>
      <c r="Q166" s="137"/>
      <c r="R166" s="295"/>
      <c r="S166" s="137"/>
      <c r="T166" s="295"/>
      <c r="U166" s="137"/>
      <c r="V166" s="137"/>
      <c r="W166" s="137"/>
      <c r="X166" s="137"/>
      <c r="Y166" s="137"/>
      <c r="Z166" s="137"/>
    </row>
    <row r="167">
      <c r="A167" s="137"/>
      <c r="B167" s="296" t="s">
        <v>983</v>
      </c>
      <c r="C167" s="297" t="s">
        <v>984</v>
      </c>
      <c r="D167" s="289">
        <f>ROUND((F167*'Pawn Weights'!$K$40)+(G167*'Pawn Weights'!$K$41)+(H167*'Pawn Weights'!$K$42)+(I167*'Pawn Weights'!$K$43)+(J167*'Pawn Weights'!$K$44)+(K167*'Pawn Weights'!$K$45)+(L167*'Pawn Weights'!$K$46)+(M167*'Pawn Weights'!$K$47)+(N167*'Pawn Weights'!$K$48)+(O167*'Pawn Weights'!$K$49)+(P167*'Pawn Weights'!$K$50)+(Q167*'Pawn Weights'!$K$51), 2)</f>
        <v>78.32</v>
      </c>
      <c r="E167" s="297"/>
      <c r="F167" s="297"/>
      <c r="G167" s="297"/>
      <c r="H167" s="298">
        <v>38.0</v>
      </c>
      <c r="I167" s="297"/>
      <c r="J167" s="297"/>
      <c r="K167" s="359">
        <v>18.0</v>
      </c>
      <c r="L167" s="137"/>
      <c r="M167" s="137"/>
      <c r="N167" s="137"/>
      <c r="O167" s="297"/>
      <c r="P167" s="137"/>
      <c r="Q167" s="137"/>
      <c r="R167" s="295"/>
      <c r="S167" s="137"/>
      <c r="T167" s="298"/>
      <c r="U167" s="137"/>
      <c r="V167" s="137"/>
      <c r="W167" s="137"/>
      <c r="X167" s="137"/>
      <c r="Y167" s="137"/>
      <c r="Z167" s="137"/>
    </row>
    <row r="168">
      <c r="A168" s="375"/>
      <c r="B168" s="296" t="s">
        <v>988</v>
      </c>
      <c r="C168" s="297" t="s">
        <v>727</v>
      </c>
      <c r="D168" s="289">
        <f>ROUND((F168*'Pawn Weights'!$K$40)+(G168*'Pawn Weights'!$K$41)+(H168*'Pawn Weights'!$K$42)+(I168*'Pawn Weights'!$K$43)+(J168*'Pawn Weights'!$K$44)+(K168*'Pawn Weights'!$K$45)+(L168*'Pawn Weights'!$K$46)+(M168*'Pawn Weights'!$K$47)+(N168*'Pawn Weights'!$K$48)+(O168*'Pawn Weights'!$K$49)+(P168*'Pawn Weights'!$K$50)+(Q168*'Pawn Weights'!$K$51), 2)</f>
        <v>83.85</v>
      </c>
      <c r="E168" s="297"/>
      <c r="F168" s="297"/>
      <c r="G168" s="298">
        <v>23.0</v>
      </c>
      <c r="H168" s="297"/>
      <c r="I168" s="298">
        <v>16.0</v>
      </c>
      <c r="J168" s="297"/>
      <c r="K168" s="137"/>
      <c r="L168" s="137"/>
      <c r="M168" s="137"/>
      <c r="N168" s="137"/>
      <c r="O168" s="297"/>
      <c r="P168" s="137"/>
      <c r="Q168" s="137"/>
      <c r="R168" s="295"/>
      <c r="S168" s="137"/>
      <c r="T168" s="298"/>
      <c r="U168" s="137"/>
      <c r="V168" s="137"/>
      <c r="W168" s="137"/>
      <c r="X168" s="137"/>
      <c r="Y168" s="137"/>
      <c r="Z168" s="137"/>
    </row>
    <row r="169">
      <c r="A169" s="137"/>
      <c r="B169" s="296" t="s">
        <v>994</v>
      </c>
      <c r="C169" s="297" t="s">
        <v>656</v>
      </c>
      <c r="D169" s="289">
        <f>ROUND((F169*'Pawn Weights'!$K$40)+(G169*'Pawn Weights'!$K$41)+(H169*'Pawn Weights'!$K$42)+(I169*'Pawn Weights'!$K$43)+(J169*'Pawn Weights'!$K$44)+(K169*'Pawn Weights'!$K$45)+(L169*'Pawn Weights'!$K$46)+(M169*'Pawn Weights'!$K$47)+(N169*'Pawn Weights'!$K$48)+(O169*'Pawn Weights'!$K$49)+(P169*'Pawn Weights'!$K$50)+(Q169*'Pawn Weights'!$K$51), 2)</f>
        <v>77.89</v>
      </c>
      <c r="E169" s="297"/>
      <c r="F169" s="297"/>
      <c r="G169" s="298">
        <v>19.0</v>
      </c>
      <c r="H169" s="298">
        <v>34.0</v>
      </c>
      <c r="I169" s="297"/>
      <c r="J169" s="297"/>
      <c r="K169" s="137"/>
      <c r="L169" s="137"/>
      <c r="M169" s="137"/>
      <c r="N169" s="137"/>
      <c r="O169" s="295"/>
      <c r="P169" s="137"/>
      <c r="Q169" s="137"/>
      <c r="R169" s="295"/>
      <c r="S169" s="137"/>
      <c r="T169" s="298"/>
      <c r="U169" s="137"/>
      <c r="V169" s="137"/>
      <c r="W169" s="137"/>
      <c r="X169" s="137"/>
      <c r="Y169" s="137"/>
      <c r="Z169" s="137"/>
    </row>
    <row r="170">
      <c r="A170" s="137"/>
      <c r="B170" s="296" t="s">
        <v>1251</v>
      </c>
      <c r="C170" s="297" t="s">
        <v>1252</v>
      </c>
      <c r="D170" s="289">
        <f>ROUND((F170*'Pawn Weights'!$K$40)+(G170*'Pawn Weights'!$K$41)+(H170*'Pawn Weights'!$K$42)+(I170*'Pawn Weights'!$K$43)+(J170*'Pawn Weights'!$K$44)+(K170*'Pawn Weights'!$K$45)+(L170*'Pawn Weights'!$K$46)+(M170*'Pawn Weights'!$K$47)+(N170*'Pawn Weights'!$K$48)+(O170*'Pawn Weights'!$K$49)+(P170*'Pawn Weights'!$K$50)+(Q170*'Pawn Weights'!$K$51), 2)</f>
        <v>79.53</v>
      </c>
      <c r="E170" s="297"/>
      <c r="F170" s="297"/>
      <c r="G170" s="298">
        <v>12.0</v>
      </c>
      <c r="H170" s="298">
        <v>22.0</v>
      </c>
      <c r="I170" s="295"/>
      <c r="J170" s="298">
        <v>11.0</v>
      </c>
      <c r="K170" s="295"/>
      <c r="L170" s="295"/>
      <c r="M170" s="137"/>
      <c r="N170" s="295"/>
      <c r="O170" s="295"/>
      <c r="P170" s="295"/>
      <c r="Q170" s="295"/>
      <c r="R170" s="295"/>
      <c r="S170" s="137"/>
      <c r="T170" s="298"/>
      <c r="U170" s="137"/>
      <c r="V170" s="137"/>
      <c r="W170" s="137"/>
      <c r="X170" s="137"/>
      <c r="Y170" s="137"/>
      <c r="Z170" s="137"/>
    </row>
    <row r="171">
      <c r="A171" s="137"/>
      <c r="B171" s="296" t="s">
        <v>1253</v>
      </c>
      <c r="C171" s="297" t="s">
        <v>1078</v>
      </c>
      <c r="D171" s="289">
        <f>ROUND((F171*'Pawn Weights'!$K$40)+(G171*'Pawn Weights'!$K$41)+(H171*'Pawn Weights'!$K$42)+(I171*'Pawn Weights'!$K$43)+(J171*'Pawn Weights'!$K$44)+(K171*'Pawn Weights'!$K$45)+(L171*'Pawn Weights'!$K$46)+(M171*'Pawn Weights'!$K$47)+(N171*'Pawn Weights'!$K$48)+(O171*'Pawn Weights'!$K$49)+(P171*'Pawn Weights'!$K$50)+(Q171*'Pawn Weights'!$K$51), 2)</f>
        <v>73.36</v>
      </c>
      <c r="E171" s="297"/>
      <c r="F171" s="297"/>
      <c r="G171" s="297"/>
      <c r="H171" s="316">
        <v>30.0</v>
      </c>
      <c r="I171" s="297"/>
      <c r="J171" s="298">
        <v>16.0</v>
      </c>
      <c r="K171" s="295"/>
      <c r="L171" s="295"/>
      <c r="M171" s="137"/>
      <c r="N171" s="295"/>
      <c r="O171" s="295"/>
      <c r="P171" s="295"/>
      <c r="Q171" s="295"/>
      <c r="R171" s="295"/>
      <c r="S171" s="137"/>
      <c r="T171" s="298"/>
      <c r="U171" s="137"/>
      <c r="V171" s="137"/>
      <c r="W171" s="137"/>
      <c r="X171" s="137"/>
      <c r="Y171" s="137"/>
      <c r="Z171" s="137"/>
    </row>
    <row r="172">
      <c r="A172" s="137"/>
      <c r="B172" s="296" t="s">
        <v>987</v>
      </c>
      <c r="C172" s="297" t="s">
        <v>649</v>
      </c>
      <c r="D172" s="289">
        <f>ROUND((F172*'Pawn Weights'!$K$40)+(G172*'Pawn Weights'!$K$41)+(H172*'Pawn Weights'!$K$42)+(I172*'Pawn Weights'!$K$43)+(J172*'Pawn Weights'!$K$44)+(K172*'Pawn Weights'!$K$45)+(L172*'Pawn Weights'!$K$46)+(M172*'Pawn Weights'!$K$47)+(N172*'Pawn Weights'!$K$48)+(O172*'Pawn Weights'!$K$49)+(P172*'Pawn Weights'!$K$50)+(Q172*'Pawn Weights'!$K$51), 2)</f>
        <v>68.72</v>
      </c>
      <c r="E172" s="298">
        <v>17.0</v>
      </c>
      <c r="F172" s="297"/>
      <c r="G172" s="297"/>
      <c r="H172" s="298">
        <v>38.0</v>
      </c>
      <c r="I172" s="298">
        <v>16.0</v>
      </c>
      <c r="J172" s="297"/>
      <c r="K172" s="137"/>
      <c r="L172" s="137"/>
      <c r="M172" s="137"/>
      <c r="N172" s="137"/>
      <c r="O172" s="297"/>
      <c r="P172" s="137"/>
      <c r="Q172" s="137"/>
      <c r="R172" s="295"/>
      <c r="S172" s="137"/>
      <c r="T172" s="298"/>
      <c r="U172" s="137"/>
      <c r="V172" s="137"/>
      <c r="W172" s="137"/>
      <c r="X172" s="137"/>
      <c r="Y172" s="137"/>
      <c r="Z172" s="137"/>
    </row>
    <row r="173">
      <c r="A173" s="219" t="s">
        <v>671</v>
      </c>
      <c r="B173" s="296" t="s">
        <v>985</v>
      </c>
      <c r="C173" s="297" t="s">
        <v>637</v>
      </c>
      <c r="D173" s="289">
        <f>ROUND((F173*'Pawn Weights'!$K$40)+(G173*'Pawn Weights'!$K$41)+(H173*'Pawn Weights'!$K$42)+(I173*'Pawn Weights'!$K$43)+(J173*'Pawn Weights'!$K$44)+(K173*'Pawn Weights'!$K$45)+(L173*'Pawn Weights'!$K$46)+(M173*'Pawn Weights'!$K$47)+(N173*'Pawn Weights'!$K$48)+(O173*'Pawn Weights'!$K$49)+(P173*'Pawn Weights'!$K$50)+(Q173*'Pawn Weights'!$K$51), 2)</f>
        <v>68.56</v>
      </c>
      <c r="E173" s="298">
        <v>27.0</v>
      </c>
      <c r="F173" s="295"/>
      <c r="G173" s="295"/>
      <c r="H173" s="298">
        <v>34.0</v>
      </c>
      <c r="I173" s="298">
        <v>18.0</v>
      </c>
      <c r="J173" s="295"/>
      <c r="K173" s="295"/>
      <c r="L173" s="295"/>
      <c r="M173" s="137"/>
      <c r="N173" s="295"/>
      <c r="O173" s="295"/>
      <c r="P173" s="295"/>
      <c r="Q173" s="295"/>
      <c r="R173" s="295"/>
      <c r="S173" s="137"/>
      <c r="T173" s="297" t="s">
        <v>986</v>
      </c>
      <c r="U173" s="137"/>
      <c r="V173" s="137"/>
      <c r="W173" s="137"/>
      <c r="X173" s="137"/>
      <c r="Y173" s="137"/>
      <c r="Z173" s="137"/>
    </row>
    <row r="174">
      <c r="A174" s="295"/>
      <c r="B174" s="383" t="s">
        <v>1000</v>
      </c>
      <c r="C174" s="297" t="s">
        <v>1001</v>
      </c>
      <c r="D174" s="289">
        <f>ROUND((F174*'Pawn Weights'!$K$40)+(G174*'Pawn Weights'!$K$41)+(H174*'Pawn Weights'!$K$42)+(I174*'Pawn Weights'!$K$43)+(J174*'Pawn Weights'!$K$44)+(K174*'Pawn Weights'!$K$45)+(L174*'Pawn Weights'!$K$46)+(M174*'Pawn Weights'!$K$47)+(N174*'Pawn Weights'!$K$48)+(O174*'Pawn Weights'!$K$49)+(P174*'Pawn Weights'!$K$50)+(Q174*'Pawn Weights'!$K$51), 2)</f>
        <v>56.4</v>
      </c>
      <c r="E174" s="298">
        <v>16.0</v>
      </c>
      <c r="F174" s="297"/>
      <c r="G174" s="297"/>
      <c r="H174" s="297"/>
      <c r="I174" s="297"/>
      <c r="J174" s="298">
        <v>10.0</v>
      </c>
      <c r="K174" s="297"/>
      <c r="L174" s="298">
        <v>10.0</v>
      </c>
      <c r="M174" s="361"/>
      <c r="N174" s="297"/>
      <c r="O174" s="297"/>
      <c r="P174" s="297"/>
      <c r="Q174" s="297"/>
      <c r="R174" s="295"/>
      <c r="S174" s="137"/>
      <c r="T174" s="297" t="s">
        <v>971</v>
      </c>
      <c r="U174" s="137"/>
      <c r="V174" s="137"/>
      <c r="W174" s="137"/>
      <c r="X174" s="137"/>
      <c r="Y174" s="137"/>
      <c r="Z174" s="137"/>
    </row>
    <row r="175">
      <c r="A175" s="224" t="s">
        <v>1002</v>
      </c>
      <c r="B175" s="323" t="s">
        <v>604</v>
      </c>
      <c r="C175" s="323" t="s">
        <v>605</v>
      </c>
      <c r="D175" s="386" t="s">
        <v>606</v>
      </c>
      <c r="E175" s="224" t="s">
        <v>1003</v>
      </c>
      <c r="F175" s="224" t="s">
        <v>1004</v>
      </c>
      <c r="G175" s="224" t="s">
        <v>561</v>
      </c>
      <c r="H175" s="224" t="s">
        <v>562</v>
      </c>
      <c r="I175" s="224" t="s">
        <v>330</v>
      </c>
      <c r="J175" s="224" t="s">
        <v>563</v>
      </c>
      <c r="K175" s="272" t="s">
        <v>344</v>
      </c>
      <c r="L175" s="224" t="s">
        <v>607</v>
      </c>
      <c r="M175" s="224" t="s">
        <v>564</v>
      </c>
      <c r="N175" s="224" t="s">
        <v>1006</v>
      </c>
      <c r="O175" s="274" t="s">
        <v>610</v>
      </c>
      <c r="P175" s="275" t="s">
        <v>611</v>
      </c>
      <c r="Q175" s="276" t="s">
        <v>612</v>
      </c>
      <c r="R175" s="277" t="s">
        <v>613</v>
      </c>
      <c r="S175" s="323" t="s">
        <v>356</v>
      </c>
      <c r="T175" s="277" t="s">
        <v>615</v>
      </c>
      <c r="U175" s="324"/>
      <c r="V175" s="324"/>
      <c r="W175" s="366" t="s">
        <v>1254</v>
      </c>
    </row>
    <row r="176">
      <c r="A176" s="292"/>
      <c r="B176" s="376" t="s">
        <v>1255</v>
      </c>
      <c r="C176" s="326"/>
      <c r="D176" s="387"/>
      <c r="E176" s="326"/>
      <c r="F176" s="326"/>
      <c r="G176" s="154"/>
      <c r="H176" s="326"/>
      <c r="I176" s="326"/>
      <c r="J176" s="326"/>
      <c r="K176" s="326"/>
      <c r="L176" s="326"/>
      <c r="M176" s="326"/>
      <c r="N176" s="326"/>
      <c r="O176" s="326"/>
      <c r="P176" s="326"/>
      <c r="Q176" s="326"/>
      <c r="R176" s="327"/>
      <c r="S176" s="326"/>
      <c r="T176" s="327"/>
      <c r="U176" s="326"/>
      <c r="V176" s="326"/>
      <c r="W176" s="329"/>
    </row>
    <row r="177">
      <c r="A177" s="295" t="s">
        <v>973</v>
      </c>
      <c r="B177" s="364" t="s">
        <v>1009</v>
      </c>
      <c r="C177" s="330" t="s">
        <v>632</v>
      </c>
      <c r="D177" s="315">
        <f>ROUND((E177*'Pawn Weights'!$K$52)+(G177*'Pawn Weights'!$K$41)+(H177*'Pawn Weights'!$K$42)+(I177*'Pawn Weights'!$K$43)+(J177*'Pawn Weights'!$K$46)+(K177*'Pawn Weights'!$K$44)+(M177*'Pawn Weights'!$K$47)+(N177*'Pawn Weights'!$K$40)+(O177*'Pawn Weights'!$K$49)+(P177*'Pawn Weights'!$K$50)+(Q177*'Pawn Weights'!$K$51)+(F177*'Pawn Weights'!$K$53), 2)</f>
        <v>1110.13</v>
      </c>
      <c r="E177" s="332">
        <v>109.3</v>
      </c>
      <c r="F177" s="332">
        <v>2.8</v>
      </c>
      <c r="G177" s="332">
        <v>22.0</v>
      </c>
      <c r="H177" s="332">
        <v>44.0</v>
      </c>
      <c r="I177" s="330"/>
      <c r="J177" s="330"/>
      <c r="K177" s="332">
        <v>21.0</v>
      </c>
      <c r="L177" s="332">
        <v>29.0</v>
      </c>
      <c r="M177" s="330"/>
      <c r="N177" s="330"/>
      <c r="O177" s="330"/>
      <c r="P177" s="330"/>
      <c r="Q177" s="330"/>
      <c r="R177" s="295"/>
      <c r="S177" s="330"/>
      <c r="T177" s="298" t="s">
        <v>1010</v>
      </c>
      <c r="U177" s="330"/>
      <c r="V177" s="330"/>
      <c r="W177" s="137"/>
      <c r="X177" s="137"/>
      <c r="Y177" s="137"/>
      <c r="Z177" s="137"/>
    </row>
    <row r="178">
      <c r="A178" s="295"/>
      <c r="B178" s="296" t="s">
        <v>1012</v>
      </c>
      <c r="C178" s="330" t="s">
        <v>744</v>
      </c>
      <c r="D178" s="388">
        <f>ROUND((E178*'Pawn Weights'!$K$52)+(G178*'Pawn Weights'!$K$41)+(H178*'Pawn Weights'!$K$42)+(I178*'Pawn Weights'!$K$43)+(J178*'Pawn Weights'!$K$46)+(K178*'Pawn Weights'!$K$44)+(M178*'Pawn Weights'!$K$47)+(N178*'Pawn Weights'!$K$40)+(O178*'Pawn Weights'!$K$49)+(P178*'Pawn Weights'!$K$50)+(Q178*'Pawn Weights'!$K$51)+(F178*'Pawn Weights'!$K$53), 2)</f>
        <v>1085.86</v>
      </c>
      <c r="E178" s="332">
        <v>107.9</v>
      </c>
      <c r="F178" s="332">
        <v>2.6</v>
      </c>
      <c r="G178" s="330"/>
      <c r="H178" s="330"/>
      <c r="I178" s="330"/>
      <c r="J178" s="332">
        <v>17.0</v>
      </c>
      <c r="K178" s="332">
        <v>35.0</v>
      </c>
      <c r="L178" s="332">
        <v>27.0</v>
      </c>
      <c r="M178" s="330"/>
      <c r="N178" s="330"/>
      <c r="O178" s="330"/>
      <c r="P178" s="330"/>
      <c r="Q178" s="330"/>
      <c r="R178" s="295"/>
      <c r="S178" s="332">
        <v>35.0</v>
      </c>
      <c r="T178" s="295"/>
      <c r="U178" s="330"/>
      <c r="V178" s="330"/>
      <c r="W178" s="137"/>
      <c r="X178" s="137"/>
      <c r="Y178" s="137"/>
      <c r="Z178" s="137"/>
    </row>
    <row r="179">
      <c r="A179" s="137"/>
      <c r="B179" s="296" t="s">
        <v>1011</v>
      </c>
      <c r="C179" s="330" t="s">
        <v>637</v>
      </c>
      <c r="D179" s="315">
        <f>ROUND((E179*'Pawn Weights'!$K$52)+(G179*'Pawn Weights'!$K$41)+(H179*'Pawn Weights'!$K$42)+(I179*'Pawn Weights'!$K$43)+(J179*'Pawn Weights'!$K$46)+(K179*'Pawn Weights'!$K$44)+(M179*'Pawn Weights'!$K$47)+(N179*'Pawn Weights'!$K$40)+(O179*'Pawn Weights'!$K$49)+(P179*'Pawn Weights'!$K$50)+(Q179*'Pawn Weights'!$K$51)+(F179*'Pawn Weights'!$K$53), 2)</f>
        <v>1064.45</v>
      </c>
      <c r="E179" s="332">
        <v>107.9</v>
      </c>
      <c r="F179" s="332">
        <v>2.6</v>
      </c>
      <c r="G179" s="330"/>
      <c r="H179" s="332">
        <v>38.0</v>
      </c>
      <c r="I179" s="332">
        <v>22.0</v>
      </c>
      <c r="J179" s="330"/>
      <c r="K179" s="332">
        <v>9.0</v>
      </c>
      <c r="L179" s="332">
        <v>31.0</v>
      </c>
      <c r="M179" s="332">
        <v>49.0</v>
      </c>
      <c r="N179" s="330"/>
      <c r="O179" s="330"/>
      <c r="P179" s="330"/>
      <c r="Q179" s="330"/>
      <c r="R179" s="295"/>
      <c r="S179" s="330"/>
      <c r="T179" s="330" t="s">
        <v>986</v>
      </c>
      <c r="U179" s="330"/>
      <c r="V179" s="330"/>
      <c r="W179" s="137"/>
      <c r="X179" s="137"/>
      <c r="Y179" s="137"/>
      <c r="Z179" s="137"/>
    </row>
    <row r="180">
      <c r="A180" s="137"/>
      <c r="B180" s="296" t="s">
        <v>1018</v>
      </c>
      <c r="C180" s="330" t="s">
        <v>646</v>
      </c>
      <c r="D180" s="315">
        <f>ROUND((E180*'Pawn Weights'!$K$52)+(G180*'Pawn Weights'!$K$41)+(H180*'Pawn Weights'!$K$42)+(I180*'Pawn Weights'!$K$43)+(J180*'Pawn Weights'!$K$46)+(K180*'Pawn Weights'!$K$44)+(M180*'Pawn Weights'!$K$47)+(N180*'Pawn Weights'!$K$40)+(O180*'Pawn Weights'!$K$49)+(P180*'Pawn Weights'!$K$50)+(Q180*'Pawn Weights'!$K$51)+(F180*'Pawn Weights'!$K$53), 2)</f>
        <v>1017.42</v>
      </c>
      <c r="E180" s="332">
        <v>103.1</v>
      </c>
      <c r="F180" s="332">
        <v>2.6</v>
      </c>
      <c r="G180" s="330"/>
      <c r="H180" s="332">
        <v>34.0</v>
      </c>
      <c r="I180" s="332">
        <v>21.0</v>
      </c>
      <c r="J180" s="330"/>
      <c r="K180" s="332">
        <v>8.0</v>
      </c>
      <c r="L180" s="332">
        <v>30.0</v>
      </c>
      <c r="M180" s="332">
        <v>49.0</v>
      </c>
      <c r="N180" s="330"/>
      <c r="O180" s="330"/>
      <c r="P180" s="330"/>
      <c r="Q180" s="330"/>
      <c r="R180" s="295"/>
      <c r="S180" s="330"/>
      <c r="T180" s="298" t="s">
        <v>986</v>
      </c>
      <c r="U180" s="330"/>
      <c r="V180" s="330"/>
      <c r="W180" s="137"/>
      <c r="X180" s="137"/>
      <c r="Y180" s="137"/>
      <c r="Z180" s="137"/>
    </row>
    <row r="181">
      <c r="A181" s="137"/>
      <c r="B181" s="296" t="s">
        <v>1019</v>
      </c>
      <c r="C181" s="330" t="s">
        <v>835</v>
      </c>
      <c r="D181" s="315">
        <f>ROUND((E181*'Pawn Weights'!$K$52)+(G181*'Pawn Weights'!$K$41)+(H181*'Pawn Weights'!$K$42)+(I181*'Pawn Weights'!$K$43)+(J181*'Pawn Weights'!$K$46)+(K181*'Pawn Weights'!$K$44)+(M181*'Pawn Weights'!$K$47)+(N181*'Pawn Weights'!$K$40)+(O181*'Pawn Weights'!$K$49)+(P181*'Pawn Weights'!$K$50)+(Q181*'Pawn Weights'!$K$51)+(F181*'Pawn Weights'!$K$53), 2)</f>
        <v>1000.28</v>
      </c>
      <c r="E181" s="332">
        <v>100.2</v>
      </c>
      <c r="F181" s="332">
        <v>2.6</v>
      </c>
      <c r="G181" s="332">
        <v>28.0</v>
      </c>
      <c r="H181" s="332">
        <v>56.0</v>
      </c>
      <c r="I181" s="330"/>
      <c r="J181" s="330"/>
      <c r="K181" s="330"/>
      <c r="L181" s="330"/>
      <c r="M181" s="330"/>
      <c r="N181" s="330"/>
      <c r="O181" s="330"/>
      <c r="P181" s="330"/>
      <c r="Q181" s="330"/>
      <c r="R181" s="295"/>
      <c r="S181" s="330"/>
      <c r="T181" s="298"/>
      <c r="U181" s="330"/>
      <c r="V181" s="330"/>
      <c r="W181" s="137"/>
      <c r="X181" s="137"/>
      <c r="Y181" s="137"/>
      <c r="Z181" s="137"/>
    </row>
    <row r="182">
      <c r="A182" s="137"/>
      <c r="B182" s="296" t="s">
        <v>1035</v>
      </c>
      <c r="C182" s="330" t="s">
        <v>900</v>
      </c>
      <c r="D182" s="315">
        <f>ROUND((E182*'Pawn Weights'!$K$52)+(G182*'Pawn Weights'!$K$41)+(H182*'Pawn Weights'!$K$42)+(I182*'Pawn Weights'!$K$43)+(J182*'Pawn Weights'!$K$46)+(K182*'Pawn Weights'!$K$44)+(M182*'Pawn Weights'!$K$47)+(N182*'Pawn Weights'!$K$40)+(O182*'Pawn Weights'!$K$49)+(P182*'Pawn Weights'!$K$50)+(Q182*'Pawn Weights'!$K$51)+(F182*'Pawn Weights'!$K$53), 2)</f>
        <v>981.85</v>
      </c>
      <c r="E182" s="332">
        <v>96.5</v>
      </c>
      <c r="F182" s="332">
        <v>2.7</v>
      </c>
      <c r="G182" s="332">
        <v>15.0</v>
      </c>
      <c r="H182" s="332">
        <v>40.0</v>
      </c>
      <c r="I182" s="330"/>
      <c r="J182" s="330"/>
      <c r="K182" s="332">
        <v>20.0</v>
      </c>
      <c r="L182" s="330"/>
      <c r="M182" s="330"/>
      <c r="N182" s="330"/>
      <c r="O182" s="330"/>
      <c r="P182" s="330"/>
      <c r="Q182" s="330"/>
      <c r="R182" s="295"/>
      <c r="S182" s="330"/>
      <c r="T182" s="298" t="s">
        <v>1036</v>
      </c>
      <c r="U182" s="330"/>
      <c r="V182" s="330"/>
      <c r="W182" s="137"/>
      <c r="X182" s="137"/>
      <c r="Y182" s="137"/>
      <c r="Z182" s="137"/>
    </row>
    <row r="183">
      <c r="A183" s="281"/>
      <c r="B183" s="288" t="s">
        <v>1033</v>
      </c>
      <c r="C183" s="326" t="s">
        <v>997</v>
      </c>
      <c r="D183" s="315">
        <f>ROUND((E183*'Pawn Weights'!$K$52)+(G183*'Pawn Weights'!$K$41)+(H183*'Pawn Weights'!$K$42)+(I183*'Pawn Weights'!$K$43)+(J183*'Pawn Weights'!$K$46)+(K183*'Pawn Weights'!$K$44)+(M183*'Pawn Weights'!$K$47)+(N183*'Pawn Weights'!$K$40)+(O183*'Pawn Weights'!$K$49)+(P183*'Pawn Weights'!$K$50)+(Q183*'Pawn Weights'!$K$51)+(F183*'Pawn Weights'!$K$53), 2)</f>
        <v>953.18</v>
      </c>
      <c r="E183" s="326">
        <v>97.7</v>
      </c>
      <c r="F183" s="326">
        <v>2.6</v>
      </c>
      <c r="G183" s="326"/>
      <c r="H183" s="326">
        <v>30.0</v>
      </c>
      <c r="I183" s="326">
        <v>19.0</v>
      </c>
      <c r="J183" s="326"/>
      <c r="K183" s="326">
        <v>10.0</v>
      </c>
      <c r="L183" s="326">
        <v>27.0</v>
      </c>
      <c r="M183" s="326"/>
      <c r="N183" s="326"/>
      <c r="O183" s="326"/>
      <c r="P183" s="326"/>
      <c r="Q183" s="326"/>
      <c r="R183" s="327"/>
      <c r="S183" s="326"/>
      <c r="T183" s="327" t="s">
        <v>1034</v>
      </c>
      <c r="U183" s="326"/>
      <c r="V183" s="326"/>
      <c r="W183" s="329"/>
    </row>
    <row r="184">
      <c r="A184" s="137"/>
      <c r="B184" s="296" t="s">
        <v>1256</v>
      </c>
      <c r="C184" s="330" t="s">
        <v>1159</v>
      </c>
      <c r="D184" s="388">
        <f>ROUND((E184*'Pawn Weights'!$K$52)+(G184*'Pawn Weights'!$K$41)+(H184*'Pawn Weights'!$K$42)+(I184*'Pawn Weights'!$K$43)+(J184*'Pawn Weights'!$K$46)+(K184*'Pawn Weights'!$K$44)+(M184*'Pawn Weights'!$K$47)+(N184*'Pawn Weights'!$K$40)+(O184*'Pawn Weights'!$K$49)+(P184*'Pawn Weights'!$K$50)+(Q184*'Pawn Weights'!$K$51)+(F184*'Pawn Weights'!$K$53), 2)</f>
        <v>888.79</v>
      </c>
      <c r="E184" s="332">
        <v>91.2</v>
      </c>
      <c r="F184" s="332">
        <v>2.6</v>
      </c>
      <c r="G184" s="330"/>
      <c r="H184" s="332">
        <v>28.0</v>
      </c>
      <c r="I184" s="332">
        <v>15.0</v>
      </c>
      <c r="J184" s="330"/>
      <c r="K184" s="332">
        <v>9.0</v>
      </c>
      <c r="L184" s="332">
        <v>21.0</v>
      </c>
      <c r="M184" s="330"/>
      <c r="N184" s="330"/>
      <c r="O184" s="330"/>
      <c r="P184" s="330"/>
      <c r="Q184" s="330"/>
      <c r="R184" s="295"/>
      <c r="S184" s="330"/>
      <c r="T184" s="295" t="s">
        <v>1257</v>
      </c>
      <c r="U184" s="330"/>
      <c r="V184" s="330"/>
      <c r="W184" s="137"/>
      <c r="X184" s="137"/>
      <c r="Y184" s="137"/>
      <c r="Z184" s="137"/>
    </row>
    <row r="185" ht="17.25" customHeight="1">
      <c r="A185" s="295"/>
      <c r="B185" s="296" t="s">
        <v>1258</v>
      </c>
      <c r="C185" s="330" t="s">
        <v>1259</v>
      </c>
      <c r="D185" s="315">
        <f>ROUND((E185*'Pawn Weights'!$K$52)+(G185*'Pawn Weights'!$K$41)+(H185*'Pawn Weights'!$K$42)+(I185*'Pawn Weights'!$K$43)+(J185*'Pawn Weights'!$K$46)+(K185*'Pawn Weights'!$K$44)+(M185*'Pawn Weights'!$K$47)+(N185*'Pawn Weights'!$K$40)+(O185*'Pawn Weights'!$K$49)+(P185*'Pawn Weights'!$K$50)+(Q185*'Pawn Weights'!$K$51)+(F185*'Pawn Weights'!$K$53), 2)</f>
        <v>884.8</v>
      </c>
      <c r="E185" s="332">
        <v>95.6</v>
      </c>
      <c r="F185" s="332">
        <v>2.6</v>
      </c>
      <c r="G185" s="330"/>
      <c r="H185" s="332">
        <v>42.0</v>
      </c>
      <c r="I185" s="330"/>
      <c r="J185" s="330"/>
      <c r="K185" s="330"/>
      <c r="L185" s="332">
        <v>30.0</v>
      </c>
      <c r="M185" s="330"/>
      <c r="N185" s="330"/>
      <c r="O185" s="330"/>
      <c r="P185" s="330"/>
      <c r="Q185" s="330"/>
      <c r="R185" s="295"/>
      <c r="S185" s="332">
        <v>20.0</v>
      </c>
      <c r="T185" s="298"/>
      <c r="U185" s="330"/>
      <c r="V185" s="330"/>
      <c r="W185" s="137"/>
      <c r="X185" s="137"/>
      <c r="Y185" s="137"/>
      <c r="Z185" s="137"/>
    </row>
    <row r="186">
      <c r="A186" s="137"/>
      <c r="B186" s="296" t="s">
        <v>1260</v>
      </c>
      <c r="C186" s="330" t="s">
        <v>708</v>
      </c>
      <c r="D186" s="315">
        <f>ROUND((E186*'Pawn Weights'!$K$52)+(G186*'Pawn Weights'!$K$41)+(H186*'Pawn Weights'!$K$42)+(I186*'Pawn Weights'!$K$43)+(J186*'Pawn Weights'!$K$46)+(K186*'Pawn Weights'!$K$44)+(M186*'Pawn Weights'!$K$47)+(N186*'Pawn Weights'!$K$40)+(O186*'Pawn Weights'!$K$49)+(P186*'Pawn Weights'!$K$50)+(Q186*'Pawn Weights'!$K$51)+(F186*'Pawn Weights'!$K$53), 2)</f>
        <v>866.4</v>
      </c>
      <c r="E186" s="332">
        <v>89.8</v>
      </c>
      <c r="F186" s="332">
        <v>2.6</v>
      </c>
      <c r="G186" s="295"/>
      <c r="H186" s="332">
        <v>70.0</v>
      </c>
      <c r="I186" s="330"/>
      <c r="J186" s="330"/>
      <c r="K186" s="330"/>
      <c r="L186" s="330"/>
      <c r="M186" s="330"/>
      <c r="N186" s="330"/>
      <c r="O186" s="330"/>
      <c r="P186" s="330"/>
      <c r="Q186" s="330"/>
      <c r="R186" s="295"/>
      <c r="S186" s="330"/>
      <c r="T186" s="298"/>
      <c r="U186" s="330"/>
      <c r="V186" s="330"/>
      <c r="W186" s="137"/>
      <c r="X186" s="137"/>
      <c r="Y186" s="137"/>
      <c r="Z186" s="137"/>
    </row>
    <row r="187">
      <c r="A187" s="295"/>
      <c r="B187" s="296" t="s">
        <v>1261</v>
      </c>
      <c r="C187" s="330" t="s">
        <v>881</v>
      </c>
      <c r="D187" s="315">
        <f>ROUND((E187*'Pawn Weights'!$K$52)+(G187*'Pawn Weights'!$K$41)+(H187*'Pawn Weights'!$K$42)+(I187*'Pawn Weights'!$K$43)+(J187*'Pawn Weights'!$K$46)+(K187*'Pawn Weights'!$K$44)+(M187*'Pawn Weights'!$K$47)+(N187*'Pawn Weights'!$K$40)+(O187*'Pawn Weights'!$K$49)+(P187*'Pawn Weights'!$K$50)+(Q187*'Pawn Weights'!$K$51)+(F187*'Pawn Weights'!$K$53), 2)</f>
        <v>860.14</v>
      </c>
      <c r="E187" s="332">
        <v>87.6</v>
      </c>
      <c r="F187" s="332">
        <v>2.7</v>
      </c>
      <c r="G187" s="298">
        <v>14.0</v>
      </c>
      <c r="H187" s="332">
        <v>46.0</v>
      </c>
      <c r="I187" s="330"/>
      <c r="J187" s="330"/>
      <c r="K187" s="330"/>
      <c r="L187" s="332">
        <v>16.0</v>
      </c>
      <c r="M187" s="330"/>
      <c r="N187" s="330"/>
      <c r="O187" s="330"/>
      <c r="P187" s="330"/>
      <c r="Q187" s="330"/>
      <c r="R187" s="295"/>
      <c r="S187" s="330"/>
      <c r="T187" s="298"/>
      <c r="U187" s="330"/>
      <c r="V187" s="330"/>
      <c r="W187" s="137"/>
      <c r="X187" s="137"/>
      <c r="Y187" s="137"/>
      <c r="Z187" s="137"/>
    </row>
    <row r="188">
      <c r="A188" s="315"/>
      <c r="B188" s="296" t="s">
        <v>1262</v>
      </c>
      <c r="C188" s="330" t="s">
        <v>1263</v>
      </c>
      <c r="D188" s="315">
        <f>ROUND((E188*'Pawn Weights'!$K$52)+(G188*'Pawn Weights'!$K$41)+(H188*'Pawn Weights'!$K$42)+(I188*'Pawn Weights'!$K$43)+(J188*'Pawn Weights'!$K$46)+(K188*'Pawn Weights'!$K$44)+(M188*'Pawn Weights'!$K$47)+(N188*'Pawn Weights'!$K$40)+(O188*'Pawn Weights'!$K$49)+(P188*'Pawn Weights'!$K$50)+(Q188*'Pawn Weights'!$K$51)+(F188*'Pawn Weights'!$K$53), 2)</f>
        <v>817.09</v>
      </c>
      <c r="E188" s="332">
        <v>81.2</v>
      </c>
      <c r="F188" s="332">
        <v>2.6</v>
      </c>
      <c r="G188" s="295"/>
      <c r="H188" s="332">
        <v>38.0</v>
      </c>
      <c r="I188" s="330"/>
      <c r="J188" s="330"/>
      <c r="K188" s="332">
        <v>19.0</v>
      </c>
      <c r="L188" s="330"/>
      <c r="M188" s="330"/>
      <c r="N188" s="330"/>
      <c r="O188" s="330"/>
      <c r="P188" s="330"/>
      <c r="Q188" s="330"/>
      <c r="R188" s="295"/>
      <c r="S188" s="330"/>
      <c r="T188" s="298"/>
      <c r="U188" s="330"/>
      <c r="V188" s="330"/>
      <c r="W188" s="137"/>
      <c r="X188" s="137"/>
      <c r="Y188" s="137"/>
      <c r="Z188" s="137"/>
    </row>
    <row r="189">
      <c r="A189" s="219" t="s">
        <v>943</v>
      </c>
      <c r="B189" s="296" t="s">
        <v>1264</v>
      </c>
      <c r="C189" s="330" t="s">
        <v>1265</v>
      </c>
      <c r="D189" s="315">
        <f>ROUND((E189*'Pawn Weights'!$K$52)+(G189*'Pawn Weights'!$K$41)+(H189*'Pawn Weights'!$K$42)+(I189*'Pawn Weights'!$K$43)+(J189*'Pawn Weights'!$K$46)+(K189*'Pawn Weights'!$K$44)+(M189*'Pawn Weights'!$K$47)+(N189*'Pawn Weights'!$K$40)+(O189*'Pawn Weights'!$K$49)+(P189*'Pawn Weights'!$K$50)+(Q189*'Pawn Weights'!$K$51)+(F189*'Pawn Weights'!$K$53), 2)</f>
        <v>727.6</v>
      </c>
      <c r="E189" s="332">
        <v>81.2</v>
      </c>
      <c r="F189" s="332">
        <v>2.6</v>
      </c>
      <c r="G189" s="295"/>
      <c r="H189" s="330"/>
      <c r="I189" s="330"/>
      <c r="J189" s="330"/>
      <c r="K189" s="330"/>
      <c r="L189" s="330"/>
      <c r="M189" s="330"/>
      <c r="N189" s="330"/>
      <c r="O189" s="330"/>
      <c r="P189" s="330"/>
      <c r="Q189" s="330"/>
      <c r="R189" s="295"/>
      <c r="S189" s="330"/>
      <c r="T189" s="316" t="s">
        <v>1266</v>
      </c>
      <c r="U189" s="330"/>
      <c r="V189" s="330"/>
      <c r="W189" s="137"/>
      <c r="X189" s="137"/>
      <c r="Y189" s="137"/>
      <c r="Z189" s="137"/>
    </row>
    <row r="190">
      <c r="A190" s="295" t="s">
        <v>627</v>
      </c>
      <c r="B190" s="296" t="s">
        <v>1267</v>
      </c>
      <c r="C190" s="330" t="s">
        <v>1268</v>
      </c>
      <c r="D190" s="315">
        <f>ROUND((E190*'Pawn Weights'!$K$52)+(G190*'Pawn Weights'!$K$41)+(H190*'Pawn Weights'!$K$42)+(I190*'Pawn Weights'!$K$43)+(J190*'Pawn Weights'!$K$46)+(K190*'Pawn Weights'!$K$44)+(M190*'Pawn Weights'!$K$47)+(N190*'Pawn Weights'!$K$40)+(O190*'Pawn Weights'!$K$49)+(P190*'Pawn Weights'!$K$50)+(Q190*'Pawn Weights'!$K$51)+(F190*'Pawn Weights'!$K$53), 2)</f>
        <v>793.26</v>
      </c>
      <c r="E190" s="332">
        <v>83.4</v>
      </c>
      <c r="F190" s="332">
        <v>2.2</v>
      </c>
      <c r="G190" s="298">
        <v>26.0</v>
      </c>
      <c r="H190" s="330"/>
      <c r="I190" s="330"/>
      <c r="J190" s="330"/>
      <c r="K190" s="330"/>
      <c r="L190" s="332">
        <v>15.0</v>
      </c>
      <c r="M190" s="330"/>
      <c r="N190" s="330"/>
      <c r="O190" s="330"/>
      <c r="P190" s="330"/>
      <c r="Q190" s="330"/>
      <c r="R190" s="295"/>
      <c r="S190" s="389"/>
      <c r="T190" s="298"/>
      <c r="U190" s="330"/>
      <c r="V190" s="330"/>
      <c r="W190" s="137"/>
      <c r="X190" s="137"/>
      <c r="Y190" s="137"/>
      <c r="Z190" s="137"/>
    </row>
    <row r="191">
      <c r="A191" s="224" t="s">
        <v>1040</v>
      </c>
      <c r="B191" s="323" t="s">
        <v>604</v>
      </c>
      <c r="C191" s="323" t="s">
        <v>605</v>
      </c>
      <c r="D191" s="386" t="s">
        <v>606</v>
      </c>
      <c r="E191" s="224" t="s">
        <v>1003</v>
      </c>
      <c r="F191" s="224" t="s">
        <v>1004</v>
      </c>
      <c r="G191" s="224" t="s">
        <v>561</v>
      </c>
      <c r="H191" s="224" t="s">
        <v>562</v>
      </c>
      <c r="I191" s="224" t="s">
        <v>330</v>
      </c>
      <c r="J191" s="224" t="s">
        <v>563</v>
      </c>
      <c r="K191" s="272" t="s">
        <v>344</v>
      </c>
      <c r="L191" s="224" t="s">
        <v>607</v>
      </c>
      <c r="M191" s="224" t="s">
        <v>564</v>
      </c>
      <c r="N191" s="224" t="s">
        <v>1006</v>
      </c>
      <c r="O191" s="274" t="s">
        <v>610</v>
      </c>
      <c r="P191" s="275" t="s">
        <v>611</v>
      </c>
      <c r="Q191" s="276" t="s">
        <v>612</v>
      </c>
      <c r="R191" s="277" t="s">
        <v>613</v>
      </c>
      <c r="S191" s="323" t="s">
        <v>356</v>
      </c>
      <c r="T191" s="277" t="s">
        <v>615</v>
      </c>
      <c r="U191" s="324"/>
      <c r="V191" s="324"/>
      <c r="W191" s="324"/>
    </row>
    <row r="192" ht="14.25" customHeight="1">
      <c r="A192" s="281"/>
      <c r="B192" s="350" t="s">
        <v>1269</v>
      </c>
      <c r="C192" s="326"/>
      <c r="D192" s="387"/>
      <c r="E192" s="326"/>
      <c r="F192" s="326"/>
      <c r="G192" s="326"/>
      <c r="H192" s="326"/>
      <c r="I192" s="326"/>
      <c r="J192" s="326"/>
      <c r="K192" s="326"/>
      <c r="L192" s="326"/>
      <c r="M192" s="326"/>
      <c r="N192" s="326"/>
      <c r="O192" s="326"/>
      <c r="P192" s="326"/>
      <c r="Q192" s="326"/>
      <c r="R192" s="327"/>
      <c r="S192" s="326"/>
      <c r="T192" s="327"/>
      <c r="U192" s="326"/>
      <c r="V192" s="326"/>
      <c r="W192" s="329"/>
    </row>
    <row r="193">
      <c r="A193" s="137" t="s">
        <v>973</v>
      </c>
      <c r="B193" s="364" t="s">
        <v>1009</v>
      </c>
      <c r="C193" s="330" t="s">
        <v>632</v>
      </c>
      <c r="D193" s="315">
        <f>ROUND((E193*'Pawn Weights'!$K$54)+(G193*'Pawn Weights'!$K$41)+(H193*'Pawn Weights'!$K$42)+(I193*'Pawn Weights'!$K$43)+(J193*'Pawn Weights'!$K$46)+(K193*'Pawn Weights'!$K$44)+(M193*'Pawn Weights'!$K$47)+(N193*'Pawn Weights'!$K$40)+(O193*'Pawn Weights'!$K$49)+(P193*'Pawn Weights'!$K$50)+(Q193*'Pawn Weights'!$K$51)+(F193*'Pawn Weights'!$K$55)+'Pawn Weights'!$K$56, 2)</f>
        <v>412.73</v>
      </c>
      <c r="E193" s="332">
        <v>109.3</v>
      </c>
      <c r="F193" s="332">
        <v>1.4</v>
      </c>
      <c r="G193" s="332">
        <v>21.0</v>
      </c>
      <c r="H193" s="332">
        <v>44.0</v>
      </c>
      <c r="I193" s="332">
        <v>23.0</v>
      </c>
      <c r="J193" s="330"/>
      <c r="K193" s="330"/>
      <c r="L193" s="332">
        <v>28.0</v>
      </c>
      <c r="M193" s="330"/>
      <c r="N193" s="330"/>
      <c r="O193" s="330"/>
      <c r="P193" s="330"/>
      <c r="Q193" s="330"/>
      <c r="R193" s="295"/>
      <c r="S193" s="330"/>
      <c r="T193" s="298" t="s">
        <v>1010</v>
      </c>
      <c r="U193" s="330"/>
      <c r="V193" s="330"/>
      <c r="W193" s="137"/>
      <c r="X193" s="137"/>
      <c r="Y193" s="137"/>
      <c r="Z193" s="137"/>
    </row>
    <row r="194">
      <c r="A194" s="137"/>
      <c r="B194" s="296" t="s">
        <v>1053</v>
      </c>
      <c r="C194" s="330" t="s">
        <v>701</v>
      </c>
      <c r="D194" s="315">
        <f>ROUND((E194*'Pawn Weights'!$K$54)+(G194*'Pawn Weights'!$K$41)+(H194*'Pawn Weights'!$K$42)+(I194*'Pawn Weights'!$K$43)+(J194*'Pawn Weights'!$K$46)+(K194*'Pawn Weights'!$K$44)+(M194*'Pawn Weights'!$K$47)+(N194*'Pawn Weights'!$K$40)+(O194*'Pawn Weights'!$K$49)+(P194*'Pawn Weights'!$K$50)+(Q194*'Pawn Weights'!$K$51)+(F194*'Pawn Weights'!$K$55)+'Pawn Weights'!$K$56, 2)</f>
        <v>380.88</v>
      </c>
      <c r="E194" s="332">
        <v>100.4</v>
      </c>
      <c r="F194" s="332">
        <v>1.4</v>
      </c>
      <c r="G194" s="330"/>
      <c r="H194" s="332">
        <v>44.0</v>
      </c>
      <c r="I194" s="332">
        <v>22.0</v>
      </c>
      <c r="J194" s="330"/>
      <c r="K194" s="332">
        <v>15.0</v>
      </c>
      <c r="L194" s="332">
        <v>19.0</v>
      </c>
      <c r="M194" s="330"/>
      <c r="N194" s="330"/>
      <c r="O194" s="330"/>
      <c r="P194" s="330"/>
      <c r="Q194" s="330"/>
      <c r="R194" s="295"/>
      <c r="S194" s="330"/>
      <c r="T194" s="298"/>
      <c r="U194" s="330"/>
      <c r="V194" s="330"/>
      <c r="W194" s="137"/>
      <c r="X194" s="137"/>
      <c r="Y194" s="137"/>
      <c r="Z194" s="137"/>
    </row>
    <row r="195">
      <c r="A195" s="137"/>
      <c r="B195" s="317" t="s">
        <v>1045</v>
      </c>
      <c r="C195" s="330" t="s">
        <v>637</v>
      </c>
      <c r="D195" s="315">
        <f>ROUND((E195*'Pawn Weights'!$K$54)+(G195*'Pawn Weights'!$K$41)+(H195*'Pawn Weights'!$K$42)+(I195*'Pawn Weights'!$K$43)+(J195*'Pawn Weights'!$K$46)+(K195*'Pawn Weights'!$K$44)+(M195*'Pawn Weights'!$K$47)+(N195*'Pawn Weights'!$K$40)+(O195*'Pawn Weights'!$K$49)+(P195*'Pawn Weights'!$K$50)+(Q195*'Pawn Weights'!$K$51)+(F195*'Pawn Weights'!$K$55)+'Pawn Weights'!$K$56, 2)</f>
        <v>378.59</v>
      </c>
      <c r="E195" s="331">
        <v>108.0</v>
      </c>
      <c r="F195" s="331">
        <v>1.5</v>
      </c>
      <c r="G195" s="330"/>
      <c r="H195" s="332">
        <v>38.0</v>
      </c>
      <c r="I195" s="332">
        <v>22.0</v>
      </c>
      <c r="J195" s="330"/>
      <c r="K195" s="332">
        <v>9.0</v>
      </c>
      <c r="L195" s="332">
        <v>31.0</v>
      </c>
      <c r="M195" s="332">
        <v>49.0</v>
      </c>
      <c r="N195" s="330"/>
      <c r="O195" s="330"/>
      <c r="P195" s="330"/>
      <c r="Q195" s="330"/>
      <c r="R195" s="295"/>
      <c r="S195" s="330"/>
      <c r="T195" s="330" t="s">
        <v>986</v>
      </c>
      <c r="U195" s="330"/>
      <c r="V195" s="330"/>
      <c r="W195" s="137"/>
      <c r="X195" s="137"/>
      <c r="Y195" s="137"/>
      <c r="Z195" s="137"/>
    </row>
    <row r="196">
      <c r="A196" s="137"/>
      <c r="B196" s="317" t="s">
        <v>1051</v>
      </c>
      <c r="C196" s="368" t="s">
        <v>646</v>
      </c>
      <c r="D196" s="315">
        <f>ROUND((E196*'Pawn Weights'!$K$54)+(G196*'Pawn Weights'!$K$41)+(H196*'Pawn Weights'!$K$42)+(I196*'Pawn Weights'!$K$43)+(J196*'Pawn Weights'!$K$46)+(K196*'Pawn Weights'!$K$44)+(M196*'Pawn Weights'!$K$47)+(N196*'Pawn Weights'!$K$40)+(O196*'Pawn Weights'!$K$49)+(P196*'Pawn Weights'!$K$50)+(Q196*'Pawn Weights'!$K$51)+(F196*'Pawn Weights'!$K$55)+'Pawn Weights'!$K$56, 2)</f>
        <v>357.56</v>
      </c>
      <c r="E196" s="331">
        <v>103.0</v>
      </c>
      <c r="F196" s="331">
        <v>1.5</v>
      </c>
      <c r="G196" s="330"/>
      <c r="H196" s="331">
        <v>34.0</v>
      </c>
      <c r="I196" s="331">
        <v>21.0</v>
      </c>
      <c r="J196" s="330"/>
      <c r="K196" s="331">
        <v>8.0</v>
      </c>
      <c r="L196" s="331">
        <v>30.0</v>
      </c>
      <c r="M196" s="368">
        <v>49.0</v>
      </c>
      <c r="N196" s="330"/>
      <c r="O196" s="330"/>
      <c r="P196" s="330"/>
      <c r="Q196" s="330"/>
      <c r="R196" s="295"/>
      <c r="S196" s="330"/>
      <c r="T196" s="298"/>
      <c r="U196" s="330"/>
      <c r="V196" s="330"/>
      <c r="W196" s="137"/>
      <c r="X196" s="137"/>
      <c r="Y196" s="137"/>
      <c r="Z196" s="137"/>
    </row>
    <row r="197">
      <c r="A197" s="137"/>
      <c r="B197" s="296" t="s">
        <v>1043</v>
      </c>
      <c r="C197" s="330" t="s">
        <v>781</v>
      </c>
      <c r="D197" s="315">
        <f>ROUND((E197*'Pawn Weights'!$K$54)+(G197*'Pawn Weights'!$K$41)+(H197*'Pawn Weights'!$K$42)+(I197*'Pawn Weights'!$K$43)+(J197*'Pawn Weights'!$K$46)+(K197*'Pawn Weights'!$K$44)+(M197*'Pawn Weights'!$K$47)+(N197*'Pawn Weights'!$K$40)+(O197*'Pawn Weights'!$K$49)+(P197*'Pawn Weights'!$K$50)+(Q197*'Pawn Weights'!$K$51)+(F197*'Pawn Weights'!$K$55)+'Pawn Weights'!$K$56, 2)</f>
        <v>328.59</v>
      </c>
      <c r="E197" s="332">
        <v>108.0</v>
      </c>
      <c r="F197" s="332">
        <v>1.5</v>
      </c>
      <c r="G197" s="330"/>
      <c r="H197" s="330"/>
      <c r="I197" s="330"/>
      <c r="J197" s="332">
        <v>25.0</v>
      </c>
      <c r="K197" s="330"/>
      <c r="L197" s="332">
        <v>36.0</v>
      </c>
      <c r="M197" s="330"/>
      <c r="N197" s="330"/>
      <c r="O197" s="330"/>
      <c r="P197" s="330"/>
      <c r="Q197" s="330"/>
      <c r="R197" s="295"/>
      <c r="S197" s="332">
        <v>25.0</v>
      </c>
      <c r="T197" s="330" t="s">
        <v>1044</v>
      </c>
      <c r="U197" s="330"/>
      <c r="V197" s="330"/>
      <c r="W197" s="137"/>
      <c r="X197" s="137"/>
      <c r="Y197" s="137"/>
      <c r="Z197" s="137"/>
    </row>
    <row r="198">
      <c r="A198" s="137"/>
      <c r="B198" s="317" t="s">
        <v>1058</v>
      </c>
      <c r="C198" s="330" t="s">
        <v>997</v>
      </c>
      <c r="D198" s="315">
        <f>ROUND((E198*'Pawn Weights'!$K$54)+(G198*'Pawn Weights'!$K$41)+(H198*'Pawn Weights'!$K$42)+(I198*'Pawn Weights'!$K$43)+(J198*'Pawn Weights'!$K$46)+(K198*'Pawn Weights'!$K$44)+(M198*'Pawn Weights'!$K$47)+(N198*'Pawn Weights'!$K$40)+(O198*'Pawn Weights'!$K$49)+(P198*'Pawn Weights'!$K$50)+(Q198*'Pawn Weights'!$K$51)+(F198*'Pawn Weights'!$K$55)+'Pawn Weights'!$K$56, 2)</f>
        <v>323.38</v>
      </c>
      <c r="E198" s="332">
        <v>97.7</v>
      </c>
      <c r="F198" s="331">
        <v>1.5</v>
      </c>
      <c r="G198" s="330"/>
      <c r="H198" s="332">
        <v>30.0</v>
      </c>
      <c r="I198" s="332">
        <v>19.0</v>
      </c>
      <c r="J198" s="330"/>
      <c r="K198" s="332">
        <v>10.0</v>
      </c>
      <c r="L198" s="332">
        <v>27.0</v>
      </c>
      <c r="M198" s="330"/>
      <c r="N198" s="330"/>
      <c r="O198" s="330"/>
      <c r="P198" s="330"/>
      <c r="Q198" s="330"/>
      <c r="R198" s="295"/>
      <c r="S198" s="330"/>
      <c r="T198" s="316"/>
      <c r="U198" s="330"/>
      <c r="V198" s="330"/>
      <c r="W198" s="137"/>
      <c r="X198" s="137"/>
      <c r="Y198" s="137"/>
      <c r="Z198" s="137"/>
    </row>
    <row r="199">
      <c r="A199" s="295" t="s">
        <v>627</v>
      </c>
      <c r="B199" s="296" t="s">
        <v>1061</v>
      </c>
      <c r="C199" s="330" t="s">
        <v>1062</v>
      </c>
      <c r="D199" s="315">
        <f>ROUND((E199*'Pawn Weights'!$K$54)+(G199*'Pawn Weights'!$K$41)+(H199*'Pawn Weights'!$K$42)+(I199*'Pawn Weights'!$K$43)+(J199*'Pawn Weights'!$K$46)+(K199*'Pawn Weights'!$K$44)+(M199*'Pawn Weights'!$K$47)+(N199*'Pawn Weights'!$K$40)+(O199*'Pawn Weights'!$K$49)+(P199*'Pawn Weights'!$K$50)+(Q199*'Pawn Weights'!$K$51)+(F199*'Pawn Weights'!$K$55)+'Pawn Weights'!$K$56, 2)</f>
        <v>304.47</v>
      </c>
      <c r="E199" s="332">
        <v>97.5</v>
      </c>
      <c r="F199" s="332">
        <v>1.6</v>
      </c>
      <c r="G199" s="332">
        <v>19.0</v>
      </c>
      <c r="H199" s="330"/>
      <c r="I199" s="330"/>
      <c r="J199" s="330"/>
      <c r="K199" s="332">
        <v>18.0</v>
      </c>
      <c r="L199" s="332">
        <v>28.0</v>
      </c>
      <c r="M199" s="330"/>
      <c r="N199" s="330"/>
      <c r="O199" s="330"/>
      <c r="P199" s="330"/>
      <c r="Q199" s="330"/>
      <c r="R199" s="295"/>
      <c r="S199" s="330"/>
      <c r="T199" s="298"/>
      <c r="U199" s="330"/>
      <c r="V199" s="330"/>
      <c r="W199" s="137"/>
      <c r="X199" s="137"/>
      <c r="Y199" s="137"/>
      <c r="Z199" s="137"/>
    </row>
    <row r="200">
      <c r="A200" s="295"/>
      <c r="B200" s="296" t="s">
        <v>1270</v>
      </c>
      <c r="C200" s="368" t="s">
        <v>1159</v>
      </c>
      <c r="D200" s="315">
        <f>ROUND((E200*'Pawn Weights'!$K$54)+(G200*'Pawn Weights'!$K$41)+(H200*'Pawn Weights'!$K$42)+(I200*'Pawn Weights'!$K$43)+(J200*'Pawn Weights'!$K$46)+(K200*'Pawn Weights'!$K$44)+(M200*'Pawn Weights'!$K$47)+(N200*'Pawn Weights'!$K$40)+(O200*'Pawn Weights'!$K$49)+(P200*'Pawn Weights'!$K$50)+(Q200*'Pawn Weights'!$K$51)+(F200*'Pawn Weights'!$K$55)+'Pawn Weights'!$K$56, 2)</f>
        <v>294.37</v>
      </c>
      <c r="E200" s="332">
        <v>91.0</v>
      </c>
      <c r="F200" s="332">
        <v>1.5</v>
      </c>
      <c r="G200" s="330"/>
      <c r="H200" s="332">
        <v>28.0</v>
      </c>
      <c r="I200" s="332">
        <v>15.0</v>
      </c>
      <c r="J200" s="330"/>
      <c r="K200" s="332">
        <v>9.0</v>
      </c>
      <c r="L200" s="332">
        <v>21.0</v>
      </c>
      <c r="M200" s="330"/>
      <c r="N200" s="330"/>
      <c r="O200" s="330"/>
      <c r="P200" s="330"/>
      <c r="Q200" s="330"/>
      <c r="R200" s="295"/>
      <c r="S200" s="330"/>
      <c r="T200" s="298"/>
      <c r="U200" s="330"/>
      <c r="V200" s="330"/>
      <c r="W200" s="137"/>
      <c r="X200" s="137"/>
      <c r="Y200" s="137"/>
      <c r="Z200" s="137"/>
    </row>
    <row r="201" ht="14.25" customHeight="1">
      <c r="A201" s="281"/>
      <c r="B201" s="311" t="s">
        <v>1271</v>
      </c>
      <c r="C201" s="326" t="s">
        <v>1272</v>
      </c>
      <c r="D201" s="315">
        <f>ROUND((E201*'Pawn Weights'!$K$54)+(G201*'Pawn Weights'!$K$41)+(H201*'Pawn Weights'!$K$42)+(I201*'Pawn Weights'!$K$43)+(J201*'Pawn Weights'!$K$46)+(K201*'Pawn Weights'!$K$44)+(M201*'Pawn Weights'!$K$47)+(N201*'Pawn Weights'!$K$40)+(O201*'Pawn Weights'!$K$49)+(P201*'Pawn Weights'!$K$50)+(Q201*'Pawn Weights'!$K$51)+(F201*'Pawn Weights'!$K$55)+'Pawn Weights'!$K$56, 2)</f>
        <v>284.73</v>
      </c>
      <c r="E201" s="326">
        <v>71.8</v>
      </c>
      <c r="F201" s="326">
        <v>1.4</v>
      </c>
      <c r="G201" s="326">
        <v>15.0</v>
      </c>
      <c r="H201" s="326">
        <v>26.0</v>
      </c>
      <c r="I201" s="326"/>
      <c r="J201" s="326">
        <v>14.0</v>
      </c>
      <c r="K201" s="326"/>
      <c r="L201" s="326"/>
      <c r="M201" s="326"/>
      <c r="N201" s="326"/>
      <c r="O201" s="326"/>
      <c r="P201" s="326"/>
      <c r="Q201" s="326"/>
      <c r="R201" s="327"/>
      <c r="S201" s="326"/>
      <c r="T201" s="327"/>
      <c r="U201" s="326"/>
      <c r="V201" s="326"/>
      <c r="W201" s="329"/>
    </row>
    <row r="202">
      <c r="A202" s="295" t="s">
        <v>627</v>
      </c>
      <c r="B202" s="296" t="s">
        <v>1273</v>
      </c>
      <c r="C202" s="330" t="s">
        <v>1274</v>
      </c>
      <c r="D202" s="315">
        <f>ROUND((E202*'Pawn Weights'!$K$54)+(G202*'Pawn Weights'!$K$41)+(H202*'Pawn Weights'!$K$42)+(I202*'Pawn Weights'!$K$43)+(J202*'Pawn Weights'!$K$46)+(K202*'Pawn Weights'!$K$44)+(M202*'Pawn Weights'!$K$47)+(N202*'Pawn Weights'!$K$40)+(O202*'Pawn Weights'!$K$49)+(P202*'Pawn Weights'!$K$50)+(Q202*'Pawn Weights'!$K$51)+(F202*'Pawn Weights'!$K$55)+'Pawn Weights'!$K$56, 2)</f>
        <v>281.76</v>
      </c>
      <c r="E202" s="332">
        <v>91.3</v>
      </c>
      <c r="F202" s="331">
        <v>1.6</v>
      </c>
      <c r="G202" s="332">
        <v>17.0</v>
      </c>
      <c r="H202" s="330"/>
      <c r="I202" s="330"/>
      <c r="J202" s="330"/>
      <c r="K202" s="332">
        <v>17.0</v>
      </c>
      <c r="L202" s="332">
        <v>25.0</v>
      </c>
      <c r="M202" s="330"/>
      <c r="N202" s="330"/>
      <c r="O202" s="330"/>
      <c r="P202" s="330"/>
      <c r="Q202" s="330"/>
      <c r="R202" s="295"/>
      <c r="S202" s="330"/>
      <c r="T202" s="298"/>
      <c r="U202" s="330"/>
      <c r="V202" s="330"/>
      <c r="W202" s="137"/>
      <c r="X202" s="137"/>
      <c r="Y202" s="137"/>
      <c r="Z202" s="137"/>
    </row>
    <row r="203">
      <c r="A203" s="295" t="s">
        <v>627</v>
      </c>
      <c r="B203" s="296" t="s">
        <v>1275</v>
      </c>
      <c r="C203" s="390" t="s">
        <v>1276</v>
      </c>
      <c r="D203" s="315">
        <f>ROUND((E203*'Pawn Weights'!$K$54)+(G203*'Pawn Weights'!$K$41)+(H203*'Pawn Weights'!$K$42)+(I203*'Pawn Weights'!$K$43)+(J203*'Pawn Weights'!$K$46)+(K203*'Pawn Weights'!$K$44)+(M203*'Pawn Weights'!$K$47)+(N203*'Pawn Weights'!$K$40)+(O203*'Pawn Weights'!$K$49)+(P203*'Pawn Weights'!$K$50)+(Q203*'Pawn Weights'!$K$51)+(F203*'Pawn Weights'!$K$55)+'Pawn Weights'!$K$56, 2)</f>
        <v>259.63</v>
      </c>
      <c r="E203" s="332">
        <v>84.4</v>
      </c>
      <c r="F203" s="332">
        <v>1.6</v>
      </c>
      <c r="G203" s="332">
        <v>16.0</v>
      </c>
      <c r="H203" s="295"/>
      <c r="I203" s="295"/>
      <c r="J203" s="295"/>
      <c r="K203" s="332">
        <v>16.0</v>
      </c>
      <c r="L203" s="332">
        <v>23.0</v>
      </c>
      <c r="M203" s="295"/>
      <c r="N203" s="295"/>
      <c r="O203" s="295"/>
      <c r="P203" s="295"/>
      <c r="Q203" s="295"/>
      <c r="R203" s="295"/>
      <c r="S203" s="295"/>
      <c r="T203" s="298"/>
      <c r="U203" s="295"/>
      <c r="V203" s="295"/>
      <c r="W203" s="137"/>
      <c r="X203" s="137"/>
      <c r="Y203" s="137"/>
      <c r="Z203" s="137"/>
    </row>
    <row r="204">
      <c r="A204" s="295"/>
      <c r="B204" s="296" t="s">
        <v>1277</v>
      </c>
      <c r="C204" s="297" t="s">
        <v>1278</v>
      </c>
      <c r="D204" s="315">
        <f>ROUND((E204*'Pawn Weights'!$K$54)+(G204*'Pawn Weights'!$K$41)+(H204*'Pawn Weights'!$K$42)+(I204*'Pawn Weights'!$K$43)+(J204*'Pawn Weights'!$K$46)+(K204*'Pawn Weights'!$K$44)+(M204*'Pawn Weights'!$K$47)+(N204*'Pawn Weights'!$K$40)+(O204*'Pawn Weights'!$K$49)+(P204*'Pawn Weights'!$K$50)+(Q204*'Pawn Weights'!$K$51)+(F204*'Pawn Weights'!$K$55)+'Pawn Weights'!$K$56, 2)</f>
        <v>233.07</v>
      </c>
      <c r="E204" s="332">
        <v>87.5</v>
      </c>
      <c r="F204" s="332">
        <v>1.6</v>
      </c>
      <c r="G204" s="295"/>
      <c r="H204" s="295"/>
      <c r="I204" s="295"/>
      <c r="J204" s="295"/>
      <c r="K204" s="332">
        <v>17.0</v>
      </c>
      <c r="L204" s="332">
        <v>28.0</v>
      </c>
      <c r="M204" s="295"/>
      <c r="N204" s="295"/>
      <c r="O204" s="295"/>
      <c r="P204" s="295"/>
      <c r="Q204" s="295"/>
      <c r="R204" s="295"/>
      <c r="S204" s="295"/>
      <c r="T204" s="298"/>
      <c r="U204" s="295"/>
      <c r="V204" s="295"/>
      <c r="W204" s="137"/>
      <c r="X204" s="137"/>
      <c r="Y204" s="137"/>
      <c r="Z204" s="137"/>
    </row>
    <row r="205">
      <c r="A205" s="295"/>
      <c r="B205" s="296" t="s">
        <v>1279</v>
      </c>
      <c r="C205" s="330" t="s">
        <v>1280</v>
      </c>
      <c r="D205" s="315">
        <f>ROUND((E205*'Pawn Weights'!$K$54)+(G205*'Pawn Weights'!$K$41)+(H205*'Pawn Weights'!$K$42)+(I205*'Pawn Weights'!$K$43)+(J205*'Pawn Weights'!$K$46)+(K205*'Pawn Weights'!$K$44)+(M205*'Pawn Weights'!$K$47)+(N205*'Pawn Weights'!$K$40)+(O205*'Pawn Weights'!$K$49)+(P205*'Pawn Weights'!$K$50)+(Q205*'Pawn Weights'!$K$51)+(F205*'Pawn Weights'!$K$55)+'Pawn Weights'!$K$56, 2)</f>
        <v>176.83</v>
      </c>
      <c r="E205" s="332">
        <v>83.4</v>
      </c>
      <c r="F205" s="332">
        <v>1.6</v>
      </c>
      <c r="G205" s="295"/>
      <c r="H205" s="330"/>
      <c r="I205" s="330"/>
      <c r="J205" s="330"/>
      <c r="K205" s="330"/>
      <c r="L205" s="332">
        <v>22.0</v>
      </c>
      <c r="M205" s="330"/>
      <c r="N205" s="330"/>
      <c r="O205" s="330"/>
      <c r="P205" s="330"/>
      <c r="Q205" s="330"/>
      <c r="R205" s="295"/>
      <c r="S205" s="330"/>
      <c r="T205" s="298"/>
      <c r="U205" s="330"/>
      <c r="V205" s="330"/>
      <c r="W205" s="137"/>
      <c r="X205" s="137"/>
      <c r="Y205" s="137"/>
      <c r="Z205" s="137"/>
    </row>
    <row r="206">
      <c r="A206" s="219" t="s">
        <v>943</v>
      </c>
      <c r="B206" s="391" t="s">
        <v>1281</v>
      </c>
      <c r="C206" s="368" t="s">
        <v>1282</v>
      </c>
      <c r="D206" s="315">
        <f>ROUND((E206*'Pawn Weights'!$K$54)+(G206*'Pawn Weights'!$K$41)+(H206*'Pawn Weights'!$K$42)+(I206*'Pawn Weights'!$K$43)+(J206*'Pawn Weights'!$K$46)+(K206*'Pawn Weights'!$K$44)+(M206*'Pawn Weights'!$K$47)+(N206*'Pawn Weights'!$K$40)+(O206*'Pawn Weights'!$K$49)+(P206*'Pawn Weights'!$K$50)+(Q206*'Pawn Weights'!$K$51)+(F206*'Pawn Weights'!$K$55)+'Pawn Weights'!$K$56, 2)</f>
        <v>165.32</v>
      </c>
      <c r="E206" s="331">
        <v>71.7</v>
      </c>
      <c r="F206" s="331">
        <v>1.5</v>
      </c>
      <c r="G206" s="295"/>
      <c r="H206" s="330"/>
      <c r="I206" s="330"/>
      <c r="J206" s="330"/>
      <c r="K206" s="330"/>
      <c r="L206" s="332"/>
      <c r="M206" s="330"/>
      <c r="N206" s="330"/>
      <c r="O206" s="330"/>
      <c r="P206" s="330"/>
      <c r="Q206" s="330"/>
      <c r="R206" s="295"/>
      <c r="S206" s="330"/>
      <c r="T206" s="316" t="s">
        <v>1283</v>
      </c>
      <c r="U206" s="330"/>
      <c r="V206" s="330"/>
      <c r="W206" s="137"/>
      <c r="X206" s="137"/>
      <c r="Y206" s="137"/>
      <c r="Z206" s="137"/>
    </row>
    <row r="207">
      <c r="A207" s="224" t="s">
        <v>1284</v>
      </c>
      <c r="B207" s="323" t="s">
        <v>604</v>
      </c>
      <c r="C207" s="323" t="s">
        <v>605</v>
      </c>
      <c r="D207" s="386" t="s">
        <v>606</v>
      </c>
      <c r="E207" s="224" t="s">
        <v>1003</v>
      </c>
      <c r="F207" s="224" t="s">
        <v>1004</v>
      </c>
      <c r="G207" s="224" t="s">
        <v>561</v>
      </c>
      <c r="H207" s="224" t="s">
        <v>562</v>
      </c>
      <c r="I207" s="224" t="s">
        <v>330</v>
      </c>
      <c r="J207" s="272" t="s">
        <v>344</v>
      </c>
      <c r="K207" s="224" t="s">
        <v>356</v>
      </c>
      <c r="L207" s="224" t="s">
        <v>563</v>
      </c>
      <c r="M207" s="224" t="s">
        <v>564</v>
      </c>
      <c r="N207" s="224" t="s">
        <v>1006</v>
      </c>
      <c r="O207" s="274" t="s">
        <v>610</v>
      </c>
      <c r="P207" s="275" t="s">
        <v>611</v>
      </c>
      <c r="Q207" s="276" t="s">
        <v>612</v>
      </c>
      <c r="R207" s="277" t="s">
        <v>613</v>
      </c>
      <c r="S207" s="224" t="s">
        <v>1173</v>
      </c>
      <c r="T207" s="277" t="s">
        <v>615</v>
      </c>
      <c r="U207" s="324"/>
      <c r="V207" s="324"/>
      <c r="W207" s="324"/>
    </row>
    <row r="208">
      <c r="A208" s="333"/>
      <c r="B208" s="376" t="s">
        <v>1285</v>
      </c>
      <c r="C208" s="354"/>
      <c r="D208" s="392"/>
      <c r="E208" s="354"/>
      <c r="F208" s="354"/>
      <c r="G208" s="354"/>
      <c r="H208" s="354"/>
      <c r="I208" s="354"/>
      <c r="J208" s="354"/>
      <c r="K208" s="354"/>
      <c r="L208" s="354"/>
      <c r="M208" s="354"/>
      <c r="N208" s="354"/>
      <c r="O208" s="354"/>
      <c r="P208" s="354"/>
      <c r="Q208" s="354"/>
      <c r="R208" s="355"/>
      <c r="S208" s="354"/>
      <c r="T208" s="355"/>
      <c r="U208" s="354"/>
      <c r="V208" s="357"/>
      <c r="W208" s="357"/>
      <c r="X208" s="304"/>
      <c r="Y208" s="304"/>
      <c r="Z208" s="304"/>
    </row>
    <row r="209">
      <c r="A209" s="137"/>
      <c r="B209" s="296" t="s">
        <v>1008</v>
      </c>
      <c r="C209" s="342" t="s">
        <v>621</v>
      </c>
      <c r="D209" s="385"/>
      <c r="E209" s="343">
        <v>114.4</v>
      </c>
      <c r="F209" s="343">
        <v>2.6</v>
      </c>
      <c r="G209" s="342"/>
      <c r="H209" s="343">
        <v>54.0</v>
      </c>
      <c r="I209" s="342"/>
      <c r="J209" s="342"/>
      <c r="K209" s="368">
        <v>27.0</v>
      </c>
      <c r="L209" s="343">
        <v>28.0</v>
      </c>
      <c r="M209" s="343">
        <v>196.0</v>
      </c>
      <c r="N209" s="342"/>
      <c r="O209" s="342"/>
      <c r="P209" s="343">
        <v>2.0</v>
      </c>
      <c r="Q209" s="342"/>
      <c r="R209" s="343" t="s">
        <v>809</v>
      </c>
      <c r="S209" s="342"/>
      <c r="T209" s="137"/>
      <c r="U209" s="342"/>
      <c r="V209" s="342"/>
      <c r="W209" s="137"/>
      <c r="X209" s="137"/>
      <c r="Y209" s="137"/>
      <c r="Z209" s="137"/>
    </row>
    <row r="210">
      <c r="A210" s="137"/>
      <c r="B210" s="296" t="s">
        <v>1041</v>
      </c>
      <c r="C210" s="342" t="s">
        <v>978</v>
      </c>
      <c r="D210" s="385"/>
      <c r="E210" s="343">
        <v>107.9</v>
      </c>
      <c r="F210" s="343">
        <v>2.6</v>
      </c>
      <c r="G210" s="342"/>
      <c r="H210" s="343">
        <v>46.0</v>
      </c>
      <c r="I210" s="342"/>
      <c r="J210" s="342"/>
      <c r="K210" s="342"/>
      <c r="L210" s="343">
        <v>22.0</v>
      </c>
      <c r="M210" s="343">
        <v>140.0</v>
      </c>
      <c r="N210" s="342"/>
      <c r="O210" s="342"/>
      <c r="P210" s="343">
        <v>1.0</v>
      </c>
      <c r="Q210" s="343">
        <v>1.0</v>
      </c>
      <c r="R210" s="343" t="s">
        <v>698</v>
      </c>
      <c r="S210" s="342"/>
      <c r="T210" s="137"/>
      <c r="U210" s="342"/>
      <c r="V210" s="342"/>
      <c r="W210" s="137"/>
      <c r="X210" s="137"/>
      <c r="Y210" s="137"/>
      <c r="Z210" s="137"/>
    </row>
    <row r="211">
      <c r="A211" s="137"/>
      <c r="B211" s="317" t="s">
        <v>1286</v>
      </c>
      <c r="C211" s="342" t="s">
        <v>621</v>
      </c>
      <c r="D211" s="385"/>
      <c r="E211" s="331">
        <v>114.2</v>
      </c>
      <c r="F211" s="331">
        <v>1.8</v>
      </c>
      <c r="G211" s="368">
        <v>18.0</v>
      </c>
      <c r="H211" s="331">
        <v>56.0</v>
      </c>
      <c r="I211" s="342"/>
      <c r="J211" s="342"/>
      <c r="K211" s="342"/>
      <c r="L211" s="343"/>
      <c r="M211" s="343"/>
      <c r="N211" s="342"/>
      <c r="O211" s="368">
        <v>1.0</v>
      </c>
      <c r="P211" s="343"/>
      <c r="Q211" s="343"/>
      <c r="R211" s="331" t="s">
        <v>660</v>
      </c>
      <c r="S211" s="342"/>
      <c r="T211" s="137"/>
      <c r="U211" s="342"/>
      <c r="V211" s="342"/>
      <c r="W211" s="137"/>
      <c r="X211" s="137"/>
      <c r="Y211" s="137"/>
      <c r="Z211" s="137"/>
    </row>
    <row r="212">
      <c r="A212" s="137"/>
      <c r="B212" s="317" t="s">
        <v>1287</v>
      </c>
      <c r="C212" s="368" t="s">
        <v>1288</v>
      </c>
      <c r="D212" s="385"/>
      <c r="E212" s="331">
        <v>108.1</v>
      </c>
      <c r="F212" s="331">
        <v>1.8</v>
      </c>
      <c r="G212" s="368">
        <v>25.0</v>
      </c>
      <c r="H212" s="331">
        <v>42.0</v>
      </c>
      <c r="I212" s="342"/>
      <c r="J212" s="342"/>
      <c r="K212" s="342"/>
      <c r="L212" s="343"/>
      <c r="M212" s="331">
        <v>196.0</v>
      </c>
      <c r="N212" s="342"/>
      <c r="O212" s="342"/>
      <c r="P212" s="343"/>
      <c r="Q212" s="343"/>
      <c r="R212" s="343"/>
      <c r="S212" s="342"/>
      <c r="T212" s="137"/>
      <c r="U212" s="342"/>
      <c r="V212" s="342"/>
      <c r="W212" s="137"/>
      <c r="X212" s="137"/>
      <c r="Y212" s="137"/>
      <c r="Z212" s="137"/>
    </row>
    <row r="213">
      <c r="A213" s="137"/>
      <c r="B213" s="296" t="s">
        <v>1013</v>
      </c>
      <c r="C213" s="342" t="s">
        <v>1014</v>
      </c>
      <c r="D213" s="385"/>
      <c r="E213" s="343">
        <v>103.0</v>
      </c>
      <c r="F213" s="343">
        <v>2.5</v>
      </c>
      <c r="G213" s="343">
        <v>23.0</v>
      </c>
      <c r="H213" s="343">
        <v>44.0</v>
      </c>
      <c r="I213" s="342"/>
      <c r="J213" s="342"/>
      <c r="K213" s="342"/>
      <c r="L213" s="342"/>
      <c r="M213" s="342"/>
      <c r="N213" s="342"/>
      <c r="O213" s="342"/>
      <c r="P213" s="342"/>
      <c r="Q213" s="342"/>
      <c r="R213" s="137"/>
      <c r="S213" s="343"/>
      <c r="T213" s="137"/>
      <c r="U213" s="342"/>
      <c r="V213" s="342"/>
      <c r="W213" s="137"/>
      <c r="X213" s="137"/>
      <c r="Y213" s="137"/>
      <c r="Z213" s="137"/>
    </row>
    <row r="214">
      <c r="A214" s="137"/>
      <c r="B214" s="296" t="s">
        <v>1048</v>
      </c>
      <c r="C214" s="342" t="s">
        <v>1047</v>
      </c>
      <c r="D214" s="385"/>
      <c r="E214" s="343">
        <v>103.0</v>
      </c>
      <c r="F214" s="343">
        <v>1.5</v>
      </c>
      <c r="G214" s="342"/>
      <c r="H214" s="343">
        <v>44.0</v>
      </c>
      <c r="I214" s="342"/>
      <c r="J214" s="343">
        <v>21.0</v>
      </c>
      <c r="K214" s="343"/>
      <c r="L214" s="342"/>
      <c r="M214" s="342"/>
      <c r="N214" s="342"/>
      <c r="O214" s="342"/>
      <c r="P214" s="342"/>
      <c r="Q214" s="342"/>
      <c r="R214" s="137"/>
      <c r="S214" s="343"/>
      <c r="T214" s="137"/>
      <c r="U214" s="342"/>
      <c r="V214" s="342"/>
      <c r="W214" s="137"/>
      <c r="X214" s="137"/>
      <c r="Y214" s="137"/>
      <c r="Z214" s="137"/>
    </row>
    <row r="215">
      <c r="A215" s="292"/>
      <c r="B215" s="288" t="s">
        <v>1289</v>
      </c>
      <c r="C215" s="326" t="s">
        <v>1122</v>
      </c>
      <c r="D215" s="387"/>
      <c r="E215" s="326">
        <v>87.5</v>
      </c>
      <c r="F215" s="326">
        <v>2.6</v>
      </c>
      <c r="G215" s="154"/>
      <c r="H215" s="326">
        <v>30.0</v>
      </c>
      <c r="I215" s="326">
        <v>24.0</v>
      </c>
      <c r="J215" s="326"/>
      <c r="K215" s="326"/>
      <c r="L215" s="326"/>
      <c r="M215" s="326"/>
      <c r="N215" s="326"/>
      <c r="O215" s="326"/>
      <c r="P215" s="326">
        <v>1.0</v>
      </c>
      <c r="Q215" s="326"/>
      <c r="R215" s="327" t="s">
        <v>674</v>
      </c>
      <c r="S215" s="326"/>
      <c r="T215" s="327"/>
      <c r="U215" s="326"/>
      <c r="V215" s="326"/>
      <c r="W215" s="329"/>
    </row>
    <row r="216">
      <c r="A216" s="281"/>
      <c r="B216" s="288" t="s">
        <v>1290</v>
      </c>
      <c r="C216" s="326" t="s">
        <v>1291</v>
      </c>
      <c r="D216" s="387"/>
      <c r="E216" s="326">
        <v>83.7</v>
      </c>
      <c r="F216" s="326">
        <v>2.6</v>
      </c>
      <c r="G216" s="154"/>
      <c r="H216" s="326"/>
      <c r="I216" s="326"/>
      <c r="J216" s="326"/>
      <c r="K216" s="326"/>
      <c r="L216" s="326"/>
      <c r="M216" s="326"/>
      <c r="N216" s="326"/>
      <c r="O216" s="326"/>
      <c r="P216" s="326"/>
      <c r="Q216" s="326"/>
      <c r="R216" s="327"/>
      <c r="S216" s="326"/>
      <c r="T216" s="327" t="s">
        <v>1292</v>
      </c>
      <c r="U216" s="326"/>
      <c r="V216" s="326"/>
      <c r="W216" s="329"/>
    </row>
    <row r="217">
      <c r="A217" s="281"/>
      <c r="B217" s="288" t="s">
        <v>1024</v>
      </c>
      <c r="C217" s="326" t="s">
        <v>1025</v>
      </c>
      <c r="D217" s="387"/>
      <c r="E217" s="326">
        <v>96.5</v>
      </c>
      <c r="F217" s="326">
        <v>2.7</v>
      </c>
      <c r="G217" s="326"/>
      <c r="H217" s="326">
        <v>52.0</v>
      </c>
      <c r="I217" s="326">
        <v>19.0</v>
      </c>
      <c r="J217" s="326">
        <v>15.0</v>
      </c>
      <c r="K217" s="326"/>
      <c r="L217" s="326"/>
      <c r="M217" s="326"/>
      <c r="N217" s="326"/>
      <c r="O217" s="326"/>
      <c r="P217" s="326"/>
      <c r="Q217" s="326"/>
      <c r="R217" s="327"/>
      <c r="S217" s="326"/>
      <c r="T217" s="327"/>
      <c r="U217" s="326"/>
      <c r="V217" s="326"/>
      <c r="W217" s="329"/>
    </row>
    <row r="218">
      <c r="A218" s="292"/>
      <c r="B218" s="288" t="s">
        <v>1293</v>
      </c>
      <c r="C218" s="326" t="s">
        <v>1294</v>
      </c>
      <c r="D218" s="387"/>
      <c r="E218" s="326">
        <v>87.6</v>
      </c>
      <c r="F218" s="326">
        <v>2.5</v>
      </c>
      <c r="G218" s="154">
        <v>17.0</v>
      </c>
      <c r="H218" s="326"/>
      <c r="I218" s="326">
        <v>20.0</v>
      </c>
      <c r="J218" s="326"/>
      <c r="K218" s="326"/>
      <c r="L218" s="326">
        <v>18.0</v>
      </c>
      <c r="M218" s="326"/>
      <c r="N218" s="326"/>
      <c r="O218" s="326"/>
      <c r="P218" s="326"/>
      <c r="Q218" s="326"/>
      <c r="R218" s="327"/>
      <c r="S218" s="326"/>
      <c r="T218" s="327"/>
      <c r="U218" s="326"/>
      <c r="V218" s="326"/>
      <c r="W218" s="329"/>
    </row>
    <row r="219">
      <c r="A219" s="292" t="s">
        <v>627</v>
      </c>
      <c r="B219" s="288" t="s">
        <v>1295</v>
      </c>
      <c r="C219" s="326" t="s">
        <v>1296</v>
      </c>
      <c r="D219" s="387"/>
      <c r="E219" s="326">
        <v>91.1</v>
      </c>
      <c r="F219" s="326">
        <v>2.7</v>
      </c>
      <c r="G219" s="154"/>
      <c r="H219" s="326"/>
      <c r="I219" s="326"/>
      <c r="J219" s="326"/>
      <c r="K219" s="326"/>
      <c r="L219" s="326">
        <v>9.0</v>
      </c>
      <c r="M219" s="326"/>
      <c r="N219" s="326"/>
      <c r="O219" s="326"/>
      <c r="P219" s="326"/>
      <c r="Q219" s="326"/>
      <c r="R219" s="327"/>
      <c r="S219" s="326"/>
      <c r="T219" s="327" t="s">
        <v>1297</v>
      </c>
      <c r="U219" s="326"/>
      <c r="V219" s="326"/>
      <c r="W219" s="329"/>
    </row>
    <row r="220">
      <c r="A220" s="292" t="s">
        <v>627</v>
      </c>
      <c r="B220" s="288" t="s">
        <v>1055</v>
      </c>
      <c r="C220" s="326" t="s">
        <v>1016</v>
      </c>
      <c r="D220" s="387"/>
      <c r="E220" s="326">
        <v>97.6</v>
      </c>
      <c r="F220" s="326">
        <v>2.7</v>
      </c>
      <c r="G220" s="326"/>
      <c r="H220" s="326"/>
      <c r="I220" s="326"/>
      <c r="J220" s="326"/>
      <c r="K220" s="326"/>
      <c r="L220" s="326">
        <v>19.0</v>
      </c>
      <c r="M220" s="326"/>
      <c r="N220" s="326"/>
      <c r="O220" s="326"/>
      <c r="P220" s="326"/>
      <c r="Q220" s="326"/>
      <c r="R220" s="327"/>
      <c r="S220" s="326"/>
      <c r="T220" s="327" t="s">
        <v>1297</v>
      </c>
      <c r="U220" s="326"/>
      <c r="V220" s="326"/>
      <c r="W220" s="329"/>
    </row>
    <row r="221" ht="14.25" customHeight="1">
      <c r="A221" s="292" t="s">
        <v>627</v>
      </c>
      <c r="B221" s="288" t="s">
        <v>1298</v>
      </c>
      <c r="C221" s="326" t="s">
        <v>1299</v>
      </c>
      <c r="D221" s="387"/>
      <c r="E221" s="326">
        <v>84.3</v>
      </c>
      <c r="F221" s="326">
        <v>2.7</v>
      </c>
      <c r="G221" s="154"/>
      <c r="H221" s="326"/>
      <c r="I221" s="326"/>
      <c r="J221" s="326"/>
      <c r="K221" s="326"/>
      <c r="L221" s="326"/>
      <c r="M221" s="326"/>
      <c r="N221" s="326"/>
      <c r="O221" s="326"/>
      <c r="P221" s="326"/>
      <c r="Q221" s="326"/>
      <c r="R221" s="327"/>
      <c r="S221" s="326"/>
      <c r="T221" s="327" t="s">
        <v>1297</v>
      </c>
      <c r="U221" s="326"/>
      <c r="V221" s="326"/>
      <c r="W221" s="329"/>
    </row>
    <row r="222" ht="15.0" customHeight="1">
      <c r="A222" s="292" t="s">
        <v>627</v>
      </c>
      <c r="B222" s="288" t="s">
        <v>1300</v>
      </c>
      <c r="C222" s="326" t="s">
        <v>1268</v>
      </c>
      <c r="D222" s="387"/>
      <c r="E222" s="326">
        <v>83.5</v>
      </c>
      <c r="F222" s="326">
        <v>2.4</v>
      </c>
      <c r="G222" s="154"/>
      <c r="H222" s="326">
        <v>50.0</v>
      </c>
      <c r="I222" s="326"/>
      <c r="J222" s="326"/>
      <c r="K222" s="326"/>
      <c r="L222" s="326"/>
      <c r="M222" s="326"/>
      <c r="N222" s="326"/>
      <c r="O222" s="326"/>
      <c r="P222" s="326"/>
      <c r="Q222" s="326"/>
      <c r="R222" s="327"/>
      <c r="S222" s="326"/>
      <c r="T222" s="327"/>
      <c r="U222" s="326"/>
      <c r="V222" s="326"/>
      <c r="W222" s="329"/>
    </row>
    <row r="223">
      <c r="A223" s="301"/>
      <c r="B223" s="311" t="s">
        <v>1301</v>
      </c>
      <c r="C223" s="326" t="s">
        <v>1302</v>
      </c>
      <c r="D223" s="315"/>
      <c r="E223" s="326">
        <v>71.7</v>
      </c>
      <c r="F223" s="326">
        <v>2.7</v>
      </c>
      <c r="G223" s="326"/>
      <c r="H223" s="326">
        <v>32.0</v>
      </c>
      <c r="I223" s="326"/>
      <c r="J223" s="326">
        <v>16.0</v>
      </c>
      <c r="K223" s="326"/>
      <c r="L223" s="326">
        <v>13.0</v>
      </c>
      <c r="M223" s="326"/>
      <c r="N223" s="326"/>
      <c r="O223" s="326"/>
      <c r="P223" s="326"/>
      <c r="Q223" s="326"/>
      <c r="R223" s="327"/>
      <c r="S223" s="326"/>
      <c r="T223" s="327"/>
      <c r="U223" s="326"/>
      <c r="V223" s="326"/>
      <c r="W223" s="329"/>
    </row>
    <row r="224">
      <c r="A224" s="301"/>
      <c r="B224" s="288" t="s">
        <v>1020</v>
      </c>
      <c r="C224" s="326" t="s">
        <v>741</v>
      </c>
      <c r="D224" s="387"/>
      <c r="E224" s="326">
        <v>100.2</v>
      </c>
      <c r="F224" s="326">
        <v>2.7</v>
      </c>
      <c r="G224" s="326"/>
      <c r="H224" s="326">
        <v>52.0</v>
      </c>
      <c r="I224" s="326"/>
      <c r="J224" s="326"/>
      <c r="K224" s="326"/>
      <c r="L224" s="326"/>
      <c r="M224" s="326"/>
      <c r="N224" s="326"/>
      <c r="O224" s="326"/>
      <c r="P224" s="326"/>
      <c r="Q224" s="326"/>
      <c r="R224" s="327"/>
      <c r="S224" s="326"/>
      <c r="T224" s="327" t="s">
        <v>1021</v>
      </c>
      <c r="U224" s="326"/>
      <c r="V224" s="326"/>
      <c r="W224" s="329"/>
    </row>
    <row r="225">
      <c r="A225" s="219" t="s">
        <v>1303</v>
      </c>
      <c r="B225" s="317" t="s">
        <v>1304</v>
      </c>
      <c r="C225" s="368" t="s">
        <v>1305</v>
      </c>
      <c r="D225" s="315"/>
      <c r="E225" s="331">
        <v>85.4</v>
      </c>
      <c r="F225" s="331">
        <v>1.4</v>
      </c>
      <c r="G225" s="330"/>
      <c r="H225" s="331">
        <v>34.0</v>
      </c>
      <c r="I225" s="368">
        <v>22.0</v>
      </c>
      <c r="J225" s="330"/>
      <c r="K225" s="330"/>
      <c r="L225" s="368"/>
      <c r="M225" s="330"/>
      <c r="N225" s="330"/>
      <c r="O225" s="330"/>
      <c r="P225" s="330"/>
      <c r="Q225" s="330"/>
      <c r="R225" s="295"/>
      <c r="S225" s="330"/>
      <c r="T225" s="316"/>
      <c r="U225" s="330"/>
      <c r="V225" s="330"/>
      <c r="W225" s="137"/>
      <c r="X225" s="137"/>
      <c r="Y225" s="137"/>
      <c r="Z225" s="137"/>
    </row>
    <row r="226">
      <c r="A226" s="219" t="s">
        <v>1303</v>
      </c>
      <c r="B226" s="391" t="s">
        <v>1306</v>
      </c>
      <c r="C226" s="368" t="s">
        <v>1307</v>
      </c>
      <c r="D226" s="315"/>
      <c r="E226" s="331">
        <v>71.5</v>
      </c>
      <c r="F226" s="331">
        <v>1.3</v>
      </c>
      <c r="G226" s="368">
        <v>16.0</v>
      </c>
      <c r="H226" s="331"/>
      <c r="I226" s="330"/>
      <c r="J226" s="368">
        <v>15.0</v>
      </c>
      <c r="K226" s="368"/>
      <c r="L226" s="368">
        <v>13.0</v>
      </c>
      <c r="M226" s="330"/>
      <c r="N226" s="330"/>
      <c r="O226" s="330"/>
      <c r="P226" s="330"/>
      <c r="Q226" s="330"/>
      <c r="R226" s="295"/>
      <c r="S226" s="330"/>
      <c r="T226" s="316"/>
      <c r="U226" s="330"/>
      <c r="V226" s="330"/>
      <c r="W226" s="137"/>
      <c r="X226" s="137"/>
      <c r="Y226" s="137"/>
      <c r="Z226" s="137"/>
    </row>
    <row r="227">
      <c r="A227" s="219" t="s">
        <v>1303</v>
      </c>
      <c r="B227" s="391" t="s">
        <v>1308</v>
      </c>
      <c r="C227" s="368" t="s">
        <v>1309</v>
      </c>
      <c r="D227" s="315"/>
      <c r="E227" s="331">
        <v>71.8</v>
      </c>
      <c r="F227" s="331">
        <v>1.4</v>
      </c>
      <c r="G227" s="330"/>
      <c r="H227" s="331">
        <v>30.0</v>
      </c>
      <c r="I227" s="330"/>
      <c r="J227" s="330"/>
      <c r="K227" s="330"/>
      <c r="L227" s="368">
        <v>13.0</v>
      </c>
      <c r="M227" s="330"/>
      <c r="N227" s="330"/>
      <c r="O227" s="330"/>
      <c r="P227" s="330"/>
      <c r="Q227" s="330"/>
      <c r="R227" s="295"/>
      <c r="S227" s="330"/>
      <c r="T227" s="316"/>
      <c r="U227" s="330"/>
      <c r="V227" s="330"/>
      <c r="W227" s="137"/>
      <c r="X227" s="137"/>
      <c r="Y227" s="137"/>
      <c r="Z227" s="137"/>
    </row>
    <row r="228">
      <c r="A228" s="345"/>
      <c r="B228" s="334" t="s">
        <v>1060</v>
      </c>
      <c r="C228" s="335" t="s">
        <v>1025</v>
      </c>
      <c r="D228" s="315"/>
      <c r="E228" s="335">
        <v>96.7</v>
      </c>
      <c r="F228" s="335">
        <v>1.5</v>
      </c>
      <c r="G228" s="335">
        <v>25.0</v>
      </c>
      <c r="H228" s="335">
        <v>40.0</v>
      </c>
      <c r="I228" s="336"/>
      <c r="J228" s="336"/>
      <c r="K228" s="336"/>
      <c r="L228" s="335">
        <v>21.0</v>
      </c>
      <c r="M228" s="336"/>
      <c r="N228" s="336"/>
      <c r="O228" s="336"/>
      <c r="P228" s="336"/>
      <c r="Q228" s="336"/>
      <c r="R228" s="337"/>
      <c r="S228" s="336"/>
      <c r="T228" s="346"/>
      <c r="U228" s="336"/>
      <c r="V228" s="348"/>
      <c r="W228" s="348"/>
      <c r="X228" s="340"/>
      <c r="Y228" s="340"/>
      <c r="Z228" s="340"/>
    </row>
    <row r="229">
      <c r="A229" s="142"/>
      <c r="B229" s="308" t="s">
        <v>1052</v>
      </c>
      <c r="C229" s="390" t="s">
        <v>821</v>
      </c>
      <c r="D229" s="393"/>
      <c r="E229" s="394">
        <v>100.3</v>
      </c>
      <c r="F229" s="394">
        <v>1.5</v>
      </c>
      <c r="G229" s="395"/>
      <c r="H229" s="394">
        <v>40.0</v>
      </c>
      <c r="I229" s="395"/>
      <c r="J229" s="394">
        <v>19.0</v>
      </c>
      <c r="K229" s="394"/>
      <c r="L229" s="395"/>
      <c r="M229" s="395"/>
      <c r="N229" s="395"/>
      <c r="O229" s="395"/>
      <c r="P229" s="395"/>
      <c r="Q229" s="395"/>
      <c r="R229" s="395"/>
      <c r="S229" s="394"/>
      <c r="T229" s="396"/>
      <c r="U229" s="395"/>
      <c r="V229" s="395"/>
      <c r="W229" s="142"/>
      <c r="X229" s="142"/>
      <c r="Y229" s="142"/>
      <c r="Z229" s="142"/>
    </row>
    <row r="230">
      <c r="A230" s="345"/>
      <c r="B230" s="354"/>
      <c r="C230" s="354"/>
      <c r="D230" s="392"/>
      <c r="E230" s="354"/>
      <c r="F230" s="354"/>
      <c r="G230" s="354"/>
      <c r="H230" s="354"/>
      <c r="I230" s="354"/>
      <c r="J230" s="354"/>
      <c r="K230" s="354"/>
      <c r="L230" s="354"/>
      <c r="M230" s="354"/>
      <c r="N230" s="354"/>
      <c r="O230" s="354"/>
      <c r="P230" s="354"/>
      <c r="Q230" s="354"/>
      <c r="R230" s="355"/>
      <c r="S230" s="354"/>
      <c r="T230" s="355"/>
      <c r="U230" s="354"/>
      <c r="V230" s="281"/>
      <c r="W230" s="281"/>
      <c r="X230" s="304"/>
      <c r="Y230" s="304"/>
      <c r="Z230" s="304"/>
    </row>
    <row r="231">
      <c r="A231" s="345"/>
      <c r="B231" s="354"/>
      <c r="C231" s="354"/>
      <c r="D231" s="392"/>
      <c r="E231" s="354"/>
      <c r="F231" s="354"/>
      <c r="G231" s="354"/>
      <c r="H231" s="354"/>
      <c r="I231" s="354"/>
      <c r="J231" s="354"/>
      <c r="K231" s="354"/>
      <c r="L231" s="354"/>
      <c r="M231" s="354"/>
      <c r="N231" s="354"/>
      <c r="O231" s="354"/>
      <c r="P231" s="354"/>
      <c r="Q231" s="354"/>
      <c r="R231" s="355"/>
      <c r="S231" s="354"/>
      <c r="T231" s="355"/>
      <c r="U231" s="354"/>
      <c r="V231" s="281"/>
      <c r="W231" s="281"/>
      <c r="X231" s="304"/>
      <c r="Y231" s="304"/>
      <c r="Z231" s="304"/>
    </row>
    <row r="232">
      <c r="A232" s="345"/>
      <c r="B232" s="354"/>
      <c r="C232" s="354"/>
      <c r="D232" s="392"/>
      <c r="E232" s="354"/>
      <c r="F232" s="354"/>
      <c r="G232" s="354"/>
      <c r="H232" s="354"/>
      <c r="I232" s="354"/>
      <c r="J232" s="354"/>
      <c r="K232" s="354"/>
      <c r="L232" s="354"/>
      <c r="M232" s="354"/>
      <c r="N232" s="354"/>
      <c r="O232" s="354"/>
      <c r="P232" s="354"/>
      <c r="Q232" s="354"/>
      <c r="R232" s="355"/>
      <c r="S232" s="354"/>
      <c r="T232" s="355"/>
      <c r="U232" s="354"/>
      <c r="V232" s="281"/>
      <c r="W232" s="281"/>
      <c r="X232" s="304"/>
      <c r="Y232" s="304"/>
      <c r="Z232" s="304"/>
    </row>
    <row r="233">
      <c r="A233" s="345"/>
      <c r="B233" s="281"/>
      <c r="C233" s="281"/>
      <c r="D233" s="397"/>
      <c r="E233" s="281"/>
      <c r="F233" s="281"/>
      <c r="G233" s="354"/>
      <c r="H233" s="281"/>
      <c r="I233" s="281"/>
      <c r="J233" s="281"/>
      <c r="K233" s="281"/>
      <c r="L233" s="281"/>
      <c r="M233" s="281"/>
      <c r="N233" s="281"/>
      <c r="O233" s="281"/>
      <c r="P233" s="281"/>
      <c r="Q233" s="281"/>
      <c r="R233" s="282"/>
      <c r="S233" s="281"/>
      <c r="T233" s="282"/>
      <c r="U233" s="281"/>
      <c r="V233" s="281"/>
      <c r="W233" s="281"/>
      <c r="X233" s="304"/>
      <c r="Y233" s="304"/>
      <c r="Z233" s="304"/>
    </row>
    <row r="234">
      <c r="A234" s="345"/>
      <c r="B234" s="281"/>
      <c r="C234" s="281"/>
      <c r="D234" s="397"/>
      <c r="E234" s="281"/>
      <c r="F234" s="281"/>
      <c r="G234" s="354"/>
      <c r="H234" s="281"/>
      <c r="I234" s="281"/>
      <c r="J234" s="281"/>
      <c r="K234" s="281"/>
      <c r="L234" s="281"/>
      <c r="M234" s="281"/>
      <c r="N234" s="281"/>
      <c r="O234" s="281"/>
      <c r="P234" s="281"/>
      <c r="Q234" s="281"/>
      <c r="R234" s="282"/>
      <c r="S234" s="281"/>
      <c r="T234" s="282"/>
      <c r="U234" s="281"/>
      <c r="V234" s="281"/>
      <c r="W234" s="281"/>
      <c r="X234" s="304"/>
      <c r="Y234" s="304"/>
      <c r="Z234" s="304"/>
    </row>
    <row r="235">
      <c r="A235" s="345"/>
      <c r="B235" s="281"/>
      <c r="C235" s="281"/>
      <c r="D235" s="397"/>
      <c r="E235" s="281"/>
      <c r="F235" s="281"/>
      <c r="G235" s="354"/>
      <c r="H235" s="281"/>
      <c r="I235" s="281"/>
      <c r="J235" s="281"/>
      <c r="K235" s="281"/>
      <c r="L235" s="281"/>
      <c r="M235" s="281"/>
      <c r="N235" s="281"/>
      <c r="O235" s="281"/>
      <c r="P235" s="281"/>
      <c r="Q235" s="281"/>
      <c r="R235" s="282"/>
      <c r="S235" s="281"/>
      <c r="T235" s="282"/>
      <c r="U235" s="281"/>
      <c r="V235" s="281"/>
      <c r="W235" s="281"/>
      <c r="X235" s="304"/>
      <c r="Y235" s="304"/>
      <c r="Z235" s="304"/>
    </row>
    <row r="236">
      <c r="A236" s="345"/>
      <c r="B236" s="281"/>
      <c r="C236" s="281"/>
      <c r="D236" s="397"/>
      <c r="E236" s="281"/>
      <c r="F236" s="281"/>
      <c r="G236" s="354"/>
      <c r="H236" s="281"/>
      <c r="I236" s="281"/>
      <c r="J236" s="281"/>
      <c r="K236" s="281"/>
      <c r="L236" s="281"/>
      <c r="M236" s="281"/>
      <c r="N236" s="281"/>
      <c r="O236" s="281"/>
      <c r="P236" s="281"/>
      <c r="Q236" s="281"/>
      <c r="R236" s="282"/>
      <c r="S236" s="281"/>
      <c r="T236" s="282"/>
      <c r="U236" s="281"/>
      <c r="V236" s="281"/>
      <c r="W236" s="281"/>
      <c r="X236" s="304"/>
      <c r="Y236" s="304"/>
      <c r="Z236" s="304"/>
    </row>
    <row r="237">
      <c r="A237" s="345"/>
      <c r="B237" s="281"/>
      <c r="C237" s="281"/>
      <c r="D237" s="397"/>
      <c r="E237" s="281"/>
      <c r="F237" s="281"/>
      <c r="G237" s="354"/>
      <c r="H237" s="281"/>
      <c r="I237" s="281"/>
      <c r="J237" s="281"/>
      <c r="K237" s="281"/>
      <c r="L237" s="281"/>
      <c r="M237" s="281"/>
      <c r="N237" s="281"/>
      <c r="O237" s="281"/>
      <c r="P237" s="281"/>
      <c r="Q237" s="281"/>
      <c r="R237" s="282"/>
      <c r="S237" s="281"/>
      <c r="T237" s="282"/>
      <c r="U237" s="281"/>
      <c r="V237" s="281"/>
      <c r="W237" s="281"/>
      <c r="X237" s="304"/>
      <c r="Y237" s="304"/>
      <c r="Z237" s="304"/>
    </row>
    <row r="238">
      <c r="A238" s="345"/>
      <c r="B238" s="281"/>
      <c r="C238" s="281"/>
      <c r="D238" s="397"/>
      <c r="E238" s="281"/>
      <c r="F238" s="281"/>
      <c r="G238" s="354"/>
      <c r="H238" s="281"/>
      <c r="I238" s="281"/>
      <c r="J238" s="281"/>
      <c r="K238" s="281"/>
      <c r="L238" s="281"/>
      <c r="M238" s="281"/>
      <c r="N238" s="281"/>
      <c r="O238" s="281"/>
      <c r="P238" s="281"/>
      <c r="Q238" s="281"/>
      <c r="R238" s="282"/>
      <c r="S238" s="281"/>
      <c r="T238" s="282"/>
      <c r="U238" s="281"/>
      <c r="V238" s="281"/>
      <c r="W238" s="281"/>
      <c r="X238" s="304"/>
      <c r="Y238" s="304"/>
      <c r="Z238" s="304"/>
    </row>
    <row r="239">
      <c r="A239" s="345"/>
      <c r="B239" s="281"/>
      <c r="C239" s="281"/>
      <c r="D239" s="397"/>
      <c r="E239" s="281"/>
      <c r="F239" s="281"/>
      <c r="G239" s="354"/>
      <c r="H239" s="281"/>
      <c r="I239" s="281"/>
      <c r="J239" s="281"/>
      <c r="K239" s="281"/>
      <c r="L239" s="281"/>
      <c r="M239" s="281"/>
      <c r="N239" s="281"/>
      <c r="O239" s="281"/>
      <c r="P239" s="281"/>
      <c r="Q239" s="281"/>
      <c r="R239" s="282"/>
      <c r="S239" s="281"/>
      <c r="T239" s="282"/>
      <c r="U239" s="281"/>
      <c r="V239" s="281"/>
      <c r="W239" s="281"/>
      <c r="X239" s="304"/>
      <c r="Y239" s="304"/>
      <c r="Z239" s="304"/>
    </row>
    <row r="240">
      <c r="A240" s="345"/>
      <c r="B240" s="281"/>
      <c r="C240" s="281"/>
      <c r="D240" s="397"/>
      <c r="E240" s="281"/>
      <c r="F240" s="281"/>
      <c r="G240" s="354"/>
      <c r="H240" s="281"/>
      <c r="I240" s="281"/>
      <c r="J240" s="281"/>
      <c r="K240" s="281"/>
      <c r="L240" s="281"/>
      <c r="M240" s="281"/>
      <c r="N240" s="281"/>
      <c r="O240" s="281"/>
      <c r="P240" s="281"/>
      <c r="Q240" s="281"/>
      <c r="R240" s="282"/>
      <c r="S240" s="281"/>
      <c r="T240" s="282"/>
      <c r="U240" s="281"/>
      <c r="V240" s="281"/>
      <c r="W240" s="281"/>
      <c r="X240" s="304"/>
      <c r="Y240" s="304"/>
      <c r="Z240" s="304"/>
    </row>
    <row r="241">
      <c r="A241" s="345"/>
      <c r="B241" s="281"/>
      <c r="C241" s="281"/>
      <c r="D241" s="397"/>
      <c r="E241" s="281"/>
      <c r="F241" s="281"/>
      <c r="G241" s="354"/>
      <c r="H241" s="281"/>
      <c r="I241" s="281"/>
      <c r="J241" s="281"/>
      <c r="K241" s="281"/>
      <c r="L241" s="281"/>
      <c r="M241" s="281"/>
      <c r="N241" s="281"/>
      <c r="O241" s="281"/>
      <c r="P241" s="281"/>
      <c r="Q241" s="281"/>
      <c r="R241" s="282"/>
      <c r="S241" s="281"/>
      <c r="T241" s="282"/>
      <c r="U241" s="281"/>
      <c r="V241" s="281"/>
      <c r="W241" s="281"/>
      <c r="X241" s="304"/>
      <c r="Y241" s="304"/>
      <c r="Z241" s="304"/>
    </row>
    <row r="242">
      <c r="A242" s="345"/>
      <c r="B242" s="281"/>
      <c r="C242" s="281"/>
      <c r="D242" s="397"/>
      <c r="E242" s="281"/>
      <c r="F242" s="281"/>
      <c r="G242" s="329"/>
      <c r="H242" s="281"/>
      <c r="I242" s="281"/>
      <c r="J242" s="281"/>
      <c r="K242" s="281"/>
      <c r="L242" s="281"/>
      <c r="M242" s="281"/>
      <c r="N242" s="281"/>
      <c r="O242" s="281"/>
      <c r="P242" s="281"/>
      <c r="Q242" s="281"/>
      <c r="R242" s="282"/>
      <c r="S242" s="281"/>
      <c r="T242" s="282"/>
      <c r="U242" s="281"/>
      <c r="V242" s="281"/>
      <c r="W242" s="281"/>
      <c r="X242" s="304"/>
      <c r="Y242" s="304"/>
      <c r="Z242" s="304"/>
    </row>
    <row r="243">
      <c r="A243" s="345"/>
      <c r="B243" s="281"/>
      <c r="C243" s="281"/>
      <c r="D243" s="397"/>
      <c r="E243" s="281"/>
      <c r="F243" s="281"/>
      <c r="G243" s="329"/>
      <c r="H243" s="281"/>
      <c r="I243" s="281"/>
      <c r="J243" s="281"/>
      <c r="K243" s="281"/>
      <c r="L243" s="281"/>
      <c r="M243" s="281"/>
      <c r="N243" s="281"/>
      <c r="O243" s="281"/>
      <c r="P243" s="281"/>
      <c r="Q243" s="281"/>
      <c r="R243" s="282"/>
      <c r="S243" s="281"/>
      <c r="T243" s="282"/>
      <c r="U243" s="281"/>
      <c r="V243" s="281"/>
      <c r="W243" s="281"/>
      <c r="X243" s="304"/>
      <c r="Y243" s="304"/>
      <c r="Z243" s="304"/>
    </row>
    <row r="244">
      <c r="A244" s="345"/>
      <c r="B244" s="281"/>
      <c r="C244" s="281"/>
      <c r="D244" s="397"/>
      <c r="E244" s="281"/>
      <c r="F244" s="281"/>
      <c r="G244" s="329"/>
      <c r="H244" s="281"/>
      <c r="I244" s="281"/>
      <c r="J244" s="281"/>
      <c r="K244" s="281"/>
      <c r="L244" s="281"/>
      <c r="M244" s="281"/>
      <c r="N244" s="281"/>
      <c r="O244" s="281"/>
      <c r="P244" s="281"/>
      <c r="Q244" s="281"/>
      <c r="R244" s="282"/>
      <c r="S244" s="281"/>
      <c r="T244" s="282"/>
      <c r="U244" s="281"/>
      <c r="V244" s="281"/>
      <c r="W244" s="281"/>
      <c r="X244" s="304"/>
      <c r="Y244" s="304"/>
      <c r="Z244" s="304"/>
    </row>
    <row r="245">
      <c r="A245" s="345"/>
      <c r="B245" s="281"/>
      <c r="C245" s="281"/>
      <c r="D245" s="397"/>
      <c r="E245" s="281"/>
      <c r="F245" s="281"/>
      <c r="G245" s="326"/>
      <c r="H245" s="281"/>
      <c r="I245" s="281"/>
      <c r="J245" s="281"/>
      <c r="K245" s="281"/>
      <c r="L245" s="281"/>
      <c r="M245" s="281"/>
      <c r="N245" s="281"/>
      <c r="O245" s="281"/>
      <c r="P245" s="281"/>
      <c r="Q245" s="281"/>
      <c r="R245" s="282"/>
      <c r="S245" s="281"/>
      <c r="T245" s="282"/>
      <c r="U245" s="281"/>
      <c r="V245" s="281"/>
      <c r="W245" s="281"/>
      <c r="X245" s="304"/>
      <c r="Y245" s="304"/>
      <c r="Z245" s="304"/>
    </row>
    <row r="246">
      <c r="A246" s="345"/>
      <c r="B246" s="281"/>
      <c r="C246" s="281"/>
      <c r="D246" s="397"/>
      <c r="E246" s="281"/>
      <c r="F246" s="281"/>
      <c r="G246" s="326"/>
      <c r="H246" s="281"/>
      <c r="I246" s="281"/>
      <c r="J246" s="281"/>
      <c r="K246" s="281"/>
      <c r="L246" s="281"/>
      <c r="M246" s="281"/>
      <c r="N246" s="281"/>
      <c r="O246" s="281"/>
      <c r="P246" s="281"/>
      <c r="Q246" s="281"/>
      <c r="R246" s="282"/>
      <c r="S246" s="281"/>
      <c r="T246" s="282"/>
      <c r="U246" s="281"/>
      <c r="V246" s="281"/>
      <c r="W246" s="281"/>
      <c r="X246" s="304"/>
      <c r="Y246" s="304"/>
      <c r="Z246" s="304"/>
    </row>
    <row r="247">
      <c r="A247" s="345"/>
      <c r="B247" s="281"/>
      <c r="C247" s="281"/>
      <c r="D247" s="397"/>
      <c r="E247" s="281"/>
      <c r="F247" s="281"/>
      <c r="G247" s="326"/>
      <c r="H247" s="281"/>
      <c r="I247" s="281"/>
      <c r="J247" s="281"/>
      <c r="K247" s="281"/>
      <c r="L247" s="281"/>
      <c r="M247" s="281"/>
      <c r="N247" s="281"/>
      <c r="O247" s="281"/>
      <c r="P247" s="281"/>
      <c r="Q247" s="281"/>
      <c r="R247" s="282"/>
      <c r="S247" s="281"/>
      <c r="T247" s="282"/>
      <c r="U247" s="281"/>
      <c r="V247" s="281"/>
      <c r="W247" s="281"/>
      <c r="X247" s="304"/>
      <c r="Y247" s="304"/>
      <c r="Z247" s="304"/>
    </row>
    <row r="248">
      <c r="A248" s="345"/>
      <c r="B248" s="281"/>
      <c r="C248" s="281"/>
      <c r="D248" s="397"/>
      <c r="E248" s="281"/>
      <c r="F248" s="281"/>
      <c r="G248" s="326"/>
      <c r="H248" s="281"/>
      <c r="I248" s="281"/>
      <c r="J248" s="281"/>
      <c r="K248" s="281"/>
      <c r="L248" s="281"/>
      <c r="M248" s="281"/>
      <c r="N248" s="281"/>
      <c r="O248" s="281"/>
      <c r="P248" s="281"/>
      <c r="Q248" s="281"/>
      <c r="R248" s="282"/>
      <c r="S248" s="281"/>
      <c r="T248" s="282"/>
      <c r="U248" s="281"/>
      <c r="V248" s="281"/>
      <c r="W248" s="281"/>
      <c r="X248" s="304"/>
      <c r="Y248" s="304"/>
      <c r="Z248" s="304"/>
    </row>
    <row r="249">
      <c r="A249" s="345"/>
      <c r="B249" s="281"/>
      <c r="C249" s="281"/>
      <c r="D249" s="397"/>
      <c r="E249" s="281"/>
      <c r="F249" s="281"/>
      <c r="G249" s="281"/>
      <c r="H249" s="281"/>
      <c r="I249" s="281"/>
      <c r="J249" s="281"/>
      <c r="K249" s="281"/>
      <c r="L249" s="281"/>
      <c r="M249" s="281"/>
      <c r="N249" s="281"/>
      <c r="O249" s="281"/>
      <c r="P249" s="281"/>
      <c r="Q249" s="281"/>
      <c r="R249" s="282"/>
      <c r="S249" s="281"/>
      <c r="T249" s="282"/>
      <c r="U249" s="281"/>
      <c r="V249" s="281"/>
      <c r="W249" s="281"/>
      <c r="X249" s="304"/>
      <c r="Y249" s="304"/>
      <c r="Z249" s="304"/>
    </row>
    <row r="250">
      <c r="A250" s="345"/>
      <c r="B250" s="281"/>
      <c r="C250" s="281"/>
      <c r="D250" s="397"/>
      <c r="E250" s="281"/>
      <c r="F250" s="281"/>
      <c r="G250" s="281"/>
      <c r="H250" s="281"/>
      <c r="I250" s="281"/>
      <c r="J250" s="281"/>
      <c r="K250" s="281"/>
      <c r="L250" s="281"/>
      <c r="M250" s="281"/>
      <c r="N250" s="281"/>
      <c r="O250" s="281"/>
      <c r="P250" s="281"/>
      <c r="Q250" s="281"/>
      <c r="R250" s="282"/>
      <c r="S250" s="281"/>
      <c r="T250" s="282"/>
      <c r="U250" s="281"/>
      <c r="V250" s="281"/>
      <c r="W250" s="281"/>
      <c r="X250" s="304"/>
      <c r="Y250" s="304"/>
      <c r="Z250" s="304"/>
    </row>
    <row r="251">
      <c r="A251" s="345"/>
      <c r="B251" s="281"/>
      <c r="C251" s="281"/>
      <c r="D251" s="397"/>
      <c r="E251" s="281"/>
      <c r="F251" s="281"/>
      <c r="G251" s="281"/>
      <c r="H251" s="281"/>
      <c r="I251" s="281"/>
      <c r="J251" s="281"/>
      <c r="K251" s="281"/>
      <c r="L251" s="281"/>
      <c r="M251" s="281"/>
      <c r="N251" s="281"/>
      <c r="O251" s="281"/>
      <c r="P251" s="281"/>
      <c r="Q251" s="281"/>
      <c r="R251" s="282"/>
      <c r="S251" s="281"/>
      <c r="T251" s="282"/>
      <c r="U251" s="281"/>
      <c r="V251" s="281"/>
      <c r="W251" s="281"/>
      <c r="X251" s="304"/>
      <c r="Y251" s="304"/>
      <c r="Z251" s="304"/>
    </row>
    <row r="252">
      <c r="A252" s="345"/>
      <c r="B252" s="281"/>
      <c r="C252" s="281"/>
      <c r="D252" s="397"/>
      <c r="E252" s="281"/>
      <c r="F252" s="281"/>
      <c r="G252" s="281"/>
      <c r="H252" s="281"/>
      <c r="I252" s="281"/>
      <c r="J252" s="281"/>
      <c r="K252" s="281"/>
      <c r="L252" s="281"/>
      <c r="M252" s="281"/>
      <c r="N252" s="281"/>
      <c r="O252" s="281"/>
      <c r="P252" s="281"/>
      <c r="Q252" s="281"/>
      <c r="R252" s="282"/>
      <c r="S252" s="281"/>
      <c r="T252" s="282"/>
      <c r="U252" s="281"/>
      <c r="V252" s="281"/>
      <c r="W252" s="281"/>
      <c r="X252" s="304"/>
      <c r="Y252" s="304"/>
      <c r="Z252" s="304"/>
    </row>
    <row r="253">
      <c r="A253" s="345"/>
      <c r="B253" s="281"/>
      <c r="C253" s="281"/>
      <c r="D253" s="397"/>
      <c r="E253" s="281"/>
      <c r="F253" s="281"/>
      <c r="G253" s="281"/>
      <c r="H253" s="281"/>
      <c r="I253" s="281"/>
      <c r="J253" s="281"/>
      <c r="K253" s="281"/>
      <c r="L253" s="281"/>
      <c r="M253" s="281"/>
      <c r="N253" s="281"/>
      <c r="O253" s="281"/>
      <c r="P253" s="281"/>
      <c r="Q253" s="281"/>
      <c r="R253" s="282"/>
      <c r="S253" s="281"/>
      <c r="T253" s="282"/>
      <c r="U253" s="281"/>
      <c r="V253" s="281"/>
      <c r="W253" s="281"/>
      <c r="X253" s="304"/>
      <c r="Y253" s="304"/>
      <c r="Z253" s="304"/>
    </row>
    <row r="254">
      <c r="A254" s="345"/>
      <c r="B254" s="281"/>
      <c r="C254" s="281"/>
      <c r="D254" s="397"/>
      <c r="E254" s="281"/>
      <c r="F254" s="281"/>
      <c r="G254" s="281"/>
      <c r="H254" s="281"/>
      <c r="I254" s="281"/>
      <c r="J254" s="281"/>
      <c r="K254" s="281"/>
      <c r="L254" s="281"/>
      <c r="M254" s="281"/>
      <c r="N254" s="281"/>
      <c r="O254" s="281"/>
      <c r="P254" s="281"/>
      <c r="Q254" s="281"/>
      <c r="R254" s="282"/>
      <c r="S254" s="281"/>
      <c r="T254" s="282"/>
      <c r="U254" s="281"/>
      <c r="V254" s="281"/>
      <c r="W254" s="281"/>
      <c r="X254" s="304"/>
      <c r="Y254" s="304"/>
      <c r="Z254" s="304"/>
    </row>
    <row r="255">
      <c r="A255" s="345"/>
      <c r="B255" s="281"/>
      <c r="C255" s="281"/>
      <c r="D255" s="397"/>
      <c r="E255" s="281"/>
      <c r="F255" s="281"/>
      <c r="G255" s="281"/>
      <c r="H255" s="281"/>
      <c r="I255" s="281"/>
      <c r="J255" s="281"/>
      <c r="K255" s="281"/>
      <c r="L255" s="281"/>
      <c r="M255" s="281"/>
      <c r="N255" s="281"/>
      <c r="O255" s="281"/>
      <c r="P255" s="281"/>
      <c r="Q255" s="281"/>
      <c r="R255" s="282"/>
      <c r="S255" s="281"/>
      <c r="T255" s="282"/>
      <c r="U255" s="281"/>
      <c r="V255" s="281"/>
      <c r="W255" s="281"/>
      <c r="X255" s="304"/>
      <c r="Y255" s="304"/>
      <c r="Z255" s="304"/>
    </row>
    <row r="256">
      <c r="A256" s="345"/>
      <c r="B256" s="281"/>
      <c r="C256" s="281"/>
      <c r="D256" s="397"/>
      <c r="E256" s="281"/>
      <c r="F256" s="281"/>
      <c r="G256" s="281"/>
      <c r="H256" s="281"/>
      <c r="I256" s="281"/>
      <c r="J256" s="281"/>
      <c r="K256" s="281"/>
      <c r="L256" s="281"/>
      <c r="M256" s="281"/>
      <c r="N256" s="281"/>
      <c r="O256" s="281"/>
      <c r="P256" s="281"/>
      <c r="Q256" s="281"/>
      <c r="R256" s="282"/>
      <c r="S256" s="281"/>
      <c r="T256" s="282"/>
      <c r="U256" s="281"/>
      <c r="V256" s="281"/>
      <c r="W256" s="281"/>
      <c r="X256" s="304"/>
      <c r="Y256" s="304"/>
      <c r="Z256" s="304"/>
    </row>
    <row r="257">
      <c r="A257" s="345"/>
      <c r="B257" s="281"/>
      <c r="C257" s="281"/>
      <c r="D257" s="397"/>
      <c r="E257" s="281"/>
      <c r="F257" s="281"/>
      <c r="G257" s="281"/>
      <c r="H257" s="281"/>
      <c r="I257" s="281"/>
      <c r="J257" s="281"/>
      <c r="K257" s="281"/>
      <c r="L257" s="281"/>
      <c r="M257" s="281"/>
      <c r="N257" s="281"/>
      <c r="O257" s="281"/>
      <c r="P257" s="281"/>
      <c r="Q257" s="281"/>
      <c r="R257" s="282"/>
      <c r="S257" s="281"/>
      <c r="T257" s="282"/>
      <c r="U257" s="281"/>
      <c r="V257" s="281"/>
      <c r="W257" s="281"/>
      <c r="X257" s="304"/>
      <c r="Y257" s="304"/>
      <c r="Z257" s="304"/>
    </row>
    <row r="258">
      <c r="A258" s="345"/>
      <c r="B258" s="281"/>
      <c r="C258" s="281"/>
      <c r="D258" s="397"/>
      <c r="E258" s="281"/>
      <c r="F258" s="281"/>
      <c r="G258" s="281"/>
      <c r="H258" s="281"/>
      <c r="I258" s="281"/>
      <c r="J258" s="281"/>
      <c r="K258" s="281"/>
      <c r="L258" s="281"/>
      <c r="M258" s="281"/>
      <c r="N258" s="281"/>
      <c r="O258" s="281"/>
      <c r="P258" s="281"/>
      <c r="Q258" s="281"/>
      <c r="R258" s="282"/>
      <c r="S258" s="281"/>
      <c r="T258" s="282"/>
      <c r="U258" s="281"/>
      <c r="V258" s="281"/>
      <c r="W258" s="281"/>
      <c r="X258" s="304"/>
      <c r="Y258" s="304"/>
      <c r="Z258" s="304"/>
    </row>
    <row r="259">
      <c r="A259" s="345"/>
      <c r="B259" s="281"/>
      <c r="C259" s="281"/>
      <c r="D259" s="397"/>
      <c r="E259" s="281"/>
      <c r="F259" s="281"/>
      <c r="G259" s="281"/>
      <c r="H259" s="281"/>
      <c r="I259" s="281"/>
      <c r="J259" s="281"/>
      <c r="K259" s="281"/>
      <c r="L259" s="281"/>
      <c r="M259" s="281"/>
      <c r="N259" s="281"/>
      <c r="O259" s="281"/>
      <c r="P259" s="281"/>
      <c r="Q259" s="281"/>
      <c r="R259" s="282"/>
      <c r="S259" s="281"/>
      <c r="T259" s="282"/>
      <c r="U259" s="281"/>
      <c r="V259" s="281"/>
      <c r="W259" s="281"/>
      <c r="X259" s="304"/>
      <c r="Y259" s="304"/>
      <c r="Z259" s="304"/>
    </row>
    <row r="260">
      <c r="A260" s="345"/>
      <c r="B260" s="281"/>
      <c r="C260" s="281"/>
      <c r="D260" s="397"/>
      <c r="E260" s="281"/>
      <c r="F260" s="281"/>
      <c r="G260" s="281"/>
      <c r="H260" s="281"/>
      <c r="I260" s="281"/>
      <c r="J260" s="281"/>
      <c r="K260" s="281"/>
      <c r="L260" s="281"/>
      <c r="M260" s="281"/>
      <c r="N260" s="281"/>
      <c r="O260" s="281"/>
      <c r="P260" s="281"/>
      <c r="Q260" s="281"/>
      <c r="R260" s="282"/>
      <c r="S260" s="281"/>
      <c r="T260" s="282"/>
      <c r="U260" s="281"/>
      <c r="V260" s="281"/>
      <c r="W260" s="281"/>
      <c r="X260" s="304"/>
      <c r="Y260" s="304"/>
      <c r="Z260" s="304"/>
    </row>
    <row r="261">
      <c r="A261" s="345"/>
      <c r="B261" s="281"/>
      <c r="C261" s="281"/>
      <c r="D261" s="397"/>
      <c r="E261" s="281"/>
      <c r="F261" s="281"/>
      <c r="G261" s="281"/>
      <c r="H261" s="281"/>
      <c r="I261" s="281"/>
      <c r="J261" s="281"/>
      <c r="K261" s="281"/>
      <c r="L261" s="281"/>
      <c r="M261" s="281"/>
      <c r="N261" s="281"/>
      <c r="O261" s="281"/>
      <c r="P261" s="281"/>
      <c r="Q261" s="281"/>
      <c r="R261" s="282"/>
      <c r="S261" s="281"/>
      <c r="T261" s="282"/>
      <c r="U261" s="281"/>
      <c r="V261" s="281"/>
      <c r="W261" s="281"/>
      <c r="X261" s="304"/>
      <c r="Y261" s="304"/>
      <c r="Z261" s="304"/>
    </row>
    <row r="262">
      <c r="A262" s="345"/>
      <c r="B262" s="281"/>
      <c r="C262" s="281"/>
      <c r="D262" s="397"/>
      <c r="E262" s="281"/>
      <c r="F262" s="281"/>
      <c r="G262" s="281"/>
      <c r="H262" s="281"/>
      <c r="I262" s="281"/>
      <c r="J262" s="281"/>
      <c r="K262" s="281"/>
      <c r="L262" s="281"/>
      <c r="M262" s="281"/>
      <c r="N262" s="281"/>
      <c r="O262" s="281"/>
      <c r="P262" s="281"/>
      <c r="Q262" s="281"/>
      <c r="R262" s="282"/>
      <c r="S262" s="281"/>
      <c r="T262" s="282"/>
      <c r="U262" s="281"/>
      <c r="V262" s="281"/>
      <c r="W262" s="281"/>
      <c r="X262" s="304"/>
      <c r="Y262" s="304"/>
      <c r="Z262" s="304"/>
    </row>
    <row r="263">
      <c r="A263" s="345"/>
      <c r="B263" s="281"/>
      <c r="C263" s="281"/>
      <c r="D263" s="397"/>
      <c r="E263" s="281"/>
      <c r="F263" s="281"/>
      <c r="G263" s="281"/>
      <c r="H263" s="281"/>
      <c r="I263" s="281"/>
      <c r="J263" s="281"/>
      <c r="K263" s="281"/>
      <c r="L263" s="281"/>
      <c r="M263" s="281"/>
      <c r="N263" s="281"/>
      <c r="O263" s="281"/>
      <c r="P263" s="281"/>
      <c r="Q263" s="281"/>
      <c r="R263" s="282"/>
      <c r="S263" s="281"/>
      <c r="T263" s="282"/>
      <c r="U263" s="281"/>
      <c r="V263" s="281"/>
      <c r="W263" s="281"/>
      <c r="X263" s="304"/>
      <c r="Y263" s="304"/>
      <c r="Z263" s="304"/>
    </row>
    <row r="264">
      <c r="A264" s="345"/>
      <c r="B264" s="281"/>
      <c r="C264" s="281"/>
      <c r="D264" s="397"/>
      <c r="E264" s="281"/>
      <c r="F264" s="281"/>
      <c r="G264" s="281"/>
      <c r="H264" s="281"/>
      <c r="I264" s="281"/>
      <c r="J264" s="281"/>
      <c r="K264" s="281"/>
      <c r="L264" s="281"/>
      <c r="M264" s="281"/>
      <c r="N264" s="281"/>
      <c r="O264" s="281"/>
      <c r="P264" s="281"/>
      <c r="Q264" s="281"/>
      <c r="R264" s="282"/>
      <c r="S264" s="281"/>
      <c r="T264" s="282"/>
      <c r="U264" s="281"/>
      <c r="V264" s="281"/>
      <c r="W264" s="281"/>
      <c r="X264" s="304"/>
      <c r="Y264" s="304"/>
      <c r="Z264" s="304"/>
    </row>
    <row r="265">
      <c r="A265" s="345"/>
      <c r="B265" s="281"/>
      <c r="C265" s="281"/>
      <c r="D265" s="397"/>
      <c r="E265" s="281"/>
      <c r="F265" s="281"/>
      <c r="G265" s="281"/>
      <c r="H265" s="281"/>
      <c r="I265" s="281"/>
      <c r="J265" s="281"/>
      <c r="K265" s="281"/>
      <c r="L265" s="281"/>
      <c r="M265" s="281"/>
      <c r="N265" s="281"/>
      <c r="O265" s="281"/>
      <c r="P265" s="281"/>
      <c r="Q265" s="281"/>
      <c r="R265" s="282"/>
      <c r="S265" s="281"/>
      <c r="T265" s="282"/>
      <c r="U265" s="281"/>
      <c r="V265" s="281"/>
      <c r="W265" s="281"/>
      <c r="X265" s="304"/>
      <c r="Y265" s="304"/>
      <c r="Z265" s="304"/>
    </row>
    <row r="266">
      <c r="A266" s="345"/>
      <c r="B266" s="281"/>
      <c r="C266" s="281"/>
      <c r="D266" s="397"/>
      <c r="E266" s="281"/>
      <c r="F266" s="281"/>
      <c r="G266" s="281"/>
      <c r="H266" s="281"/>
      <c r="I266" s="281"/>
      <c r="J266" s="281"/>
      <c r="K266" s="281"/>
      <c r="L266" s="281"/>
      <c r="M266" s="281"/>
      <c r="N266" s="281"/>
      <c r="O266" s="281"/>
      <c r="P266" s="281"/>
      <c r="Q266" s="281"/>
      <c r="R266" s="282"/>
      <c r="S266" s="281"/>
      <c r="T266" s="282"/>
      <c r="U266" s="281"/>
      <c r="V266" s="281"/>
      <c r="W266" s="281"/>
      <c r="X266" s="304"/>
      <c r="Y266" s="304"/>
      <c r="Z266" s="304"/>
    </row>
    <row r="267">
      <c r="A267" s="345"/>
      <c r="B267" s="281"/>
      <c r="C267" s="281"/>
      <c r="D267" s="397"/>
      <c r="E267" s="281"/>
      <c r="F267" s="281"/>
      <c r="G267" s="281"/>
      <c r="H267" s="281"/>
      <c r="I267" s="281"/>
      <c r="J267" s="281"/>
      <c r="K267" s="281"/>
      <c r="L267" s="281"/>
      <c r="M267" s="281"/>
      <c r="N267" s="281"/>
      <c r="O267" s="281"/>
      <c r="P267" s="281"/>
      <c r="Q267" s="281"/>
      <c r="R267" s="282"/>
      <c r="S267" s="281"/>
      <c r="T267" s="282"/>
      <c r="U267" s="281"/>
      <c r="V267" s="281"/>
      <c r="W267" s="281"/>
      <c r="X267" s="304"/>
      <c r="Y267" s="304"/>
      <c r="Z267" s="304"/>
    </row>
    <row r="268">
      <c r="A268" s="345"/>
      <c r="B268" s="281"/>
      <c r="C268" s="281"/>
      <c r="D268" s="397"/>
      <c r="E268" s="281"/>
      <c r="F268" s="281"/>
      <c r="G268" s="281"/>
      <c r="H268" s="281"/>
      <c r="I268" s="281"/>
      <c r="J268" s="281"/>
      <c r="K268" s="281"/>
      <c r="L268" s="281"/>
      <c r="M268" s="281"/>
      <c r="N268" s="281"/>
      <c r="O268" s="281"/>
      <c r="P268" s="281"/>
      <c r="Q268" s="281"/>
      <c r="R268" s="282"/>
      <c r="S268" s="281"/>
      <c r="T268" s="282"/>
      <c r="U268" s="281"/>
      <c r="V268" s="281"/>
      <c r="W268" s="281"/>
      <c r="X268" s="304"/>
      <c r="Y268" s="304"/>
      <c r="Z268" s="304"/>
    </row>
    <row r="269">
      <c r="A269" s="345"/>
      <c r="B269" s="281"/>
      <c r="C269" s="281"/>
      <c r="D269" s="397"/>
      <c r="E269" s="281"/>
      <c r="F269" s="281"/>
      <c r="G269" s="281"/>
      <c r="H269" s="281"/>
      <c r="I269" s="281"/>
      <c r="J269" s="281"/>
      <c r="K269" s="281"/>
      <c r="L269" s="281"/>
      <c r="M269" s="281"/>
      <c r="N269" s="281"/>
      <c r="O269" s="281"/>
      <c r="P269" s="281"/>
      <c r="Q269" s="281"/>
      <c r="R269" s="282"/>
      <c r="S269" s="281"/>
      <c r="T269" s="282"/>
      <c r="U269" s="281"/>
      <c r="V269" s="281"/>
      <c r="W269" s="281"/>
      <c r="X269" s="304"/>
      <c r="Y269" s="304"/>
      <c r="Z269" s="304"/>
    </row>
    <row r="270">
      <c r="A270" s="345"/>
      <c r="B270" s="281"/>
      <c r="C270" s="281"/>
      <c r="D270" s="397"/>
      <c r="E270" s="281"/>
      <c r="F270" s="281"/>
      <c r="G270" s="281"/>
      <c r="H270" s="281"/>
      <c r="I270" s="281"/>
      <c r="J270" s="281"/>
      <c r="K270" s="281"/>
      <c r="L270" s="281"/>
      <c r="M270" s="281"/>
      <c r="N270" s="281"/>
      <c r="O270" s="281"/>
      <c r="P270" s="281"/>
      <c r="Q270" s="281"/>
      <c r="R270" s="282"/>
      <c r="S270" s="281"/>
      <c r="T270" s="282"/>
      <c r="U270" s="281"/>
      <c r="V270" s="281"/>
      <c r="W270" s="281"/>
      <c r="X270" s="304"/>
      <c r="Y270" s="304"/>
      <c r="Z270" s="304"/>
    </row>
    <row r="271">
      <c r="A271" s="345"/>
      <c r="B271" s="281"/>
      <c r="C271" s="281"/>
      <c r="D271" s="397"/>
      <c r="E271" s="281"/>
      <c r="F271" s="281"/>
      <c r="G271" s="281"/>
      <c r="H271" s="281"/>
      <c r="I271" s="281"/>
      <c r="J271" s="281"/>
      <c r="K271" s="281"/>
      <c r="L271" s="281"/>
      <c r="M271" s="281"/>
      <c r="N271" s="281"/>
      <c r="O271" s="281"/>
      <c r="P271" s="281"/>
      <c r="Q271" s="281"/>
      <c r="R271" s="282"/>
      <c r="S271" s="281"/>
      <c r="T271" s="282"/>
      <c r="U271" s="281"/>
      <c r="V271" s="281"/>
      <c r="W271" s="281"/>
      <c r="X271" s="304"/>
      <c r="Y271" s="304"/>
      <c r="Z271" s="304"/>
    </row>
    <row r="272">
      <c r="A272" s="345"/>
      <c r="B272" s="281"/>
      <c r="C272" s="281"/>
      <c r="D272" s="397"/>
      <c r="E272" s="281"/>
      <c r="F272" s="281"/>
      <c r="G272" s="281"/>
      <c r="H272" s="281"/>
      <c r="I272" s="281"/>
      <c r="J272" s="281"/>
      <c r="K272" s="281"/>
      <c r="L272" s="281"/>
      <c r="M272" s="281"/>
      <c r="N272" s="281"/>
      <c r="O272" s="281"/>
      <c r="P272" s="281"/>
      <c r="Q272" s="281"/>
      <c r="R272" s="281"/>
      <c r="S272" s="281"/>
      <c r="T272" s="282"/>
      <c r="U272" s="281"/>
      <c r="V272" s="281"/>
      <c r="W272" s="281"/>
      <c r="X272" s="304"/>
      <c r="Y272" s="304"/>
      <c r="Z272" s="304"/>
    </row>
    <row r="273">
      <c r="A273" s="345"/>
      <c r="B273" s="281"/>
      <c r="C273" s="281"/>
      <c r="D273" s="397"/>
      <c r="E273" s="281"/>
      <c r="F273" s="281"/>
      <c r="G273" s="281"/>
      <c r="H273" s="281"/>
      <c r="I273" s="281"/>
      <c r="J273" s="281"/>
      <c r="K273" s="281"/>
      <c r="L273" s="281"/>
      <c r="M273" s="281"/>
      <c r="N273" s="281"/>
      <c r="O273" s="281"/>
      <c r="P273" s="281"/>
      <c r="Q273" s="281"/>
      <c r="R273" s="281"/>
      <c r="S273" s="281"/>
      <c r="T273" s="282"/>
      <c r="U273" s="281"/>
      <c r="V273" s="281"/>
      <c r="W273" s="281"/>
      <c r="X273" s="304"/>
      <c r="Y273" s="304"/>
      <c r="Z273" s="304"/>
    </row>
    <row r="274">
      <c r="A274" s="345"/>
      <c r="B274" s="281"/>
      <c r="C274" s="281"/>
      <c r="D274" s="397"/>
      <c r="E274" s="281"/>
      <c r="F274" s="281"/>
      <c r="G274" s="281"/>
      <c r="H274" s="281"/>
      <c r="I274" s="281"/>
      <c r="J274" s="281"/>
      <c r="K274" s="281"/>
      <c r="L274" s="281"/>
      <c r="M274" s="281"/>
      <c r="N274" s="281"/>
      <c r="O274" s="281"/>
      <c r="P274" s="281"/>
      <c r="Q274" s="281"/>
      <c r="R274" s="281"/>
      <c r="S274" s="281"/>
      <c r="T274" s="282"/>
      <c r="U274" s="281"/>
      <c r="V274" s="281"/>
      <c r="W274" s="281"/>
      <c r="X274" s="304"/>
      <c r="Y274" s="304"/>
      <c r="Z274" s="304"/>
    </row>
    <row r="275">
      <c r="A275" s="345"/>
      <c r="B275" s="281"/>
      <c r="C275" s="281"/>
      <c r="D275" s="397"/>
      <c r="E275" s="281"/>
      <c r="F275" s="281"/>
      <c r="G275" s="281"/>
      <c r="H275" s="281"/>
      <c r="I275" s="281"/>
      <c r="J275" s="281"/>
      <c r="K275" s="281"/>
      <c r="L275" s="281"/>
      <c r="M275" s="281"/>
      <c r="N275" s="281"/>
      <c r="O275" s="281"/>
      <c r="P275" s="281"/>
      <c r="Q275" s="281"/>
      <c r="R275" s="281"/>
      <c r="S275" s="281"/>
      <c r="T275" s="282"/>
      <c r="U275" s="281"/>
      <c r="V275" s="281"/>
      <c r="W275" s="281"/>
      <c r="X275" s="304"/>
      <c r="Y275" s="304"/>
      <c r="Z275" s="304"/>
    </row>
    <row r="276">
      <c r="A276" s="345"/>
      <c r="B276" s="281"/>
      <c r="C276" s="281"/>
      <c r="D276" s="397"/>
      <c r="E276" s="281"/>
      <c r="F276" s="281"/>
      <c r="G276" s="281"/>
      <c r="H276" s="281"/>
      <c r="I276" s="281"/>
      <c r="J276" s="281"/>
      <c r="K276" s="281"/>
      <c r="L276" s="281"/>
      <c r="M276" s="281"/>
      <c r="N276" s="281"/>
      <c r="O276" s="281"/>
      <c r="P276" s="281"/>
      <c r="Q276" s="281"/>
      <c r="R276" s="281"/>
      <c r="S276" s="281"/>
      <c r="T276" s="282"/>
      <c r="U276" s="281"/>
      <c r="V276" s="281"/>
      <c r="W276" s="281"/>
      <c r="X276" s="304"/>
      <c r="Y276" s="304"/>
      <c r="Z276" s="304"/>
    </row>
    <row r="277">
      <c r="A277" s="345"/>
      <c r="B277" s="281"/>
      <c r="C277" s="281"/>
      <c r="D277" s="397"/>
      <c r="E277" s="281"/>
      <c r="F277" s="281"/>
      <c r="G277" s="281"/>
      <c r="H277" s="281"/>
      <c r="I277" s="281"/>
      <c r="J277" s="281"/>
      <c r="K277" s="281"/>
      <c r="L277" s="281"/>
      <c r="M277" s="281"/>
      <c r="N277" s="281"/>
      <c r="O277" s="281"/>
      <c r="P277" s="281"/>
      <c r="Q277" s="281"/>
      <c r="R277" s="281"/>
      <c r="S277" s="281"/>
      <c r="T277" s="282"/>
      <c r="U277" s="281"/>
      <c r="V277" s="281"/>
      <c r="W277" s="281"/>
      <c r="X277" s="304"/>
      <c r="Y277" s="304"/>
      <c r="Z277" s="304"/>
    </row>
    <row r="278">
      <c r="A278" s="345"/>
      <c r="B278" s="281"/>
      <c r="C278" s="281"/>
      <c r="D278" s="397"/>
      <c r="E278" s="281"/>
      <c r="F278" s="281"/>
      <c r="G278" s="281"/>
      <c r="H278" s="281"/>
      <c r="I278" s="281"/>
      <c r="J278" s="281"/>
      <c r="K278" s="281"/>
      <c r="L278" s="281"/>
      <c r="M278" s="281"/>
      <c r="N278" s="281"/>
      <c r="O278" s="281"/>
      <c r="P278" s="281"/>
      <c r="Q278" s="281"/>
      <c r="R278" s="281"/>
      <c r="S278" s="281"/>
      <c r="T278" s="282"/>
      <c r="U278" s="281"/>
      <c r="V278" s="281"/>
      <c r="W278" s="281"/>
      <c r="X278" s="304"/>
      <c r="Y278" s="304"/>
      <c r="Z278" s="304"/>
    </row>
    <row r="279">
      <c r="A279" s="345"/>
      <c r="B279" s="281"/>
      <c r="C279" s="281"/>
      <c r="D279" s="397"/>
      <c r="E279" s="281"/>
      <c r="F279" s="281"/>
      <c r="G279" s="281"/>
      <c r="H279" s="281"/>
      <c r="I279" s="281"/>
      <c r="J279" s="281"/>
      <c r="K279" s="281"/>
      <c r="L279" s="281"/>
      <c r="M279" s="281"/>
      <c r="N279" s="281"/>
      <c r="O279" s="281"/>
      <c r="P279" s="281"/>
      <c r="Q279" s="281"/>
      <c r="R279" s="281"/>
      <c r="S279" s="281"/>
      <c r="T279" s="282"/>
      <c r="U279" s="281"/>
      <c r="V279" s="281"/>
      <c r="W279" s="281"/>
      <c r="X279" s="304"/>
      <c r="Y279" s="304"/>
      <c r="Z279" s="304"/>
    </row>
    <row r="280">
      <c r="A280" s="345"/>
      <c r="B280" s="281"/>
      <c r="C280" s="281"/>
      <c r="D280" s="397"/>
      <c r="E280" s="281"/>
      <c r="F280" s="281"/>
      <c r="G280" s="281"/>
      <c r="H280" s="281"/>
      <c r="I280" s="281"/>
      <c r="J280" s="281"/>
      <c r="K280" s="281"/>
      <c r="L280" s="281"/>
      <c r="M280" s="281"/>
      <c r="N280" s="281"/>
      <c r="O280" s="281"/>
      <c r="P280" s="281"/>
      <c r="Q280" s="281"/>
      <c r="R280" s="281"/>
      <c r="S280" s="281"/>
      <c r="T280" s="282"/>
      <c r="U280" s="281"/>
      <c r="V280" s="281"/>
      <c r="W280" s="281"/>
      <c r="X280" s="304"/>
      <c r="Y280" s="304"/>
      <c r="Z280" s="304"/>
    </row>
    <row r="281">
      <c r="A281" s="345"/>
      <c r="B281" s="281"/>
      <c r="C281" s="281"/>
      <c r="D281" s="397"/>
      <c r="E281" s="281"/>
      <c r="F281" s="281"/>
      <c r="G281" s="281"/>
      <c r="H281" s="281"/>
      <c r="I281" s="281"/>
      <c r="J281" s="281"/>
      <c r="K281" s="281"/>
      <c r="L281" s="281"/>
      <c r="M281" s="281"/>
      <c r="N281" s="281"/>
      <c r="O281" s="281"/>
      <c r="P281" s="281"/>
      <c r="Q281" s="281"/>
      <c r="R281" s="281"/>
      <c r="S281" s="281"/>
      <c r="T281" s="282"/>
      <c r="U281" s="281"/>
      <c r="V281" s="281"/>
      <c r="W281" s="281"/>
      <c r="X281" s="304"/>
      <c r="Y281" s="304"/>
      <c r="Z281" s="304"/>
    </row>
    <row r="282">
      <c r="A282" s="345"/>
      <c r="B282" s="281"/>
      <c r="C282" s="281"/>
      <c r="D282" s="397"/>
      <c r="E282" s="281"/>
      <c r="F282" s="281"/>
      <c r="G282" s="281"/>
      <c r="H282" s="281"/>
      <c r="I282" s="281"/>
      <c r="J282" s="281"/>
      <c r="K282" s="281"/>
      <c r="L282" s="281"/>
      <c r="M282" s="281"/>
      <c r="N282" s="281"/>
      <c r="O282" s="281"/>
      <c r="P282" s="281"/>
      <c r="Q282" s="281"/>
      <c r="R282" s="281"/>
      <c r="S282" s="281"/>
      <c r="T282" s="282"/>
      <c r="U282" s="281"/>
      <c r="V282" s="281"/>
      <c r="W282" s="281"/>
      <c r="X282" s="304"/>
      <c r="Y282" s="304"/>
      <c r="Z282" s="304"/>
    </row>
    <row r="283">
      <c r="A283" s="345"/>
      <c r="B283" s="281"/>
      <c r="C283" s="281"/>
      <c r="D283" s="397"/>
      <c r="E283" s="281"/>
      <c r="F283" s="281"/>
      <c r="G283" s="281"/>
      <c r="H283" s="281"/>
      <c r="I283" s="281"/>
      <c r="J283" s="281"/>
      <c r="K283" s="281"/>
      <c r="L283" s="281"/>
      <c r="M283" s="281"/>
      <c r="N283" s="281"/>
      <c r="O283" s="281"/>
      <c r="P283" s="281"/>
      <c r="Q283" s="281"/>
      <c r="R283" s="281"/>
      <c r="S283" s="281"/>
      <c r="T283" s="282"/>
      <c r="U283" s="281"/>
      <c r="V283" s="281"/>
      <c r="W283" s="281"/>
      <c r="X283" s="304"/>
      <c r="Y283" s="304"/>
      <c r="Z283" s="304"/>
    </row>
    <row r="284">
      <c r="A284" s="345"/>
      <c r="B284" s="281"/>
      <c r="C284" s="281"/>
      <c r="D284" s="397"/>
      <c r="E284" s="281"/>
      <c r="F284" s="281"/>
      <c r="G284" s="281"/>
      <c r="H284" s="281"/>
      <c r="I284" s="281"/>
      <c r="J284" s="281"/>
      <c r="K284" s="281"/>
      <c r="L284" s="281"/>
      <c r="M284" s="281"/>
      <c r="N284" s="281"/>
      <c r="O284" s="281"/>
      <c r="P284" s="281"/>
      <c r="Q284" s="281"/>
      <c r="R284" s="281"/>
      <c r="S284" s="281"/>
      <c r="T284" s="282"/>
      <c r="U284" s="281"/>
      <c r="V284" s="281"/>
      <c r="W284" s="281"/>
      <c r="X284" s="304"/>
      <c r="Y284" s="304"/>
      <c r="Z284" s="304"/>
    </row>
    <row r="285">
      <c r="A285" s="345"/>
      <c r="B285" s="281"/>
      <c r="C285" s="281"/>
      <c r="D285" s="397"/>
      <c r="E285" s="281"/>
      <c r="F285" s="281"/>
      <c r="G285" s="281"/>
      <c r="H285" s="281"/>
      <c r="I285" s="281"/>
      <c r="J285" s="281"/>
      <c r="K285" s="281"/>
      <c r="L285" s="281"/>
      <c r="M285" s="281"/>
      <c r="N285" s="281"/>
      <c r="O285" s="281"/>
      <c r="P285" s="281"/>
      <c r="Q285" s="281"/>
      <c r="R285" s="281"/>
      <c r="S285" s="281"/>
      <c r="T285" s="282"/>
      <c r="U285" s="281"/>
      <c r="V285" s="281"/>
      <c r="W285" s="281"/>
      <c r="X285" s="304"/>
      <c r="Y285" s="304"/>
      <c r="Z285" s="304"/>
    </row>
    <row r="286">
      <c r="A286" s="345"/>
      <c r="B286" s="281"/>
      <c r="C286" s="281"/>
      <c r="D286" s="397"/>
      <c r="E286" s="281"/>
      <c r="F286" s="281"/>
      <c r="G286" s="281"/>
      <c r="H286" s="281"/>
      <c r="I286" s="281"/>
      <c r="J286" s="281"/>
      <c r="K286" s="281"/>
      <c r="L286" s="281"/>
      <c r="M286" s="281"/>
      <c r="N286" s="281"/>
      <c r="O286" s="281"/>
      <c r="P286" s="281"/>
      <c r="Q286" s="281"/>
      <c r="R286" s="281"/>
      <c r="S286" s="281"/>
      <c r="T286" s="282"/>
      <c r="U286" s="281"/>
      <c r="V286" s="281"/>
      <c r="W286" s="281"/>
      <c r="X286" s="304"/>
      <c r="Y286" s="304"/>
      <c r="Z286" s="304"/>
    </row>
    <row r="287">
      <c r="A287" s="345"/>
      <c r="B287" s="281"/>
      <c r="C287" s="281"/>
      <c r="D287" s="397"/>
      <c r="E287" s="281"/>
      <c r="F287" s="281"/>
      <c r="G287" s="281"/>
      <c r="H287" s="281"/>
      <c r="I287" s="281"/>
      <c r="J287" s="281"/>
      <c r="K287" s="281"/>
      <c r="L287" s="281"/>
      <c r="M287" s="281"/>
      <c r="N287" s="281"/>
      <c r="O287" s="281"/>
      <c r="P287" s="281"/>
      <c r="Q287" s="281"/>
      <c r="R287" s="281"/>
      <c r="S287" s="281"/>
      <c r="T287" s="282"/>
      <c r="U287" s="281"/>
      <c r="V287" s="281"/>
      <c r="W287" s="281"/>
      <c r="X287" s="304"/>
      <c r="Y287" s="304"/>
      <c r="Z287" s="304"/>
    </row>
    <row r="288">
      <c r="A288" s="345"/>
      <c r="B288" s="281"/>
      <c r="C288" s="281"/>
      <c r="D288" s="397"/>
      <c r="E288" s="281"/>
      <c r="F288" s="281"/>
      <c r="G288" s="281"/>
      <c r="H288" s="281"/>
      <c r="I288" s="281"/>
      <c r="J288" s="281"/>
      <c r="K288" s="281"/>
      <c r="L288" s="281"/>
      <c r="M288" s="281"/>
      <c r="N288" s="281"/>
      <c r="O288" s="281"/>
      <c r="P288" s="281"/>
      <c r="Q288" s="281"/>
      <c r="R288" s="281"/>
      <c r="S288" s="281"/>
      <c r="T288" s="282"/>
      <c r="U288" s="281"/>
      <c r="V288" s="281"/>
      <c r="W288" s="281"/>
      <c r="X288" s="304"/>
      <c r="Y288" s="304"/>
      <c r="Z288" s="304"/>
    </row>
    <row r="289">
      <c r="A289" s="345"/>
      <c r="B289" s="281"/>
      <c r="C289" s="281"/>
      <c r="D289" s="397"/>
      <c r="E289" s="281"/>
      <c r="F289" s="281"/>
      <c r="G289" s="281"/>
      <c r="H289" s="281"/>
      <c r="I289" s="281"/>
      <c r="J289" s="281"/>
      <c r="K289" s="281"/>
      <c r="L289" s="281"/>
      <c r="M289" s="281"/>
      <c r="N289" s="281"/>
      <c r="O289" s="281"/>
      <c r="P289" s="281"/>
      <c r="Q289" s="281"/>
      <c r="R289" s="281"/>
      <c r="S289" s="281"/>
      <c r="T289" s="282"/>
      <c r="U289" s="281"/>
      <c r="V289" s="281"/>
      <c r="W289" s="281"/>
      <c r="X289" s="304"/>
      <c r="Y289" s="304"/>
      <c r="Z289" s="304"/>
    </row>
  </sheetData>
  <conditionalFormatting sqref="D1">
    <cfRule type="notContainsBlanks" dxfId="0" priority="1">
      <formula>LEN(TRIM(D1))&gt;0</formula>
    </cfRule>
  </conditionalFormatting>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0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105.29"/>
    <col customWidth="1" min="21" max="21" width="18.14"/>
    <col customWidth="1" min="23" max="23" width="24.29"/>
    <col customWidth="1" min="24" max="24" width="20.57"/>
  </cols>
  <sheetData>
    <row r="1">
      <c r="A1" s="271" t="s">
        <v>603</v>
      </c>
      <c r="B1" s="272" t="s">
        <v>604</v>
      </c>
      <c r="C1" s="224" t="s">
        <v>605</v>
      </c>
      <c r="D1" s="398"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24" t="s">
        <v>615</v>
      </c>
    </row>
    <row r="2" ht="20.25" customHeight="1">
      <c r="A2" s="278"/>
      <c r="B2" s="399" t="s">
        <v>1310</v>
      </c>
      <c r="C2" s="280"/>
      <c r="D2" s="378"/>
      <c r="E2" s="281"/>
      <c r="F2" s="281"/>
      <c r="G2" s="281"/>
      <c r="H2" s="281"/>
      <c r="I2" s="281"/>
      <c r="J2" s="281"/>
      <c r="K2" s="281"/>
      <c r="L2" s="281"/>
      <c r="M2" s="281"/>
      <c r="N2" s="280"/>
      <c r="O2" s="280"/>
      <c r="P2" s="280"/>
      <c r="Q2" s="280"/>
      <c r="R2" s="282"/>
      <c r="S2" s="281"/>
      <c r="T2" s="285"/>
    </row>
    <row r="3">
      <c r="A3" s="272"/>
      <c r="B3" s="376" t="s">
        <v>1311</v>
      </c>
      <c r="C3" s="280"/>
      <c r="D3" s="378"/>
      <c r="E3" s="281"/>
      <c r="F3" s="281"/>
      <c r="G3" s="281"/>
      <c r="H3" s="281"/>
      <c r="I3" s="281"/>
      <c r="J3" s="281"/>
      <c r="K3" s="281"/>
      <c r="L3" s="281"/>
      <c r="M3" s="281"/>
      <c r="N3" s="281"/>
      <c r="O3" s="281"/>
      <c r="P3" s="281"/>
      <c r="Q3" s="281"/>
      <c r="R3" s="282"/>
      <c r="S3" s="281"/>
      <c r="T3" s="285"/>
    </row>
    <row r="4">
      <c r="A4" s="286" t="s">
        <v>619</v>
      </c>
      <c r="B4" s="379" t="s">
        <v>1312</v>
      </c>
      <c r="C4" s="280"/>
      <c r="D4" s="378"/>
      <c r="E4" s="281"/>
      <c r="F4" s="281"/>
      <c r="G4" s="281"/>
      <c r="H4" s="281"/>
      <c r="I4" s="281"/>
      <c r="J4" s="281"/>
      <c r="K4" s="281"/>
      <c r="L4" s="281"/>
      <c r="M4" s="281"/>
      <c r="N4" s="281"/>
      <c r="O4" s="281"/>
      <c r="P4" s="281"/>
      <c r="Q4" s="281"/>
      <c r="R4" s="282"/>
      <c r="S4" s="281"/>
      <c r="T4" s="285"/>
    </row>
    <row r="5">
      <c r="A5" s="295"/>
      <c r="B5" s="296" t="s">
        <v>620</v>
      </c>
      <c r="C5" s="297" t="s">
        <v>621</v>
      </c>
      <c r="D5" s="289">
        <f>ROUND((F5*'Pawn Weights'!$K$60)+(G5*'Pawn Weights'!$K$61)+(H5*'Pawn Weights'!$K$62)+(I5*'Pawn Weights'!$K$63)+(J5*'Pawn Weights'!$K$64)+(K5*'Pawn Weights'!$K$65)+(L5*'Pawn Weights'!$K$66)+(M5*'Pawn Weights'!$K$67)+(N5*'Pawn Weights'!$K$68)+(O5*'Pawn Weights'!$K$69)+(P5*'Pawn Weights'!$K$70)+(Q5*'Pawn Weights'!$K$71)+7.56, 2)</f>
        <v>442.41</v>
      </c>
      <c r="E5" s="298">
        <v>45.0</v>
      </c>
      <c r="F5" s="297"/>
      <c r="G5" s="298">
        <v>43.0</v>
      </c>
      <c r="H5" s="298">
        <v>126.0</v>
      </c>
      <c r="I5" s="298">
        <v>34.0</v>
      </c>
      <c r="J5" s="297"/>
      <c r="K5" s="297"/>
      <c r="L5" s="297"/>
      <c r="M5" s="359">
        <v>182.0</v>
      </c>
      <c r="N5" s="298">
        <v>1.0</v>
      </c>
      <c r="O5" s="298">
        <v>1.0</v>
      </c>
      <c r="P5" s="297"/>
      <c r="Q5" s="297"/>
      <c r="R5" s="298" t="s">
        <v>622</v>
      </c>
      <c r="S5" s="137"/>
      <c r="T5" s="295"/>
      <c r="U5" s="137"/>
      <c r="V5" s="137"/>
      <c r="W5" s="137"/>
      <c r="X5" s="137"/>
      <c r="Y5" s="137"/>
      <c r="Z5" s="137"/>
    </row>
    <row r="6">
      <c r="A6" s="295"/>
      <c r="B6" s="296" t="s">
        <v>625</v>
      </c>
      <c r="C6" s="297" t="s">
        <v>621</v>
      </c>
      <c r="D6" s="367">
        <f>ROUND((F6*'Pawn Weights'!$K$60)+(G6*'Pawn Weights'!$K$61)+(H6*'Pawn Weights'!$K$62)+(I6*'Pawn Weights'!$K$63)+(J6*'Pawn Weights'!$K$64)+(K6*'Pawn Weights'!$K$65)+(L6*'Pawn Weights'!$K$66)+(M6*'Pawn Weights'!$K$67)+(N6*'Pawn Weights'!$K$68)+(O6*'Pawn Weights'!$K$69)+(P6*'Pawn Weights'!$K$70)+(Q6*'Pawn Weights'!$K$71)+7.2, 2)</f>
        <v>422.79</v>
      </c>
      <c r="E6" s="298">
        <v>57.0</v>
      </c>
      <c r="F6" s="297"/>
      <c r="G6" s="298">
        <v>43.0</v>
      </c>
      <c r="H6" s="298">
        <v>126.0</v>
      </c>
      <c r="I6" s="297"/>
      <c r="J6" s="298">
        <v>30.0</v>
      </c>
      <c r="K6" s="298">
        <v>34.0</v>
      </c>
      <c r="L6" s="297"/>
      <c r="M6" s="137"/>
      <c r="N6" s="298">
        <v>1.0</v>
      </c>
      <c r="O6" s="298">
        <v>1.0</v>
      </c>
      <c r="P6" s="297"/>
      <c r="Q6" s="297"/>
      <c r="R6" s="298" t="s">
        <v>626</v>
      </c>
      <c r="S6" s="137"/>
      <c r="T6" s="295"/>
      <c r="U6" s="137"/>
      <c r="V6" s="137"/>
      <c r="W6" s="137"/>
      <c r="X6" s="137"/>
      <c r="Y6" s="137"/>
      <c r="Z6" s="137"/>
    </row>
    <row r="7">
      <c r="A7" s="25"/>
      <c r="B7" s="288" t="s">
        <v>631</v>
      </c>
      <c r="C7" s="280" t="s">
        <v>632</v>
      </c>
      <c r="D7" s="289">
        <f>ROUND((F7*'Pawn Weights'!$K$60)+(G7*'Pawn Weights'!$K$61)+(H7*'Pawn Weights'!$K$62)+(I7*'Pawn Weights'!$K$63)+(J7*'Pawn Weights'!$K$64)+(K7*'Pawn Weights'!$K$65)+(L7*'Pawn Weights'!$K$66)+(M7*'Pawn Weights'!$K$67)+(N7*'Pawn Weights'!$K$68)+(O7*'Pawn Weights'!$K$69)+(P7*'Pawn Weights'!$K$70)+(Q7*'Pawn Weights'!$K$71), 2)</f>
        <v>380.23</v>
      </c>
      <c r="E7" s="280">
        <v>46.0</v>
      </c>
      <c r="F7" s="280"/>
      <c r="G7" s="280">
        <v>39.0</v>
      </c>
      <c r="H7" s="280">
        <v>108.0</v>
      </c>
      <c r="I7" s="280">
        <v>38.0</v>
      </c>
      <c r="J7" s="280">
        <v>21.0</v>
      </c>
      <c r="K7" s="280"/>
      <c r="L7" s="280"/>
      <c r="M7" s="281"/>
      <c r="N7" s="280">
        <v>1.0</v>
      </c>
      <c r="O7" s="280"/>
      <c r="P7" s="280">
        <v>1.0</v>
      </c>
      <c r="Q7" s="280"/>
      <c r="R7" s="290" t="s">
        <v>633</v>
      </c>
      <c r="S7" s="281"/>
      <c r="T7" s="291" t="s">
        <v>634</v>
      </c>
    </row>
    <row r="8">
      <c r="A8" s="295" t="s">
        <v>627</v>
      </c>
      <c r="B8" s="317" t="s">
        <v>1313</v>
      </c>
      <c r="C8" s="297" t="s">
        <v>629</v>
      </c>
      <c r="D8" s="367">
        <f>ROUND((F8*'Pawn Weights'!$K$60)+(G8*'Pawn Weights'!$K$61)+(H8*'Pawn Weights'!$K$62)+(I8*'Pawn Weights'!$K$63)+(J8*'Pawn Weights'!$K$64)+(K8*'Pawn Weights'!$K$65)+(L8*'Pawn Weights'!$K$66)+(M8*'Pawn Weights'!$K$67)+(N8*'Pawn Weights'!$K$68)+(O8*'Pawn Weights'!$K$69)+(P8*'Pawn Weights'!$K$70)+(Q8*'Pawn Weights'!$K$71), 2)</f>
        <v>356.74</v>
      </c>
      <c r="E8" s="298">
        <v>47.0</v>
      </c>
      <c r="F8" s="298"/>
      <c r="G8" s="297"/>
      <c r="H8" s="318">
        <v>124.0</v>
      </c>
      <c r="I8" s="298">
        <v>51.0</v>
      </c>
      <c r="J8" s="298">
        <v>26.0</v>
      </c>
      <c r="K8" s="297"/>
      <c r="L8" s="297"/>
      <c r="M8" s="137"/>
      <c r="N8" s="298">
        <v>1.0</v>
      </c>
      <c r="O8" s="297"/>
      <c r="P8" s="297"/>
      <c r="Q8" s="298">
        <v>1.0</v>
      </c>
      <c r="R8" s="298" t="s">
        <v>624</v>
      </c>
      <c r="S8" s="137"/>
      <c r="T8" s="297" t="s">
        <v>630</v>
      </c>
      <c r="U8" s="137"/>
      <c r="V8" s="137"/>
      <c r="W8" s="137"/>
      <c r="X8" s="137"/>
      <c r="Y8" s="137"/>
      <c r="Z8" s="137"/>
    </row>
    <row r="9">
      <c r="A9" s="295" t="s">
        <v>635</v>
      </c>
      <c r="B9" s="317" t="s">
        <v>1314</v>
      </c>
      <c r="C9" s="297" t="s">
        <v>637</v>
      </c>
      <c r="D9" s="289">
        <f>ROUND((F9*'Pawn Weights'!$K$60)+(G9*'Pawn Weights'!$K$61)+(H9*'Pawn Weights'!$K$62)+(I9*'Pawn Weights'!$K$63)+(J9*'Pawn Weights'!$K$64)+(K9*'Pawn Weights'!$K$65)+(L9*'Pawn Weights'!$K$66)+(M9*'Pawn Weights'!$K$67)+(N9*'Pawn Weights'!$K$68)+(O9*'Pawn Weights'!$K$69)+(P9*'Pawn Weights'!$K$70)+(Q9*'Pawn Weights'!$K$71), 2)</f>
        <v>317.5</v>
      </c>
      <c r="E9" s="316">
        <v>74.0</v>
      </c>
      <c r="F9" s="316">
        <v>40.0</v>
      </c>
      <c r="G9" s="297"/>
      <c r="H9" s="297"/>
      <c r="I9" s="316">
        <v>39.0</v>
      </c>
      <c r="J9" s="298">
        <v>18.0</v>
      </c>
      <c r="K9" s="297"/>
      <c r="L9" s="297"/>
      <c r="M9" s="359">
        <v>84.0</v>
      </c>
      <c r="N9" s="298">
        <v>1.0</v>
      </c>
      <c r="O9" s="318">
        <v>1.0</v>
      </c>
      <c r="P9" s="298"/>
      <c r="Q9" s="297"/>
      <c r="R9" s="316" t="s">
        <v>1179</v>
      </c>
      <c r="S9" s="137"/>
      <c r="T9" s="295"/>
      <c r="U9" s="137"/>
      <c r="V9" s="137"/>
      <c r="W9" s="137"/>
      <c r="X9" s="137"/>
      <c r="Y9" s="137"/>
      <c r="Z9" s="137"/>
    </row>
    <row r="10" ht="14.25" customHeight="1">
      <c r="A10" s="292"/>
      <c r="B10" s="288" t="s">
        <v>650</v>
      </c>
      <c r="C10" s="154" t="s">
        <v>639</v>
      </c>
      <c r="D10" s="289">
        <f>ROUND((F10*'Pawn Weights'!$K$60)+(G10*'Pawn Weights'!$K$61)+(H10*'Pawn Weights'!$K$62)+(I10*'Pawn Weights'!$K$63)+(J10*'Pawn Weights'!$K$64)+(K10*'Pawn Weights'!$K$65)+(L10*'Pawn Weights'!$K$66)+(M10*'Pawn Weights'!$K$67)+(N10*'Pawn Weights'!$K$68)+(O10*'Pawn Weights'!$K$69)+(P10*'Pawn Weights'!$K$70)+(Q10*'Pawn Weights'!$K$71), 2)</f>
        <v>305.18</v>
      </c>
      <c r="E10" s="280">
        <v>29.0</v>
      </c>
      <c r="F10" s="280"/>
      <c r="G10" s="280">
        <v>42.0</v>
      </c>
      <c r="H10" s="280">
        <v>100.0</v>
      </c>
      <c r="I10" s="280">
        <v>20.0</v>
      </c>
      <c r="J10" s="280"/>
      <c r="K10" s="280"/>
      <c r="L10" s="280"/>
      <c r="M10" s="281"/>
      <c r="N10" s="280">
        <v>1.0</v>
      </c>
      <c r="O10" s="280">
        <v>1.0</v>
      </c>
      <c r="P10" s="280"/>
      <c r="Q10" s="280"/>
      <c r="R10" s="290" t="s">
        <v>651</v>
      </c>
      <c r="S10" s="281"/>
      <c r="T10" s="291"/>
    </row>
    <row r="11" ht="14.25" customHeight="1">
      <c r="A11" s="25" t="s">
        <v>640</v>
      </c>
      <c r="B11" s="288" t="s">
        <v>1315</v>
      </c>
      <c r="C11" s="280" t="s">
        <v>642</v>
      </c>
      <c r="D11" s="289">
        <f>ROUND((F11*'Pawn Weights'!$K$60)+(G11*'Pawn Weights'!$K$61)+(H11*'Pawn Weights'!$K$62)+(I11*'Pawn Weights'!$K$63)+(J11*'Pawn Weights'!$K$64)+(K11*'Pawn Weights'!$K$65)+(L11*'Pawn Weights'!$K$66)+(M11*'Pawn Weights'!$K$67)+(N11*'Pawn Weights'!$K$68)+(O11*'Pawn Weights'!$K$69)+(P11*'Pawn Weights'!$K$70)+(Q11*'Pawn Weights'!$K$71), 2)</f>
        <v>293.92</v>
      </c>
      <c r="E11" s="280">
        <v>55.0</v>
      </c>
      <c r="F11" s="280">
        <v>53.0</v>
      </c>
      <c r="G11" s="280"/>
      <c r="H11" s="280"/>
      <c r="I11" s="280">
        <v>28.0</v>
      </c>
      <c r="J11" s="280">
        <v>20.0</v>
      </c>
      <c r="K11" s="280"/>
      <c r="L11" s="280"/>
      <c r="M11" s="281"/>
      <c r="N11" s="280">
        <v>1.0</v>
      </c>
      <c r="O11" s="280"/>
      <c r="P11" s="280">
        <v>1.0</v>
      </c>
      <c r="Q11" s="280"/>
      <c r="R11" s="290" t="s">
        <v>633</v>
      </c>
      <c r="S11" s="281"/>
      <c r="T11" s="291"/>
      <c r="U11" s="25"/>
      <c r="X11" s="25"/>
    </row>
    <row r="12" ht="14.25" customHeight="1">
      <c r="A12" s="25" t="s">
        <v>1316</v>
      </c>
      <c r="B12" s="288" t="s">
        <v>1317</v>
      </c>
      <c r="C12" s="280" t="s">
        <v>1318</v>
      </c>
      <c r="D12" s="289">
        <f>ROUND((F12*'Pawn Weights'!$K$60)+(G12*'Pawn Weights'!$K$61)+(H12*'Pawn Weights'!$K$62)+(I12*'Pawn Weights'!$K$63)+(J12*'Pawn Weights'!$K$64)+(K12*'Pawn Weights'!$K$65)+(L12*'Pawn Weights'!$K$66)+(M12*'Pawn Weights'!$K$67)+(N12*'Pawn Weights'!$K$68)+(O12*'Pawn Weights'!$K$69)+(P12*'Pawn Weights'!$K$70)+(Q12*'Pawn Weights'!$K$71), 2)</f>
        <v>281.86</v>
      </c>
      <c r="E12" s="280">
        <v>67.0</v>
      </c>
      <c r="F12" s="280">
        <v>34.0</v>
      </c>
      <c r="G12" s="280"/>
      <c r="H12" s="280"/>
      <c r="I12" s="280">
        <v>33.0</v>
      </c>
      <c r="J12" s="280">
        <v>12.0</v>
      </c>
      <c r="K12" s="280"/>
      <c r="L12" s="280"/>
      <c r="M12" s="280">
        <v>84.0</v>
      </c>
      <c r="N12" s="280">
        <v>1.0</v>
      </c>
      <c r="O12" s="280">
        <v>1.0</v>
      </c>
      <c r="P12" s="280"/>
      <c r="Q12" s="280"/>
      <c r="R12" s="290" t="s">
        <v>1179</v>
      </c>
      <c r="S12" s="281"/>
      <c r="T12" s="291"/>
      <c r="U12" s="25"/>
      <c r="X12" s="25"/>
    </row>
    <row r="13" ht="14.25" customHeight="1">
      <c r="A13" s="25" t="s">
        <v>627</v>
      </c>
      <c r="B13" s="288" t="s">
        <v>1319</v>
      </c>
      <c r="C13" s="280" t="s">
        <v>653</v>
      </c>
      <c r="D13" s="289">
        <f>ROUND((F13*'Pawn Weights'!$K$60)+(G13*'Pawn Weights'!$K$61)+(H13*'Pawn Weights'!$K$62)+(I13*'Pawn Weights'!$K$63)+(J13*'Pawn Weights'!$K$64)+(K13*'Pawn Weights'!$K$65)+(L13*'Pawn Weights'!$K$66)+(M13*'Pawn Weights'!$K$67)+(N13*'Pawn Weights'!$K$68)+(O13*'Pawn Weights'!$K$69)+(P13*'Pawn Weights'!$K$70)+(Q13*'Pawn Weights'!$K$71), 2)</f>
        <v>280.12</v>
      </c>
      <c r="E13" s="280">
        <v>28.0</v>
      </c>
      <c r="F13" s="280"/>
      <c r="G13" s="280"/>
      <c r="H13" s="280">
        <v>96.0</v>
      </c>
      <c r="I13" s="280">
        <v>38.0</v>
      </c>
      <c r="J13" s="280">
        <v>13.0</v>
      </c>
      <c r="K13" s="280"/>
      <c r="L13" s="280"/>
      <c r="M13" s="281"/>
      <c r="N13" s="280">
        <v>1.0</v>
      </c>
      <c r="O13" s="280"/>
      <c r="P13" s="280"/>
      <c r="Q13" s="280">
        <v>1.0</v>
      </c>
      <c r="R13" s="290" t="s">
        <v>622</v>
      </c>
      <c r="S13" s="281"/>
      <c r="T13" s="291"/>
      <c r="U13" s="25"/>
      <c r="X13" s="25"/>
    </row>
    <row r="14">
      <c r="A14" s="295"/>
      <c r="B14" s="317" t="s">
        <v>1074</v>
      </c>
      <c r="C14" s="318" t="s">
        <v>1183</v>
      </c>
      <c r="D14" s="289">
        <f>ROUND((F14*'Pawn Weights'!$K$60)+(G14*'Pawn Weights'!$K$61)+(H14*'Pawn Weights'!$K$62)+(I14*'Pawn Weights'!$K$63)+(J14*'Pawn Weights'!$K$64)+(K14*'Pawn Weights'!$K$65)+(L14*'Pawn Weights'!$K$66)+(M14*'Pawn Weights'!$K$67)+(N14*'Pawn Weights'!$K$68)+(O14*'Pawn Weights'!$K$69)+(P14*'Pawn Weights'!$K$70)+(Q14*'Pawn Weights'!$K$71), 2)</f>
        <v>266.8</v>
      </c>
      <c r="E14" s="316">
        <v>48.0</v>
      </c>
      <c r="F14" s="297"/>
      <c r="G14" s="316">
        <v>40.0</v>
      </c>
      <c r="H14" s="316">
        <v>82.0</v>
      </c>
      <c r="I14" s="297"/>
      <c r="J14" s="316">
        <v>24.0</v>
      </c>
      <c r="K14" s="297"/>
      <c r="L14" s="297"/>
      <c r="M14" s="137"/>
      <c r="N14" s="297"/>
      <c r="O14" s="318">
        <v>1.0</v>
      </c>
      <c r="P14" s="318">
        <v>1.0</v>
      </c>
      <c r="Q14" s="318">
        <v>1.0</v>
      </c>
      <c r="R14" s="316" t="s">
        <v>745</v>
      </c>
      <c r="S14" s="137"/>
      <c r="T14" s="400"/>
      <c r="U14" s="137"/>
      <c r="V14" s="137"/>
      <c r="W14" s="137"/>
      <c r="X14" s="137"/>
      <c r="Y14" s="137"/>
      <c r="Z14" s="137"/>
    </row>
    <row r="15" ht="14.25" customHeight="1">
      <c r="A15" s="25"/>
      <c r="B15" s="288" t="s">
        <v>1184</v>
      </c>
      <c r="C15" s="280" t="s">
        <v>1185</v>
      </c>
      <c r="D15" s="289">
        <f>ROUND((F15*'Pawn Weights'!$K$60)+(G15*'Pawn Weights'!$K$61)+(H15*'Pawn Weights'!$K$62)+(I15*'Pawn Weights'!$K$63)+(J15*'Pawn Weights'!$K$64)+(K15*'Pawn Weights'!$K$65)+(L15*'Pawn Weights'!$K$66)+(M15*'Pawn Weights'!$K$67)+(N15*'Pawn Weights'!$K$68)+(O15*'Pawn Weights'!$K$69)+(P15*'Pawn Weights'!$K$70)+(Q15*'Pawn Weights'!$K$71), 2)</f>
        <v>240.28</v>
      </c>
      <c r="E15" s="280">
        <v>36.0</v>
      </c>
      <c r="F15" s="280"/>
      <c r="G15" s="280">
        <v>32.0</v>
      </c>
      <c r="H15" s="280">
        <v>64.0</v>
      </c>
      <c r="I15" s="280"/>
      <c r="J15" s="280">
        <v>16.0</v>
      </c>
      <c r="K15" s="280"/>
      <c r="L15" s="280"/>
      <c r="M15" s="281"/>
      <c r="N15" s="280">
        <v>1.0</v>
      </c>
      <c r="O15" s="280"/>
      <c r="P15" s="280">
        <v>1.0</v>
      </c>
      <c r="Q15" s="280"/>
      <c r="R15" s="290" t="s">
        <v>622</v>
      </c>
      <c r="S15" s="281"/>
      <c r="T15" s="291"/>
    </row>
    <row r="16">
      <c r="A16" s="292" t="s">
        <v>1320</v>
      </c>
      <c r="B16" s="288" t="s">
        <v>1321</v>
      </c>
      <c r="C16" s="154" t="s">
        <v>649</v>
      </c>
      <c r="D16" s="289">
        <f>ROUND((F16*'Pawn Weights'!$K$60)+(G16*'Pawn Weights'!$K$61)+(H16*'Pawn Weights'!$K$62)+(I16*'Pawn Weights'!$K$63)+(J16*'Pawn Weights'!$K$64)+(K16*'Pawn Weights'!$K$65)+(L16*'Pawn Weights'!$K$66)+(M16*'Pawn Weights'!$K$67)+(N16*'Pawn Weights'!$K$68)+(O16*'Pawn Weights'!$K$69)+(P16*'Pawn Weights'!$K$70)+(Q16*'Pawn Weights'!$K$71), 2)</f>
        <v>237.68</v>
      </c>
      <c r="E16" s="280">
        <v>46.0</v>
      </c>
      <c r="F16" s="280">
        <v>41.0</v>
      </c>
      <c r="G16" s="280">
        <v>32.0</v>
      </c>
      <c r="H16" s="280"/>
      <c r="I16" s="280"/>
      <c r="J16" s="280"/>
      <c r="K16" s="280"/>
      <c r="L16" s="280"/>
      <c r="M16" s="281"/>
      <c r="N16" s="280">
        <v>1.0</v>
      </c>
      <c r="O16" s="280"/>
      <c r="P16" s="280">
        <v>1.0</v>
      </c>
      <c r="Q16" s="280"/>
      <c r="R16" s="290" t="s">
        <v>622</v>
      </c>
      <c r="S16" s="281"/>
      <c r="T16" s="291"/>
    </row>
    <row r="17">
      <c r="A17" s="272" t="s">
        <v>657</v>
      </c>
      <c r="B17" s="281"/>
      <c r="C17" s="281"/>
      <c r="D17" s="289"/>
      <c r="E17" s="281"/>
      <c r="F17" s="281"/>
      <c r="G17" s="281"/>
      <c r="H17" s="281"/>
      <c r="I17" s="281"/>
      <c r="J17" s="281"/>
      <c r="K17" s="281"/>
      <c r="L17" s="281"/>
      <c r="M17" s="281"/>
      <c r="N17" s="281"/>
      <c r="O17" s="281"/>
      <c r="P17" s="281"/>
      <c r="Q17" s="281"/>
      <c r="R17" s="282"/>
      <c r="S17" s="281"/>
      <c r="T17" s="285"/>
    </row>
    <row r="18">
      <c r="A18" s="137" t="s">
        <v>627</v>
      </c>
      <c r="B18" s="296" t="s">
        <v>658</v>
      </c>
      <c r="C18" s="280" t="s">
        <v>659</v>
      </c>
      <c r="D18" s="289">
        <f>ROUND((F18*'Pawn Weights'!$K$60)+(G18*'Pawn Weights'!$K$61)+(H18*'Pawn Weights'!$K$62)+(I18*'Pawn Weights'!$K$63)+(J18*'Pawn Weights'!$K$64)+(K18*'Pawn Weights'!$K$65)+(L18*'Pawn Weights'!$K$66)+(M18*'Pawn Weights'!$K$67)+(N18*'Pawn Weights'!$K$68)+(O18*'Pawn Weights'!$K$69)+(P18*'Pawn Weights'!$K$70)+(Q18*'Pawn Weights'!$K$71)-22+20.7+4, 2)</f>
        <v>201.62</v>
      </c>
      <c r="E18" s="298">
        <v>42.0</v>
      </c>
      <c r="F18" s="297"/>
      <c r="G18" s="297"/>
      <c r="H18" s="298">
        <v>58.0</v>
      </c>
      <c r="I18" s="297"/>
      <c r="J18" s="297"/>
      <c r="K18" s="298">
        <v>29.0</v>
      </c>
      <c r="L18" s="297"/>
      <c r="M18" s="298">
        <v>150.0</v>
      </c>
      <c r="N18" s="297"/>
      <c r="O18" s="297"/>
      <c r="P18" s="298">
        <v>1.0</v>
      </c>
      <c r="Q18" s="297"/>
      <c r="R18" s="298" t="s">
        <v>660</v>
      </c>
      <c r="S18" s="137"/>
      <c r="T18" s="361" t="s">
        <v>661</v>
      </c>
      <c r="U18" s="137"/>
      <c r="V18" s="137"/>
      <c r="W18" s="137"/>
      <c r="X18" s="137"/>
      <c r="Y18" s="137"/>
      <c r="Z18" s="137"/>
    </row>
    <row r="19">
      <c r="A19" s="137"/>
      <c r="B19" s="296" t="s">
        <v>662</v>
      </c>
      <c r="C19" s="297" t="s">
        <v>663</v>
      </c>
      <c r="D19" s="289">
        <f>ROUND((F19*'Pawn Weights'!$K$60)+(G19*'Pawn Weights'!$K$61)+(H19*'Pawn Weights'!$K$62)+(I19*'Pawn Weights'!$K$63)+(J19*'Pawn Weights'!$K$64)+(K19*'Pawn Weights'!$K$65)+(L19*'Pawn Weights'!$K$66)+(M19*'Pawn Weights'!$K$67)+(N19*'Pawn Weights'!$K$68)+(O19*'Pawn Weights'!$K$69)+(P19*'Pawn Weights'!$K$70)+(Q19*'Pawn Weights'!$K$71), 2)</f>
        <v>170.65</v>
      </c>
      <c r="E19" s="298">
        <v>33.0</v>
      </c>
      <c r="F19" s="297"/>
      <c r="G19" s="298">
        <v>25.0</v>
      </c>
      <c r="H19" s="298">
        <v>64.0</v>
      </c>
      <c r="I19" s="297"/>
      <c r="J19" s="297"/>
      <c r="K19" s="298">
        <v>30.0</v>
      </c>
      <c r="L19" s="297"/>
      <c r="M19" s="297"/>
      <c r="N19" s="297"/>
      <c r="O19" s="297"/>
      <c r="P19" s="297"/>
      <c r="Q19" s="297"/>
      <c r="R19" s="295"/>
      <c r="S19" s="137"/>
      <c r="T19" s="137"/>
      <c r="U19" s="137"/>
      <c r="V19" s="137"/>
      <c r="W19" s="137"/>
      <c r="X19" s="137"/>
      <c r="Y19" s="137"/>
      <c r="Z19" s="137"/>
    </row>
    <row r="20">
      <c r="A20" s="281"/>
      <c r="B20" s="288" t="s">
        <v>664</v>
      </c>
      <c r="C20" s="280" t="s">
        <v>665</v>
      </c>
      <c r="D20" s="289">
        <f>ROUND((F20*'Pawn Weights'!$K$60)+(G20*'Pawn Weights'!$K$61)+(H20*'Pawn Weights'!$K$62)+(I20*'Pawn Weights'!$K$63)+(J20*'Pawn Weights'!$K$64)+(K20*'Pawn Weights'!$K$65)+(L20*'Pawn Weights'!$K$66)+(M20*'Pawn Weights'!$K$67)+(N20*'Pawn Weights'!$K$68)+(O20*'Pawn Weights'!$K$69)+(P20*'Pawn Weights'!$K$70)+(Q20*'Pawn Weights'!$K$71), 2)</f>
        <v>162.18</v>
      </c>
      <c r="E20" s="280"/>
      <c r="F20" s="280"/>
      <c r="G20" s="280"/>
      <c r="H20" s="280">
        <v>72.0</v>
      </c>
      <c r="I20" s="280">
        <v>27.0</v>
      </c>
      <c r="J20" s="280">
        <v>21.0</v>
      </c>
      <c r="K20" s="280"/>
      <c r="L20" s="280"/>
      <c r="M20" s="280"/>
      <c r="N20" s="280"/>
      <c r="O20" s="280"/>
      <c r="P20" s="280"/>
      <c r="Q20" s="280"/>
      <c r="R20" s="290"/>
      <c r="S20" s="281"/>
      <c r="T20" s="222"/>
      <c r="U20" s="281"/>
      <c r="X20" s="281"/>
    </row>
    <row r="21">
      <c r="A21" s="281"/>
      <c r="B21" s="288" t="s">
        <v>666</v>
      </c>
      <c r="C21" s="280" t="s">
        <v>667</v>
      </c>
      <c r="D21" s="289">
        <f>ROUND((F21*'Pawn Weights'!$K$60)+(G21*'Pawn Weights'!$K$61)+(H21*'Pawn Weights'!$K$62)+(I21*'Pawn Weights'!$K$63)+(J21*'Pawn Weights'!$K$64)+(K21*'Pawn Weights'!$K$65)+(L21*'Pawn Weights'!$K$66)+(M21*'Pawn Weights'!$K$67)+(N21*'Pawn Weights'!$K$68)+(O21*'Pawn Weights'!$K$69)+(P21*'Pawn Weights'!$K$70)+(Q21*'Pawn Weights'!$K$71), 2)</f>
        <v>141.75</v>
      </c>
      <c r="E21" s="280">
        <v>37.0</v>
      </c>
      <c r="F21" s="280"/>
      <c r="G21" s="280"/>
      <c r="H21" s="280">
        <v>70.0</v>
      </c>
      <c r="I21" s="280"/>
      <c r="J21" s="280"/>
      <c r="K21" s="280"/>
      <c r="L21" s="280"/>
      <c r="M21" s="280">
        <v>175.0</v>
      </c>
      <c r="N21" s="280"/>
      <c r="O21" s="280"/>
      <c r="P21" s="280"/>
      <c r="Q21" s="280"/>
      <c r="R21" s="290"/>
      <c r="S21" s="281"/>
      <c r="T21" s="222"/>
      <c r="U21" s="281"/>
      <c r="X21" s="281"/>
    </row>
    <row r="22">
      <c r="A22" s="137" t="s">
        <v>676</v>
      </c>
      <c r="B22" s="296" t="s">
        <v>677</v>
      </c>
      <c r="C22" s="297" t="s">
        <v>678</v>
      </c>
      <c r="D22" s="289">
        <f>ROUND((F22*'Pawn Weights'!$K$60)+(G22*'Pawn Weights'!$K$61)+(H22*'Pawn Weights'!$K$62)+(I22*'Pawn Weights'!$K$63)+(J22*'Pawn Weights'!$K$64)+(K22*'Pawn Weights'!$K$65)+(L22*'Pawn Weights'!$K$66)+(M22*'Pawn Weights'!$K$67)+(N22*'Pawn Weights'!$K$68)+(O22*'Pawn Weights'!$K$69)+(P22*'Pawn Weights'!$K$70)+(Q22*'Pawn Weights'!$K$71)+39.2, 2)</f>
        <v>137.22</v>
      </c>
      <c r="E22" s="298">
        <v>19.0</v>
      </c>
      <c r="F22" s="297"/>
      <c r="G22" s="298">
        <v>18.0</v>
      </c>
      <c r="H22" s="298">
        <v>64.0</v>
      </c>
      <c r="I22" s="297"/>
      <c r="J22" s="297"/>
      <c r="K22" s="297"/>
      <c r="L22" s="297"/>
      <c r="M22" s="295"/>
      <c r="N22" s="297"/>
      <c r="O22" s="297"/>
      <c r="P22" s="297"/>
      <c r="Q22" s="297"/>
      <c r="R22" s="295"/>
      <c r="S22" s="137"/>
      <c r="T22" s="362" t="s">
        <v>679</v>
      </c>
      <c r="U22" s="194"/>
      <c r="V22" s="194"/>
      <c r="W22" s="137"/>
      <c r="X22" s="137"/>
      <c r="Y22" s="137"/>
      <c r="Z22" s="137"/>
    </row>
    <row r="23">
      <c r="A23" s="137"/>
      <c r="B23" s="296" t="s">
        <v>668</v>
      </c>
      <c r="C23" s="297" t="s">
        <v>669</v>
      </c>
      <c r="D23" s="289">
        <f>ROUND((F23*'Pawn Weights'!$K$60)+(G23*'Pawn Weights'!$K$61)+(H23*'Pawn Weights'!$K$62)+(I23*'Pawn Weights'!$K$63)+(J23*'Pawn Weights'!$K$64)+(K23*'Pawn Weights'!$K$65)+(L23*'Pawn Weights'!$K$66)+(M23*'Pawn Weights'!$K$67)+(N23*'Pawn Weights'!$K$68)+(O23*'Pawn Weights'!$K$69)+(P23*'Pawn Weights'!$K$70)+(Q23*'Pawn Weights'!$K$71), 2)</f>
        <v>134.32</v>
      </c>
      <c r="E23" s="298">
        <v>18.0</v>
      </c>
      <c r="F23" s="297"/>
      <c r="G23" s="297"/>
      <c r="H23" s="298">
        <v>58.0</v>
      </c>
      <c r="I23" s="298">
        <v>28.0</v>
      </c>
      <c r="J23" s="297"/>
      <c r="K23" s="297"/>
      <c r="L23" s="297"/>
      <c r="M23" s="361"/>
      <c r="N23" s="297"/>
      <c r="O23" s="297"/>
      <c r="P23" s="297"/>
      <c r="Q23" s="298">
        <v>1.0</v>
      </c>
      <c r="R23" s="298" t="s">
        <v>660</v>
      </c>
      <c r="S23" s="137"/>
      <c r="T23" s="361" t="s">
        <v>670</v>
      </c>
      <c r="U23" s="137"/>
      <c r="V23" s="137"/>
      <c r="W23" s="137"/>
      <c r="X23" s="137"/>
      <c r="Y23" s="137"/>
      <c r="Z23" s="137"/>
    </row>
    <row r="24">
      <c r="A24" s="137" t="s">
        <v>671</v>
      </c>
      <c r="B24" s="296" t="s">
        <v>672</v>
      </c>
      <c r="C24" s="297" t="s">
        <v>673</v>
      </c>
      <c r="D24" s="289">
        <f>ROUND((F24*'Pawn Weights'!$K$60)+(G24*'Pawn Weights'!$K$61)+(H24*'Pawn Weights'!$K$62)+(I24*'Pawn Weights'!$K$63)+(J24*'Pawn Weights'!$K$64)+(K24*'Pawn Weights'!$K$65)+(L24*'Pawn Weights'!$K$66)+(M24*'Pawn Weights'!$K$67)+(N24*'Pawn Weights'!$K$68)+(O24*'Pawn Weights'!$K$69)+(P24*'Pawn Weights'!$K$70)+(Q24*'Pawn Weights'!$K$71), 2)</f>
        <v>130.44</v>
      </c>
      <c r="E24" s="298">
        <v>39.0</v>
      </c>
      <c r="F24" s="297"/>
      <c r="G24" s="297"/>
      <c r="H24" s="298">
        <v>58.0</v>
      </c>
      <c r="I24" s="298">
        <v>26.0</v>
      </c>
      <c r="J24" s="297"/>
      <c r="K24" s="297"/>
      <c r="L24" s="297"/>
      <c r="M24" s="137"/>
      <c r="N24" s="297"/>
      <c r="O24" s="297"/>
      <c r="P24" s="298">
        <v>1.0</v>
      </c>
      <c r="Q24" s="297"/>
      <c r="R24" s="298" t="s">
        <v>674</v>
      </c>
      <c r="S24" s="137"/>
      <c r="T24" s="361" t="s">
        <v>675</v>
      </c>
      <c r="U24" s="137"/>
      <c r="V24" s="137"/>
      <c r="W24" s="137"/>
      <c r="X24" s="137"/>
      <c r="Y24" s="137"/>
      <c r="Z24" s="137"/>
    </row>
    <row r="25">
      <c r="A25" s="281"/>
      <c r="B25" s="288" t="s">
        <v>684</v>
      </c>
      <c r="C25" s="280" t="s">
        <v>685</v>
      </c>
      <c r="D25" s="289">
        <f>ROUND((F25*'Pawn Weights'!$K$60)+(G25*'Pawn Weights'!$K$61)+(H25*'Pawn Weights'!$K$62)+(I25*'Pawn Weights'!$K$63)+(J25*'Pawn Weights'!$K$64)+(K25*'Pawn Weights'!$K$65)+(L25*'Pawn Weights'!$K$66)+(M25*'Pawn Weights'!$K$67)+(N25*'Pawn Weights'!$K$68)+(O25*'Pawn Weights'!$K$69)+(P25*'Pawn Weights'!$K$70)+(Q25*'Pawn Weights'!$K$71), 2)</f>
        <v>121.03</v>
      </c>
      <c r="E25" s="280">
        <v>26.0</v>
      </c>
      <c r="F25" s="280"/>
      <c r="G25" s="280">
        <v>27.0</v>
      </c>
      <c r="H25" s="280">
        <v>70.0</v>
      </c>
      <c r="I25" s="280"/>
      <c r="J25" s="280"/>
      <c r="K25" s="280"/>
      <c r="L25" s="280"/>
      <c r="M25" s="281"/>
      <c r="N25" s="280"/>
      <c r="O25" s="280"/>
      <c r="P25" s="280"/>
      <c r="Q25" s="280"/>
      <c r="R25" s="290"/>
      <c r="S25" s="281"/>
      <c r="T25" s="222"/>
      <c r="U25" s="281"/>
      <c r="X25" s="281"/>
    </row>
    <row r="26">
      <c r="A26" s="281"/>
      <c r="B26" s="288" t="s">
        <v>680</v>
      </c>
      <c r="C26" s="280" t="s">
        <v>681</v>
      </c>
      <c r="D26" s="289">
        <f>ROUND((F26*'Pawn Weights'!$K$60)+(G26*'Pawn Weights'!$K$61)+(H26*'Pawn Weights'!$K$62)+(I26*'Pawn Weights'!$K$63)+(J26*'Pawn Weights'!$K$64)+(K26*'Pawn Weights'!$K$65)+(L26*'Pawn Weights'!$K$66)+(M26*'Pawn Weights'!$K$67)+(N26*'Pawn Weights'!$K$68)+(O26*'Pawn Weights'!$K$69)+(P26*'Pawn Weights'!$K$70)+(Q26*'Pawn Weights'!$K$71), 2)</f>
        <v>115.02</v>
      </c>
      <c r="E26" s="280">
        <v>24.0</v>
      </c>
      <c r="F26" s="280">
        <v>32.0</v>
      </c>
      <c r="G26" s="280"/>
      <c r="H26" s="280"/>
      <c r="I26" s="280">
        <v>23.0</v>
      </c>
      <c r="J26" s="280"/>
      <c r="K26" s="280"/>
      <c r="L26" s="280"/>
      <c r="M26" s="280"/>
      <c r="N26" s="280"/>
      <c r="O26" s="280"/>
      <c r="P26" s="280"/>
      <c r="Q26" s="280"/>
      <c r="R26" s="290"/>
      <c r="S26" s="281"/>
      <c r="T26" s="222"/>
      <c r="U26" s="281"/>
      <c r="X26" s="281"/>
    </row>
    <row r="27">
      <c r="A27" s="137" t="s">
        <v>991</v>
      </c>
      <c r="B27" s="296" t="s">
        <v>1075</v>
      </c>
      <c r="C27" s="297" t="s">
        <v>673</v>
      </c>
      <c r="D27" s="289">
        <f>ROUND((F27*'Pawn Weights'!$K$60)+(G27*'Pawn Weights'!$K$61)+(H27*'Pawn Weights'!$K$62)+(I27*'Pawn Weights'!$K$63)+(J27*'Pawn Weights'!$K$64)+(K27*'Pawn Weights'!$K$65)+(L27*'Pawn Weights'!$K$66)+(M27*'Pawn Weights'!$K$67)+(N27*'Pawn Weights'!$K$68)+(O27*'Pawn Weights'!$K$69)+(P27*'Pawn Weights'!$K$70)+(Q27*'Pawn Weights'!$K$71), 2)</f>
        <v>114.68</v>
      </c>
      <c r="E27" s="298">
        <v>35.0</v>
      </c>
      <c r="F27" s="297"/>
      <c r="G27" s="297"/>
      <c r="H27" s="298">
        <v>50.0</v>
      </c>
      <c r="I27" s="298">
        <v>22.0</v>
      </c>
      <c r="J27" s="297"/>
      <c r="K27" s="297"/>
      <c r="L27" s="297"/>
      <c r="M27" s="361"/>
      <c r="N27" s="297"/>
      <c r="O27" s="297"/>
      <c r="P27" s="298">
        <v>1.0</v>
      </c>
      <c r="Q27" s="297"/>
      <c r="R27" s="298" t="s">
        <v>1076</v>
      </c>
      <c r="S27" s="137"/>
      <c r="T27" s="297" t="s">
        <v>675</v>
      </c>
      <c r="U27" s="137"/>
      <c r="V27" s="137"/>
      <c r="W27" s="137"/>
      <c r="X27" s="137"/>
      <c r="Y27" s="137"/>
      <c r="Z27" s="137"/>
    </row>
    <row r="28">
      <c r="A28" s="281"/>
      <c r="B28" s="288" t="s">
        <v>690</v>
      </c>
      <c r="C28" s="280" t="s">
        <v>691</v>
      </c>
      <c r="D28" s="289">
        <f>ROUND((F28*'Pawn Weights'!$K$60)+(G28*'Pawn Weights'!$K$61)+(H28*'Pawn Weights'!$K$62)+(I28*'Pawn Weights'!$K$63)+(J28*'Pawn Weights'!$K$64)+(K28*'Pawn Weights'!$K$65)+(L28*'Pawn Weights'!$K$66)+(M28*'Pawn Weights'!$K$67)+(N28*'Pawn Weights'!$K$68)+(O28*'Pawn Weights'!$K$69)+(P28*'Pawn Weights'!$K$70)+(Q28*'Pawn Weights'!$K$71), 2)</f>
        <v>113.73</v>
      </c>
      <c r="E28" s="280">
        <v>48.0</v>
      </c>
      <c r="F28" s="280"/>
      <c r="G28" s="280"/>
      <c r="H28" s="280"/>
      <c r="I28" s="280"/>
      <c r="J28" s="280">
        <v>22.0</v>
      </c>
      <c r="K28" s="280"/>
      <c r="L28" s="280">
        <v>21.0</v>
      </c>
      <c r="M28" s="281"/>
      <c r="N28" s="280"/>
      <c r="O28" s="280"/>
      <c r="P28" s="280"/>
      <c r="Q28" s="280"/>
      <c r="R28" s="290"/>
      <c r="S28" s="281"/>
      <c r="T28" s="294"/>
      <c r="U28" s="281"/>
      <c r="X28" s="281"/>
    </row>
    <row r="29">
      <c r="A29" s="281"/>
      <c r="B29" s="288" t="s">
        <v>686</v>
      </c>
      <c r="C29" s="280" t="s">
        <v>687</v>
      </c>
      <c r="D29" s="289">
        <f>ROUND((F29*'Pawn Weights'!$K$60)+(G29*'Pawn Weights'!$K$61)+(H29*'Pawn Weights'!$K$62)+(I29*'Pawn Weights'!$K$63)+(J29*'Pawn Weights'!$K$64)+(K29*'Pawn Weights'!$K$65)+(L29*'Pawn Weights'!$K$66)+(M29*'Pawn Weights'!$K$67)+(N29*'Pawn Weights'!$K$68)+(O29*'Pawn Weights'!$K$69)+(P29*'Pawn Weights'!$K$70)+(Q29*'Pawn Weights'!$K$71), 2)</f>
        <v>112.2</v>
      </c>
      <c r="E29" s="280">
        <v>18.0</v>
      </c>
      <c r="F29" s="280"/>
      <c r="G29" s="280">
        <v>20.0</v>
      </c>
      <c r="H29" s="280">
        <v>42.0</v>
      </c>
      <c r="I29" s="280"/>
      <c r="J29" s="280">
        <v>18.0</v>
      </c>
      <c r="K29" s="280"/>
      <c r="L29" s="280"/>
      <c r="M29" s="280"/>
      <c r="N29" s="280"/>
      <c r="O29" s="280"/>
      <c r="P29" s="280"/>
      <c r="Q29" s="280"/>
      <c r="R29" s="290"/>
      <c r="S29" s="281"/>
      <c r="T29" s="294"/>
      <c r="U29" s="281"/>
      <c r="X29" s="281"/>
    </row>
    <row r="30">
      <c r="A30" s="281"/>
      <c r="B30" s="288" t="s">
        <v>1077</v>
      </c>
      <c r="C30" s="280" t="s">
        <v>1078</v>
      </c>
      <c r="D30" s="289">
        <f>ROUND((F30*'Pawn Weights'!$K$60)+(G30*'Pawn Weights'!$K$61)+(H30*'Pawn Weights'!$K$62)+(I30*'Pawn Weights'!$K$63)+(J30*'Pawn Weights'!$K$64)+(K30*'Pawn Weights'!$K$65)+(L30*'Pawn Weights'!$K$66)+(M30*'Pawn Weights'!$K$67)+(N30*'Pawn Weights'!$K$68)+(O30*'Pawn Weights'!$K$69)+(P30*'Pawn Weights'!$K$70)+(Q30*'Pawn Weights'!$K$71), 2)</f>
        <v>110.4</v>
      </c>
      <c r="E30" s="280">
        <v>21.0</v>
      </c>
      <c r="F30" s="280"/>
      <c r="G30" s="280">
        <v>20.0</v>
      </c>
      <c r="H30" s="280">
        <v>42.0</v>
      </c>
      <c r="I30" s="280"/>
      <c r="J30" s="280">
        <v>17.0</v>
      </c>
      <c r="K30" s="280"/>
      <c r="L30" s="280"/>
      <c r="M30" s="280"/>
      <c r="N30" s="280"/>
      <c r="O30" s="280"/>
      <c r="P30" s="280"/>
      <c r="Q30" s="280"/>
      <c r="R30" s="290"/>
      <c r="S30" s="281"/>
      <c r="T30" s="222"/>
      <c r="U30" s="281"/>
      <c r="X30" s="281"/>
    </row>
    <row r="31">
      <c r="A31" s="137" t="s">
        <v>676</v>
      </c>
      <c r="B31" s="296" t="s">
        <v>688</v>
      </c>
      <c r="C31" s="297" t="s">
        <v>678</v>
      </c>
      <c r="D31" s="289">
        <f>ROUND((F31*'Pawn Weights'!$K$60)+(G31*'Pawn Weights'!$K$61)+(H31*'Pawn Weights'!$K$62)+(I31*'Pawn Weights'!$K$63)+(J31*'Pawn Weights'!$K$64)+(K31*'Pawn Weights'!$K$65)+(L31*'Pawn Weights'!$K$66)+(M31*'Pawn Weights'!$K$67)+(N31*'Pawn Weights'!$K$68)+(O31*'Pawn Weights'!$K$69)+(P31*'Pawn Weights'!$K$70)+(Q31*'Pawn Weights'!$K$71), 2)</f>
        <v>98.02</v>
      </c>
      <c r="E31" s="298">
        <v>19.0</v>
      </c>
      <c r="F31" s="297"/>
      <c r="G31" s="298">
        <v>18.0</v>
      </c>
      <c r="H31" s="298">
        <v>64.0</v>
      </c>
      <c r="I31" s="297"/>
      <c r="J31" s="297"/>
      <c r="K31" s="297"/>
      <c r="L31" s="297"/>
      <c r="M31" s="295"/>
      <c r="N31" s="297"/>
      <c r="O31" s="297"/>
      <c r="P31" s="297"/>
      <c r="Q31" s="297"/>
      <c r="R31" s="295"/>
      <c r="S31" s="137"/>
      <c r="T31" s="361" t="s">
        <v>689</v>
      </c>
      <c r="U31" s="137"/>
      <c r="V31" s="137"/>
      <c r="W31" s="137"/>
      <c r="X31" s="137"/>
      <c r="Y31" s="137"/>
      <c r="Z31" s="137"/>
    </row>
    <row r="32">
      <c r="A32" s="272" t="s">
        <v>692</v>
      </c>
      <c r="B32" s="281"/>
      <c r="C32" s="281"/>
      <c r="D32" s="289"/>
      <c r="E32" s="281"/>
      <c r="F32" s="281"/>
      <c r="G32" s="281"/>
      <c r="H32" s="281"/>
      <c r="I32" s="281"/>
      <c r="J32" s="281"/>
      <c r="K32" s="281"/>
      <c r="L32" s="281"/>
      <c r="M32" s="281"/>
      <c r="N32" s="281"/>
      <c r="O32" s="281"/>
      <c r="P32" s="281"/>
      <c r="Q32" s="281"/>
      <c r="R32" s="282"/>
      <c r="S32" s="281"/>
      <c r="T32" s="285"/>
    </row>
    <row r="33">
      <c r="A33" s="300" t="s">
        <v>693</v>
      </c>
      <c r="B33" s="296" t="s">
        <v>694</v>
      </c>
      <c r="C33" s="297" t="s">
        <v>669</v>
      </c>
      <c r="D33" s="289">
        <f>ROUND((F33*'Pawn Weights'!$K$60)+(G33*'Pawn Weights'!$K$61)+(H33*'Pawn Weights'!$K$62)+(I33*'Pawn Weights'!$K$63)+(J33*'Pawn Weights'!$K$64)+(K33*'Pawn Weights'!$K$65)+(L33*'Pawn Weights'!$K$66)+(M33*'Pawn Weights'!$K$67)+(N33*'Pawn Weights'!$K$68)+(O33*'Pawn Weights'!$K$69)+(P33*'Pawn Weights'!$K$70)+(Q33*'Pawn Weights'!$K$71), 2)</f>
        <v>281.27</v>
      </c>
      <c r="E33" s="298">
        <v>38.0</v>
      </c>
      <c r="F33" s="298">
        <v>38.0</v>
      </c>
      <c r="G33" s="298">
        <v>38.0</v>
      </c>
      <c r="H33" s="297"/>
      <c r="I33" s="298">
        <v>20.0</v>
      </c>
      <c r="J33" s="297"/>
      <c r="K33" s="297"/>
      <c r="L33" s="297"/>
      <c r="M33" s="359">
        <v>105.0</v>
      </c>
      <c r="N33" s="297"/>
      <c r="O33" s="298">
        <v>1.0</v>
      </c>
      <c r="P33" s="297"/>
      <c r="Q33" s="298">
        <v>1.0</v>
      </c>
      <c r="R33" s="298" t="s">
        <v>695</v>
      </c>
      <c r="S33" s="137"/>
      <c r="T33" s="295"/>
      <c r="U33" s="137"/>
      <c r="V33" s="137"/>
      <c r="W33" s="137"/>
      <c r="X33" s="137"/>
      <c r="Y33" s="137"/>
      <c r="Z33" s="137"/>
    </row>
    <row r="34">
      <c r="A34" s="295"/>
      <c r="B34" s="296" t="s">
        <v>696</v>
      </c>
      <c r="C34" s="297" t="s">
        <v>669</v>
      </c>
      <c r="D34" s="289">
        <f>ROUND((F34*'Pawn Weights'!$K$60)+(G34*'Pawn Weights'!$K$61)+(H34*'Pawn Weights'!$K$62)+(I34*'Pawn Weights'!$K$63)+(J34*'Pawn Weights'!$K$64)+(K34*'Pawn Weights'!$K$65)+(L34*'Pawn Weights'!$K$66)+(M34*'Pawn Weights'!$K$67)+(N34*'Pawn Weights'!$K$68)+(O34*'Pawn Weights'!$K$69)+(P34*'Pawn Weights'!$K$70)+(Q34*'Pawn Weights'!$K$71)+5.67, 2)</f>
        <v>278.41</v>
      </c>
      <c r="E34" s="298">
        <v>40.0</v>
      </c>
      <c r="F34" s="297"/>
      <c r="G34" s="298">
        <v>40.0</v>
      </c>
      <c r="H34" s="298">
        <v>90.0</v>
      </c>
      <c r="I34" s="297"/>
      <c r="J34" s="297"/>
      <c r="K34" s="297"/>
      <c r="L34" s="297"/>
      <c r="M34" s="359">
        <v>154.0</v>
      </c>
      <c r="N34" s="297"/>
      <c r="O34" s="298">
        <v>2.0</v>
      </c>
      <c r="P34" s="297"/>
      <c r="Q34" s="297"/>
      <c r="R34" s="298" t="s">
        <v>695</v>
      </c>
      <c r="S34" s="137"/>
      <c r="T34" s="295"/>
      <c r="U34" s="137"/>
      <c r="V34" s="137"/>
      <c r="W34" s="137"/>
      <c r="X34" s="137"/>
      <c r="Y34" s="137"/>
      <c r="Z34" s="137"/>
    </row>
    <row r="35">
      <c r="A35" s="295"/>
      <c r="B35" s="296" t="s">
        <v>699</v>
      </c>
      <c r="C35" s="297" t="s">
        <v>669</v>
      </c>
      <c r="D35" s="289">
        <f>ROUND((F35*'Pawn Weights'!$K$60)+(G35*'Pawn Weights'!$K$61)+(H35*'Pawn Weights'!$K$62)+(I35*'Pawn Weights'!$K$63)+(J35*'Pawn Weights'!$K$64)+(K35*'Pawn Weights'!$K$65)+(L35*'Pawn Weights'!$K$66)+(M35*'Pawn Weights'!$K$67)+(N35*'Pawn Weights'!$K$68)+(O35*'Pawn Weights'!$K$69)+(P35*'Pawn Weights'!$K$70)+(Q35*'Pawn Weights'!$K$71), 2)</f>
        <v>258.57</v>
      </c>
      <c r="E35" s="298">
        <v>45.0</v>
      </c>
      <c r="F35" s="297"/>
      <c r="G35" s="298">
        <v>33.0</v>
      </c>
      <c r="H35" s="298">
        <v>90.0</v>
      </c>
      <c r="I35" s="297"/>
      <c r="J35" s="298">
        <v>26.0</v>
      </c>
      <c r="K35" s="298">
        <v>30.0</v>
      </c>
      <c r="L35" s="297"/>
      <c r="M35" s="361"/>
      <c r="N35" s="297"/>
      <c r="O35" s="297"/>
      <c r="P35" s="297"/>
      <c r="Q35" s="297"/>
      <c r="R35" s="295"/>
      <c r="S35" s="137"/>
      <c r="T35" s="295"/>
      <c r="U35" s="137"/>
      <c r="V35" s="137"/>
      <c r="W35" s="137"/>
      <c r="X35" s="137"/>
      <c r="Y35" s="137"/>
      <c r="Z35" s="137"/>
    </row>
    <row r="36">
      <c r="A36" s="301"/>
      <c r="B36" s="288" t="s">
        <v>709</v>
      </c>
      <c r="C36" s="280" t="s">
        <v>710</v>
      </c>
      <c r="D36" s="289">
        <f>ROUND((F36*'Pawn Weights'!$K$60)+(G36*'Pawn Weights'!$K$61)+(H36*'Pawn Weights'!$K$62)+(I36*'Pawn Weights'!$K$63)+(J36*'Pawn Weights'!$K$64)+(K36*'Pawn Weights'!$K$65)+(L36*'Pawn Weights'!$K$66)+(M36*'Pawn Weights'!$K$67)+(N36*'Pawn Weights'!$K$68)+(O36*'Pawn Weights'!$K$69)+(P36*'Pawn Weights'!$K$70)+(Q36*'Pawn Weights'!$K$71)+3.78, 2)</f>
        <v>214.49</v>
      </c>
      <c r="E36" s="280">
        <v>28.0</v>
      </c>
      <c r="F36" s="280"/>
      <c r="G36" s="280">
        <v>33.0</v>
      </c>
      <c r="H36" s="280">
        <v>60.0</v>
      </c>
      <c r="I36" s="280">
        <v>16.0</v>
      </c>
      <c r="J36" s="280"/>
      <c r="K36" s="280"/>
      <c r="L36" s="280">
        <v>10.0</v>
      </c>
      <c r="M36" s="281"/>
      <c r="N36" s="280"/>
      <c r="O36" s="280">
        <v>1.0</v>
      </c>
      <c r="P36" s="280"/>
      <c r="Q36" s="280"/>
      <c r="R36" s="290" t="s">
        <v>711</v>
      </c>
      <c r="S36" s="281"/>
      <c r="T36" s="291" t="s">
        <v>1192</v>
      </c>
    </row>
    <row r="37">
      <c r="A37" s="315"/>
      <c r="B37" s="296" t="s">
        <v>1190</v>
      </c>
      <c r="C37" s="297" t="s">
        <v>1191</v>
      </c>
      <c r="D37" s="289">
        <f>ROUND((F37*'Pawn Weights'!$K$60)+(G37*'Pawn Weights'!$K$61)+(H37*'Pawn Weights'!$K$62)+(I37*'Pawn Weights'!$K$63)+(J37*'Pawn Weights'!$K$64)+(K37*'Pawn Weights'!$K$65)+(L37*'Pawn Weights'!$K$66)+(M37*'Pawn Weights'!$K$67)+(N37*'Pawn Weights'!$K$68)+(O37*'Pawn Weights'!$K$69)+(P37*'Pawn Weights'!$K$70)+(Q37*'Pawn Weights'!$K$71), 2)</f>
        <v>204.05</v>
      </c>
      <c r="E37" s="298">
        <v>34.0</v>
      </c>
      <c r="F37" s="297"/>
      <c r="G37" s="298">
        <v>29.0</v>
      </c>
      <c r="H37" s="298">
        <v>74.0</v>
      </c>
      <c r="I37" s="297"/>
      <c r="J37" s="297"/>
      <c r="K37" s="298">
        <v>38.0</v>
      </c>
      <c r="L37" s="297"/>
      <c r="M37" s="137"/>
      <c r="N37" s="297"/>
      <c r="O37" s="297"/>
      <c r="P37" s="297"/>
      <c r="Q37" s="297"/>
      <c r="R37" s="295"/>
      <c r="S37" s="137"/>
      <c r="T37" s="400"/>
      <c r="U37" s="137"/>
      <c r="V37" s="137"/>
      <c r="W37" s="137"/>
      <c r="X37" s="137"/>
      <c r="Y37" s="137"/>
      <c r="Z37" s="137"/>
    </row>
    <row r="38">
      <c r="A38" s="295" t="s">
        <v>627</v>
      </c>
      <c r="B38" s="296" t="s">
        <v>1322</v>
      </c>
      <c r="C38" s="297" t="s">
        <v>1191</v>
      </c>
      <c r="D38" s="289">
        <f>ROUND((F38*'Pawn Weights'!$K$60)+(G38*'Pawn Weights'!$K$61)+(H38*'Pawn Weights'!$K$62)+(I38*'Pawn Weights'!$K$63)+(J38*'Pawn Weights'!$K$64)+(K38*'Pawn Weights'!$K$65)+(L38*'Pawn Weights'!$K$66)+(M38*'Pawn Weights'!$K$67)+(N38*'Pawn Weights'!$K$68)+(O38*'Pawn Weights'!$K$69)+(P38*'Pawn Weights'!$K$70)+(Q38*'Pawn Weights'!$K$71), 2)</f>
        <v>198.29</v>
      </c>
      <c r="E38" s="298">
        <v>19.0</v>
      </c>
      <c r="F38" s="297"/>
      <c r="G38" s="298">
        <v>27.0</v>
      </c>
      <c r="H38" s="298">
        <v>74.0</v>
      </c>
      <c r="I38" s="297"/>
      <c r="J38" s="297"/>
      <c r="K38" s="298">
        <v>37.0</v>
      </c>
      <c r="L38" s="297"/>
      <c r="M38" s="137"/>
      <c r="N38" s="297"/>
      <c r="O38" s="297"/>
      <c r="P38" s="297"/>
      <c r="Q38" s="297"/>
      <c r="R38" s="295"/>
      <c r="S38" s="137"/>
      <c r="T38" s="295"/>
      <c r="U38" s="137"/>
      <c r="V38" s="137"/>
      <c r="W38" s="137"/>
      <c r="X38" s="137"/>
      <c r="Y38" s="137"/>
      <c r="Z38" s="137"/>
    </row>
    <row r="39">
      <c r="A39" s="301"/>
      <c r="B39" s="288" t="s">
        <v>722</v>
      </c>
      <c r="C39" s="280" t="s">
        <v>723</v>
      </c>
      <c r="D39" s="289">
        <f>ROUND((F39*'Pawn Weights'!$K$60)+(G39*'Pawn Weights'!$K$61)+(H39*'Pawn Weights'!$K$62)+(I39*'Pawn Weights'!$K$63)+(J39*'Pawn Weights'!$K$64)+(K39*'Pawn Weights'!$K$65)+(L39*'Pawn Weights'!$K$66)+(M39*'Pawn Weights'!$K$67)+(N39*'Pawn Weights'!$K$68)+(O39*'Pawn Weights'!$K$69)+(P39*'Pawn Weights'!$K$70)+(Q39*'Pawn Weights'!$K$71), 2)</f>
        <v>198.26</v>
      </c>
      <c r="E39" s="280">
        <v>37.0</v>
      </c>
      <c r="F39" s="280"/>
      <c r="G39" s="280">
        <v>38.0</v>
      </c>
      <c r="H39" s="280">
        <v>76.0</v>
      </c>
      <c r="I39" s="280">
        <v>26.0</v>
      </c>
      <c r="J39" s="280"/>
      <c r="K39" s="280"/>
      <c r="L39" s="280"/>
      <c r="M39" s="281"/>
      <c r="N39" s="280"/>
      <c r="O39" s="280"/>
      <c r="P39" s="280"/>
      <c r="Q39" s="280"/>
      <c r="R39" s="290"/>
      <c r="S39" s="281"/>
      <c r="T39" s="291"/>
      <c r="U39" s="281"/>
      <c r="V39" s="281"/>
      <c r="W39" s="281"/>
      <c r="X39" s="281"/>
    </row>
    <row r="40">
      <c r="A40" s="301"/>
      <c r="B40" s="288" t="s">
        <v>715</v>
      </c>
      <c r="C40" s="280" t="s">
        <v>716</v>
      </c>
      <c r="D40" s="289">
        <f>ROUND((F40*'Pawn Weights'!$K$60)+(G40*'Pawn Weights'!$K$61)+(H40*'Pawn Weights'!$K$62)+(I40*'Pawn Weights'!$K$63)+(J40*'Pawn Weights'!$K$64)+(K40*'Pawn Weights'!$K$65)+(L40*'Pawn Weights'!$K$66)+(M40*'Pawn Weights'!$K$67)+(N40*'Pawn Weights'!$K$68)+(O40*'Pawn Weights'!$K$69)+(P40*'Pawn Weights'!$K$70)+(Q40*'Pawn Weights'!$K$71), 2)</f>
        <v>197.62</v>
      </c>
      <c r="E40" s="280">
        <v>34.0</v>
      </c>
      <c r="F40" s="280"/>
      <c r="G40" s="280"/>
      <c r="H40" s="280">
        <v>94.0</v>
      </c>
      <c r="I40" s="280">
        <v>33.0</v>
      </c>
      <c r="J40" s="280">
        <v>22.0</v>
      </c>
      <c r="K40" s="280"/>
      <c r="L40" s="280"/>
      <c r="M40" s="281"/>
      <c r="N40" s="280"/>
      <c r="O40" s="280"/>
      <c r="P40" s="280"/>
      <c r="Q40" s="280"/>
      <c r="R40" s="290"/>
      <c r="S40" s="281"/>
      <c r="T40" s="291"/>
      <c r="U40" s="281"/>
      <c r="V40" s="281"/>
      <c r="W40" s="281"/>
    </row>
    <row r="41">
      <c r="A41" s="301" t="s">
        <v>640</v>
      </c>
      <c r="B41" s="288" t="s">
        <v>1323</v>
      </c>
      <c r="C41" s="280" t="s">
        <v>701</v>
      </c>
      <c r="D41" s="289">
        <f>ROUND((F41*'Pawn Weights'!$K$60)+(G41*'Pawn Weights'!$K$61)+(H41*'Pawn Weights'!$K$62)+(I41*'Pawn Weights'!$K$63)+(J41*'Pawn Weights'!$K$64)+(K41*'Pawn Weights'!$K$65)+(L41*'Pawn Weights'!$K$66)+(M41*'Pawn Weights'!$K$67)+(N41*'Pawn Weights'!$K$68)+(O41*'Pawn Weights'!$K$69)+(P41*'Pawn Weights'!$K$70)+(Q41*'Pawn Weights'!$K$71), 2)</f>
        <v>189.04</v>
      </c>
      <c r="E41" s="280">
        <v>48.0</v>
      </c>
      <c r="F41" s="280">
        <v>34.0</v>
      </c>
      <c r="G41" s="280"/>
      <c r="H41" s="280"/>
      <c r="I41" s="280">
        <v>26.0</v>
      </c>
      <c r="J41" s="280">
        <v>11.0</v>
      </c>
      <c r="K41" s="280"/>
      <c r="L41" s="280"/>
      <c r="M41" s="281"/>
      <c r="N41" s="280"/>
      <c r="O41" s="280"/>
      <c r="P41" s="280">
        <v>2.0</v>
      </c>
      <c r="R41" s="290" t="s">
        <v>698</v>
      </c>
      <c r="S41" s="281"/>
      <c r="T41" s="291"/>
      <c r="U41" s="281"/>
      <c r="V41" s="281"/>
      <c r="W41" s="281"/>
    </row>
    <row r="42">
      <c r="A42" s="295" t="s">
        <v>635</v>
      </c>
      <c r="B42" s="317" t="s">
        <v>1324</v>
      </c>
      <c r="C42" s="297" t="s">
        <v>637</v>
      </c>
      <c r="D42" s="289">
        <f>ROUND((F42*'Pawn Weights'!$K$60)+(G42*'Pawn Weights'!$K$61)+(H42*'Pawn Weights'!$K$62)+(I42*'Pawn Weights'!$K$63)+(J42*'Pawn Weights'!$K$64)+(K42*'Pawn Weights'!$K$65)+(L42*'Pawn Weights'!$K$66)+(M42*'Pawn Weights'!$K$67)+(N42*'Pawn Weights'!$K$68)+(O42*'Pawn Weights'!$K$69)+(P42*'Pawn Weights'!$K$70)+(Q42*'Pawn Weights'!$K$71), 2)</f>
        <v>170.14</v>
      </c>
      <c r="E42" s="316">
        <v>58.0</v>
      </c>
      <c r="F42" s="316">
        <v>30.0</v>
      </c>
      <c r="G42" s="297"/>
      <c r="H42" s="297"/>
      <c r="I42" s="316">
        <v>31.0</v>
      </c>
      <c r="J42" s="297"/>
      <c r="K42" s="297"/>
      <c r="L42" s="297"/>
      <c r="M42" s="137"/>
      <c r="N42" s="297"/>
      <c r="O42" s="298">
        <v>1.0</v>
      </c>
      <c r="P42" s="298">
        <v>1.0</v>
      </c>
      <c r="Q42" s="297"/>
      <c r="R42" s="316" t="s">
        <v>1189</v>
      </c>
      <c r="S42" s="137"/>
      <c r="T42" s="318" t="s">
        <v>1325</v>
      </c>
      <c r="U42" s="137"/>
      <c r="V42" s="137"/>
      <c r="W42" s="137"/>
      <c r="X42" s="137"/>
      <c r="Y42" s="137"/>
      <c r="Z42" s="137"/>
    </row>
    <row r="43">
      <c r="A43" s="301"/>
      <c r="B43" s="288" t="s">
        <v>1326</v>
      </c>
      <c r="C43" s="280" t="s">
        <v>900</v>
      </c>
      <c r="D43" s="289">
        <f>ROUND((F43*'Pawn Weights'!$K$60)+(G43*'Pawn Weights'!$K$61)+(H43*'Pawn Weights'!$K$62)+(I43*'Pawn Weights'!$K$63)+(J43*'Pawn Weights'!$K$64)+(K43*'Pawn Weights'!$K$65)+(L43*'Pawn Weights'!$K$66)+(M43*'Pawn Weights'!$K$67)+(N43*'Pawn Weights'!$K$68)+(O43*'Pawn Weights'!$K$69)+(P43*'Pawn Weights'!$K$70)+(Q43*'Pawn Weights'!$K$71), 2)</f>
        <v>169.6</v>
      </c>
      <c r="E43" s="280"/>
      <c r="F43" s="280"/>
      <c r="G43" s="280">
        <v>22.0</v>
      </c>
      <c r="H43" s="280">
        <v>64.0</v>
      </c>
      <c r="I43" s="280">
        <v>33.0</v>
      </c>
      <c r="J43" s="280"/>
      <c r="K43" s="280"/>
      <c r="L43" s="280"/>
      <c r="M43" s="281"/>
      <c r="N43" s="280"/>
      <c r="O43" s="280"/>
      <c r="P43" s="280"/>
      <c r="Q43" s="280"/>
      <c r="R43" s="290"/>
      <c r="S43" s="281"/>
      <c r="T43" s="291"/>
      <c r="U43" s="281"/>
      <c r="V43" s="281"/>
      <c r="W43" s="281"/>
    </row>
    <row r="44">
      <c r="A44" s="301"/>
      <c r="B44" s="288" t="s">
        <v>1327</v>
      </c>
      <c r="C44" s="280" t="s">
        <v>1278</v>
      </c>
      <c r="D44" s="289">
        <f>ROUND((F44*'Pawn Weights'!$K$60)+(G44*'Pawn Weights'!$K$61)+(H44*'Pawn Weights'!$K$62)+(I44*'Pawn Weights'!$K$63)+(J44*'Pawn Weights'!$K$64)+(K44*'Pawn Weights'!$K$65)+(L44*'Pawn Weights'!$K$66)+(M44*'Pawn Weights'!$K$67)+(N44*'Pawn Weights'!$K$68)+(O44*'Pawn Weights'!$K$69)+(P44*'Pawn Weights'!$K$70)+(Q44*'Pawn Weights'!$K$71), 2)</f>
        <v>166.14</v>
      </c>
      <c r="E44" s="280">
        <v>30.0</v>
      </c>
      <c r="F44" s="280"/>
      <c r="G44" s="280"/>
      <c r="H44" s="280">
        <v>58.0</v>
      </c>
      <c r="I44" s="280">
        <v>21.0</v>
      </c>
      <c r="J44" s="280">
        <v>13.0</v>
      </c>
      <c r="K44" s="280"/>
      <c r="L44" s="280"/>
      <c r="M44" s="281"/>
      <c r="N44" s="280"/>
      <c r="O44" s="280"/>
      <c r="P44" s="280">
        <v>2.0</v>
      </c>
      <c r="Q44" s="280"/>
      <c r="R44" s="290" t="s">
        <v>832</v>
      </c>
      <c r="S44" s="281"/>
      <c r="T44" s="291"/>
      <c r="U44" s="281"/>
      <c r="V44" s="281"/>
      <c r="W44" s="281"/>
      <c r="X44" s="281"/>
    </row>
    <row r="45">
      <c r="A45" s="301" t="s">
        <v>654</v>
      </c>
      <c r="B45" s="288" t="s">
        <v>1328</v>
      </c>
      <c r="C45" s="280" t="s">
        <v>790</v>
      </c>
      <c r="D45" s="289">
        <f>ROUND((F45*'Pawn Weights'!$K$60)+(G45*'Pawn Weights'!$K$61)+(H45*'Pawn Weights'!$K$62)+(I45*'Pawn Weights'!$K$63)+(J45*'Pawn Weights'!$K$64)+(K45*'Pawn Weights'!$K$65)+(L45*'Pawn Weights'!$K$66)+(M45*'Pawn Weights'!$K$67)+(N45*'Pawn Weights'!$K$68)+(O45*'Pawn Weights'!$K$69)+(P45*'Pawn Weights'!$K$70)+(Q45*'Pawn Weights'!$K$71), 2)</f>
        <v>160.42</v>
      </c>
      <c r="E45" s="280">
        <v>31.0</v>
      </c>
      <c r="F45" s="280">
        <v>26.0</v>
      </c>
      <c r="G45" s="280">
        <v>18.0</v>
      </c>
      <c r="H45" s="280"/>
      <c r="I45" s="280"/>
      <c r="J45" s="280">
        <v>14.0</v>
      </c>
      <c r="K45" s="280"/>
      <c r="L45" s="280"/>
      <c r="M45" s="281"/>
      <c r="N45" s="280"/>
      <c r="O45" s="280">
        <v>1.0</v>
      </c>
      <c r="P45" s="280">
        <v>1.0</v>
      </c>
      <c r="Q45" s="280"/>
      <c r="R45" s="290" t="s">
        <v>832</v>
      </c>
      <c r="S45" s="281"/>
      <c r="T45" s="291" t="s">
        <v>1329</v>
      </c>
      <c r="U45" s="281"/>
      <c r="V45" s="281"/>
      <c r="W45" s="281"/>
    </row>
    <row r="46">
      <c r="A46" s="301"/>
      <c r="B46" s="288" t="s">
        <v>1197</v>
      </c>
      <c r="C46" s="280" t="s">
        <v>1198</v>
      </c>
      <c r="D46" s="289">
        <f>ROUND((F46*'Pawn Weights'!$K$60)+(G46*'Pawn Weights'!$K$61)+(H46*'Pawn Weights'!$K$62)+(I46*'Pawn Weights'!$K$63)+(J46*'Pawn Weights'!$K$64)+(K46*'Pawn Weights'!$K$65)+(L46*'Pawn Weights'!$K$66)+(M46*'Pawn Weights'!$K$67)+(N46*'Pawn Weights'!$K$68)+(O46*'Pawn Weights'!$K$69)+(P46*'Pawn Weights'!$K$70)+(Q46*'Pawn Weights'!$K$71), 2)</f>
        <v>159.17</v>
      </c>
      <c r="E46" s="280">
        <v>39.0</v>
      </c>
      <c r="F46" s="280"/>
      <c r="G46" s="280">
        <v>33.0</v>
      </c>
      <c r="H46" s="280">
        <v>68.0</v>
      </c>
      <c r="I46" s="280"/>
      <c r="J46" s="280">
        <v>16.0</v>
      </c>
      <c r="K46" s="280"/>
      <c r="L46" s="280"/>
      <c r="M46" s="281"/>
      <c r="N46" s="280"/>
      <c r="O46" s="280"/>
      <c r="P46" s="280"/>
      <c r="Q46" s="280"/>
      <c r="R46" s="290"/>
      <c r="S46" s="281"/>
      <c r="T46" s="291"/>
      <c r="U46" s="281"/>
      <c r="V46" s="281"/>
      <c r="W46" s="281"/>
    </row>
    <row r="47">
      <c r="A47" s="272" t="s">
        <v>724</v>
      </c>
      <c r="B47" s="281"/>
      <c r="C47" s="281"/>
      <c r="D47" s="289"/>
      <c r="E47" s="281"/>
      <c r="F47" s="281"/>
      <c r="G47" s="281"/>
      <c r="H47" s="281"/>
      <c r="I47" s="281"/>
      <c r="J47" s="281"/>
      <c r="K47" s="281"/>
      <c r="L47" s="281"/>
      <c r="M47" s="281"/>
      <c r="N47" s="281"/>
      <c r="O47" s="281"/>
      <c r="P47" s="281"/>
      <c r="Q47" s="280"/>
      <c r="R47" s="282"/>
      <c r="S47" s="281"/>
      <c r="T47" s="285"/>
      <c r="U47" s="281"/>
      <c r="V47" s="281"/>
      <c r="W47" s="281"/>
    </row>
    <row r="48">
      <c r="A48" s="137"/>
      <c r="B48" s="296" t="s">
        <v>725</v>
      </c>
      <c r="C48" s="297" t="s">
        <v>621</v>
      </c>
      <c r="D48" s="289">
        <f>ROUND((F48*'Pawn Weights'!$K$60)+(G48*'Pawn Weights'!$K$61)+(H48*'Pawn Weights'!$K$62)+(I48*'Pawn Weights'!$K$63)+(J48*'Pawn Weights'!$K$64)+(K48*'Pawn Weights'!$K$65)+(L48*'Pawn Weights'!$K$66)+(M48*'Pawn Weights'!$K$67)+(N48*'Pawn Weights'!$K$68)+(O48*'Pawn Weights'!$K$69)+(P48*'Pawn Weights'!$K$70)+(Q48*'Pawn Weights'!$K$71)-22+20.7+4, 2)</f>
        <v>209.2</v>
      </c>
      <c r="E48" s="298">
        <v>25.0</v>
      </c>
      <c r="F48" s="297"/>
      <c r="G48" s="298">
        <v>26.0</v>
      </c>
      <c r="H48" s="298">
        <v>72.0</v>
      </c>
      <c r="I48" s="297"/>
      <c r="J48" s="297"/>
      <c r="K48" s="298">
        <v>32.0</v>
      </c>
      <c r="L48" s="297"/>
      <c r="M48" s="297"/>
      <c r="N48" s="297"/>
      <c r="O48" s="297"/>
      <c r="P48" s="298">
        <v>1.0</v>
      </c>
      <c r="Q48" s="297"/>
      <c r="R48" s="298" t="s">
        <v>660</v>
      </c>
      <c r="S48" s="137"/>
      <c r="T48" s="137"/>
      <c r="U48" s="137"/>
      <c r="V48" s="137"/>
      <c r="W48" s="137"/>
      <c r="X48" s="137"/>
      <c r="Y48" s="137"/>
      <c r="Z48" s="137"/>
    </row>
    <row r="49">
      <c r="A49" s="281"/>
      <c r="B49" s="302" t="s">
        <v>726</v>
      </c>
      <c r="C49" s="280" t="s">
        <v>727</v>
      </c>
      <c r="D49" s="289">
        <f>ROUND((F49*'Pawn Weights'!$K$60)+(G49*'Pawn Weights'!$K$61)+(H49*'Pawn Weights'!$K$62)+(I49*'Pawn Weights'!$K$63)+(J49*'Pawn Weights'!$K$64)+(K49*'Pawn Weights'!$K$65)+(L49*'Pawn Weights'!$K$66)+(M49*'Pawn Weights'!$K$67)+(N49*'Pawn Weights'!$K$68)+(O49*'Pawn Weights'!$K$69)+(P49*'Pawn Weights'!$K$70)+(Q49*'Pawn Weights'!$K$71), 2)</f>
        <v>149.16</v>
      </c>
      <c r="E49" s="280">
        <v>24.0</v>
      </c>
      <c r="F49" s="280"/>
      <c r="G49" s="280"/>
      <c r="H49" s="280">
        <v>72.0</v>
      </c>
      <c r="I49" s="280">
        <v>24.0</v>
      </c>
      <c r="J49" s="280">
        <v>17.0</v>
      </c>
      <c r="K49" s="280"/>
      <c r="L49" s="280"/>
      <c r="M49" s="280"/>
      <c r="N49" s="280"/>
      <c r="O49" s="280"/>
      <c r="P49" s="280"/>
      <c r="Q49" s="280"/>
      <c r="R49" s="290"/>
      <c r="S49" s="281"/>
      <c r="T49" s="222"/>
      <c r="U49" s="281"/>
      <c r="V49" s="281"/>
      <c r="W49" s="281"/>
      <c r="X49" s="281"/>
    </row>
    <row r="50">
      <c r="A50" s="303"/>
      <c r="B50" s="302" t="s">
        <v>732</v>
      </c>
      <c r="C50" s="154" t="s">
        <v>733</v>
      </c>
      <c r="D50" s="289">
        <f>ROUND((F50*'Pawn Weights'!$K$60)+(G50*'Pawn Weights'!$K$61)+(H50*'Pawn Weights'!$K$62)+(I50*'Pawn Weights'!$K$63)+(J50*'Pawn Weights'!$K$64)+(K50*'Pawn Weights'!$K$65)+(L50*'Pawn Weights'!$K$66)+(M50*'Pawn Weights'!$K$67)+(N50*'Pawn Weights'!$K$68)+(O50*'Pawn Weights'!$K$69)+(P50*'Pawn Weights'!$K$70)+(Q50*'Pawn Weights'!$K$71), 2)</f>
        <v>133.3</v>
      </c>
      <c r="E50" s="280">
        <v>22.0</v>
      </c>
      <c r="F50" s="280"/>
      <c r="G50" s="280">
        <v>20.0</v>
      </c>
      <c r="H50" s="280">
        <v>46.0</v>
      </c>
      <c r="I50" s="280"/>
      <c r="J50" s="280"/>
      <c r="K50" s="280">
        <v>25.0</v>
      </c>
      <c r="L50" s="280"/>
      <c r="M50" s="281"/>
      <c r="N50" s="280"/>
      <c r="O50" s="280"/>
      <c r="P50" s="280"/>
      <c r="Q50" s="280"/>
      <c r="R50" s="290"/>
      <c r="S50" s="281"/>
      <c r="T50" s="291"/>
      <c r="U50" s="281"/>
      <c r="V50" s="281"/>
      <c r="W50" s="281"/>
      <c r="X50" s="304"/>
      <c r="Y50" s="304"/>
      <c r="Z50" s="304"/>
    </row>
    <row r="51">
      <c r="A51" s="281"/>
      <c r="B51" s="302" t="s">
        <v>728</v>
      </c>
      <c r="C51" s="280" t="s">
        <v>1082</v>
      </c>
      <c r="D51" s="289">
        <f>ROUND((F51*'Pawn Weights'!$K$60)+(G51*'Pawn Weights'!$K$61)+(H51*'Pawn Weights'!$K$62)+(I51*'Pawn Weights'!$K$63)+(J51*'Pawn Weights'!$K$64)+(K51*'Pawn Weights'!$K$65)+(L51*'Pawn Weights'!$K$66)+(M51*'Pawn Weights'!$K$67)+(N51*'Pawn Weights'!$K$68)+(O51*'Pawn Weights'!$K$69)+(P51*'Pawn Weights'!$K$70)+(Q51*'Pawn Weights'!$K$71), 2)</f>
        <v>130.72</v>
      </c>
      <c r="E51" s="280">
        <v>34.0</v>
      </c>
      <c r="F51" s="280"/>
      <c r="G51" s="280"/>
      <c r="H51" s="280">
        <v>46.0</v>
      </c>
      <c r="I51" s="280">
        <v>20.0</v>
      </c>
      <c r="J51" s="280"/>
      <c r="K51" s="280"/>
      <c r="L51" s="280"/>
      <c r="M51" s="280">
        <v>112.0</v>
      </c>
      <c r="N51" s="280"/>
      <c r="O51" s="280"/>
      <c r="P51" s="280"/>
      <c r="Q51" s="280"/>
      <c r="R51" s="290"/>
      <c r="S51" s="281"/>
      <c r="T51" s="294" t="s">
        <v>704</v>
      </c>
      <c r="U51" s="281"/>
      <c r="V51" s="281"/>
      <c r="W51" s="281"/>
      <c r="X51" s="281"/>
    </row>
    <row r="52">
      <c r="A52" s="292" t="s">
        <v>627</v>
      </c>
      <c r="B52" s="288" t="s">
        <v>729</v>
      </c>
      <c r="C52" s="280" t="s">
        <v>730</v>
      </c>
      <c r="D52" s="289">
        <f>ROUND((F52*'Pawn Weights'!$K$60)+(G52*'Pawn Weights'!$K$61)+(H52*'Pawn Weights'!$K$62)+(I52*'Pawn Weights'!$K$63)+(J52*'Pawn Weights'!$K$64)+(K52*'Pawn Weights'!$K$65)+(L52*'Pawn Weights'!$K$66)+(M52*'Pawn Weights'!$K$67)+(N52*'Pawn Weights'!$K$68)+(O52*'Pawn Weights'!$K$69)+(P52*'Pawn Weights'!$K$70)+(Q52*'Pawn Weights'!$K$71)+3.6, 2)</f>
        <v>122.22</v>
      </c>
      <c r="E52" s="280"/>
      <c r="F52" s="280"/>
      <c r="G52" s="280"/>
      <c r="H52" s="280">
        <v>52.0</v>
      </c>
      <c r="I52" s="280">
        <v>23.0</v>
      </c>
      <c r="J52" s="280"/>
      <c r="K52" s="280"/>
      <c r="L52" s="280"/>
      <c r="M52" s="281"/>
      <c r="N52" s="280"/>
      <c r="O52" s="280">
        <v>1.0</v>
      </c>
      <c r="P52" s="280"/>
      <c r="Q52" s="280"/>
      <c r="R52" s="290" t="s">
        <v>731</v>
      </c>
      <c r="S52" s="281"/>
      <c r="T52" s="222"/>
      <c r="U52" s="281"/>
      <c r="V52" s="281"/>
      <c r="W52" s="281"/>
      <c r="X52" s="281"/>
    </row>
    <row r="53" ht="1.5" customHeight="1">
      <c r="A53" s="281"/>
      <c r="B53" s="302" t="s">
        <v>740</v>
      </c>
      <c r="C53" s="280" t="s">
        <v>741</v>
      </c>
      <c r="D53" s="289">
        <f>ROUND((F53*'Pawn Weights'!$K$60)+(G53*'Pawn Weights'!$K$61)+(H53*'Pawn Weights'!$K$62)+(I53*'Pawn Weights'!$K$63)+(J53*'Pawn Weights'!$K$64)+(K53*'Pawn Weights'!$K$65)+(L53*'Pawn Weights'!$K$66)+(M53*'Pawn Weights'!$K$67)+(N53*'Pawn Weights'!$K$68)+(O53*'Pawn Weights'!$K$69)+(P53*'Pawn Weights'!$K$70)+(Q53*'Pawn Weights'!$K$71), 2)</f>
        <v>120.92</v>
      </c>
      <c r="E53" s="280">
        <v>28.0</v>
      </c>
      <c r="F53" s="280"/>
      <c r="G53" s="280">
        <v>28.0</v>
      </c>
      <c r="H53" s="280">
        <v>68.0</v>
      </c>
      <c r="I53" s="280"/>
      <c r="J53" s="280"/>
      <c r="K53" s="280"/>
      <c r="L53" s="280"/>
      <c r="M53" s="280"/>
      <c r="N53" s="280"/>
      <c r="O53" s="280"/>
      <c r="P53" s="280"/>
      <c r="Q53" s="280"/>
      <c r="R53" s="290"/>
      <c r="S53" s="281"/>
      <c r="T53" s="222"/>
      <c r="U53" s="281"/>
      <c r="V53" s="281"/>
      <c r="W53" s="281"/>
      <c r="X53" s="281"/>
    </row>
    <row r="54">
      <c r="A54" s="303" t="s">
        <v>627</v>
      </c>
      <c r="B54" s="302" t="s">
        <v>734</v>
      </c>
      <c r="C54" s="154" t="s">
        <v>735</v>
      </c>
      <c r="D54" s="289">
        <f>ROUND((F54*'Pawn Weights'!$K$60)+(G54*'Pawn Weights'!$K$61)+(H54*'Pawn Weights'!$K$62)+(I54*'Pawn Weights'!$K$63)+(J54*'Pawn Weights'!$K$64)+(K54*'Pawn Weights'!$K$65)+(L54*'Pawn Weights'!$K$66)+(M54*'Pawn Weights'!$K$67)+(N54*'Pawn Weights'!$K$68)+(O54*'Pawn Weights'!$K$69)+(P54*'Pawn Weights'!$K$70)+(Q54*'Pawn Weights'!$K$71), 2)</f>
        <v>119.16</v>
      </c>
      <c r="E54" s="280">
        <v>25.0</v>
      </c>
      <c r="F54" s="280">
        <v>23.0</v>
      </c>
      <c r="G54" s="280"/>
      <c r="H54" s="280"/>
      <c r="I54" s="280">
        <v>24.0</v>
      </c>
      <c r="J54" s="280"/>
      <c r="K54" s="280"/>
      <c r="L54" s="280"/>
      <c r="M54" s="281"/>
      <c r="N54" s="280"/>
      <c r="O54" s="280"/>
      <c r="P54" s="280"/>
      <c r="Q54" s="280">
        <v>1.0</v>
      </c>
      <c r="R54" s="290" t="s">
        <v>736</v>
      </c>
      <c r="S54" s="281"/>
      <c r="T54" s="291" t="s">
        <v>1330</v>
      </c>
      <c r="U54" s="281"/>
      <c r="V54" s="281"/>
      <c r="W54" s="281"/>
      <c r="X54" s="304"/>
      <c r="Y54" s="304"/>
      <c r="Z54" s="304"/>
    </row>
    <row r="55">
      <c r="A55" s="281"/>
      <c r="B55" s="302" t="s">
        <v>738</v>
      </c>
      <c r="C55" s="280" t="s">
        <v>739</v>
      </c>
      <c r="D55" s="289">
        <f>ROUND((F55*'Pawn Weights'!$K$60)+(G55*'Pawn Weights'!$K$61)+(H55*'Pawn Weights'!$K$62)+(I55*'Pawn Weights'!$K$63)+(J55*'Pawn Weights'!$K$64)+(K55*'Pawn Weights'!$K$65)+(L55*'Pawn Weights'!$K$66)+(M55*'Pawn Weights'!$K$67)+(N55*'Pawn Weights'!$K$68)+(O55*'Pawn Weights'!$K$69)+(P55*'Pawn Weights'!$K$70)+(Q55*'Pawn Weights'!$K$71), 2)</f>
        <v>118.2</v>
      </c>
      <c r="E55" s="280"/>
      <c r="F55" s="280"/>
      <c r="G55" s="280"/>
      <c r="H55" s="280">
        <v>60.0</v>
      </c>
      <c r="I55" s="280">
        <v>30.0</v>
      </c>
      <c r="J55" s="280"/>
      <c r="K55" s="280"/>
      <c r="L55" s="280"/>
      <c r="M55" s="280"/>
      <c r="N55" s="280"/>
      <c r="O55" s="280"/>
      <c r="P55" s="280"/>
      <c r="Q55" s="280"/>
      <c r="R55" s="290"/>
      <c r="S55" s="281"/>
      <c r="T55" s="222"/>
      <c r="U55" s="281"/>
      <c r="V55" s="281"/>
      <c r="W55" s="281"/>
      <c r="X55" s="281"/>
    </row>
    <row r="56">
      <c r="A56" s="272" t="s">
        <v>742</v>
      </c>
      <c r="B56" s="281"/>
      <c r="C56" s="281"/>
      <c r="D56" s="289"/>
      <c r="E56" s="281"/>
      <c r="F56" s="281"/>
      <c r="G56" s="281"/>
      <c r="H56" s="281"/>
      <c r="I56" s="281"/>
      <c r="J56" s="281"/>
      <c r="K56" s="281"/>
      <c r="L56" s="281"/>
      <c r="M56" s="281"/>
      <c r="N56" s="281"/>
      <c r="O56" s="281"/>
      <c r="P56" s="281"/>
      <c r="Q56" s="281"/>
      <c r="R56" s="282"/>
      <c r="S56" s="281"/>
      <c r="T56" s="222"/>
      <c r="U56" s="281"/>
      <c r="V56" s="281"/>
      <c r="W56" s="281"/>
    </row>
    <row r="57">
      <c r="A57" s="300" t="s">
        <v>693</v>
      </c>
      <c r="B57" s="308" t="s">
        <v>743</v>
      </c>
      <c r="C57" s="297" t="s">
        <v>744</v>
      </c>
      <c r="D57" s="289">
        <f>ROUND((F57*'Pawn Weights'!$K$60)+(G57*'Pawn Weights'!$K$61)+(H57*'Pawn Weights'!$K$62)+(I57*'Pawn Weights'!$K$63)+(J57*'Pawn Weights'!$K$64)+(K57*'Pawn Weights'!$K$65)+(L57*'Pawn Weights'!$K$66)+(M57*'Pawn Weights'!$K$67)+(N57*'Pawn Weights'!$K$68)+(O57*'Pawn Weights'!$K$69)+(P57*'Pawn Weights'!$K$70)+(Q57*'Pawn Weights'!$K$71), 2)</f>
        <v>425.2</v>
      </c>
      <c r="E57" s="298">
        <v>45.0</v>
      </c>
      <c r="F57" s="297"/>
      <c r="G57" s="298">
        <v>42.0</v>
      </c>
      <c r="H57" s="298">
        <v>120.0</v>
      </c>
      <c r="I57" s="298">
        <v>38.0</v>
      </c>
      <c r="J57" s="297"/>
      <c r="K57" s="297"/>
      <c r="L57" s="297"/>
      <c r="M57" s="359">
        <v>210.0</v>
      </c>
      <c r="N57" s="297"/>
      <c r="O57" s="298">
        <v>1.0</v>
      </c>
      <c r="P57" s="298">
        <v>1.0</v>
      </c>
      <c r="Q57" s="298">
        <v>1.0</v>
      </c>
      <c r="R57" s="298" t="s">
        <v>745</v>
      </c>
      <c r="S57" s="137"/>
      <c r="T57" s="295"/>
      <c r="U57" s="137"/>
      <c r="V57" s="137"/>
      <c r="W57" s="137"/>
      <c r="X57" s="137"/>
      <c r="Y57" s="137"/>
      <c r="Z57" s="137"/>
    </row>
    <row r="58">
      <c r="A58" s="295"/>
      <c r="B58" s="308" t="s">
        <v>749</v>
      </c>
      <c r="C58" s="297" t="s">
        <v>750</v>
      </c>
      <c r="D58" s="289">
        <f>ROUND((F58*'Pawn Weights'!$K$60)+(G58*'Pawn Weights'!$K$61)+(H58*'Pawn Weights'!$K$62)+(I58*'Pawn Weights'!$K$63)+(J58*'Pawn Weights'!$K$64)+(K58*'Pawn Weights'!$K$65)+(L58*'Pawn Weights'!$K$66)+(M58*'Pawn Weights'!$K$67)+(N58*'Pawn Weights'!$K$68)+(O58*'Pawn Weights'!$K$69)+(P58*'Pawn Weights'!$K$70)+(Q58*'Pawn Weights'!$K$71)-22+20.7+8, 2)</f>
        <v>401.32</v>
      </c>
      <c r="E58" s="298">
        <v>45.0</v>
      </c>
      <c r="F58" s="297"/>
      <c r="G58" s="298">
        <v>42.0</v>
      </c>
      <c r="H58" s="298">
        <v>120.0</v>
      </c>
      <c r="I58" s="297"/>
      <c r="J58" s="298">
        <v>30.0</v>
      </c>
      <c r="K58" s="298">
        <v>38.0</v>
      </c>
      <c r="L58" s="297"/>
      <c r="M58" s="137"/>
      <c r="N58" s="297"/>
      <c r="O58" s="298">
        <v>2.0</v>
      </c>
      <c r="P58" s="298">
        <v>1.0</v>
      </c>
      <c r="Q58" s="297"/>
      <c r="R58" s="298" t="s">
        <v>745</v>
      </c>
      <c r="S58" s="137"/>
      <c r="T58" s="363" t="s">
        <v>748</v>
      </c>
      <c r="U58" s="137"/>
      <c r="V58" s="137"/>
      <c r="W58" s="137"/>
      <c r="X58" s="137"/>
      <c r="Y58" s="137"/>
      <c r="Z58" s="137"/>
    </row>
    <row r="59">
      <c r="A59" s="295" t="s">
        <v>627</v>
      </c>
      <c r="B59" s="308" t="s">
        <v>753</v>
      </c>
      <c r="C59" s="297" t="s">
        <v>750</v>
      </c>
      <c r="D59" s="289">
        <f>ROUND((F59*'Pawn Weights'!$K$60)+(G59*'Pawn Weights'!$K$61)+(H59*'Pawn Weights'!$K$62)+(I59*'Pawn Weights'!$K$63)+(J59*'Pawn Weights'!$K$64)+(K59*'Pawn Weights'!$K$65)+(L59*'Pawn Weights'!$K$66)+(M59*'Pawn Weights'!$K$67)+(N59*'Pawn Weights'!$K$68)+(O59*'Pawn Weights'!$K$69)+(P59*'Pawn Weights'!$K$70)+(Q59*'Pawn Weights'!$K$71)+8, 2)</f>
        <v>348.28</v>
      </c>
      <c r="E59" s="298">
        <v>43.0</v>
      </c>
      <c r="F59" s="297"/>
      <c r="G59" s="298">
        <v>44.0</v>
      </c>
      <c r="H59" s="298">
        <v>104.0</v>
      </c>
      <c r="I59" s="297"/>
      <c r="J59" s="297"/>
      <c r="K59" s="298">
        <v>44.0</v>
      </c>
      <c r="L59" s="297"/>
      <c r="M59" s="137"/>
      <c r="N59" s="297"/>
      <c r="O59" s="298">
        <v>3.0</v>
      </c>
      <c r="P59" s="297"/>
      <c r="Q59" s="297"/>
      <c r="R59" s="298" t="s">
        <v>745</v>
      </c>
      <c r="S59" s="137"/>
      <c r="T59" s="363" t="s">
        <v>748</v>
      </c>
      <c r="U59" s="137"/>
      <c r="V59" s="137"/>
      <c r="W59" s="137"/>
      <c r="X59" s="137"/>
      <c r="Y59" s="137"/>
      <c r="Z59" s="137"/>
    </row>
    <row r="60">
      <c r="A60" s="295"/>
      <c r="B60" s="308" t="s">
        <v>752</v>
      </c>
      <c r="C60" s="297" t="s">
        <v>744</v>
      </c>
      <c r="D60" s="289">
        <f>ROUND((F60*'Pawn Weights'!$K$60)+(G60*'Pawn Weights'!$K$61)+(H60*'Pawn Weights'!$K$62)+(I60*'Pawn Weights'!$K$63)+(J60*'Pawn Weights'!$K$64)+(K60*'Pawn Weights'!$K$65)+(L60*'Pawn Weights'!$K$66)+(M60*'Pawn Weights'!$K$67)+(N60*'Pawn Weights'!$K$68)+(O60*'Pawn Weights'!$K$69)+(P60*'Pawn Weights'!$K$70)+(Q60*'Pawn Weights'!$K$71), 2)</f>
        <v>343.92</v>
      </c>
      <c r="E60" s="298">
        <v>64.0</v>
      </c>
      <c r="F60" s="298">
        <v>52.0</v>
      </c>
      <c r="G60" s="298">
        <v>44.0</v>
      </c>
      <c r="H60" s="297"/>
      <c r="I60" s="297"/>
      <c r="J60" s="297"/>
      <c r="K60" s="297"/>
      <c r="L60" s="297"/>
      <c r="M60" s="359">
        <v>196.0</v>
      </c>
      <c r="N60" s="297"/>
      <c r="O60" s="298">
        <v>1.0</v>
      </c>
      <c r="P60" s="298">
        <v>1.0</v>
      </c>
      <c r="Q60" s="298">
        <v>1.0</v>
      </c>
      <c r="R60" s="298" t="s">
        <v>622</v>
      </c>
      <c r="S60" s="137"/>
      <c r="T60" s="295"/>
      <c r="U60" s="137"/>
      <c r="V60" s="137"/>
      <c r="W60" s="137"/>
      <c r="X60" s="137"/>
      <c r="Y60" s="137"/>
      <c r="Z60" s="137"/>
    </row>
    <row r="61">
      <c r="A61" s="295"/>
      <c r="B61" s="308" t="s">
        <v>756</v>
      </c>
      <c r="C61" s="363" t="s">
        <v>744</v>
      </c>
      <c r="D61" s="289">
        <f>ROUND((F61*'Pawn Weights'!$K$60)+(G61*'Pawn Weights'!$K$61)+(H61*'Pawn Weights'!$K$62)+(I61*'Pawn Weights'!$K$63)+(J61*'Pawn Weights'!$K$64)+(K61*'Pawn Weights'!$K$65)+(L61*'Pawn Weights'!$K$66)+(M61*'Pawn Weights'!$K$67)+(N61*'Pawn Weights'!$K$68)+(O61*'Pawn Weights'!$K$69)+(P61*'Pawn Weights'!$K$70)+(Q61*'Pawn Weights'!$K$71), 2)</f>
        <v>333.45</v>
      </c>
      <c r="E61" s="298">
        <v>64.0</v>
      </c>
      <c r="F61" s="295"/>
      <c r="G61" s="298">
        <v>47.0</v>
      </c>
      <c r="H61" s="298">
        <v>104.0</v>
      </c>
      <c r="I61" s="295"/>
      <c r="J61" s="295"/>
      <c r="K61" s="295"/>
      <c r="L61" s="295"/>
      <c r="M61" s="359">
        <v>182.0</v>
      </c>
      <c r="N61" s="295"/>
      <c r="O61" s="298">
        <v>1.0</v>
      </c>
      <c r="P61" s="298">
        <v>1.0</v>
      </c>
      <c r="Q61" s="298">
        <v>1.0</v>
      </c>
      <c r="R61" s="298" t="s">
        <v>745</v>
      </c>
      <c r="S61" s="137"/>
      <c r="T61" s="295"/>
      <c r="U61" s="137"/>
      <c r="V61" s="137"/>
      <c r="W61" s="137"/>
      <c r="X61" s="137"/>
      <c r="Y61" s="137"/>
      <c r="Z61" s="137"/>
    </row>
    <row r="62">
      <c r="A62" s="292"/>
      <c r="B62" s="305" t="s">
        <v>758</v>
      </c>
      <c r="C62" s="280" t="s">
        <v>642</v>
      </c>
      <c r="D62" s="289">
        <f>ROUND((F62*'Pawn Weights'!$K$60)+(G62*'Pawn Weights'!$K$61)+(H62*'Pawn Weights'!$K$62)+(I62*'Pawn Weights'!$K$63)+(J62*'Pawn Weights'!$K$64)+(K62*'Pawn Weights'!$K$65)+(L62*'Pawn Weights'!$K$66)+(M62*'Pawn Weights'!$K$67)+(N62*'Pawn Weights'!$K$68)+(O62*'Pawn Weights'!$K$69)+(P62*'Pawn Weights'!$K$70)+(Q62*'Pawn Weights'!$K$71), 2)</f>
        <v>313.44</v>
      </c>
      <c r="E62" s="280">
        <v>64.0</v>
      </c>
      <c r="F62" s="280"/>
      <c r="G62" s="280"/>
      <c r="H62" s="280">
        <v>106.0</v>
      </c>
      <c r="I62" s="280">
        <v>46.0</v>
      </c>
      <c r="J62" s="280">
        <v>29.0</v>
      </c>
      <c r="K62" s="280"/>
      <c r="L62" s="280"/>
      <c r="M62" s="281"/>
      <c r="N62" s="280"/>
      <c r="O62" s="280">
        <v>1.0</v>
      </c>
      <c r="P62" s="280">
        <v>1.0</v>
      </c>
      <c r="Q62" s="280">
        <v>1.0</v>
      </c>
      <c r="R62" s="290" t="s">
        <v>745</v>
      </c>
      <c r="S62" s="281"/>
      <c r="T62" s="291"/>
      <c r="U62" s="281"/>
      <c r="V62" s="281"/>
      <c r="W62" s="281"/>
    </row>
    <row r="63" ht="15.0" customHeight="1">
      <c r="A63" s="292"/>
      <c r="B63" s="305" t="s">
        <v>767</v>
      </c>
      <c r="C63" s="280" t="s">
        <v>665</v>
      </c>
      <c r="D63" s="289">
        <f>ROUND((F63*'Pawn Weights'!$K$60)+(G63*'Pawn Weights'!$K$61)+(H63*'Pawn Weights'!$K$62)+(I63*'Pawn Weights'!$K$63)+(J63*'Pawn Weights'!$K$64)+(K63*'Pawn Weights'!$K$65)+(L63*'Pawn Weights'!$K$66)+(M63*'Pawn Weights'!$K$67)+(N63*'Pawn Weights'!$K$68)+(O63*'Pawn Weights'!$K$69)+(P63*'Pawn Weights'!$K$70)+(Q63*'Pawn Weights'!$K$71), 2)</f>
        <v>283.04</v>
      </c>
      <c r="E63" s="280">
        <v>52.0</v>
      </c>
      <c r="F63" s="280"/>
      <c r="G63" s="280">
        <v>36.0</v>
      </c>
      <c r="H63" s="280">
        <v>86.0</v>
      </c>
      <c r="I63" s="280"/>
      <c r="J63" s="280">
        <v>35.0</v>
      </c>
      <c r="K63" s="280"/>
      <c r="L63" s="280"/>
      <c r="M63" s="281"/>
      <c r="N63" s="280"/>
      <c r="O63" s="280">
        <v>1.0</v>
      </c>
      <c r="P63" s="280">
        <v>1.0</v>
      </c>
      <c r="Q63" s="280">
        <v>1.0</v>
      </c>
      <c r="R63" s="290" t="s">
        <v>745</v>
      </c>
      <c r="S63" s="281"/>
      <c r="T63" s="291"/>
      <c r="U63" s="281"/>
      <c r="V63" s="281"/>
      <c r="W63" s="281"/>
    </row>
    <row r="64">
      <c r="A64" s="281"/>
      <c r="B64" s="305" t="s">
        <v>764</v>
      </c>
      <c r="C64" s="307" t="s">
        <v>765</v>
      </c>
      <c r="D64" s="289">
        <f>ROUND((F64*'Pawn Weights'!$K$60)+(G64*'Pawn Weights'!$K$61)+(H64*'Pawn Weights'!$K$62)+(I64*'Pawn Weights'!$K$63)+(J64*'Pawn Weights'!$K$64)+(K64*'Pawn Weights'!$K$65)+(L64*'Pawn Weights'!$K$66)+(M64*'Pawn Weights'!$K$67)+(N64*'Pawn Weights'!$K$68)+(O64*'Pawn Weights'!$K$69)+(P64*'Pawn Weights'!$K$70)+(Q64*'Pawn Weights'!$K$71), 2)</f>
        <v>276.44</v>
      </c>
      <c r="E64" s="280">
        <v>24.0</v>
      </c>
      <c r="F64" s="280"/>
      <c r="G64" s="280"/>
      <c r="H64" s="280">
        <v>92.0</v>
      </c>
      <c r="I64" s="280">
        <v>36.0</v>
      </c>
      <c r="J64" s="280">
        <v>27.0</v>
      </c>
      <c r="K64" s="280"/>
      <c r="L64" s="280"/>
      <c r="M64" s="281"/>
      <c r="N64" s="280"/>
      <c r="O64" s="280"/>
      <c r="P64" s="280">
        <v>2.0</v>
      </c>
      <c r="Q64" s="280">
        <v>1.0</v>
      </c>
      <c r="R64" s="290" t="s">
        <v>745</v>
      </c>
      <c r="S64" s="281"/>
      <c r="T64" s="291"/>
      <c r="U64" s="281"/>
      <c r="V64" s="281"/>
      <c r="W64" s="281"/>
    </row>
    <row r="65">
      <c r="A65" s="295" t="s">
        <v>635</v>
      </c>
      <c r="B65" s="382" t="s">
        <v>1331</v>
      </c>
      <c r="C65" s="297" t="s">
        <v>637</v>
      </c>
      <c r="D65" s="289">
        <f>ROUND((F65*'Pawn Weights'!$K$60)+(G65*'Pawn Weights'!$K$61)+(H65*'Pawn Weights'!$K$62)+(I65*'Pawn Weights'!$K$63)+(J65*'Pawn Weights'!$K$64)+(K65*'Pawn Weights'!$K$65)+(L65*'Pawn Weights'!$K$66)+(M65*'Pawn Weights'!$K$67)+(N65*'Pawn Weights'!$K$68)+(O65*'Pawn Weights'!$K$69)+(P65*'Pawn Weights'!$K$70)+(Q65*'Pawn Weights'!$K$71)-22+20.7+7.76, 2)</f>
        <v>275.8</v>
      </c>
      <c r="E65" s="316">
        <v>71.0</v>
      </c>
      <c r="F65" s="316">
        <v>32.0</v>
      </c>
      <c r="G65" s="297"/>
      <c r="H65" s="297"/>
      <c r="I65" s="316">
        <v>35.0</v>
      </c>
      <c r="J65" s="316">
        <v>17.0</v>
      </c>
      <c r="K65" s="297"/>
      <c r="L65" s="297"/>
      <c r="M65" s="359">
        <v>84.0</v>
      </c>
      <c r="N65" s="297"/>
      <c r="O65" s="298">
        <v>2.0</v>
      </c>
      <c r="P65" s="298">
        <v>1.0</v>
      </c>
      <c r="Q65" s="297"/>
      <c r="R65" s="298" t="s">
        <v>624</v>
      </c>
      <c r="S65" s="137"/>
      <c r="T65" s="297" t="s">
        <v>755</v>
      </c>
      <c r="U65" s="137"/>
      <c r="V65" s="137"/>
      <c r="W65" s="137"/>
      <c r="X65" s="137"/>
      <c r="Y65" s="137"/>
      <c r="Z65" s="137"/>
    </row>
    <row r="66">
      <c r="A66" s="295"/>
      <c r="B66" s="308" t="s">
        <v>777</v>
      </c>
      <c r="C66" s="297" t="s">
        <v>775</v>
      </c>
      <c r="D66" s="367">
        <f>ROUND((F66*'Pawn Weights'!$K$60)+(G66*'Pawn Weights'!$K$61)+(H66*'Pawn Weights'!$K$62)+(I66*'Pawn Weights'!$K$63)+(J66*'Pawn Weights'!$K$64)+(K66*'Pawn Weights'!$K$65)+(L66*'Pawn Weights'!$K$66)+(M66*'Pawn Weights'!$K$67)+(N66*'Pawn Weights'!$K$68)+(O66*'Pawn Weights'!$K$69)+(P66*'Pawn Weights'!$K$70)+(Q66*'Pawn Weights'!$K$71), 2)</f>
        <v>268.36</v>
      </c>
      <c r="E66" s="298">
        <v>51.0</v>
      </c>
      <c r="F66" s="297"/>
      <c r="G66" s="298">
        <v>44.0</v>
      </c>
      <c r="H66" s="298">
        <v>102.0</v>
      </c>
      <c r="I66" s="297"/>
      <c r="J66" s="298">
        <v>34.0</v>
      </c>
      <c r="K66" s="297"/>
      <c r="L66" s="297"/>
      <c r="M66" s="361"/>
      <c r="N66" s="297"/>
      <c r="O66" s="298">
        <v>1.0</v>
      </c>
      <c r="P66" s="297"/>
      <c r="Q66" s="297"/>
      <c r="R66" s="298" t="s">
        <v>674</v>
      </c>
      <c r="S66" s="137"/>
      <c r="T66" s="295"/>
      <c r="U66" s="137"/>
      <c r="V66" s="137"/>
      <c r="W66" s="137"/>
      <c r="X66" s="137"/>
      <c r="Y66" s="137"/>
      <c r="Z66" s="137"/>
    </row>
    <row r="67">
      <c r="A67" s="295"/>
      <c r="B67" s="308" t="s">
        <v>774</v>
      </c>
      <c r="C67" s="297" t="s">
        <v>775</v>
      </c>
      <c r="D67" s="367">
        <f>ROUND((F67*'Pawn Weights'!$K$60)+(G67*'Pawn Weights'!$K$61)+(H67*'Pawn Weights'!$K$62)+(I67*'Pawn Weights'!$K$63)+(J67*'Pawn Weights'!$K$64)+(K67*'Pawn Weights'!$K$65)+(L67*'Pawn Weights'!$K$66)+(M67*'Pawn Weights'!$K$67)+(N67*'Pawn Weights'!$K$68)+(O67*'Pawn Weights'!$K$69)+(P67*'Pawn Weights'!$K$70)+(Q67*'Pawn Weights'!$K$71)-22+20.7+4, 2)</f>
        <v>265.03</v>
      </c>
      <c r="E67" s="298">
        <v>39.0</v>
      </c>
      <c r="F67" s="297"/>
      <c r="G67" s="298">
        <v>47.0</v>
      </c>
      <c r="H67" s="298">
        <v>102.0</v>
      </c>
      <c r="I67" s="297"/>
      <c r="J67" s="297"/>
      <c r="K67" s="298">
        <v>25.0</v>
      </c>
      <c r="L67" s="297"/>
      <c r="M67" s="361"/>
      <c r="N67" s="297"/>
      <c r="O67" s="297"/>
      <c r="P67" s="298">
        <v>1.0</v>
      </c>
      <c r="Q67" s="297"/>
      <c r="R67" s="298" t="s">
        <v>660</v>
      </c>
      <c r="S67" s="137"/>
      <c r="T67" s="295"/>
      <c r="U67" s="137"/>
      <c r="V67" s="137"/>
      <c r="W67" s="137"/>
      <c r="X67" s="137"/>
      <c r="Y67" s="137"/>
      <c r="Z67" s="137"/>
    </row>
    <row r="68">
      <c r="A68" s="292"/>
      <c r="B68" s="305" t="s">
        <v>768</v>
      </c>
      <c r="C68" s="280" t="s">
        <v>769</v>
      </c>
      <c r="D68" s="289">
        <f>ROUND((F68*'Pawn Weights'!$K$60)+(G68*'Pawn Weights'!$K$61)+(H68*'Pawn Weights'!$K$62)+(I68*'Pawn Weights'!$K$63)+(J68*'Pawn Weights'!$K$64)+(K68*'Pawn Weights'!$K$65)+(L68*'Pawn Weights'!$K$66)+(M68*'Pawn Weights'!$K$67)+(N68*'Pawn Weights'!$K$68)+(O68*'Pawn Weights'!$K$69)+(P68*'Pawn Weights'!$K$70)+(Q68*'Pawn Weights'!$K$71), 2)</f>
        <v>263.15</v>
      </c>
      <c r="E68" s="280">
        <v>46.0</v>
      </c>
      <c r="F68" s="280"/>
      <c r="G68" s="280">
        <v>45.0</v>
      </c>
      <c r="H68" s="280">
        <v>92.0</v>
      </c>
      <c r="I68" s="280"/>
      <c r="J68" s="280"/>
      <c r="K68" s="280"/>
      <c r="L68" s="280"/>
      <c r="M68" s="280">
        <v>210.0</v>
      </c>
      <c r="N68" s="280"/>
      <c r="O68" s="280"/>
      <c r="P68" s="280"/>
      <c r="Q68" s="280"/>
      <c r="R68" s="290"/>
      <c r="S68" s="281"/>
      <c r="T68" s="291"/>
      <c r="U68" s="281"/>
      <c r="V68" s="281"/>
      <c r="W68" s="281"/>
    </row>
    <row r="69">
      <c r="A69" s="292" t="s">
        <v>647</v>
      </c>
      <c r="B69" s="305" t="s">
        <v>1332</v>
      </c>
      <c r="C69" s="280" t="s">
        <v>741</v>
      </c>
      <c r="D69" s="289">
        <f>ROUND((F69*'Pawn Weights'!$K$60)+(G69*'Pawn Weights'!$K$61)+(H69*'Pawn Weights'!$K$62)+(I69*'Pawn Weights'!$K$63)+(J69*'Pawn Weights'!$K$64)+(K69*'Pawn Weights'!$K$65)+(L69*'Pawn Weights'!$K$66)+(M69*'Pawn Weights'!$K$67)+(N69*'Pawn Weights'!$K$68)+(O69*'Pawn Weights'!$K$69)+(P69*'Pawn Weights'!$K$70)+(Q69*'Pawn Weights'!$K$71), 2)</f>
        <v>250.88</v>
      </c>
      <c r="E69" s="280">
        <v>46.0</v>
      </c>
      <c r="F69" s="280">
        <v>41.0</v>
      </c>
      <c r="G69" s="280">
        <v>32.0</v>
      </c>
      <c r="H69" s="280"/>
      <c r="I69" s="280"/>
      <c r="J69" s="280">
        <v>19.0</v>
      </c>
      <c r="K69" s="280"/>
      <c r="L69" s="280"/>
      <c r="M69" s="281"/>
      <c r="N69" s="280"/>
      <c r="O69" s="280">
        <v>1.0</v>
      </c>
      <c r="P69" s="280">
        <v>1.0</v>
      </c>
      <c r="Q69" s="280">
        <v>1.0</v>
      </c>
      <c r="R69" s="290" t="s">
        <v>624</v>
      </c>
      <c r="S69" s="281"/>
      <c r="T69" s="291"/>
      <c r="U69" s="281"/>
      <c r="V69" s="281"/>
      <c r="W69" s="281"/>
    </row>
    <row r="70">
      <c r="A70" s="295"/>
      <c r="B70" s="308" t="s">
        <v>1333</v>
      </c>
      <c r="C70" s="297" t="s">
        <v>710</v>
      </c>
      <c r="D70" s="367">
        <f>ROUND((F70*'Pawn Weights'!$K$60)+(G70*'Pawn Weights'!$K$61)+(H70*'Pawn Weights'!$K$62)+(I70*'Pawn Weights'!$K$63)+(J70*'Pawn Weights'!$K$64)+(K70*'Pawn Weights'!$K$65)+(L70*'Pawn Weights'!$K$66)+(M70*'Pawn Weights'!$K$67)+(N70*'Pawn Weights'!$K$68)+(O70*'Pawn Weights'!$K$69)+(P70*'Pawn Weights'!$K$70)+(Q70*'Pawn Weights'!$K$71), 2)</f>
        <v>249.2</v>
      </c>
      <c r="E70" s="298">
        <v>19.0</v>
      </c>
      <c r="F70" s="297"/>
      <c r="G70" s="298">
        <v>36.0</v>
      </c>
      <c r="H70" s="298">
        <v>88.0</v>
      </c>
      <c r="I70" s="298">
        <v>14.0</v>
      </c>
      <c r="J70" s="297"/>
      <c r="K70" s="297"/>
      <c r="L70" s="297"/>
      <c r="M70" s="137"/>
      <c r="N70" s="297"/>
      <c r="O70" s="298">
        <v>1.0</v>
      </c>
      <c r="P70" s="298">
        <v>1.0</v>
      </c>
      <c r="Q70" s="298">
        <v>1.0</v>
      </c>
      <c r="R70" s="298" t="s">
        <v>622</v>
      </c>
      <c r="S70" s="137"/>
      <c r="T70" s="295"/>
      <c r="U70" s="137"/>
      <c r="V70" s="137"/>
      <c r="W70" s="137"/>
      <c r="X70" s="137"/>
      <c r="Y70" s="137"/>
      <c r="Z70" s="137"/>
    </row>
    <row r="71" ht="14.25" customHeight="1">
      <c r="A71" s="292"/>
      <c r="B71" s="305" t="s">
        <v>776</v>
      </c>
      <c r="C71" s="280" t="s">
        <v>739</v>
      </c>
      <c r="D71" s="289">
        <f>ROUND((F71*'Pawn Weights'!$K$60)+(G71*'Pawn Weights'!$K$61)+(H71*'Pawn Weights'!$K$62)+(I71*'Pawn Weights'!$K$63)+(J71*'Pawn Weights'!$K$64)+(K71*'Pawn Weights'!$K$65)+(L71*'Pawn Weights'!$K$66)+(M71*'Pawn Weights'!$K$67)+(N71*'Pawn Weights'!$K$68)+(O71*'Pawn Weights'!$K$69)+(P71*'Pawn Weights'!$K$70)+(Q71*'Pawn Weights'!$K$71), 2)</f>
        <v>248.3</v>
      </c>
      <c r="E71" s="280"/>
      <c r="F71" s="280"/>
      <c r="G71" s="280"/>
      <c r="H71" s="280">
        <v>96.0</v>
      </c>
      <c r="I71" s="280">
        <v>25.0</v>
      </c>
      <c r="J71" s="280">
        <v>21.0</v>
      </c>
      <c r="K71" s="280"/>
      <c r="L71" s="280"/>
      <c r="M71" s="281"/>
      <c r="N71" s="280"/>
      <c r="O71" s="280">
        <v>1.0</v>
      </c>
      <c r="P71" s="280">
        <v>2.0</v>
      </c>
      <c r="Q71" s="280"/>
      <c r="R71" s="290" t="s">
        <v>624</v>
      </c>
      <c r="S71" s="281"/>
      <c r="T71" s="291"/>
      <c r="U71" s="281"/>
      <c r="V71" s="281"/>
      <c r="W71" s="281"/>
    </row>
    <row r="72">
      <c r="A72" s="301" t="s">
        <v>640</v>
      </c>
      <c r="B72" s="305" t="s">
        <v>1334</v>
      </c>
      <c r="C72" s="307" t="s">
        <v>632</v>
      </c>
      <c r="D72" s="289">
        <f>ROUND((F72*'Pawn Weights'!$K$60)+(G72*'Pawn Weights'!$K$61)+(H72*'Pawn Weights'!$K$62)+(I72*'Pawn Weights'!$K$63)+(J72*'Pawn Weights'!$K$64)+(K72*'Pawn Weights'!$K$65)+(L72*'Pawn Weights'!$K$66)+(M72*'Pawn Weights'!$K$67)+(N72*'Pawn Weights'!$K$68)+(O72*'Pawn Weights'!$K$69)+(P72*'Pawn Weights'!$K$70)+(Q72*'Pawn Weights'!$K$71), 2)</f>
        <v>246.58</v>
      </c>
      <c r="E72" s="280">
        <v>67.0</v>
      </c>
      <c r="F72" s="280">
        <v>46.0</v>
      </c>
      <c r="G72" s="280"/>
      <c r="H72" s="280"/>
      <c r="I72" s="280">
        <v>27.0</v>
      </c>
      <c r="J72" s="280">
        <v>15.0</v>
      </c>
      <c r="K72" s="280"/>
      <c r="L72" s="280"/>
      <c r="M72" s="281"/>
      <c r="N72" s="280"/>
      <c r="O72" s="280"/>
      <c r="P72" s="280">
        <v>2.0</v>
      </c>
      <c r="Q72" s="280">
        <v>1.0</v>
      </c>
      <c r="R72" s="290" t="s">
        <v>643</v>
      </c>
      <c r="S72" s="281"/>
      <c r="T72" s="291"/>
      <c r="U72" s="281"/>
      <c r="V72" s="281"/>
      <c r="W72" s="281"/>
    </row>
    <row r="73" ht="7.5" customHeight="1">
      <c r="A73" s="301" t="s">
        <v>644</v>
      </c>
      <c r="B73" s="305" t="s">
        <v>1335</v>
      </c>
      <c r="C73" s="307" t="s">
        <v>646</v>
      </c>
      <c r="D73" s="289">
        <f>ROUND((F73*'Pawn Weights'!$K$60)+(G73*'Pawn Weights'!$K$61)+(H73*'Pawn Weights'!$K$62)+(I73*'Pawn Weights'!$K$63)+(J73*'Pawn Weights'!$K$64)+(K73*'Pawn Weights'!$K$65)+(L73*'Pawn Weights'!$K$66)+(M73*'Pawn Weights'!$K$67)+(N73*'Pawn Weights'!$K$68)+(O73*'Pawn Weights'!$K$69)+(P73*'Pawn Weights'!$K$70)+(Q73*'Pawn Weights'!$K$71)-22+20.7+7.76, 2)</f>
        <v>246.1</v>
      </c>
      <c r="E73" s="280">
        <v>64.0</v>
      </c>
      <c r="F73" s="280">
        <v>27.0</v>
      </c>
      <c r="G73" s="280"/>
      <c r="H73" s="280"/>
      <c r="I73" s="280">
        <v>30.0</v>
      </c>
      <c r="J73" s="280">
        <v>12.0</v>
      </c>
      <c r="K73" s="280"/>
      <c r="L73" s="280"/>
      <c r="M73" s="280">
        <v>84.0</v>
      </c>
      <c r="N73" s="280"/>
      <c r="O73" s="280">
        <v>2.0</v>
      </c>
      <c r="P73" s="280">
        <v>1.0</v>
      </c>
      <c r="Q73" s="280"/>
      <c r="R73" s="290" t="s">
        <v>624</v>
      </c>
      <c r="S73" s="281"/>
      <c r="T73" s="291"/>
      <c r="U73" s="281"/>
      <c r="V73" s="281"/>
      <c r="W73" s="281"/>
    </row>
    <row r="74">
      <c r="A74" s="272" t="s">
        <v>779</v>
      </c>
      <c r="B74" s="281"/>
      <c r="C74" s="281"/>
      <c r="D74" s="289"/>
      <c r="E74" s="281"/>
      <c r="F74" s="281"/>
      <c r="G74" s="281"/>
      <c r="H74" s="281"/>
      <c r="I74" s="281"/>
      <c r="J74" s="281"/>
      <c r="K74" s="281"/>
      <c r="L74" s="281"/>
      <c r="M74" s="281"/>
      <c r="N74" s="281"/>
      <c r="O74" s="281"/>
      <c r="P74" s="281"/>
      <c r="Q74" s="281"/>
      <c r="R74" s="282"/>
      <c r="S74" s="281"/>
      <c r="T74" s="285"/>
      <c r="U74" s="281"/>
      <c r="V74" s="281"/>
      <c r="W74" s="281"/>
    </row>
    <row r="75">
      <c r="A75" s="295" t="s">
        <v>640</v>
      </c>
      <c r="B75" s="317" t="s">
        <v>1336</v>
      </c>
      <c r="C75" s="297" t="s">
        <v>781</v>
      </c>
      <c r="D75" s="289">
        <f>ROUND((F75*'Pawn Weights'!$K$60)+(G75*'Pawn Weights'!$K$61)+(H75*'Pawn Weights'!$K$62)+(I75*'Pawn Weights'!$K$63)+(J75*'Pawn Weights'!$K$64)+(K75*'Pawn Weights'!$K$65)+(L75*'Pawn Weights'!$K$66)+(M75*'Pawn Weights'!$K$67)+(N75*'Pawn Weights'!$K$68)+(O75*'Pawn Weights'!$K$69)+(P75*'Pawn Weights'!$K$70)+(Q75*'Pawn Weights'!$K$71), 2)</f>
        <v>225.69</v>
      </c>
      <c r="E75" s="318">
        <v>16.0</v>
      </c>
      <c r="F75" s="316">
        <v>32.0</v>
      </c>
      <c r="G75" s="297"/>
      <c r="H75" s="297"/>
      <c r="I75" s="316">
        <v>22.0</v>
      </c>
      <c r="J75" s="316">
        <v>17.0</v>
      </c>
      <c r="K75" s="297"/>
      <c r="L75" s="318">
        <v>17.0</v>
      </c>
      <c r="M75" s="298"/>
      <c r="N75" s="297"/>
      <c r="O75" s="298"/>
      <c r="P75" s="318">
        <v>1.0</v>
      </c>
      <c r="Q75" s="297"/>
      <c r="R75" s="298" t="s">
        <v>674</v>
      </c>
      <c r="S75" s="137"/>
      <c r="T75" s="295"/>
      <c r="U75" s="137"/>
      <c r="V75" s="137"/>
      <c r="W75" s="137"/>
      <c r="X75" s="137"/>
      <c r="Y75" s="137"/>
      <c r="Z75" s="137"/>
    </row>
    <row r="76">
      <c r="A76" s="281"/>
      <c r="B76" s="288" t="s">
        <v>785</v>
      </c>
      <c r="C76" s="280" t="s">
        <v>727</v>
      </c>
      <c r="D76" s="289">
        <f>ROUND((F76*'Pawn Weights'!$K$60)+(G76*'Pawn Weights'!$K$61)+(H76*'Pawn Weights'!$K$62)+(I76*'Pawn Weights'!$K$63)+(J76*'Pawn Weights'!$K$64)+(K76*'Pawn Weights'!$K$65)+(L76*'Pawn Weights'!$K$66)+(M76*'Pawn Weights'!$K$67)+(N76*'Pawn Weights'!$K$68)+(O76*'Pawn Weights'!$K$69)+(P76*'Pawn Weights'!$K$70)+(Q76*'Pawn Weights'!$K$71)-22+20.7+3.78, 2)</f>
        <v>157</v>
      </c>
      <c r="E76" s="280">
        <v>28.0</v>
      </c>
      <c r="F76" s="280"/>
      <c r="G76" s="280">
        <v>28.0</v>
      </c>
      <c r="H76" s="280">
        <v>58.0</v>
      </c>
      <c r="I76" s="280"/>
      <c r="J76" s="280">
        <v>12.0</v>
      </c>
      <c r="K76" s="280"/>
      <c r="L76" s="280"/>
      <c r="M76" s="280"/>
      <c r="N76" s="280"/>
      <c r="O76" s="280"/>
      <c r="P76" s="280">
        <v>1.0</v>
      </c>
      <c r="Q76" s="280"/>
      <c r="R76" s="290" t="s">
        <v>711</v>
      </c>
      <c r="S76" s="281"/>
      <c r="T76" s="222"/>
      <c r="U76" s="281"/>
      <c r="V76" s="281"/>
      <c r="W76" s="281"/>
      <c r="X76" s="281"/>
    </row>
    <row r="77">
      <c r="A77" s="281"/>
      <c r="B77" s="288" t="s">
        <v>782</v>
      </c>
      <c r="C77" s="280" t="s">
        <v>706</v>
      </c>
      <c r="D77" s="289">
        <f>ROUND((F77*'Pawn Weights'!$K$60)+(G77*'Pawn Weights'!$K$61)+(H77*'Pawn Weights'!$K$62)+(I77*'Pawn Weights'!$K$63)+(J77*'Pawn Weights'!$K$64)+(K77*'Pawn Weights'!$K$65)+(L77*'Pawn Weights'!$K$66)+(M77*'Pawn Weights'!$K$67)+(N77*'Pawn Weights'!$K$68)+(O77*'Pawn Weights'!$K$69)+(P77*'Pawn Weights'!$K$70)+(Q77*'Pawn Weights'!$K$71), 2)</f>
        <v>155.92</v>
      </c>
      <c r="E77" s="280">
        <v>28.0</v>
      </c>
      <c r="F77" s="280"/>
      <c r="G77" s="280"/>
      <c r="H77" s="280">
        <v>58.0</v>
      </c>
      <c r="I77" s="280">
        <v>28.0</v>
      </c>
      <c r="J77" s="280">
        <v>12.0</v>
      </c>
      <c r="K77" s="280"/>
      <c r="L77" s="280"/>
      <c r="M77" s="280"/>
      <c r="N77" s="280"/>
      <c r="O77" s="280"/>
      <c r="P77" s="280">
        <v>1.0</v>
      </c>
      <c r="Q77" s="280"/>
      <c r="R77" s="290" t="s">
        <v>674</v>
      </c>
      <c r="S77" s="281"/>
      <c r="T77" s="222"/>
      <c r="U77" s="281"/>
      <c r="V77" s="281"/>
      <c r="W77" s="281"/>
      <c r="X77" s="281"/>
    </row>
    <row r="78">
      <c r="A78" s="292" t="s">
        <v>627</v>
      </c>
      <c r="B78" s="288" t="s">
        <v>787</v>
      </c>
      <c r="C78" s="280" t="s">
        <v>788</v>
      </c>
      <c r="D78" s="289">
        <f>ROUND((F78*'Pawn Weights'!$K$60)+(G78*'Pawn Weights'!$K$61)+(H78*'Pawn Weights'!$K$62)+(I78*'Pawn Weights'!$K$63)+(J78*'Pawn Weights'!$K$64)+(K78*'Pawn Weights'!$K$65)+(L78*'Pawn Weights'!$K$66)+(M78*'Pawn Weights'!$K$67)+(N78*'Pawn Weights'!$K$68)+(O78*'Pawn Weights'!$K$69)+(P78*'Pawn Weights'!$K$70)+(Q78*'Pawn Weights'!$K$71), 2)</f>
        <v>149.15</v>
      </c>
      <c r="E78" s="280">
        <v>15.0</v>
      </c>
      <c r="F78" s="280"/>
      <c r="G78" s="280">
        <v>21.0</v>
      </c>
      <c r="H78" s="280">
        <v>56.0</v>
      </c>
      <c r="I78" s="280"/>
      <c r="J78" s="280"/>
      <c r="K78" s="280">
        <v>27.0</v>
      </c>
      <c r="L78" s="280"/>
      <c r="M78" s="280"/>
      <c r="N78" s="280"/>
      <c r="O78" s="280"/>
      <c r="P78" s="280"/>
      <c r="Q78" s="280"/>
      <c r="R78" s="290"/>
      <c r="S78" s="281"/>
      <c r="T78" s="294"/>
      <c r="U78" s="281"/>
      <c r="V78" s="281"/>
      <c r="W78" s="281"/>
      <c r="X78" s="281"/>
    </row>
    <row r="79">
      <c r="A79" s="292" t="s">
        <v>627</v>
      </c>
      <c r="B79" s="288" t="s">
        <v>796</v>
      </c>
      <c r="C79" s="280" t="s">
        <v>788</v>
      </c>
      <c r="D79" s="289">
        <f>ROUND((F79*'Pawn Weights'!$K$60)+(G79*'Pawn Weights'!$K$61)+(H79*'Pawn Weights'!$K$62)+(I79*'Pawn Weights'!$K$63)+(J79*'Pawn Weights'!$K$64)+(K79*'Pawn Weights'!$K$65)+(L79*'Pawn Weights'!$K$66)+(M79*'Pawn Weights'!$K$67)+(N79*'Pawn Weights'!$K$68)+(O79*'Pawn Weights'!$K$69)+(P79*'Pawn Weights'!$K$70)+(Q79*'Pawn Weights'!$K$71), 2)</f>
        <v>141.26</v>
      </c>
      <c r="E79" s="280">
        <v>34.0</v>
      </c>
      <c r="F79" s="280"/>
      <c r="G79" s="280">
        <v>20.0</v>
      </c>
      <c r="H79" s="280">
        <v>50.0</v>
      </c>
      <c r="I79" s="280"/>
      <c r="J79" s="280"/>
      <c r="K79" s="280">
        <v>27.0</v>
      </c>
      <c r="L79" s="280"/>
      <c r="M79" s="280"/>
      <c r="N79" s="280"/>
      <c r="O79" s="280"/>
      <c r="P79" s="280"/>
      <c r="Q79" s="280"/>
      <c r="R79" s="290"/>
      <c r="S79" s="281"/>
      <c r="T79" s="222"/>
      <c r="U79" s="281"/>
      <c r="V79" s="281"/>
      <c r="W79" s="281"/>
      <c r="X79" s="281"/>
    </row>
    <row r="80">
      <c r="A80" s="281"/>
      <c r="B80" s="288" t="s">
        <v>795</v>
      </c>
      <c r="C80" s="280" t="s">
        <v>691</v>
      </c>
      <c r="D80" s="289">
        <f>ROUND((F80*'Pawn Weights'!$K$60)+(G80*'Pawn Weights'!$K$61)+(H80*'Pawn Weights'!$K$62)+(I80*'Pawn Weights'!$K$63)+(J80*'Pawn Weights'!$K$64)+(K80*'Pawn Weights'!$K$65)+(L80*'Pawn Weights'!$K$66)+(M80*'Pawn Weights'!$K$67)+(N80*'Pawn Weights'!$K$68)+(O80*'Pawn Weights'!$K$69)+(P80*'Pawn Weights'!$K$70)+(Q80*'Pawn Weights'!$K$71), 2)</f>
        <v>139.05</v>
      </c>
      <c r="E80" s="280">
        <v>22.0</v>
      </c>
      <c r="F80" s="280"/>
      <c r="G80" s="280">
        <v>17.0</v>
      </c>
      <c r="H80" s="280">
        <v>50.0</v>
      </c>
      <c r="I80" s="280">
        <v>18.0</v>
      </c>
      <c r="J80" s="280"/>
      <c r="K80" s="280"/>
      <c r="L80" s="280"/>
      <c r="M80" s="280"/>
      <c r="N80" s="280"/>
      <c r="O80" s="280"/>
      <c r="P80" s="280">
        <v>1.0</v>
      </c>
      <c r="Q80" s="280"/>
      <c r="R80" s="290" t="s">
        <v>736</v>
      </c>
      <c r="S80" s="281"/>
      <c r="T80" s="222"/>
      <c r="U80" s="281"/>
      <c r="V80" s="281"/>
      <c r="W80" s="281"/>
      <c r="X80" s="281"/>
    </row>
    <row r="81">
      <c r="A81" s="281"/>
      <c r="B81" s="288" t="s">
        <v>1207</v>
      </c>
      <c r="C81" s="307" t="s">
        <v>871</v>
      </c>
      <c r="D81" s="289">
        <f>ROUND((F81*'Pawn Weights'!$K$60)+(G81*'Pawn Weights'!$K$61)+(H81*'Pawn Weights'!$K$62)+(I81*'Pawn Weights'!$K$63)+(J81*'Pawn Weights'!$K$64)+(K81*'Pawn Weights'!$K$65)+(L81*'Pawn Weights'!$K$66)+(M81*'Pawn Weights'!$K$67)+(N81*'Pawn Weights'!$K$68)+(O81*'Pawn Weights'!$K$69)+(P81*'Pawn Weights'!$K$70)+(Q81*'Pawn Weights'!$K$71), 2)</f>
        <v>119.36</v>
      </c>
      <c r="E81" s="280">
        <v>24.0</v>
      </c>
      <c r="F81" s="280"/>
      <c r="G81" s="280">
        <v>24.0</v>
      </c>
      <c r="H81" s="280">
        <v>52.0</v>
      </c>
      <c r="I81" s="280"/>
      <c r="J81" s="280"/>
      <c r="K81" s="280"/>
      <c r="L81" s="280"/>
      <c r="M81" s="280"/>
      <c r="N81" s="280"/>
      <c r="O81" s="280"/>
      <c r="P81" s="280"/>
      <c r="Q81" s="280">
        <v>1.0</v>
      </c>
      <c r="R81" s="290" t="s">
        <v>660</v>
      </c>
      <c r="S81" s="281"/>
      <c r="T81" s="294"/>
      <c r="U81" s="281"/>
      <c r="V81" s="281"/>
      <c r="W81" s="281"/>
      <c r="X81" s="281"/>
    </row>
    <row r="82">
      <c r="A82" s="281"/>
      <c r="B82" s="288" t="s">
        <v>1092</v>
      </c>
      <c r="C82" s="280" t="s">
        <v>957</v>
      </c>
      <c r="D82" s="289">
        <f>ROUND((F82*'Pawn Weights'!$K$60)+(G82*'Pawn Weights'!$K$61)+(H82*'Pawn Weights'!$K$62)+(I82*'Pawn Weights'!$K$63)+(J82*'Pawn Weights'!$K$64)+(K82*'Pawn Weights'!$K$65)+(L82*'Pawn Weights'!$K$66)+(M82*'Pawn Weights'!$K$67)+(N82*'Pawn Weights'!$K$68)+(O82*'Pawn Weights'!$K$69)+(P82*'Pawn Weights'!$K$70)+(Q82*'Pawn Weights'!$K$71), 2)</f>
        <v>118.56</v>
      </c>
      <c r="E82" s="280">
        <v>18.0</v>
      </c>
      <c r="F82" s="280"/>
      <c r="G82" s="280"/>
      <c r="H82" s="280">
        <v>50.0</v>
      </c>
      <c r="I82" s="280">
        <v>24.0</v>
      </c>
      <c r="J82" s="280"/>
      <c r="K82" s="280"/>
      <c r="L82" s="280"/>
      <c r="M82" s="280"/>
      <c r="N82" s="280"/>
      <c r="O82" s="280"/>
      <c r="P82" s="280">
        <v>1.0</v>
      </c>
      <c r="Q82" s="280"/>
      <c r="R82" s="290" t="s">
        <v>674</v>
      </c>
      <c r="S82" s="281"/>
      <c r="T82" s="294"/>
      <c r="U82" s="281"/>
      <c r="V82" s="281"/>
      <c r="W82" s="281"/>
      <c r="X82" s="281"/>
    </row>
    <row r="83">
      <c r="A83" s="281"/>
      <c r="B83" s="288" t="s">
        <v>1337</v>
      </c>
      <c r="C83" s="307" t="s">
        <v>1338</v>
      </c>
      <c r="D83" s="289">
        <f>ROUND((F83*'Pawn Weights'!$K$60)+(G83*'Pawn Weights'!$K$61)+(H83*'Pawn Weights'!$K$62)+(I83*'Pawn Weights'!$K$63)+(J83*'Pawn Weights'!$K$64)+(K83*'Pawn Weights'!$K$65)+(L83*'Pawn Weights'!$K$66)+(M83*'Pawn Weights'!$K$67)+(N83*'Pawn Weights'!$K$68)+(O83*'Pawn Weights'!$K$69)+(P83*'Pawn Weights'!$K$70)+(Q83*'Pawn Weights'!$K$71), 2)</f>
        <v>113.11</v>
      </c>
      <c r="E83" s="280"/>
      <c r="F83" s="280"/>
      <c r="G83" s="280">
        <v>17.0</v>
      </c>
      <c r="H83" s="280">
        <v>48.0</v>
      </c>
      <c r="I83" s="280">
        <v>17.0</v>
      </c>
      <c r="J83" s="280"/>
      <c r="K83" s="280"/>
      <c r="L83" s="280"/>
      <c r="M83" s="280"/>
      <c r="N83" s="280"/>
      <c r="O83" s="280"/>
      <c r="P83" s="280"/>
      <c r="Q83" s="280"/>
      <c r="R83" s="290"/>
      <c r="S83" s="281"/>
      <c r="T83" s="294"/>
      <c r="U83" s="281"/>
      <c r="V83" s="281"/>
      <c r="W83" s="281"/>
      <c r="X83" s="281"/>
    </row>
    <row r="84" ht="4.5" customHeight="1">
      <c r="A84" s="295" t="s">
        <v>671</v>
      </c>
      <c r="B84" s="317" t="s">
        <v>1339</v>
      </c>
      <c r="C84" s="318" t="s">
        <v>1090</v>
      </c>
      <c r="D84" s="289">
        <f>ROUND((F84*'Pawn Weights'!$K$60)+(G84*'Pawn Weights'!$K$61)+(H84*'Pawn Weights'!$K$62)+(I84*'Pawn Weights'!$K$63)+(J84*'Pawn Weights'!$K$64)+(K84*'Pawn Weights'!$K$65)+(L84*'Pawn Weights'!$K$66)+(M84*'Pawn Weights'!$K$67)+(N84*'Pawn Weights'!$K$68)+(O84*'Pawn Weights'!$K$69)+(P84*'Pawn Weights'!$K$70)+(Q84*'Pawn Weights'!$K$71), 2)</f>
        <v>108.16</v>
      </c>
      <c r="E84" s="316">
        <v>37.0</v>
      </c>
      <c r="F84" s="316">
        <v>28.0</v>
      </c>
      <c r="G84" s="297"/>
      <c r="H84" s="297"/>
      <c r="I84" s="316">
        <v>24.0</v>
      </c>
      <c r="J84" s="297"/>
      <c r="K84" s="297"/>
      <c r="L84" s="297"/>
      <c r="M84" s="295"/>
      <c r="N84" s="297"/>
      <c r="O84" s="297"/>
      <c r="P84" s="297"/>
      <c r="Q84" s="297"/>
      <c r="R84" s="290" t="s">
        <v>1340</v>
      </c>
      <c r="S84" s="137"/>
      <c r="T84" s="297" t="s">
        <v>850</v>
      </c>
      <c r="U84" s="137"/>
      <c r="V84" s="137"/>
      <c r="W84" s="137"/>
      <c r="X84" s="137"/>
      <c r="Y84" s="137"/>
      <c r="Z84" s="137"/>
    </row>
    <row r="85" ht="14.25" customHeight="1">
      <c r="A85" s="281"/>
      <c r="B85" s="288" t="s">
        <v>1208</v>
      </c>
      <c r="C85" s="280" t="s">
        <v>1209</v>
      </c>
      <c r="D85" s="289">
        <f>ROUND((F85*'Pawn Weights'!$K$60)+(G85*'Pawn Weights'!$K$61)+(H85*'Pawn Weights'!$K$62)+(I85*'Pawn Weights'!$K$63)+(J85*'Pawn Weights'!$K$64)+(K85*'Pawn Weights'!$K$65)+(L85*'Pawn Weights'!$K$66)+(M85*'Pawn Weights'!$K$67)+(N85*'Pawn Weights'!$K$68)+(O85*'Pawn Weights'!$K$69)+(P85*'Pawn Weights'!$K$70)+(Q85*'Pawn Weights'!$K$71), 2)</f>
        <v>101.8</v>
      </c>
      <c r="E85" s="280">
        <v>18.0</v>
      </c>
      <c r="F85" s="280"/>
      <c r="G85" s="280">
        <v>20.0</v>
      </c>
      <c r="H85" s="280">
        <v>42.0</v>
      </c>
      <c r="I85" s="280"/>
      <c r="J85" s="280"/>
      <c r="K85" s="280"/>
      <c r="L85" s="280"/>
      <c r="M85" s="280"/>
      <c r="N85" s="280"/>
      <c r="O85" s="280"/>
      <c r="P85" s="280"/>
      <c r="Q85" s="280">
        <v>1.0</v>
      </c>
      <c r="R85" s="290" t="s">
        <v>660</v>
      </c>
      <c r="S85" s="281"/>
      <c r="T85" s="222"/>
      <c r="U85" s="281"/>
      <c r="V85" s="281"/>
      <c r="W85" s="281"/>
      <c r="X85" s="281"/>
    </row>
    <row r="86">
      <c r="A86" s="272" t="s">
        <v>800</v>
      </c>
      <c r="B86" s="281"/>
      <c r="C86" s="281"/>
      <c r="D86" s="289"/>
      <c r="E86" s="281"/>
      <c r="F86" s="281"/>
      <c r="G86" s="281"/>
      <c r="H86" s="281"/>
      <c r="I86" s="281"/>
      <c r="J86" s="281"/>
      <c r="K86" s="281"/>
      <c r="L86" s="281"/>
      <c r="M86" s="281"/>
      <c r="N86" s="281"/>
      <c r="O86" s="281"/>
      <c r="P86" s="281"/>
      <c r="Q86" s="281"/>
      <c r="R86" s="282"/>
      <c r="S86" s="281"/>
      <c r="T86" s="285"/>
      <c r="U86" s="281"/>
      <c r="V86" s="281"/>
      <c r="W86" s="281"/>
    </row>
    <row r="87">
      <c r="A87" s="295"/>
      <c r="B87" s="296" t="s">
        <v>803</v>
      </c>
      <c r="C87" s="297" t="s">
        <v>621</v>
      </c>
      <c r="D87" s="289">
        <f>ROUND((F87*'Pawn Weights'!$K$60)+(G87*'Pawn Weights'!$K$61)+(H87*'Pawn Weights'!$K$62)+(I87*'Pawn Weights'!$K$63)+(J87*'Pawn Weights'!$K$64)+(K87*'Pawn Weights'!$K$65)+(L87*'Pawn Weights'!$K$66)+(M87*'Pawn Weights'!$K$67)+(N87*'Pawn Weights'!$K$68)+(O87*'Pawn Weights'!$K$69)+(P87*'Pawn Weights'!$K$70)+(Q87*'Pawn Weights'!$K$71)-22+20.7+5.67, 2)</f>
        <v>323.21</v>
      </c>
      <c r="E87" s="298">
        <v>43.0</v>
      </c>
      <c r="F87" s="297"/>
      <c r="G87" s="298">
        <v>40.0</v>
      </c>
      <c r="H87" s="298">
        <v>80.0</v>
      </c>
      <c r="I87" s="298">
        <v>23.0</v>
      </c>
      <c r="J87" s="297"/>
      <c r="K87" s="297"/>
      <c r="L87" s="297"/>
      <c r="M87" s="298">
        <v>182.0</v>
      </c>
      <c r="N87" s="297"/>
      <c r="O87" s="298">
        <v>1.0</v>
      </c>
      <c r="P87" s="298">
        <v>1.0</v>
      </c>
      <c r="Q87" s="297"/>
      <c r="R87" s="298" t="s">
        <v>695</v>
      </c>
      <c r="S87" s="137"/>
      <c r="T87" s="295"/>
      <c r="U87" s="137"/>
      <c r="V87" s="137"/>
      <c r="W87" s="137"/>
      <c r="X87" s="137"/>
      <c r="Y87" s="137"/>
      <c r="Z87" s="137"/>
    </row>
    <row r="88">
      <c r="A88" s="295" t="s">
        <v>627</v>
      </c>
      <c r="B88" s="296" t="s">
        <v>801</v>
      </c>
      <c r="C88" s="297" t="s">
        <v>802</v>
      </c>
      <c r="D88" s="289">
        <f>ROUND((F88*'Pawn Weights'!$K$60)+(G88*'Pawn Weights'!$K$61)+(H88*'Pawn Weights'!$K$62)+(I88*'Pawn Weights'!$K$63)+(J88*'Pawn Weights'!$K$64)+(K88*'Pawn Weights'!$K$65)+(L88*'Pawn Weights'!$K$66)+(M88*'Pawn Weights'!$K$67)+(N88*'Pawn Weights'!$K$68)+(O88*'Pawn Weights'!$K$69)+(P88*'Pawn Weights'!$K$70)+(Q88*'Pawn Weights'!$K$71)+5.82, 2)</f>
        <v>317.86</v>
      </c>
      <c r="E88" s="298">
        <v>33.0</v>
      </c>
      <c r="F88" s="297"/>
      <c r="G88" s="298">
        <v>30.0</v>
      </c>
      <c r="H88" s="298">
        <v>90.0</v>
      </c>
      <c r="I88" s="298">
        <v>30.0</v>
      </c>
      <c r="J88" s="297"/>
      <c r="K88" s="297"/>
      <c r="L88" s="297"/>
      <c r="M88" s="298">
        <v>154.0</v>
      </c>
      <c r="N88" s="297"/>
      <c r="O88" s="298">
        <v>2.0</v>
      </c>
      <c r="P88" s="297"/>
      <c r="Q88" s="297"/>
      <c r="R88" s="298" t="s">
        <v>702</v>
      </c>
      <c r="S88" s="137"/>
      <c r="T88" s="295"/>
      <c r="U88" s="137"/>
      <c r="V88" s="137"/>
      <c r="W88" s="137"/>
      <c r="X88" s="137"/>
      <c r="Y88" s="137"/>
      <c r="Z88" s="137"/>
    </row>
    <row r="89">
      <c r="A89" s="295"/>
      <c r="B89" s="296" t="s">
        <v>807</v>
      </c>
      <c r="C89" s="297" t="s">
        <v>744</v>
      </c>
      <c r="D89" s="289">
        <f>ROUND((F89*'Pawn Weights'!$K$60)+(G89*'Pawn Weights'!$K$61)+(H89*'Pawn Weights'!$K$62)+(I89*'Pawn Weights'!$K$63)+(J89*'Pawn Weights'!$K$64)+(K89*'Pawn Weights'!$K$65)+(L89*'Pawn Weights'!$K$66)+(M89*'Pawn Weights'!$K$67)+(N89*'Pawn Weights'!$K$68)+(O89*'Pawn Weights'!$K$69)+(P89*'Pawn Weights'!$K$70)+(Q89*'Pawn Weights'!$K$71), 2)</f>
        <v>262.89</v>
      </c>
      <c r="E89" s="298">
        <v>33.0</v>
      </c>
      <c r="F89" s="297"/>
      <c r="G89" s="298">
        <v>41.0</v>
      </c>
      <c r="H89" s="298">
        <v>82.0</v>
      </c>
      <c r="I89" s="297"/>
      <c r="J89" s="297"/>
      <c r="K89" s="298">
        <v>30.0</v>
      </c>
      <c r="L89" s="297"/>
      <c r="M89" s="137"/>
      <c r="N89" s="297"/>
      <c r="O89" s="298">
        <v>1.0</v>
      </c>
      <c r="P89" s="297"/>
      <c r="Q89" s="298">
        <v>1.0</v>
      </c>
      <c r="R89" s="298" t="s">
        <v>695</v>
      </c>
      <c r="S89" s="137"/>
      <c r="T89" s="295"/>
      <c r="U89" s="137"/>
      <c r="V89" s="137"/>
      <c r="W89" s="137"/>
      <c r="X89" s="137"/>
      <c r="Y89" s="137"/>
      <c r="Z89" s="137"/>
    </row>
    <row r="90">
      <c r="A90" s="295" t="s">
        <v>627</v>
      </c>
      <c r="B90" s="296" t="s">
        <v>808</v>
      </c>
      <c r="C90" s="297" t="s">
        <v>802</v>
      </c>
      <c r="D90" s="289">
        <f>ROUND((F90*'Pawn Weights'!$K$60)+(G90*'Pawn Weights'!$K$61)+(H90*'Pawn Weights'!$K$62)+(I90*'Pawn Weights'!$K$63)+(J90*'Pawn Weights'!$K$64)+(K90*'Pawn Weights'!$K$65)+(L90*'Pawn Weights'!$K$66)+(M90*'Pawn Weights'!$K$67)+(N90*'Pawn Weights'!$K$68)+(O90*'Pawn Weights'!$K$69)+(P90*'Pawn Weights'!$K$70)+(Q90*'Pawn Weights'!$K$71)-44+41.4+6, 2)</f>
        <v>247.42</v>
      </c>
      <c r="E90" s="298">
        <v>33.0</v>
      </c>
      <c r="F90" s="297"/>
      <c r="G90" s="298">
        <v>30.0</v>
      </c>
      <c r="H90" s="298">
        <v>76.0</v>
      </c>
      <c r="I90" s="297"/>
      <c r="J90" s="297"/>
      <c r="K90" s="298">
        <v>34.0</v>
      </c>
      <c r="L90" s="297"/>
      <c r="M90" s="137"/>
      <c r="N90" s="297"/>
      <c r="O90" s="297"/>
      <c r="P90" s="298">
        <v>2.0</v>
      </c>
      <c r="Q90" s="297"/>
      <c r="R90" s="298" t="s">
        <v>809</v>
      </c>
      <c r="S90" s="137"/>
      <c r="T90" s="295"/>
      <c r="U90" s="137"/>
      <c r="V90" s="137"/>
      <c r="W90" s="137"/>
      <c r="X90" s="137"/>
      <c r="Y90" s="137"/>
      <c r="Z90" s="137"/>
    </row>
    <row r="91">
      <c r="A91" s="295"/>
      <c r="B91" s="296" t="s">
        <v>810</v>
      </c>
      <c r="C91" s="297" t="s">
        <v>744</v>
      </c>
      <c r="D91" s="289">
        <f>ROUND((F91*'Pawn Weights'!$K$60)+(G91*'Pawn Weights'!$K$61)+(H91*'Pawn Weights'!$K$62)+(I91*'Pawn Weights'!$K$63)+(J91*'Pawn Weights'!$K$64)+(K91*'Pawn Weights'!$K$65)+(L91*'Pawn Weights'!$K$66)+(M91*'Pawn Weights'!$K$67)+(N91*'Pawn Weights'!$K$68)+(O91*'Pawn Weights'!$K$69)+(P91*'Pawn Weights'!$K$70)+(Q91*'Pawn Weights'!$K$71), 2)</f>
        <v>240.46</v>
      </c>
      <c r="E91" s="298">
        <v>45.0</v>
      </c>
      <c r="F91" s="298">
        <v>34.0</v>
      </c>
      <c r="G91" s="298">
        <v>34.0</v>
      </c>
      <c r="H91" s="297"/>
      <c r="I91" s="297"/>
      <c r="J91" s="297"/>
      <c r="K91" s="297"/>
      <c r="L91" s="297"/>
      <c r="M91" s="359">
        <v>140.0</v>
      </c>
      <c r="N91" s="297"/>
      <c r="O91" s="298">
        <v>1.0</v>
      </c>
      <c r="P91" s="297"/>
      <c r="Q91" s="298">
        <v>1.0</v>
      </c>
      <c r="R91" s="298" t="s">
        <v>695</v>
      </c>
      <c r="S91" s="137"/>
      <c r="T91" s="295"/>
      <c r="U91" s="137"/>
      <c r="V91" s="137"/>
      <c r="W91" s="137"/>
      <c r="X91" s="137"/>
      <c r="Y91" s="137"/>
      <c r="Z91" s="137"/>
    </row>
    <row r="92">
      <c r="A92" s="25"/>
      <c r="B92" s="288" t="s">
        <v>815</v>
      </c>
      <c r="C92" s="280" t="s">
        <v>816</v>
      </c>
      <c r="D92" s="289">
        <f>ROUND((F92*'Pawn Weights'!$K$60)+(G92*'Pawn Weights'!$K$61)+(H92*'Pawn Weights'!$K$62)+(I92*'Pawn Weights'!$K$63)+(J92*'Pawn Weights'!$K$64)+(K92*'Pawn Weights'!$K$65)+(L92*'Pawn Weights'!$K$66)+(M92*'Pawn Weights'!$K$67)+(N92*'Pawn Weights'!$K$68)+(O92*'Pawn Weights'!$K$69)+(P92*'Pawn Weights'!$K$70)+(Q92*'Pawn Weights'!$K$71), 2)</f>
        <v>200.29</v>
      </c>
      <c r="E92" s="280">
        <v>38.0</v>
      </c>
      <c r="F92" s="280"/>
      <c r="G92" s="280">
        <v>27.0</v>
      </c>
      <c r="H92" s="280">
        <v>76.0</v>
      </c>
      <c r="I92" s="280"/>
      <c r="J92" s="280"/>
      <c r="K92" s="280">
        <v>37.0</v>
      </c>
      <c r="L92" s="280"/>
      <c r="M92" s="280"/>
      <c r="N92" s="280"/>
      <c r="O92" s="280"/>
      <c r="P92" s="280"/>
      <c r="Q92" s="280"/>
      <c r="R92" s="290"/>
      <c r="S92" s="281"/>
      <c r="T92" s="291"/>
      <c r="U92" s="281"/>
      <c r="V92" s="281"/>
      <c r="W92" s="281"/>
    </row>
    <row r="93">
      <c r="A93" s="301"/>
      <c r="B93" s="288" t="s">
        <v>817</v>
      </c>
      <c r="C93" s="280" t="s">
        <v>818</v>
      </c>
      <c r="D93" s="289">
        <f>ROUND((F93*'Pawn Weights'!$K$60)+(G93*'Pawn Weights'!$K$61)+(H93*'Pawn Weights'!$K$62)+(I93*'Pawn Weights'!$K$63)+(J93*'Pawn Weights'!$K$64)+(K93*'Pawn Weights'!$K$65)+(L93*'Pawn Weights'!$K$66)+(M93*'Pawn Weights'!$K$67)+(N93*'Pawn Weights'!$K$68)+(O93*'Pawn Weights'!$K$69)+(P93*'Pawn Weights'!$K$70)+(Q93*'Pawn Weights'!$K$71)-22+20.7+3.78, 2)</f>
        <v>197.78</v>
      </c>
      <c r="E93" s="280">
        <v>30.0</v>
      </c>
      <c r="F93" s="280"/>
      <c r="G93" s="280">
        <v>34.0</v>
      </c>
      <c r="H93" s="280">
        <v>78.0</v>
      </c>
      <c r="I93" s="280">
        <v>16.0</v>
      </c>
      <c r="J93" s="280"/>
      <c r="K93" s="280"/>
      <c r="L93" s="280"/>
      <c r="M93" s="281"/>
      <c r="N93" s="280"/>
      <c r="O93" s="280"/>
      <c r="P93" s="280">
        <v>1.0</v>
      </c>
      <c r="Q93" s="280"/>
      <c r="R93" s="290" t="s">
        <v>711</v>
      </c>
      <c r="S93" s="281"/>
      <c r="T93" s="291"/>
      <c r="U93" s="281"/>
      <c r="V93" s="281"/>
      <c r="W93" s="281"/>
    </row>
    <row r="94">
      <c r="A94" s="25"/>
      <c r="B94" s="288" t="s">
        <v>819</v>
      </c>
      <c r="C94" s="280" t="s">
        <v>716</v>
      </c>
      <c r="D94" s="289">
        <f>ROUND((F94*'Pawn Weights'!$K$60)+(G94*'Pawn Weights'!$K$61)+(H94*'Pawn Weights'!$K$62)+(I94*'Pawn Weights'!$K$63)+(J94*'Pawn Weights'!$K$64)+(K94*'Pawn Weights'!$K$65)+(L94*'Pawn Weights'!$K$66)+(M94*'Pawn Weights'!$K$67)+(N94*'Pawn Weights'!$K$68)+(O94*'Pawn Weights'!$K$69)+(P94*'Pawn Weights'!$K$70)+(Q94*'Pawn Weights'!$K$71), 2)</f>
        <v>196.51</v>
      </c>
      <c r="E94" s="280">
        <v>24.0</v>
      </c>
      <c r="F94" s="280"/>
      <c r="G94" s="280">
        <v>25.0</v>
      </c>
      <c r="H94" s="280">
        <v>76.0</v>
      </c>
      <c r="I94" s="280"/>
      <c r="J94" s="280"/>
      <c r="K94" s="280">
        <v>37.0</v>
      </c>
      <c r="L94" s="280"/>
      <c r="M94" s="281"/>
      <c r="N94" s="280"/>
      <c r="O94" s="280"/>
      <c r="P94" s="280"/>
      <c r="Q94" s="280"/>
      <c r="R94" s="290"/>
      <c r="S94" s="281"/>
      <c r="T94" s="291"/>
      <c r="U94" s="281"/>
      <c r="V94" s="281"/>
      <c r="W94" s="281"/>
    </row>
    <row r="95">
      <c r="B95" s="288" t="s">
        <v>1094</v>
      </c>
      <c r="C95" s="280" t="s">
        <v>1025</v>
      </c>
      <c r="D95" s="289">
        <f>ROUND((F95*'Pawn Weights'!$K$60)+(G95*'Pawn Weights'!$K$61)+(H95*'Pawn Weights'!$K$62)+(I95*'Pawn Weights'!$K$63)+(J95*'Pawn Weights'!$K$64)+(K95*'Pawn Weights'!$K$65)+(L95*'Pawn Weights'!$K$66)+(M95*'Pawn Weights'!$K$67)+(N95*'Pawn Weights'!$K$68)+(O95*'Pawn Weights'!$K$69)+(P95*'Pawn Weights'!$K$70)+(Q95*'Pawn Weights'!$K$71), 2)</f>
        <v>191.91</v>
      </c>
      <c r="E95" s="280">
        <v>37.0</v>
      </c>
      <c r="F95" s="280"/>
      <c r="G95" s="280">
        <v>33.0</v>
      </c>
      <c r="H95" s="280">
        <v>66.0</v>
      </c>
      <c r="I95" s="280"/>
      <c r="J95" s="280"/>
      <c r="K95" s="280"/>
      <c r="L95" s="280">
        <v>18.0</v>
      </c>
      <c r="M95" s="281"/>
      <c r="N95" s="280"/>
      <c r="O95" s="280"/>
      <c r="P95" s="280"/>
      <c r="Q95" s="280"/>
      <c r="R95" s="290"/>
      <c r="S95" s="281"/>
      <c r="T95" s="291" t="s">
        <v>1192</v>
      </c>
      <c r="U95" s="281"/>
      <c r="V95" s="281"/>
      <c r="W95" s="281"/>
    </row>
    <row r="96">
      <c r="A96" s="25" t="s">
        <v>640</v>
      </c>
      <c r="B96" s="288" t="s">
        <v>1341</v>
      </c>
      <c r="C96" s="280" t="s">
        <v>814</v>
      </c>
      <c r="D96" s="289">
        <f>ROUND((F96*'Pawn Weights'!$K$60)+(G96*'Pawn Weights'!$K$61)+(H96*'Pawn Weights'!$K$62)+(I96*'Pawn Weights'!$K$63)+(J96*'Pawn Weights'!$K$64)+(K96*'Pawn Weights'!$K$65)+(L96*'Pawn Weights'!$K$66)+(M96*'Pawn Weights'!$K$67)+(N96*'Pawn Weights'!$K$68)+(O96*'Pawn Weights'!$K$69)+(P96*'Pawn Weights'!$K$70)+(Q96*'Pawn Weights'!$K$71)-22+20.7+4.4, 2)</f>
        <v>175.04</v>
      </c>
      <c r="E96" s="280">
        <v>45.0</v>
      </c>
      <c r="F96" s="280">
        <v>39.0</v>
      </c>
      <c r="G96" s="280"/>
      <c r="H96" s="280"/>
      <c r="I96" s="280">
        <v>21.0</v>
      </c>
      <c r="J96" s="280">
        <v>13.0</v>
      </c>
      <c r="K96" s="280"/>
      <c r="L96" s="280"/>
      <c r="M96" s="281"/>
      <c r="N96" s="280"/>
      <c r="O96" s="280"/>
      <c r="P96" s="280">
        <v>1.0</v>
      </c>
      <c r="Q96" s="280"/>
      <c r="R96" s="290" t="s">
        <v>784</v>
      </c>
      <c r="S96" s="281"/>
      <c r="T96" s="291"/>
      <c r="U96" s="281"/>
      <c r="V96" s="281"/>
      <c r="W96" s="281"/>
    </row>
    <row r="97">
      <c r="A97" s="295"/>
      <c r="B97" s="296" t="s">
        <v>1223</v>
      </c>
      <c r="C97" s="297" t="s">
        <v>1224</v>
      </c>
      <c r="D97" s="367">
        <f>ROUND((F97*'Pawn Weights'!$K$60)+(G97*'Pawn Weights'!$K$61)+(H97*'Pawn Weights'!$K$62)+(I97*'Pawn Weights'!$K$63)+(J97*'Pawn Weights'!$K$64)+(K97*'Pawn Weights'!$K$65)+(L97*'Pawn Weights'!$K$66)+(M97*'Pawn Weights'!$K$67)+(N97*'Pawn Weights'!$K$68)+(O97*'Pawn Weights'!$K$69)+(P97*'Pawn Weights'!$K$70)+(Q97*'Pawn Weights'!$K$71), 2)</f>
        <v>167.76</v>
      </c>
      <c r="E97" s="298">
        <v>34.0</v>
      </c>
      <c r="F97" s="297"/>
      <c r="G97" s="298">
        <v>29.0</v>
      </c>
      <c r="H97" s="298">
        <v>60.0</v>
      </c>
      <c r="I97" s="297"/>
      <c r="J97" s="297"/>
      <c r="K97" s="297"/>
      <c r="L97" s="298">
        <v>15.0</v>
      </c>
      <c r="M97" s="137"/>
      <c r="N97" s="297"/>
      <c r="O97" s="297"/>
      <c r="P97" s="297"/>
      <c r="Q97" s="297"/>
      <c r="R97" s="295"/>
      <c r="S97" s="137"/>
      <c r="T97" s="295"/>
      <c r="U97" s="137"/>
      <c r="V97" s="137"/>
      <c r="W97" s="137"/>
      <c r="X97" s="137"/>
      <c r="Y97" s="137"/>
      <c r="Z97" s="137"/>
    </row>
    <row r="98">
      <c r="A98" s="301"/>
      <c r="B98" s="288" t="s">
        <v>824</v>
      </c>
      <c r="C98" s="280" t="s">
        <v>825</v>
      </c>
      <c r="D98" s="289">
        <f>ROUND((F98*'Pawn Weights'!$K$60)+(G98*'Pawn Weights'!$K$61)+(H98*'Pawn Weights'!$K$62)+(I98*'Pawn Weights'!$K$63)+(J98*'Pawn Weights'!$K$64)+(K98*'Pawn Weights'!$K$65)+(L98*'Pawn Weights'!$K$66)+(M98*'Pawn Weights'!$K$67)+(N98*'Pawn Weights'!$K$68)+(O98*'Pawn Weights'!$K$69)+(P98*'Pawn Weights'!$K$70)+(Q98*'Pawn Weights'!$K$71), 2)</f>
        <v>166.44</v>
      </c>
      <c r="E98" s="280">
        <v>31.0</v>
      </c>
      <c r="F98" s="280"/>
      <c r="G98" s="280"/>
      <c r="H98" s="280">
        <v>72.0</v>
      </c>
      <c r="I98" s="280">
        <v>26.0</v>
      </c>
      <c r="J98" s="280"/>
      <c r="K98" s="280"/>
      <c r="L98" s="280"/>
      <c r="M98" s="281"/>
      <c r="N98" s="280"/>
      <c r="O98" s="280"/>
      <c r="P98" s="280"/>
      <c r="Q98" s="280">
        <v>2.0</v>
      </c>
      <c r="R98" s="290" t="s">
        <v>702</v>
      </c>
      <c r="S98" s="281"/>
      <c r="T98" s="291"/>
      <c r="U98" s="281"/>
      <c r="V98" s="281"/>
      <c r="W98" s="281"/>
    </row>
    <row r="99">
      <c r="A99" s="301" t="s">
        <v>647</v>
      </c>
      <c r="B99" s="288" t="s">
        <v>1342</v>
      </c>
      <c r="C99" s="280" t="s">
        <v>957</v>
      </c>
      <c r="D99" s="289">
        <f>ROUND((F99*'Pawn Weights'!$K$60)+(G99*'Pawn Weights'!$K$61)+(H99*'Pawn Weights'!$K$62)+(I99*'Pawn Weights'!$K$63)+(J99*'Pawn Weights'!$K$64)+(K99*'Pawn Weights'!$K$65)+(L99*'Pawn Weights'!$K$66)+(M99*'Pawn Weights'!$K$67)+(N99*'Pawn Weights'!$K$68)+(O99*'Pawn Weights'!$K$69)+(P99*'Pawn Weights'!$K$70)+(Q99*'Pawn Weights'!$K$71), 2)</f>
        <v>165.56</v>
      </c>
      <c r="E99" s="280">
        <v>34.0</v>
      </c>
      <c r="F99" s="280">
        <v>35.0</v>
      </c>
      <c r="G99" s="280">
        <v>24.0</v>
      </c>
      <c r="H99" s="280"/>
      <c r="I99" s="280"/>
      <c r="J99" s="280">
        <v>24.0</v>
      </c>
      <c r="K99" s="280"/>
      <c r="L99" s="280"/>
      <c r="M99" s="281"/>
      <c r="N99" s="280"/>
      <c r="O99" s="280"/>
      <c r="P99" s="280"/>
      <c r="Q99" s="280"/>
      <c r="R99" s="290"/>
      <c r="S99" s="281"/>
      <c r="T99" s="291"/>
      <c r="U99" s="281"/>
      <c r="V99" s="281"/>
      <c r="W99" s="281"/>
    </row>
    <row r="100">
      <c r="A100" s="25" t="s">
        <v>627</v>
      </c>
      <c r="B100" s="311" t="s">
        <v>1097</v>
      </c>
      <c r="C100" s="280" t="s">
        <v>904</v>
      </c>
      <c r="D100" s="289">
        <f>ROUND((F100*'Pawn Weights'!$K$60)+(G100*'Pawn Weights'!$K$61)+(H100*'Pawn Weights'!$K$62)+(I100*'Pawn Weights'!$K$63)+(J100*'Pawn Weights'!$K$64)+(K100*'Pawn Weights'!$K$65)+(L100*'Pawn Weights'!$K$66)+(M100*'Pawn Weights'!$K$67)+(N100*'Pawn Weights'!$K$68)+(O100*'Pawn Weights'!$K$69)+(P100*'Pawn Weights'!$K$70)+(Q100*'Pawn Weights'!$K$71), 2)</f>
        <v>157.16</v>
      </c>
      <c r="E100" s="280"/>
      <c r="F100" s="280"/>
      <c r="G100" s="280"/>
      <c r="H100" s="280">
        <v>36.0</v>
      </c>
      <c r="I100" s="280">
        <v>24.0</v>
      </c>
      <c r="J100" s="280">
        <v>17.0</v>
      </c>
      <c r="K100" s="280"/>
      <c r="L100" s="280"/>
      <c r="M100" s="281"/>
      <c r="N100" s="280"/>
      <c r="O100" s="280">
        <v>1.0</v>
      </c>
      <c r="P100" s="280">
        <v>1.0</v>
      </c>
      <c r="Q100" s="280"/>
      <c r="R100" s="290" t="s">
        <v>809</v>
      </c>
      <c r="S100" s="281"/>
      <c r="T100" s="291"/>
      <c r="U100" s="281"/>
      <c r="V100" s="281"/>
      <c r="W100" s="281"/>
    </row>
    <row r="101">
      <c r="A101" s="137" t="s">
        <v>635</v>
      </c>
      <c r="B101" s="317" t="s">
        <v>1343</v>
      </c>
      <c r="C101" s="297" t="s">
        <v>637</v>
      </c>
      <c r="D101" s="289">
        <f>ROUND((F101*'Pawn Weights'!$K$60)+(G101*'Pawn Weights'!$K$61)+(H101*'Pawn Weights'!$K$62)+(I101*'Pawn Weights'!$K$63)+(J101*'Pawn Weights'!$K$64)+(K101*'Pawn Weights'!$K$65)+(L101*'Pawn Weights'!$K$66)+(M101*'Pawn Weights'!$K$67)+(N101*'Pawn Weights'!$K$68)+(O101*'Pawn Weights'!$K$69)+(P101*'Pawn Weights'!$K$70)+(Q101*'Pawn Weights'!$K$71), 2)</f>
        <v>155.38</v>
      </c>
      <c r="E101" s="316">
        <v>58.0</v>
      </c>
      <c r="F101" s="316">
        <v>38.0</v>
      </c>
      <c r="G101" s="297"/>
      <c r="H101" s="297"/>
      <c r="I101" s="298">
        <v>37.0</v>
      </c>
      <c r="J101" s="297"/>
      <c r="K101" s="297"/>
      <c r="L101" s="297"/>
      <c r="M101" s="137"/>
      <c r="N101" s="297"/>
      <c r="O101" s="297"/>
      <c r="P101" s="297"/>
      <c r="Q101" s="297"/>
      <c r="R101" s="295"/>
      <c r="S101" s="137"/>
      <c r="T101" s="297" t="s">
        <v>827</v>
      </c>
      <c r="U101" s="137"/>
      <c r="V101" s="137"/>
      <c r="W101" s="137"/>
      <c r="X101" s="137"/>
      <c r="Y101" s="137"/>
      <c r="Z101" s="137"/>
    </row>
    <row r="102">
      <c r="A102" s="272" t="s">
        <v>828</v>
      </c>
      <c r="B102" s="281"/>
      <c r="C102" s="281"/>
      <c r="D102" s="289"/>
      <c r="E102" s="281"/>
      <c r="F102" s="281"/>
      <c r="G102" s="281"/>
      <c r="H102" s="281"/>
      <c r="I102" s="281"/>
      <c r="J102" s="281"/>
      <c r="K102" s="281"/>
      <c r="L102" s="281"/>
      <c r="M102" s="281"/>
      <c r="N102" s="281"/>
      <c r="O102" s="281"/>
      <c r="P102" s="281"/>
      <c r="Q102" s="281"/>
      <c r="R102" s="282"/>
      <c r="S102" s="281"/>
      <c r="T102" s="285"/>
      <c r="U102" s="281"/>
      <c r="V102" s="281"/>
      <c r="W102" s="281"/>
    </row>
    <row r="103">
      <c r="A103" s="295" t="s">
        <v>640</v>
      </c>
      <c r="B103" s="317" t="s">
        <v>1344</v>
      </c>
      <c r="C103" s="297" t="s">
        <v>663</v>
      </c>
      <c r="D103" s="289">
        <f>ROUND((F103*'Pawn Weights'!$K$60)+(G103*'Pawn Weights'!$K$61)+(H103*'Pawn Weights'!$K$62)+(I103*'Pawn Weights'!$K$63)+(J103*'Pawn Weights'!$K$64)+(K103*'Pawn Weights'!$K$65)+(L103*'Pawn Weights'!$K$66)+(M103*'Pawn Weights'!$K$67)+(N103*'Pawn Weights'!$K$68)+(O103*'Pawn Weights'!$K$69)+(P103*'Pawn Weights'!$K$70)+(Q103*'Pawn Weights'!$K$71)+3.88, 2)</f>
        <v>309.88</v>
      </c>
      <c r="E103" s="318">
        <v>24.0</v>
      </c>
      <c r="F103" s="316">
        <v>43.0</v>
      </c>
      <c r="G103" s="297"/>
      <c r="H103" s="297"/>
      <c r="I103" s="316">
        <v>28.0</v>
      </c>
      <c r="J103" s="297"/>
      <c r="K103" s="316">
        <v>29.0</v>
      </c>
      <c r="L103" s="316">
        <v>22.0</v>
      </c>
      <c r="M103" s="137"/>
      <c r="N103" s="297"/>
      <c r="O103" s="318">
        <v>1.0</v>
      </c>
      <c r="P103" s="298"/>
      <c r="Q103" s="297"/>
      <c r="R103" s="316" t="s">
        <v>736</v>
      </c>
      <c r="S103" s="137"/>
      <c r="T103" s="295"/>
      <c r="U103" s="137"/>
      <c r="V103" s="137"/>
      <c r="W103" s="137"/>
      <c r="X103" s="137"/>
      <c r="Y103" s="137"/>
      <c r="Z103" s="137"/>
    </row>
    <row r="104">
      <c r="A104" s="292"/>
      <c r="B104" s="288" t="s">
        <v>830</v>
      </c>
      <c r="C104" s="280" t="s">
        <v>649</v>
      </c>
      <c r="D104" s="289">
        <f>ROUND((F104*'Pawn Weights'!$K$60)+(G104*'Pawn Weights'!$K$61)+(H104*'Pawn Weights'!$K$62)+(I104*'Pawn Weights'!$K$63)+(J104*'Pawn Weights'!$K$64)+(K104*'Pawn Weights'!$K$65)+(L104*'Pawn Weights'!$K$66)+(M104*'Pawn Weights'!$K$67)+(N104*'Pawn Weights'!$K$68)+(O104*'Pawn Weights'!$K$69)+(P104*'Pawn Weights'!$K$70)+(Q104*'Pawn Weights'!$K$71), 2)</f>
        <v>261.06</v>
      </c>
      <c r="E104" s="280">
        <v>25.0</v>
      </c>
      <c r="F104" s="280"/>
      <c r="G104" s="280">
        <v>29.0</v>
      </c>
      <c r="H104" s="280">
        <v>74.0</v>
      </c>
      <c r="I104" s="280"/>
      <c r="J104" s="280"/>
      <c r="K104" s="280"/>
      <c r="L104" s="280">
        <v>25.0</v>
      </c>
      <c r="M104" s="281"/>
      <c r="N104" s="280"/>
      <c r="O104" s="280">
        <v>1.0</v>
      </c>
      <c r="P104" s="280"/>
      <c r="Q104" s="280">
        <v>1.0</v>
      </c>
      <c r="R104" s="290" t="s">
        <v>1345</v>
      </c>
      <c r="S104" s="281"/>
      <c r="T104" s="291"/>
      <c r="U104" s="281"/>
      <c r="V104" s="281"/>
      <c r="W104" s="281"/>
    </row>
    <row r="105">
      <c r="A105" s="292"/>
      <c r="B105" s="288" t="s">
        <v>833</v>
      </c>
      <c r="C105" s="280" t="s">
        <v>816</v>
      </c>
      <c r="D105" s="289">
        <f>ROUND((F105*'Pawn Weights'!$K$60)+(G105*'Pawn Weights'!$K$61)+(H105*'Pawn Weights'!$K$62)+(I105*'Pawn Weights'!$K$63)+(J105*'Pawn Weights'!$K$64)+(K105*'Pawn Weights'!$K$65)+(L105*'Pawn Weights'!$K$66)+(M105*'Pawn Weights'!$K$67)+(N105*'Pawn Weights'!$K$68)+(O105*'Pawn Weights'!$K$69)+(P105*'Pawn Weights'!$K$70)+(Q105*'Pawn Weights'!$K$71), 2)</f>
        <v>224.98</v>
      </c>
      <c r="E105" s="280"/>
      <c r="F105" s="280"/>
      <c r="G105" s="280">
        <v>38.0</v>
      </c>
      <c r="H105" s="280">
        <v>76.0</v>
      </c>
      <c r="I105" s="280">
        <v>24.0</v>
      </c>
      <c r="J105" s="280">
        <v>17.0</v>
      </c>
      <c r="K105" s="280"/>
      <c r="L105" s="280"/>
      <c r="M105" s="281"/>
      <c r="N105" s="280"/>
      <c r="O105" s="280"/>
      <c r="P105" s="280"/>
      <c r="Q105" s="280"/>
      <c r="R105" s="290"/>
      <c r="S105" s="281"/>
      <c r="T105" s="291"/>
      <c r="U105" s="281"/>
      <c r="V105" s="281"/>
      <c r="W105" s="281"/>
    </row>
    <row r="106">
      <c r="A106" s="292"/>
      <c r="B106" s="288" t="s">
        <v>834</v>
      </c>
      <c r="C106" s="280" t="s">
        <v>835</v>
      </c>
      <c r="D106" s="289">
        <f>ROUND((F106*'Pawn Weights'!$K$60)+(G106*'Pawn Weights'!$K$61)+(H106*'Pawn Weights'!$K$62)+(I106*'Pawn Weights'!$K$63)+(J106*'Pawn Weights'!$K$64)+(K106*'Pawn Weights'!$K$65)+(L106*'Pawn Weights'!$K$66)+(M106*'Pawn Weights'!$K$67)+(N106*'Pawn Weights'!$K$68)+(O106*'Pawn Weights'!$K$69)+(P106*'Pawn Weights'!$K$70)+(Q106*'Pawn Weights'!$K$71), 2)</f>
        <v>211.67</v>
      </c>
      <c r="E106" s="280">
        <v>37.0</v>
      </c>
      <c r="F106" s="280"/>
      <c r="G106" s="280">
        <v>29.0</v>
      </c>
      <c r="H106" s="280">
        <v>76.0</v>
      </c>
      <c r="I106" s="280">
        <v>19.0</v>
      </c>
      <c r="J106" s="280"/>
      <c r="K106" s="280"/>
      <c r="L106" s="280"/>
      <c r="M106" s="281"/>
      <c r="N106" s="280"/>
      <c r="O106" s="280">
        <v>1.0</v>
      </c>
      <c r="P106" s="280">
        <v>1.0</v>
      </c>
      <c r="Q106" s="280"/>
      <c r="R106" s="290" t="s">
        <v>812</v>
      </c>
      <c r="S106" s="281"/>
      <c r="T106" s="291"/>
      <c r="U106" s="281"/>
      <c r="V106" s="281"/>
      <c r="W106" s="281"/>
    </row>
    <row r="107">
      <c r="A107" s="292"/>
      <c r="B107" s="288" t="s">
        <v>843</v>
      </c>
      <c r="C107" s="280" t="s">
        <v>844</v>
      </c>
      <c r="D107" s="289">
        <f>ROUND((F107*'Pawn Weights'!$K$60)+(G107*'Pawn Weights'!$K$61)+(H107*'Pawn Weights'!$K$62)+(I107*'Pawn Weights'!$K$63)+(J107*'Pawn Weights'!$K$64)+(K107*'Pawn Weights'!$K$65)+(L107*'Pawn Weights'!$K$66)+(M107*'Pawn Weights'!$K$67)+(N107*'Pawn Weights'!$K$68)+(O107*'Pawn Weights'!$K$69)+(P107*'Pawn Weights'!$K$70)+(Q107*'Pawn Weights'!$K$71)-22+20.7+3.78, 2)</f>
        <v>208.14</v>
      </c>
      <c r="E107" s="280">
        <v>33.0</v>
      </c>
      <c r="F107" s="280"/>
      <c r="G107" s="280">
        <v>34.0</v>
      </c>
      <c r="H107" s="280">
        <v>78.0</v>
      </c>
      <c r="I107" s="280"/>
      <c r="J107" s="280">
        <v>23.0</v>
      </c>
      <c r="K107" s="280"/>
      <c r="L107" s="280"/>
      <c r="M107" s="281"/>
      <c r="N107" s="280"/>
      <c r="O107" s="280"/>
      <c r="P107" s="280">
        <v>1.0</v>
      </c>
      <c r="Q107" s="280"/>
      <c r="R107" s="290" t="s">
        <v>711</v>
      </c>
      <c r="S107" s="281"/>
      <c r="T107" s="291"/>
      <c r="U107" s="281"/>
      <c r="V107" s="281"/>
      <c r="W107" s="281"/>
    </row>
    <row r="108">
      <c r="A108" s="292" t="s">
        <v>627</v>
      </c>
      <c r="B108" s="288" t="s">
        <v>845</v>
      </c>
      <c r="C108" s="280" t="s">
        <v>846</v>
      </c>
      <c r="D108" s="289">
        <f>ROUND((F108*'Pawn Weights'!$K$60)+(G108*'Pawn Weights'!$K$61)+(H108*'Pawn Weights'!$K$62)+(I108*'Pawn Weights'!$K$63)+(J108*'Pawn Weights'!$K$64)+(K108*'Pawn Weights'!$K$65)+(L108*'Pawn Weights'!$K$66)+(M108*'Pawn Weights'!$K$67)+(N108*'Pawn Weights'!$K$68)+(O108*'Pawn Weights'!$K$69)+(P108*'Pawn Weights'!$K$70)+(Q108*'Pawn Weights'!$K$71), 2)</f>
        <v>202.88</v>
      </c>
      <c r="E108" s="280">
        <v>14.0</v>
      </c>
      <c r="F108" s="280"/>
      <c r="G108" s="280">
        <v>32.0</v>
      </c>
      <c r="H108" s="280">
        <v>66.0</v>
      </c>
      <c r="I108" s="280"/>
      <c r="J108" s="280">
        <v>18.0</v>
      </c>
      <c r="K108" s="280"/>
      <c r="L108" s="280"/>
      <c r="M108" s="281"/>
      <c r="N108" s="280"/>
      <c r="O108" s="280"/>
      <c r="P108" s="280"/>
      <c r="Q108" s="280">
        <v>2.0</v>
      </c>
      <c r="R108" s="290" t="s">
        <v>695</v>
      </c>
      <c r="S108" s="281"/>
      <c r="T108" s="291"/>
      <c r="U108" s="281"/>
      <c r="V108" s="281"/>
      <c r="W108" s="281"/>
    </row>
    <row r="109">
      <c r="A109" s="292"/>
      <c r="B109" s="288" t="s">
        <v>840</v>
      </c>
      <c r="C109" s="280" t="s">
        <v>723</v>
      </c>
      <c r="D109" s="289">
        <f>ROUND((F109*'Pawn Weights'!$K$60)+(G109*'Pawn Weights'!$K$61)+(H109*'Pawn Weights'!$K$62)+(I109*'Pawn Weights'!$K$63)+(J109*'Pawn Weights'!$K$64)+(K109*'Pawn Weights'!$K$65)+(L109*'Pawn Weights'!$K$66)+(M109*'Pawn Weights'!$K$67)+(N109*'Pawn Weights'!$K$68)+(O109*'Pawn Weights'!$K$69)+(P109*'Pawn Weights'!$K$70)+(Q109*'Pawn Weights'!$K$71), 2)</f>
        <v>200.29</v>
      </c>
      <c r="E109" s="280">
        <v>38.0</v>
      </c>
      <c r="F109" s="280"/>
      <c r="G109" s="280">
        <v>27.0</v>
      </c>
      <c r="H109" s="280">
        <v>76.0</v>
      </c>
      <c r="I109" s="280"/>
      <c r="J109" s="280"/>
      <c r="K109" s="280">
        <v>37.0</v>
      </c>
      <c r="L109" s="280"/>
      <c r="M109" s="281"/>
      <c r="N109" s="280"/>
      <c r="O109" s="280"/>
      <c r="P109" s="280"/>
      <c r="Q109" s="280"/>
      <c r="R109" s="290"/>
      <c r="S109" s="281"/>
      <c r="T109" s="291"/>
      <c r="U109" s="281"/>
      <c r="V109" s="281"/>
      <c r="W109" s="281"/>
    </row>
    <row r="110">
      <c r="A110" s="295"/>
      <c r="B110" s="296" t="s">
        <v>838</v>
      </c>
      <c r="C110" s="297" t="s">
        <v>839</v>
      </c>
      <c r="D110" s="367">
        <f>ROUND((F110*'Pawn Weights'!$K$60)+(G110*'Pawn Weights'!$K$61)+(H110*'Pawn Weights'!$K$62)+(I110*'Pawn Weights'!$K$63)+(J110*'Pawn Weights'!$K$64)+(K110*'Pawn Weights'!$K$65)+(L110*'Pawn Weights'!$K$66)+(M110*'Pawn Weights'!$K$67)+(N110*'Pawn Weights'!$K$68)+(O110*'Pawn Weights'!$K$69)+(P110*'Pawn Weights'!$K$70)+(Q110*'Pawn Weights'!$K$71), 2)</f>
        <v>199.56</v>
      </c>
      <c r="E110" s="298">
        <v>27.0</v>
      </c>
      <c r="F110" s="297"/>
      <c r="G110" s="298">
        <v>25.0</v>
      </c>
      <c r="H110" s="298">
        <v>58.0</v>
      </c>
      <c r="I110" s="298">
        <v>21.0</v>
      </c>
      <c r="J110" s="297"/>
      <c r="K110" s="297"/>
      <c r="L110" s="297"/>
      <c r="M110" s="359">
        <v>77.0</v>
      </c>
      <c r="N110" s="297"/>
      <c r="O110" s="297"/>
      <c r="P110" s="297"/>
      <c r="Q110" s="298">
        <v>1.0</v>
      </c>
      <c r="R110" s="298" t="s">
        <v>660</v>
      </c>
      <c r="S110" s="137"/>
      <c r="T110" s="295"/>
      <c r="U110" s="137"/>
      <c r="V110" s="137"/>
      <c r="W110" s="137"/>
      <c r="X110" s="137"/>
      <c r="Y110" s="137"/>
      <c r="Z110" s="137"/>
    </row>
    <row r="111">
      <c r="A111" s="292"/>
      <c r="B111" s="288" t="s">
        <v>841</v>
      </c>
      <c r="C111" s="280" t="s">
        <v>842</v>
      </c>
      <c r="D111" s="289">
        <f>ROUND((F111*'Pawn Weights'!$K$60)+(G111*'Pawn Weights'!$K$61)+(H111*'Pawn Weights'!$K$62)+(I111*'Pawn Weights'!$K$63)+(J111*'Pawn Weights'!$K$64)+(K111*'Pawn Weights'!$K$65)+(L111*'Pawn Weights'!$K$66)+(M111*'Pawn Weights'!$K$67)+(N111*'Pawn Weights'!$K$68)+(O111*'Pawn Weights'!$K$69)+(P111*'Pawn Weights'!$K$70)+(Q111*'Pawn Weights'!$K$71), 2)</f>
        <v>198.31</v>
      </c>
      <c r="E111" s="280">
        <v>25.0</v>
      </c>
      <c r="F111" s="280"/>
      <c r="G111" s="280">
        <v>27.0</v>
      </c>
      <c r="H111" s="280">
        <v>76.0</v>
      </c>
      <c r="I111" s="280"/>
      <c r="J111" s="280"/>
      <c r="K111" s="280">
        <v>36.0</v>
      </c>
      <c r="L111" s="280"/>
      <c r="M111" s="281"/>
      <c r="N111" s="280"/>
      <c r="O111" s="280"/>
      <c r="P111" s="280"/>
      <c r="Q111" s="280"/>
      <c r="R111" s="290"/>
      <c r="S111" s="281"/>
      <c r="T111" s="291"/>
      <c r="U111" s="281"/>
      <c r="V111" s="281"/>
      <c r="W111" s="281"/>
    </row>
    <row r="112">
      <c r="A112" s="292" t="s">
        <v>627</v>
      </c>
      <c r="B112" s="288" t="s">
        <v>1099</v>
      </c>
      <c r="C112" s="280" t="s">
        <v>846</v>
      </c>
      <c r="D112" s="289">
        <f>ROUND((F112*'Pawn Weights'!$K$60)+(G112*'Pawn Weights'!$K$61)+(H112*'Pawn Weights'!$K$62)+(I112*'Pawn Weights'!$K$63)+(J112*'Pawn Weights'!$K$64)+(K112*'Pawn Weights'!$K$65)+(L112*'Pawn Weights'!$K$66)+(M112*'Pawn Weights'!$K$67)+(N112*'Pawn Weights'!$K$68)+(O112*'Pawn Weights'!$K$69)+(P112*'Pawn Weights'!$K$70)+(Q112*'Pawn Weights'!$K$71), 2)</f>
        <v>175.11</v>
      </c>
      <c r="E112" s="280">
        <v>20.0</v>
      </c>
      <c r="F112" s="280"/>
      <c r="G112" s="280">
        <v>17.0</v>
      </c>
      <c r="H112" s="280">
        <v>66.0</v>
      </c>
      <c r="I112" s="280">
        <v>17.0</v>
      </c>
      <c r="J112" s="280"/>
      <c r="K112" s="280"/>
      <c r="L112" s="280"/>
      <c r="M112" s="281"/>
      <c r="N112" s="280"/>
      <c r="O112" s="280"/>
      <c r="P112" s="280">
        <v>1.0</v>
      </c>
      <c r="Q112" s="280">
        <v>1.0</v>
      </c>
      <c r="R112" s="290" t="s">
        <v>695</v>
      </c>
      <c r="S112" s="281"/>
      <c r="T112" s="291"/>
      <c r="U112" s="281"/>
      <c r="V112" s="281"/>
      <c r="W112" s="281"/>
    </row>
    <row r="113">
      <c r="A113" s="281"/>
      <c r="B113" s="288" t="s">
        <v>1100</v>
      </c>
      <c r="C113" s="280" t="s">
        <v>823</v>
      </c>
      <c r="D113" s="289">
        <f>ROUND((F113*'Pawn Weights'!$K$60)+(G113*'Pawn Weights'!$K$61)+(H113*'Pawn Weights'!$K$62)+(I113*'Pawn Weights'!$K$63)+(J113*'Pawn Weights'!$K$64)+(K113*'Pawn Weights'!$K$65)+(L113*'Pawn Weights'!$K$66)+(M113*'Pawn Weights'!$K$67)+(N113*'Pawn Weights'!$K$68)+(O113*'Pawn Weights'!$K$69)+(P113*'Pawn Weights'!$K$70)+(Q113*'Pawn Weights'!$K$71), 2)</f>
        <v>164.5</v>
      </c>
      <c r="E113" s="280">
        <v>27.0</v>
      </c>
      <c r="F113" s="280"/>
      <c r="G113" s="280"/>
      <c r="H113" s="280">
        <v>72.0</v>
      </c>
      <c r="I113" s="280">
        <v>25.0</v>
      </c>
      <c r="J113" s="280"/>
      <c r="K113" s="280"/>
      <c r="L113" s="280"/>
      <c r="M113" s="281"/>
      <c r="N113" s="280"/>
      <c r="O113" s="280"/>
      <c r="P113" s="280">
        <v>1.0</v>
      </c>
      <c r="Q113" s="280">
        <v>1.0</v>
      </c>
      <c r="R113" s="290" t="s">
        <v>702</v>
      </c>
      <c r="S113" s="281"/>
      <c r="T113" s="291"/>
      <c r="U113" s="281"/>
      <c r="V113" s="281"/>
      <c r="W113" s="281"/>
    </row>
    <row r="114">
      <c r="A114" s="295" t="s">
        <v>671</v>
      </c>
      <c r="B114" s="317" t="s">
        <v>1346</v>
      </c>
      <c r="C114" s="297" t="s">
        <v>849</v>
      </c>
      <c r="D114" s="289">
        <f>ROUND((F114*'Pawn Weights'!$K$60)+(G114*'Pawn Weights'!$K$61)+(H114*'Pawn Weights'!$K$62)+(I114*'Pawn Weights'!$K$63)+(J114*'Pawn Weights'!$K$64)+(K114*'Pawn Weights'!$K$65)+(L114*'Pawn Weights'!$K$66)+(M114*'Pawn Weights'!$K$67)+(N114*'Pawn Weights'!$K$68)+(O114*'Pawn Weights'!$K$69)+(P114*'Pawn Weights'!$K$70)+(Q114*'Pawn Weights'!$K$71), 2)</f>
        <v>155.38</v>
      </c>
      <c r="E114" s="316">
        <v>55.0</v>
      </c>
      <c r="F114" s="316">
        <v>38.0</v>
      </c>
      <c r="G114" s="297"/>
      <c r="H114" s="297"/>
      <c r="I114" s="316">
        <v>37.0</v>
      </c>
      <c r="J114" s="297"/>
      <c r="K114" s="297"/>
      <c r="L114" s="297"/>
      <c r="M114" s="137"/>
      <c r="N114" s="297"/>
      <c r="O114" s="297"/>
      <c r="P114" s="297"/>
      <c r="Q114" s="297"/>
      <c r="R114" s="295"/>
      <c r="S114" s="137"/>
      <c r="T114" s="297" t="s">
        <v>850</v>
      </c>
      <c r="U114" s="137"/>
      <c r="V114" s="137"/>
      <c r="W114" s="137"/>
      <c r="X114" s="137"/>
      <c r="Y114" s="137"/>
      <c r="Z114" s="137"/>
    </row>
    <row r="115">
      <c r="A115" s="272" t="s">
        <v>852</v>
      </c>
      <c r="B115" s="281"/>
      <c r="C115" s="281"/>
      <c r="D115" s="289"/>
      <c r="E115" s="281"/>
      <c r="F115" s="281"/>
      <c r="G115" s="281"/>
      <c r="H115" s="281"/>
      <c r="I115" s="281"/>
      <c r="J115" s="281"/>
      <c r="K115" s="281"/>
      <c r="L115" s="281"/>
      <c r="M115" s="281"/>
      <c r="N115" s="281"/>
      <c r="O115" s="281"/>
      <c r="P115" s="281"/>
      <c r="Q115" s="281"/>
      <c r="R115" s="282"/>
      <c r="S115" s="281"/>
      <c r="T115" s="285"/>
      <c r="U115" s="281"/>
      <c r="V115" s="281"/>
      <c r="W115" s="281"/>
    </row>
    <row r="116">
      <c r="A116" s="295"/>
      <c r="B116" s="296" t="s">
        <v>853</v>
      </c>
      <c r="C116" s="297" t="s">
        <v>854</v>
      </c>
      <c r="D116" s="289">
        <f>ROUND((F116*'Pawn Weights'!$K$60)+(G116*'Pawn Weights'!$K$61)+(H116*'Pawn Weights'!$K$62)+(I116*'Pawn Weights'!$K$63)+(J116*'Pawn Weights'!$K$64)+(K116*'Pawn Weights'!$K$65)+(L116*'Pawn Weights'!$K$66)+(M116*'Pawn Weights'!$K$67)+(N116*'Pawn Weights'!$K$68)+(O116*'Pawn Weights'!$K$69)+(P116*'Pawn Weights'!$K$70)+(Q116*'Pawn Weights'!$K$71)+7.56, 2)</f>
        <v>424.49</v>
      </c>
      <c r="E116" s="298">
        <v>48.0</v>
      </c>
      <c r="F116" s="297"/>
      <c r="G116" s="298">
        <v>41.0</v>
      </c>
      <c r="H116" s="298">
        <v>124.0</v>
      </c>
      <c r="I116" s="297"/>
      <c r="J116" s="298">
        <v>32.0</v>
      </c>
      <c r="K116" s="297"/>
      <c r="L116" s="297"/>
      <c r="M116" s="298">
        <v>224.0</v>
      </c>
      <c r="N116" s="297"/>
      <c r="O116" s="298">
        <v>3.0</v>
      </c>
      <c r="P116" s="297"/>
      <c r="Q116" s="297"/>
      <c r="R116" s="298" t="s">
        <v>622</v>
      </c>
      <c r="S116" s="137"/>
      <c r="T116" s="295"/>
      <c r="U116" s="137"/>
      <c r="V116" s="137"/>
      <c r="W116" s="137"/>
      <c r="X116" s="137"/>
      <c r="Y116" s="137"/>
      <c r="Z116" s="137"/>
    </row>
    <row r="117">
      <c r="A117" s="295"/>
      <c r="B117" s="296" t="s">
        <v>859</v>
      </c>
      <c r="C117" s="297" t="s">
        <v>781</v>
      </c>
      <c r="D117" s="289">
        <f>ROUND((F117*'Pawn Weights'!$K$60)+(G117*'Pawn Weights'!$K$61)+(H117*'Pawn Weights'!$K$62)+(I117*'Pawn Weights'!$K$63)+(J117*'Pawn Weights'!$K$64)+(K117*'Pawn Weights'!$K$65)+(L117*'Pawn Weights'!$K$66)+(M117*'Pawn Weights'!$K$67)+(N117*'Pawn Weights'!$K$68)+(O117*'Pawn Weights'!$K$69)+(P117*'Pawn Weights'!$K$70)+(Q117*'Pawn Weights'!$K$71), 2)</f>
        <v>329.73</v>
      </c>
      <c r="E117" s="298">
        <v>49.0</v>
      </c>
      <c r="F117" s="297"/>
      <c r="G117" s="298">
        <v>57.0</v>
      </c>
      <c r="H117" s="298">
        <v>120.0</v>
      </c>
      <c r="I117" s="297"/>
      <c r="J117" s="298">
        <v>20.0</v>
      </c>
      <c r="K117" s="297"/>
      <c r="L117" s="297"/>
      <c r="M117" s="297"/>
      <c r="N117" s="297"/>
      <c r="O117" s="297"/>
      <c r="P117" s="298">
        <v>1.0</v>
      </c>
      <c r="Q117" s="298">
        <v>2.0</v>
      </c>
      <c r="R117" s="298" t="s">
        <v>745</v>
      </c>
      <c r="S117" s="137"/>
      <c r="T117" s="295"/>
      <c r="U117" s="137"/>
      <c r="V117" s="137"/>
      <c r="W117" s="137"/>
      <c r="X117" s="137"/>
      <c r="Y117" s="137"/>
      <c r="Z117" s="137"/>
    </row>
    <row r="118">
      <c r="A118" s="295"/>
      <c r="B118" s="296" t="s">
        <v>858</v>
      </c>
      <c r="C118" s="297" t="s">
        <v>854</v>
      </c>
      <c r="D118" s="289">
        <f>ROUND((F118*'Pawn Weights'!$K$60)+(G118*'Pawn Weights'!$K$61)+(H118*'Pawn Weights'!$K$62)+(I118*'Pawn Weights'!$K$63)+(J118*'Pawn Weights'!$K$64)+(K118*'Pawn Weights'!$K$65)+(L118*'Pawn Weights'!$K$66)+(M118*'Pawn Weights'!$K$67)+(N118*'Pawn Weights'!$K$68)+(O118*'Pawn Weights'!$K$69)+(P118*'Pawn Weights'!$K$70)+(Q118*'Pawn Weights'!$K$71), 2)</f>
        <v>327.23</v>
      </c>
      <c r="E118" s="298">
        <v>66.0</v>
      </c>
      <c r="F118" s="298">
        <v>44.0</v>
      </c>
      <c r="G118" s="298">
        <v>46.0</v>
      </c>
      <c r="H118" s="297"/>
      <c r="I118" s="297"/>
      <c r="J118" s="297"/>
      <c r="K118" s="297"/>
      <c r="L118" s="297"/>
      <c r="M118" s="298">
        <v>189.0</v>
      </c>
      <c r="N118" s="297"/>
      <c r="O118" s="298">
        <v>2.0</v>
      </c>
      <c r="P118" s="297"/>
      <c r="Q118" s="298">
        <v>1.0</v>
      </c>
      <c r="R118" s="298" t="s">
        <v>622</v>
      </c>
      <c r="S118" s="137"/>
      <c r="T118" s="295"/>
      <c r="U118" s="137"/>
      <c r="V118" s="137"/>
      <c r="W118" s="137"/>
      <c r="X118" s="137"/>
      <c r="Y118" s="137"/>
      <c r="Z118" s="137"/>
    </row>
    <row r="119">
      <c r="A119" s="301"/>
      <c r="B119" s="288" t="s">
        <v>866</v>
      </c>
      <c r="C119" s="280" t="s">
        <v>814</v>
      </c>
      <c r="D119" s="289">
        <f>ROUND((F119*'Pawn Weights'!$K$60)+(G119*'Pawn Weights'!$K$61)+(H119*'Pawn Weights'!$K$62)+(I119*'Pawn Weights'!$K$63)+(J119*'Pawn Weights'!$K$64)+(K119*'Pawn Weights'!$K$65)+(L119*'Pawn Weights'!$K$66)+(M119*'Pawn Weights'!$K$67)+(N119*'Pawn Weights'!$K$68)+(O119*'Pawn Weights'!$K$69)+(P119*'Pawn Weights'!$K$70)+(Q119*'Pawn Weights'!$K$71), 2)</f>
        <v>284.18</v>
      </c>
      <c r="E119" s="280">
        <v>28.0</v>
      </c>
      <c r="F119" s="280"/>
      <c r="G119" s="280">
        <v>42.0</v>
      </c>
      <c r="H119" s="280">
        <v>100.0</v>
      </c>
      <c r="I119" s="280">
        <v>20.0</v>
      </c>
      <c r="J119" s="280"/>
      <c r="K119" s="280"/>
      <c r="L119" s="280"/>
      <c r="M119" s="280"/>
      <c r="N119" s="280"/>
      <c r="O119" s="280">
        <v>1.0</v>
      </c>
      <c r="P119" s="280">
        <v>1.0</v>
      </c>
      <c r="Q119" s="280">
        <v>1.0</v>
      </c>
      <c r="R119" s="290" t="s">
        <v>624</v>
      </c>
      <c r="S119" s="281"/>
      <c r="T119" s="294"/>
      <c r="U119" s="281"/>
      <c r="V119" s="281"/>
      <c r="W119" s="281"/>
      <c r="X119" s="281"/>
    </row>
    <row r="120">
      <c r="A120" s="295"/>
      <c r="B120" s="296" t="s">
        <v>869</v>
      </c>
      <c r="C120" s="297" t="s">
        <v>865</v>
      </c>
      <c r="D120" s="289">
        <f>ROUND((F120*'Pawn Weights'!$K$60)+(G120*'Pawn Weights'!$K$61)+(H120*'Pawn Weights'!$K$62)+(I120*'Pawn Weights'!$K$63)+(J120*'Pawn Weights'!$K$64)+(K120*'Pawn Weights'!$K$65)+(L120*'Pawn Weights'!$K$66)+(M120*'Pawn Weights'!$K$67)+(N120*'Pawn Weights'!$K$68)+(O120*'Pawn Weights'!$K$69)+(P120*'Pawn Weights'!$K$70)+(Q120*'Pawn Weights'!$K$71), 2)</f>
        <v>283.27</v>
      </c>
      <c r="E120" s="298">
        <v>45.0</v>
      </c>
      <c r="F120" s="297"/>
      <c r="G120" s="298">
        <v>43.0</v>
      </c>
      <c r="H120" s="298">
        <v>104.0</v>
      </c>
      <c r="I120" s="297"/>
      <c r="J120" s="298">
        <v>30.0</v>
      </c>
      <c r="K120" s="297"/>
      <c r="L120" s="297"/>
      <c r="M120" s="297"/>
      <c r="N120" s="297"/>
      <c r="O120" s="297"/>
      <c r="P120" s="298">
        <v>1.0</v>
      </c>
      <c r="Q120" s="298">
        <v>1.0</v>
      </c>
      <c r="R120" s="298" t="s">
        <v>832</v>
      </c>
      <c r="S120" s="137"/>
      <c r="T120" s="295"/>
      <c r="U120" s="137"/>
      <c r="V120" s="137"/>
      <c r="W120" s="137"/>
      <c r="X120" s="137"/>
      <c r="Y120" s="137"/>
      <c r="Z120" s="137"/>
    </row>
    <row r="121">
      <c r="A121" s="301"/>
      <c r="B121" s="288" t="s">
        <v>868</v>
      </c>
      <c r="C121" s="280" t="s">
        <v>814</v>
      </c>
      <c r="D121" s="289">
        <f>ROUND((F121*'Pawn Weights'!$K$60)+(G121*'Pawn Weights'!$K$61)+(H121*'Pawn Weights'!$K$62)+(I121*'Pawn Weights'!$K$63)+(J121*'Pawn Weights'!$K$64)+(K121*'Pawn Weights'!$K$65)+(L121*'Pawn Weights'!$K$66)+(M121*'Pawn Weights'!$K$67)+(N121*'Pawn Weights'!$K$68)+(O121*'Pawn Weights'!$K$69)+(P121*'Pawn Weights'!$K$70)+(Q121*'Pawn Weights'!$K$71), 2)</f>
        <v>268.25</v>
      </c>
      <c r="E121" s="280">
        <v>61.0</v>
      </c>
      <c r="F121" s="280"/>
      <c r="G121" s="280">
        <v>50.0</v>
      </c>
      <c r="H121" s="280">
        <v>102.0</v>
      </c>
      <c r="I121" s="280"/>
      <c r="J121" s="280"/>
      <c r="K121" s="280"/>
      <c r="L121" s="280"/>
      <c r="M121" s="280">
        <v>175.0</v>
      </c>
      <c r="N121" s="280"/>
      <c r="O121" s="280"/>
      <c r="P121" s="280"/>
      <c r="Q121" s="280"/>
      <c r="R121" s="290"/>
      <c r="S121" s="281"/>
      <c r="T121" s="294"/>
      <c r="U121" s="281"/>
      <c r="V121" s="281"/>
      <c r="W121" s="281"/>
      <c r="X121" s="281"/>
    </row>
    <row r="122">
      <c r="A122" s="295"/>
      <c r="B122" s="296" t="s">
        <v>875</v>
      </c>
      <c r="C122" s="297" t="s">
        <v>865</v>
      </c>
      <c r="D122" s="289">
        <f>ROUND((F122*'Pawn Weights'!$K$60)+(G122*'Pawn Weights'!$K$61)+(H122*'Pawn Weights'!$K$62)+(I122*'Pawn Weights'!$K$63)+(J122*'Pawn Weights'!$K$64)+(K122*'Pawn Weights'!$K$65)+(L122*'Pawn Weights'!$K$66)+(M122*'Pawn Weights'!$K$67)+(N122*'Pawn Weights'!$K$68)+(O122*'Pawn Weights'!$K$69)+(P122*'Pawn Weights'!$K$70)+(Q122*'Pawn Weights'!$K$71), 2)</f>
        <v>258.16</v>
      </c>
      <c r="E122" s="298">
        <v>36.0</v>
      </c>
      <c r="F122" s="297"/>
      <c r="G122" s="298">
        <v>44.0</v>
      </c>
      <c r="H122" s="298">
        <v>104.0</v>
      </c>
      <c r="I122" s="297"/>
      <c r="J122" s="298">
        <v>15.0</v>
      </c>
      <c r="K122" s="297"/>
      <c r="L122" s="297"/>
      <c r="M122" s="297"/>
      <c r="N122" s="297"/>
      <c r="O122" s="297"/>
      <c r="P122" s="298">
        <v>1.0</v>
      </c>
      <c r="Q122" s="298">
        <v>1.0</v>
      </c>
      <c r="R122" s="298" t="s">
        <v>695</v>
      </c>
      <c r="S122" s="137"/>
      <c r="T122" s="295"/>
      <c r="U122" s="137"/>
      <c r="V122" s="137"/>
      <c r="W122" s="137"/>
      <c r="X122" s="137"/>
      <c r="Y122" s="137"/>
      <c r="Z122" s="137"/>
    </row>
    <row r="123">
      <c r="A123" s="295"/>
      <c r="B123" s="296" t="s">
        <v>874</v>
      </c>
      <c r="C123" s="297" t="s">
        <v>741</v>
      </c>
      <c r="D123" s="367">
        <f>ROUND((F123*'Pawn Weights'!$K$60)+(G123*'Pawn Weights'!$K$61)+(H123*'Pawn Weights'!$K$62)+(I123*'Pawn Weights'!$K$63)+(J123*'Pawn Weights'!$K$64)+(K123*'Pawn Weights'!$K$65)+(L123*'Pawn Weights'!$K$66)+(M123*'Pawn Weights'!$K$67)+(N123*'Pawn Weights'!$K$68)+(O123*'Pawn Weights'!$K$69)+(P123*'Pawn Weights'!$K$70)+(Q123*'Pawn Weights'!$K$71), 2)</f>
        <v>248.83</v>
      </c>
      <c r="E123" s="298">
        <v>31.0</v>
      </c>
      <c r="F123" s="297"/>
      <c r="G123" s="298">
        <v>45.0</v>
      </c>
      <c r="H123" s="298">
        <v>92.0</v>
      </c>
      <c r="I123" s="298">
        <v>37.0</v>
      </c>
      <c r="J123" s="297"/>
      <c r="K123" s="297"/>
      <c r="L123" s="297"/>
      <c r="M123" s="297"/>
      <c r="N123" s="297"/>
      <c r="O123" s="297"/>
      <c r="P123" s="297"/>
      <c r="Q123" s="297"/>
      <c r="R123" s="295"/>
      <c r="S123" s="137"/>
      <c r="T123" s="295"/>
      <c r="U123" s="137"/>
      <c r="V123" s="137"/>
      <c r="W123" s="137"/>
      <c r="X123" s="137"/>
      <c r="Y123" s="137"/>
      <c r="Z123" s="137"/>
    </row>
    <row r="124">
      <c r="A124" s="295"/>
      <c r="B124" s="296" t="s">
        <v>876</v>
      </c>
      <c r="C124" s="297" t="s">
        <v>865</v>
      </c>
      <c r="D124" s="289">
        <f>ROUND((F124*'Pawn Weights'!$K$60)+(G124*'Pawn Weights'!$K$61)+(H124*'Pawn Weights'!$K$62)+(I124*'Pawn Weights'!$K$63)+(J124*'Pawn Weights'!$K$64)+(K124*'Pawn Weights'!$K$65)+(L124*'Pawn Weights'!$K$66)+(M124*'Pawn Weights'!$K$67)+(N124*'Pawn Weights'!$K$68)+(O124*'Pawn Weights'!$K$69)+(P124*'Pawn Weights'!$K$70)+(Q124*'Pawn Weights'!$K$71), 2)</f>
        <v>245.45</v>
      </c>
      <c r="E124" s="298">
        <v>52.0</v>
      </c>
      <c r="F124" s="298">
        <v>39.0</v>
      </c>
      <c r="G124" s="298">
        <v>45.0</v>
      </c>
      <c r="H124" s="297"/>
      <c r="I124" s="297"/>
      <c r="J124" s="298">
        <v>17.0</v>
      </c>
      <c r="K124" s="297"/>
      <c r="L124" s="297"/>
      <c r="M124" s="297"/>
      <c r="N124" s="297"/>
      <c r="O124" s="298">
        <v>1.0</v>
      </c>
      <c r="P124" s="298">
        <v>1.0</v>
      </c>
      <c r="Q124" s="297"/>
      <c r="R124" s="298" t="s">
        <v>812</v>
      </c>
      <c r="S124" s="137"/>
      <c r="T124" s="295"/>
      <c r="U124" s="137"/>
      <c r="V124" s="137"/>
      <c r="W124" s="137"/>
      <c r="X124" s="137"/>
      <c r="Y124" s="137"/>
      <c r="Z124" s="137"/>
    </row>
    <row r="125">
      <c r="A125" s="301"/>
      <c r="B125" s="288" t="s">
        <v>880</v>
      </c>
      <c r="C125" s="280" t="s">
        <v>881</v>
      </c>
      <c r="D125" s="289">
        <f>ROUND((F125*'Pawn Weights'!$K$60)+(G125*'Pawn Weights'!$K$61)+(H125*'Pawn Weights'!$K$62)+(I125*'Pawn Weights'!$K$63)+(J125*'Pawn Weights'!$K$64)+(K125*'Pawn Weights'!$K$65)+(L125*'Pawn Weights'!$K$66)+(M125*'Pawn Weights'!$K$67)+(N125*'Pawn Weights'!$K$68)+(O125*'Pawn Weights'!$K$69)+(P125*'Pawn Weights'!$K$70)+(Q125*'Pawn Weights'!$K$71), 2)</f>
        <v>240.88</v>
      </c>
      <c r="E125" s="280">
        <v>28.0</v>
      </c>
      <c r="F125" s="280"/>
      <c r="G125" s="280">
        <v>32.0</v>
      </c>
      <c r="H125" s="280">
        <v>64.0</v>
      </c>
      <c r="I125" s="280"/>
      <c r="J125" s="280">
        <v>28.0</v>
      </c>
      <c r="K125" s="280"/>
      <c r="L125" s="280"/>
      <c r="M125" s="280"/>
      <c r="N125" s="280"/>
      <c r="O125" s="280">
        <v>2.0</v>
      </c>
      <c r="P125" s="280"/>
      <c r="Q125" s="280">
        <v>1.0</v>
      </c>
      <c r="R125" s="290" t="s">
        <v>882</v>
      </c>
      <c r="S125" s="281"/>
      <c r="T125" s="294"/>
      <c r="U125" s="281"/>
      <c r="V125" s="281"/>
      <c r="W125" s="281"/>
      <c r="X125" s="281"/>
    </row>
    <row r="126">
      <c r="A126" s="301"/>
      <c r="B126" s="288" t="s">
        <v>877</v>
      </c>
      <c r="C126" s="280" t="s">
        <v>708</v>
      </c>
      <c r="D126" s="289">
        <f>ROUND((F126*'Pawn Weights'!$K$60)+(G126*'Pawn Weights'!$K$61)+(H126*'Pawn Weights'!$K$62)+(I126*'Pawn Weights'!$K$63)+(J126*'Pawn Weights'!$K$64)+(K126*'Pawn Weights'!$K$65)+(L126*'Pawn Weights'!$K$66)+(M126*'Pawn Weights'!$K$67)+(N126*'Pawn Weights'!$K$68)+(O126*'Pawn Weights'!$K$69)+(P126*'Pawn Weights'!$K$70)+(Q126*'Pawn Weights'!$K$71), 2)</f>
        <v>240.73</v>
      </c>
      <c r="E126" s="280"/>
      <c r="F126" s="280"/>
      <c r="G126" s="280">
        <v>37.0</v>
      </c>
      <c r="H126" s="280">
        <v>76.0</v>
      </c>
      <c r="I126" s="280"/>
      <c r="J126" s="280">
        <v>16.0</v>
      </c>
      <c r="K126" s="280"/>
      <c r="L126" s="280"/>
      <c r="M126" s="280"/>
      <c r="N126" s="280"/>
      <c r="O126" s="280">
        <v>3.0</v>
      </c>
      <c r="P126" s="280"/>
      <c r="Q126" s="280"/>
      <c r="R126" s="290" t="s">
        <v>622</v>
      </c>
      <c r="S126" s="281"/>
      <c r="T126" s="294"/>
      <c r="U126" s="281"/>
      <c r="V126" s="281"/>
      <c r="W126" s="281"/>
      <c r="X126" s="281"/>
    </row>
    <row r="127">
      <c r="A127" s="295" t="s">
        <v>635</v>
      </c>
      <c r="B127" s="317" t="s">
        <v>1347</v>
      </c>
      <c r="C127" s="297" t="s">
        <v>637</v>
      </c>
      <c r="D127" s="289">
        <f>ROUND((F127*'Pawn Weights'!$K$60)+(G127*'Pawn Weights'!$K$61)+(H127*'Pawn Weights'!$K$62)+(I127*'Pawn Weights'!$K$63)+(J127*'Pawn Weights'!$K$64)+(K127*'Pawn Weights'!$K$65)+(L127*'Pawn Weights'!$K$66)+(M127*'Pawn Weights'!$K$67)+(N127*'Pawn Weights'!$K$68)+(O127*'Pawn Weights'!$K$69)+(P127*'Pawn Weights'!$K$70)+(Q127*'Pawn Weights'!$K$71), 2)</f>
        <v>239.18</v>
      </c>
      <c r="E127" s="316">
        <v>74.0</v>
      </c>
      <c r="F127" s="316">
        <v>43.0</v>
      </c>
      <c r="G127" s="297"/>
      <c r="H127" s="297"/>
      <c r="I127" s="316">
        <v>41.0</v>
      </c>
      <c r="J127" s="316">
        <v>17.0</v>
      </c>
      <c r="K127" s="297"/>
      <c r="L127" s="297"/>
      <c r="M127" s="298">
        <v>84.0</v>
      </c>
      <c r="N127" s="297"/>
      <c r="O127" s="297"/>
      <c r="P127" s="297"/>
      <c r="Q127" s="297"/>
      <c r="R127" s="295"/>
      <c r="S127" s="137"/>
      <c r="T127" s="297" t="s">
        <v>861</v>
      </c>
      <c r="U127" s="137"/>
      <c r="V127" s="137"/>
      <c r="W127" s="137"/>
      <c r="X127" s="137"/>
      <c r="Y127" s="137"/>
      <c r="Z127" s="137"/>
    </row>
    <row r="128">
      <c r="A128" s="301" t="s">
        <v>640</v>
      </c>
      <c r="B128" s="288" t="s">
        <v>1348</v>
      </c>
      <c r="C128" s="280" t="s">
        <v>639</v>
      </c>
      <c r="D128" s="289">
        <f>ROUND((F128*'Pawn Weights'!$K$60)+(G128*'Pawn Weights'!$K$61)+(H128*'Pawn Weights'!$K$62)+(I128*'Pawn Weights'!$K$63)+(J128*'Pawn Weights'!$K$64)+(K128*'Pawn Weights'!$K$65)+(L128*'Pawn Weights'!$K$66)+(M128*'Pawn Weights'!$K$67)+(N128*'Pawn Weights'!$K$68)+(O128*'Pawn Weights'!$K$69)+(P128*'Pawn Weights'!$K$70)+(Q128*'Pawn Weights'!$K$71), 2)</f>
        <v>236.66</v>
      </c>
      <c r="E128" s="280">
        <v>67.0</v>
      </c>
      <c r="F128" s="280">
        <v>46.0</v>
      </c>
      <c r="G128" s="280"/>
      <c r="H128" s="280"/>
      <c r="I128" s="280">
        <v>39.0</v>
      </c>
      <c r="J128" s="280">
        <v>21.0</v>
      </c>
      <c r="K128" s="280"/>
      <c r="L128" s="280"/>
      <c r="M128" s="280"/>
      <c r="N128" s="280"/>
      <c r="O128" s="280"/>
      <c r="P128" s="280"/>
      <c r="Q128" s="280">
        <v>1.0</v>
      </c>
      <c r="R128" s="290" t="s">
        <v>784</v>
      </c>
      <c r="S128" s="281"/>
      <c r="T128" s="294"/>
      <c r="U128" s="281"/>
      <c r="V128" s="281"/>
      <c r="W128" s="281"/>
      <c r="X128" s="281"/>
    </row>
    <row r="129">
      <c r="A129" s="301"/>
      <c r="B129" s="288" t="s">
        <v>1349</v>
      </c>
      <c r="C129" s="280" t="s">
        <v>1195</v>
      </c>
      <c r="D129" s="289">
        <f>ROUND((F129*'Pawn Weights'!$K$60)+(G129*'Pawn Weights'!$K$61)+(H129*'Pawn Weights'!$K$62)+(I129*'Pawn Weights'!$K$63)+(J129*'Pawn Weights'!$K$64)+(K129*'Pawn Weights'!$K$65)+(L129*'Pawn Weights'!$K$66)+(M129*'Pawn Weights'!$K$67)+(N129*'Pawn Weights'!$K$68)+(O129*'Pawn Weights'!$K$69)+(P129*'Pawn Weights'!$K$70)+(Q129*'Pawn Weights'!$K$71), 2)</f>
        <v>223.93</v>
      </c>
      <c r="E129" s="280">
        <v>33.0</v>
      </c>
      <c r="F129" s="280"/>
      <c r="G129" s="280">
        <v>37.0</v>
      </c>
      <c r="H129" s="280">
        <v>88.0</v>
      </c>
      <c r="I129" s="280"/>
      <c r="J129" s="280"/>
      <c r="K129" s="280"/>
      <c r="L129" s="280"/>
      <c r="M129" s="280"/>
      <c r="N129" s="280"/>
      <c r="O129" s="280">
        <v>1.0</v>
      </c>
      <c r="P129" s="280">
        <v>1.0</v>
      </c>
      <c r="Q129" s="280">
        <v>1.0</v>
      </c>
      <c r="R129" s="290" t="s">
        <v>622</v>
      </c>
      <c r="S129" s="281"/>
      <c r="T129" s="294"/>
      <c r="U129" s="281"/>
      <c r="V129" s="281"/>
      <c r="W129" s="281"/>
      <c r="X129" s="281"/>
    </row>
    <row r="130">
      <c r="A130" s="272" t="s">
        <v>883</v>
      </c>
      <c r="B130" s="281"/>
      <c r="C130" s="281"/>
      <c r="D130" s="289"/>
      <c r="E130" s="281"/>
      <c r="F130" s="281"/>
      <c r="G130" s="281"/>
      <c r="H130" s="281"/>
      <c r="I130" s="281"/>
      <c r="J130" s="281"/>
      <c r="K130" s="281"/>
      <c r="L130" s="281"/>
      <c r="M130" s="281"/>
      <c r="N130" s="281"/>
      <c r="O130" s="281"/>
      <c r="P130" s="281"/>
      <c r="Q130" s="281"/>
      <c r="R130" s="282"/>
      <c r="S130" s="281"/>
      <c r="T130" s="285"/>
      <c r="U130" s="281"/>
      <c r="V130" s="281"/>
      <c r="W130" s="281"/>
    </row>
    <row r="131">
      <c r="A131" s="295" t="s">
        <v>640</v>
      </c>
      <c r="B131" s="317" t="s">
        <v>1350</v>
      </c>
      <c r="C131" s="297" t="s">
        <v>854</v>
      </c>
      <c r="D131" s="289">
        <f>ROUND((F131*'Pawn Weights'!$K$60)+(G131*'Pawn Weights'!$K$61)+(H131*'Pawn Weights'!$K$62)+(I131*'Pawn Weights'!$K$63)+(J131*'Pawn Weights'!$K$64)+(K131*'Pawn Weights'!$K$65)+(L131*'Pawn Weights'!$K$66)+(M131*'Pawn Weights'!$K$67)+(N131*'Pawn Weights'!$K$68)+(O131*'Pawn Weights'!$K$69)+(P131*'Pawn Weights'!$K$70)+(Q131*'Pawn Weights'!$K$71)-22+20.7+4.4, 2)</f>
        <v>319.87</v>
      </c>
      <c r="E131" s="318">
        <v>22.0</v>
      </c>
      <c r="F131" s="316">
        <v>43.0</v>
      </c>
      <c r="G131" s="297"/>
      <c r="H131" s="297"/>
      <c r="I131" s="316">
        <v>30.0</v>
      </c>
      <c r="J131" s="298"/>
      <c r="K131" s="316">
        <v>20.0</v>
      </c>
      <c r="L131" s="318">
        <v>29.0</v>
      </c>
      <c r="M131" s="137"/>
      <c r="N131" s="297"/>
      <c r="O131" s="297"/>
      <c r="P131" s="298">
        <v>1.0</v>
      </c>
      <c r="Q131" s="297"/>
      <c r="R131" s="298" t="s">
        <v>784</v>
      </c>
      <c r="S131" s="137"/>
      <c r="T131" s="295"/>
      <c r="U131" s="137"/>
      <c r="V131" s="137"/>
      <c r="W131" s="137"/>
      <c r="X131" s="137"/>
      <c r="Y131" s="137"/>
      <c r="Z131" s="137"/>
    </row>
    <row r="132">
      <c r="A132" s="301"/>
      <c r="B132" s="288" t="s">
        <v>886</v>
      </c>
      <c r="C132" s="280" t="s">
        <v>701</v>
      </c>
      <c r="D132" s="289">
        <f>ROUND((F132*'Pawn Weights'!$K$60)+(G132*'Pawn Weights'!$K$61)+(H132*'Pawn Weights'!$K$62)+(I132*'Pawn Weights'!$K$63)+(J132*'Pawn Weights'!$K$64)+(K132*'Pawn Weights'!$K$65)+(L132*'Pawn Weights'!$K$66)+(M132*'Pawn Weights'!$K$67)+(N132*'Pawn Weights'!$K$68)+(O132*'Pawn Weights'!$K$69)+(P132*'Pawn Weights'!$K$70)+(Q132*'Pawn Weights'!$K$71)-22+20.7+5.82, 2)</f>
        <v>214.2</v>
      </c>
      <c r="E132" s="280">
        <v>38.0</v>
      </c>
      <c r="F132" s="280"/>
      <c r="G132" s="280">
        <v>30.0</v>
      </c>
      <c r="H132" s="280">
        <v>76.0</v>
      </c>
      <c r="I132" s="280">
        <v>17.0</v>
      </c>
      <c r="J132" s="280"/>
      <c r="K132" s="280"/>
      <c r="L132" s="280"/>
      <c r="M132" s="281"/>
      <c r="N132" s="280"/>
      <c r="O132" s="280">
        <v>1.0</v>
      </c>
      <c r="P132" s="280">
        <v>1.0</v>
      </c>
      <c r="Q132" s="280"/>
      <c r="R132" s="290" t="s">
        <v>702</v>
      </c>
      <c r="S132" s="281"/>
      <c r="T132" s="291"/>
      <c r="U132" s="281"/>
      <c r="V132" s="281"/>
      <c r="W132" s="281"/>
    </row>
    <row r="133">
      <c r="A133" s="301"/>
      <c r="B133" s="288" t="s">
        <v>887</v>
      </c>
      <c r="C133" s="280" t="s">
        <v>727</v>
      </c>
      <c r="D133" s="289">
        <f>ROUND((F133*'Pawn Weights'!$K$60)+(G133*'Pawn Weights'!$K$61)+(H133*'Pawn Weights'!$K$62)+(I133*'Pawn Weights'!$K$63)+(J133*'Pawn Weights'!$K$64)+(K133*'Pawn Weights'!$K$65)+(L133*'Pawn Weights'!$K$66)+(M133*'Pawn Weights'!$K$67)+(N133*'Pawn Weights'!$K$68)+(O133*'Pawn Weights'!$K$69)+(P133*'Pawn Weights'!$K$70)+(Q133*'Pawn Weights'!$K$71), 2)</f>
        <v>208.07</v>
      </c>
      <c r="E133" s="280"/>
      <c r="F133" s="280"/>
      <c r="G133" s="280">
        <v>27.0</v>
      </c>
      <c r="H133" s="280">
        <v>76.0</v>
      </c>
      <c r="I133" s="280">
        <v>26.0</v>
      </c>
      <c r="J133" s="280">
        <v>17.0</v>
      </c>
      <c r="K133" s="280"/>
      <c r="L133" s="280"/>
      <c r="M133" s="281"/>
      <c r="N133" s="280"/>
      <c r="O133" s="280"/>
      <c r="P133" s="280"/>
      <c r="Q133" s="280"/>
      <c r="R133" s="290"/>
      <c r="S133" s="281"/>
      <c r="T133" s="291"/>
      <c r="U133" s="281"/>
      <c r="V133" s="281"/>
      <c r="W133" s="281"/>
    </row>
    <row r="134">
      <c r="A134" s="301"/>
      <c r="B134" s="288" t="s">
        <v>888</v>
      </c>
      <c r="C134" s="280" t="s">
        <v>889</v>
      </c>
      <c r="D134" s="289">
        <f>ROUND((F134*'Pawn Weights'!$K$60)+(G134*'Pawn Weights'!$K$61)+(H134*'Pawn Weights'!$K$62)+(I134*'Pawn Weights'!$K$63)+(J134*'Pawn Weights'!$K$64)+(K134*'Pawn Weights'!$K$65)+(L134*'Pawn Weights'!$K$66)+(M134*'Pawn Weights'!$K$67)+(N134*'Pawn Weights'!$K$68)+(O134*'Pawn Weights'!$K$69)+(P134*'Pawn Weights'!$K$70)+(Q134*'Pawn Weights'!$K$71), 2)</f>
        <v>198.41</v>
      </c>
      <c r="E134" s="280">
        <v>21.0</v>
      </c>
      <c r="F134" s="280"/>
      <c r="G134" s="280">
        <v>29.0</v>
      </c>
      <c r="H134" s="280">
        <v>60.0</v>
      </c>
      <c r="I134" s="280"/>
      <c r="J134" s="280">
        <v>22.0</v>
      </c>
      <c r="K134" s="280"/>
      <c r="L134" s="280"/>
      <c r="M134" s="281"/>
      <c r="N134" s="280"/>
      <c r="O134" s="280">
        <v>1.0</v>
      </c>
      <c r="P134" s="280"/>
      <c r="Q134" s="280">
        <v>1.0</v>
      </c>
      <c r="R134" s="290" t="s">
        <v>832</v>
      </c>
      <c r="S134" s="281"/>
      <c r="T134" s="291"/>
      <c r="U134" s="281"/>
      <c r="V134" s="281"/>
      <c r="W134" s="281"/>
    </row>
    <row r="135">
      <c r="A135" s="301"/>
      <c r="B135" s="288" t="s">
        <v>896</v>
      </c>
      <c r="C135" s="280" t="s">
        <v>835</v>
      </c>
      <c r="D135" s="289">
        <f>ROUND((F135*'Pawn Weights'!$K$60)+(G135*'Pawn Weights'!$K$61)+(H135*'Pawn Weights'!$K$62)+(I135*'Pawn Weights'!$K$63)+(J135*'Pawn Weights'!$K$64)+(K135*'Pawn Weights'!$K$65)+(L135*'Pawn Weights'!$K$66)+(M135*'Pawn Weights'!$K$67)+(N135*'Pawn Weights'!$K$68)+(O135*'Pawn Weights'!$K$69)+(P135*'Pawn Weights'!$K$70)+(Q135*'Pawn Weights'!$K$71)-22+20.7+5.67, 2)</f>
        <v>186.29</v>
      </c>
      <c r="E135" s="280">
        <v>30.0</v>
      </c>
      <c r="F135" s="280"/>
      <c r="G135" s="280">
        <v>28.0</v>
      </c>
      <c r="H135" s="280">
        <v>58.0</v>
      </c>
      <c r="I135" s="280"/>
      <c r="J135" s="280">
        <v>15.0</v>
      </c>
      <c r="K135" s="280"/>
      <c r="L135" s="280"/>
      <c r="M135" s="281"/>
      <c r="N135" s="280"/>
      <c r="O135" s="280">
        <v>1.0</v>
      </c>
      <c r="P135" s="280">
        <v>1.0</v>
      </c>
      <c r="Q135" s="280"/>
      <c r="R135" s="290" t="s">
        <v>695</v>
      </c>
      <c r="S135" s="281"/>
      <c r="T135" s="291"/>
      <c r="U135" s="281"/>
      <c r="V135" s="281"/>
      <c r="W135" s="281"/>
    </row>
    <row r="136">
      <c r="A136" s="295"/>
      <c r="B136" s="296" t="s">
        <v>890</v>
      </c>
      <c r="C136" s="297" t="s">
        <v>773</v>
      </c>
      <c r="D136" s="289">
        <f>ROUND((F136*'Pawn Weights'!$K$60)+(G136*'Pawn Weights'!$K$61)+(H136*'Pawn Weights'!$K$62)+(I136*'Pawn Weights'!$K$63)+(J136*'Pawn Weights'!$K$64)+(K136*'Pawn Weights'!$K$65)+(L136*'Pawn Weights'!$K$66)+(M136*'Pawn Weights'!$K$67)+(N136*'Pawn Weights'!$K$68)+(O136*'Pawn Weights'!$K$69)+(P136*'Pawn Weights'!$K$70)+(Q136*'Pawn Weights'!$K$71), 2)</f>
        <v>184.58</v>
      </c>
      <c r="E136" s="298">
        <v>28.0</v>
      </c>
      <c r="F136" s="297"/>
      <c r="G136" s="298">
        <v>28.0</v>
      </c>
      <c r="H136" s="298">
        <v>58.0</v>
      </c>
      <c r="I136" s="297"/>
      <c r="J136" s="297"/>
      <c r="K136" s="297"/>
      <c r="L136" s="297"/>
      <c r="M136" s="359">
        <v>126.0</v>
      </c>
      <c r="N136" s="297"/>
      <c r="O136" s="298">
        <v>1.0</v>
      </c>
      <c r="P136" s="297"/>
      <c r="Q136" s="297"/>
      <c r="R136" s="298" t="s">
        <v>674</v>
      </c>
      <c r="S136" s="137"/>
      <c r="T136" s="295"/>
      <c r="U136" s="137"/>
      <c r="V136" s="137"/>
      <c r="W136" s="137"/>
      <c r="X136" s="137"/>
      <c r="Y136" s="137"/>
      <c r="Z136" s="137"/>
    </row>
    <row r="137">
      <c r="A137" s="301"/>
      <c r="B137" s="288" t="s">
        <v>901</v>
      </c>
      <c r="C137" s="280" t="s">
        <v>649</v>
      </c>
      <c r="D137" s="289">
        <f>ROUND((F137*'Pawn Weights'!$K$60)+(G137*'Pawn Weights'!$K$61)+(H137*'Pawn Weights'!$K$62)+(I137*'Pawn Weights'!$K$63)+(J137*'Pawn Weights'!$K$64)+(K137*'Pawn Weights'!$K$65)+(L137*'Pawn Weights'!$K$66)+(M137*'Pawn Weights'!$K$67)+(N137*'Pawn Weights'!$K$68)+(O137*'Pawn Weights'!$K$69)+(P137*'Pawn Weights'!$K$70)+(Q137*'Pawn Weights'!$K$71), 2)</f>
        <v>172.37</v>
      </c>
      <c r="E137" s="280">
        <v>25.0</v>
      </c>
      <c r="F137" s="280"/>
      <c r="G137" s="280">
        <v>33.0</v>
      </c>
      <c r="H137" s="280">
        <v>66.0</v>
      </c>
      <c r="I137" s="280"/>
      <c r="J137" s="280"/>
      <c r="K137" s="280"/>
      <c r="L137" s="280"/>
      <c r="M137" s="281"/>
      <c r="N137" s="280"/>
      <c r="O137" s="280">
        <v>1.0</v>
      </c>
      <c r="P137" s="280"/>
      <c r="Q137" s="280">
        <v>1.0</v>
      </c>
      <c r="R137" s="290" t="s">
        <v>695</v>
      </c>
      <c r="S137" s="281"/>
      <c r="T137" s="291"/>
      <c r="U137" s="281"/>
      <c r="V137" s="281"/>
      <c r="W137" s="281"/>
    </row>
    <row r="138">
      <c r="A138" s="301"/>
      <c r="B138" s="288" t="s">
        <v>902</v>
      </c>
      <c r="C138" s="280" t="s">
        <v>871</v>
      </c>
      <c r="D138" s="289">
        <f>ROUND((F138*'Pawn Weights'!$K$60)+(G138*'Pawn Weights'!$K$61)+(H138*'Pawn Weights'!$K$62)+(I138*'Pawn Weights'!$K$63)+(J138*'Pawn Weights'!$K$64)+(K138*'Pawn Weights'!$K$65)+(L138*'Pawn Weights'!$K$66)+(M138*'Pawn Weights'!$K$67)+(N138*'Pawn Weights'!$K$68)+(O138*'Pawn Weights'!$K$69)+(P138*'Pawn Weights'!$K$70)+(Q138*'Pawn Weights'!$K$71), 2)</f>
        <v>172.37</v>
      </c>
      <c r="E138" s="280">
        <v>13.0</v>
      </c>
      <c r="F138" s="280"/>
      <c r="G138" s="280">
        <v>33.0</v>
      </c>
      <c r="H138" s="280">
        <v>66.0</v>
      </c>
      <c r="I138" s="280"/>
      <c r="J138" s="280"/>
      <c r="K138" s="280"/>
      <c r="L138" s="280"/>
      <c r="M138" s="281"/>
      <c r="N138" s="280"/>
      <c r="O138" s="280"/>
      <c r="P138" s="280"/>
      <c r="Q138" s="280">
        <v>2.0</v>
      </c>
      <c r="R138" s="290" t="s">
        <v>809</v>
      </c>
      <c r="S138" s="281"/>
      <c r="T138" s="291"/>
      <c r="U138" s="281"/>
      <c r="V138" s="281"/>
      <c r="W138" s="281"/>
    </row>
    <row r="139">
      <c r="A139" s="295" t="s">
        <v>627</v>
      </c>
      <c r="B139" s="296" t="s">
        <v>897</v>
      </c>
      <c r="C139" s="297" t="s">
        <v>898</v>
      </c>
      <c r="D139" s="367">
        <f>ROUND((F139*'Pawn Weights'!$K$60)+(G139*'Pawn Weights'!$K$61)+(H139*'Pawn Weights'!$K$62)+(I139*'Pawn Weights'!$K$63)+(J139*'Pawn Weights'!$K$64)+(K139*'Pawn Weights'!$K$65)+(L139*'Pawn Weights'!$K$66)+(M139*'Pawn Weights'!$K$67)+(N139*'Pawn Weights'!$K$68)+(O139*'Pawn Weights'!$K$69)+(P139*'Pawn Weights'!$K$70)+(Q139*'Pawn Weights'!$K$71), 2)</f>
        <v>169.48</v>
      </c>
      <c r="E139" s="298">
        <v>34.0</v>
      </c>
      <c r="F139" s="297"/>
      <c r="G139" s="297"/>
      <c r="H139" s="298">
        <v>66.0</v>
      </c>
      <c r="I139" s="298">
        <v>32.0</v>
      </c>
      <c r="J139" s="298">
        <v>23.0</v>
      </c>
      <c r="K139" s="297"/>
      <c r="L139" s="297"/>
      <c r="M139" s="137"/>
      <c r="N139" s="297"/>
      <c r="O139" s="297"/>
      <c r="P139" s="297"/>
      <c r="Q139" s="297"/>
      <c r="R139" s="295"/>
      <c r="S139" s="137"/>
      <c r="T139" s="295"/>
      <c r="U139" s="137"/>
      <c r="V139" s="137"/>
      <c r="W139" s="137"/>
      <c r="X139" s="137"/>
      <c r="Y139" s="137"/>
      <c r="Z139" s="137"/>
    </row>
    <row r="140">
      <c r="A140" s="309"/>
      <c r="B140" s="288" t="s">
        <v>1103</v>
      </c>
      <c r="C140" s="280" t="s">
        <v>1104</v>
      </c>
      <c r="D140" s="289">
        <f>ROUND((F140*'Pawn Weights'!$K$60)+(G140*'Pawn Weights'!$K$61)+(H140*'Pawn Weights'!$K$62)+(I140*'Pawn Weights'!$K$63)+(J140*'Pawn Weights'!$K$64)+(K140*'Pawn Weights'!$K$65)+(L140*'Pawn Weights'!$K$66)+(M140*'Pawn Weights'!$K$67)+(N140*'Pawn Weights'!$K$68)+(O140*'Pawn Weights'!$K$69)+(P140*'Pawn Weights'!$K$70)+(Q140*'Pawn Weights'!$K$71), 2)</f>
        <v>166.21</v>
      </c>
      <c r="E140" s="280">
        <v>28.0</v>
      </c>
      <c r="F140" s="280"/>
      <c r="G140" s="280">
        <v>29.0</v>
      </c>
      <c r="H140" s="280">
        <v>44.0</v>
      </c>
      <c r="I140" s="280"/>
      <c r="J140" s="280">
        <v>13.0</v>
      </c>
      <c r="K140" s="280"/>
      <c r="L140" s="280"/>
      <c r="M140" s="281"/>
      <c r="N140" s="280"/>
      <c r="O140" s="280">
        <v>1.0</v>
      </c>
      <c r="P140" s="280">
        <v>1.0</v>
      </c>
      <c r="Q140" s="280"/>
      <c r="R140" s="290" t="s">
        <v>832</v>
      </c>
      <c r="S140" s="281"/>
      <c r="T140" s="291"/>
      <c r="U140" s="281"/>
      <c r="V140" s="281"/>
      <c r="W140" s="281"/>
    </row>
    <row r="141">
      <c r="A141" s="301" t="s">
        <v>627</v>
      </c>
      <c r="B141" s="311" t="s">
        <v>903</v>
      </c>
      <c r="C141" s="280" t="s">
        <v>904</v>
      </c>
      <c r="D141" s="289">
        <f>ROUND((F141*'Pawn Weights'!$K$60)+(G141*'Pawn Weights'!$K$61)+(H141*'Pawn Weights'!$K$62)+(I141*'Pawn Weights'!$K$63)+(J141*'Pawn Weights'!$K$64)+(K141*'Pawn Weights'!$K$65)+(L141*'Pawn Weights'!$K$66)+(M141*'Pawn Weights'!$K$67)+(N141*'Pawn Weights'!$K$68)+(O141*'Pawn Weights'!$K$69)+(P141*'Pawn Weights'!$K$70)+(Q141*'Pawn Weights'!$K$71), 2)</f>
        <v>157.98</v>
      </c>
      <c r="E141" s="280"/>
      <c r="F141" s="280"/>
      <c r="G141" s="280"/>
      <c r="H141" s="280">
        <v>36.0</v>
      </c>
      <c r="I141" s="280">
        <v>17.0</v>
      </c>
      <c r="J141" s="280">
        <v>25.0</v>
      </c>
      <c r="K141" s="280"/>
      <c r="L141" s="280"/>
      <c r="M141" s="281"/>
      <c r="N141" s="280"/>
      <c r="O141" s="280">
        <v>1.0</v>
      </c>
      <c r="P141" s="280">
        <v>1.0</v>
      </c>
      <c r="Q141" s="280"/>
      <c r="R141" s="290" t="s">
        <v>809</v>
      </c>
      <c r="S141" s="281"/>
      <c r="T141" s="291"/>
      <c r="U141" s="281"/>
      <c r="V141" s="281"/>
      <c r="W141" s="281"/>
    </row>
    <row r="142">
      <c r="A142" s="295" t="s">
        <v>671</v>
      </c>
      <c r="B142" s="317" t="s">
        <v>1351</v>
      </c>
      <c r="C142" s="297" t="s">
        <v>892</v>
      </c>
      <c r="D142" s="289">
        <f>ROUND((F142*'Pawn Weights'!$K$60)+(G142*'Pawn Weights'!$K$61)+(H142*'Pawn Weights'!$K$62)+(I142*'Pawn Weights'!$K$63)+(J142*'Pawn Weights'!$K$64)+(K142*'Pawn Weights'!$K$65)+(L142*'Pawn Weights'!$K$66)+(M142*'Pawn Weights'!$K$67)+(N142*'Pawn Weights'!$K$68)+(O142*'Pawn Weights'!$K$69)+(P142*'Pawn Weights'!$K$70)+(Q142*'Pawn Weights'!$K$71), 2)</f>
        <v>157.32</v>
      </c>
      <c r="E142" s="316">
        <v>55.0</v>
      </c>
      <c r="F142" s="316">
        <v>38.0</v>
      </c>
      <c r="G142" s="297"/>
      <c r="H142" s="297"/>
      <c r="I142" s="316">
        <v>38.0</v>
      </c>
      <c r="J142" s="297"/>
      <c r="K142" s="297"/>
      <c r="L142" s="297"/>
      <c r="M142" s="137"/>
      <c r="N142" s="297"/>
      <c r="O142" s="297"/>
      <c r="P142" s="297"/>
      <c r="Q142" s="297"/>
      <c r="R142" s="295"/>
      <c r="S142" s="137"/>
      <c r="T142" s="297" t="s">
        <v>850</v>
      </c>
      <c r="U142" s="137"/>
      <c r="V142" s="137"/>
      <c r="W142" s="137"/>
      <c r="X142" s="137"/>
      <c r="Y142" s="137"/>
      <c r="Z142" s="137"/>
    </row>
    <row r="143">
      <c r="A143" s="309"/>
      <c r="B143" s="288" t="s">
        <v>1241</v>
      </c>
      <c r="C143" s="280" t="s">
        <v>683</v>
      </c>
      <c r="D143" s="289">
        <f>ROUND((F143*'Pawn Weights'!$K$60)+(G143*'Pawn Weights'!$K$61)+(H143*'Pawn Weights'!$K$62)+(I143*'Pawn Weights'!$K$63)+(J143*'Pawn Weights'!$K$64)+(K143*'Pawn Weights'!$K$65)+(L143*'Pawn Weights'!$K$66)+(M143*'Pawn Weights'!$K$67)+(N143*'Pawn Weights'!$K$68)+(O143*'Pawn Weights'!$K$69)+(P143*'Pawn Weights'!$K$70)+(Q143*'Pawn Weights'!$K$71), 2)</f>
        <v>137.38</v>
      </c>
      <c r="E143" s="280">
        <v>41.0</v>
      </c>
      <c r="F143" s="280"/>
      <c r="G143" s="280">
        <v>42.0</v>
      </c>
      <c r="H143" s="280">
        <v>58.0</v>
      </c>
      <c r="I143" s="280"/>
      <c r="J143" s="280"/>
      <c r="K143" s="280"/>
      <c r="L143" s="280"/>
      <c r="M143" s="281"/>
      <c r="N143" s="280"/>
      <c r="O143" s="280"/>
      <c r="P143" s="280"/>
      <c r="Q143" s="280"/>
      <c r="R143" s="290"/>
      <c r="S143" s="281"/>
      <c r="T143" s="291"/>
      <c r="U143" s="281"/>
      <c r="V143" s="281"/>
      <c r="W143" s="281"/>
    </row>
    <row r="144">
      <c r="A144" s="224" t="s">
        <v>905</v>
      </c>
      <c r="B144" s="281"/>
      <c r="C144" s="281"/>
      <c r="D144" s="289"/>
      <c r="E144" s="281"/>
      <c r="F144" s="281"/>
      <c r="G144" s="281"/>
      <c r="H144" s="281"/>
      <c r="I144" s="281"/>
      <c r="J144" s="281"/>
      <c r="K144" s="281"/>
      <c r="L144" s="281"/>
      <c r="M144" s="281"/>
      <c r="N144" s="281"/>
      <c r="O144" s="281"/>
      <c r="P144" s="281"/>
      <c r="Q144" s="281"/>
      <c r="R144" s="282"/>
      <c r="S144" s="281"/>
      <c r="T144" s="285"/>
      <c r="U144" s="281"/>
      <c r="V144" s="281"/>
      <c r="W144" s="281"/>
    </row>
    <row r="145">
      <c r="A145" s="137"/>
      <c r="B145" s="296" t="s">
        <v>906</v>
      </c>
      <c r="C145" s="297" t="s">
        <v>669</v>
      </c>
      <c r="D145" s="289">
        <f>ROUND((F145*'Pawn Weights'!$K$60)+(G145*'Pawn Weights'!$K$61)+(H145*'Pawn Weights'!$K$62)+(I145*'Pawn Weights'!$K$63)+(J145*'Pawn Weights'!$K$64)+(K145*'Pawn Weights'!$K$65)+(L145*'Pawn Weights'!$K$66)+(M145*'Pawn Weights'!$K$67)+(N145*'Pawn Weights'!$K$68)+(O145*'Pawn Weights'!$K$69)+(P145*'Pawn Weights'!$K$70)+(Q145*'Pawn Weights'!$K$71), 2)</f>
        <v>194.09</v>
      </c>
      <c r="E145" s="298">
        <v>30.0</v>
      </c>
      <c r="F145" s="297"/>
      <c r="G145" s="297"/>
      <c r="H145" s="298">
        <v>66.0</v>
      </c>
      <c r="I145" s="298">
        <v>32.0</v>
      </c>
      <c r="J145" s="297"/>
      <c r="K145" s="297"/>
      <c r="L145" s="297"/>
      <c r="M145" s="298">
        <v>161.0</v>
      </c>
      <c r="N145" s="297"/>
      <c r="O145" s="297"/>
      <c r="P145" s="297"/>
      <c r="Q145" s="297"/>
      <c r="R145" s="295"/>
      <c r="S145" s="137"/>
      <c r="T145" s="295"/>
      <c r="U145" s="137"/>
      <c r="V145" s="137"/>
      <c r="W145" s="137"/>
      <c r="X145" s="137"/>
      <c r="Y145" s="137"/>
      <c r="Z145" s="137"/>
    </row>
    <row r="146">
      <c r="A146" s="281"/>
      <c r="B146" s="288" t="s">
        <v>907</v>
      </c>
      <c r="C146" s="280" t="s">
        <v>632</v>
      </c>
      <c r="D146" s="289">
        <f>ROUND((F146*'Pawn Weights'!$K$60)+(G146*'Pawn Weights'!$K$61)+(H146*'Pawn Weights'!$K$62)+(I146*'Pawn Weights'!$K$63)+(J146*'Pawn Weights'!$K$64)+(K146*'Pawn Weights'!$K$65)+(L146*'Pawn Weights'!$K$66)+(M146*'Pawn Weights'!$K$67)+(N146*'Pawn Weights'!$K$68)+(O146*'Pawn Weights'!$K$69)+(P146*'Pawn Weights'!$K$70)+(Q146*'Pawn Weights'!$K$71), 2)</f>
        <v>171.66</v>
      </c>
      <c r="E146" s="280">
        <v>33.0</v>
      </c>
      <c r="F146" s="280"/>
      <c r="G146" s="280"/>
      <c r="H146" s="280">
        <v>66.0</v>
      </c>
      <c r="I146" s="280"/>
      <c r="J146" s="280">
        <v>30.0</v>
      </c>
      <c r="K146" s="280"/>
      <c r="L146" s="280"/>
      <c r="M146" s="280">
        <v>126.0</v>
      </c>
      <c r="N146" s="280"/>
      <c r="O146" s="280"/>
      <c r="P146" s="280"/>
      <c r="Q146" s="280"/>
      <c r="R146" s="290"/>
      <c r="S146" s="281"/>
      <c r="T146" s="291"/>
      <c r="U146" s="281"/>
      <c r="V146" s="281"/>
      <c r="W146" s="281"/>
    </row>
    <row r="147">
      <c r="A147" s="137" t="s">
        <v>627</v>
      </c>
      <c r="B147" s="296" t="s">
        <v>910</v>
      </c>
      <c r="C147" s="297" t="s">
        <v>911</v>
      </c>
      <c r="D147" s="289">
        <f>ROUND((F147*'Pawn Weights'!$K$60)+(G147*'Pawn Weights'!$K$61)+(H147*'Pawn Weights'!$K$62)+(I147*'Pawn Weights'!$K$63)+(J147*'Pawn Weights'!$K$64)+(K147*'Pawn Weights'!$K$65)+(L147*'Pawn Weights'!$K$66)+(M147*'Pawn Weights'!$K$67)+(N147*'Pawn Weights'!$K$68)+(O147*'Pawn Weights'!$K$69)+(P147*'Pawn Weights'!$K$70)+(Q147*'Pawn Weights'!$K$71), 2)</f>
        <v>170.14</v>
      </c>
      <c r="E147" s="298">
        <v>42.0</v>
      </c>
      <c r="F147" s="297"/>
      <c r="G147" s="298">
        <v>30.0</v>
      </c>
      <c r="H147" s="298">
        <v>58.0</v>
      </c>
      <c r="I147" s="297"/>
      <c r="J147" s="297"/>
      <c r="K147" s="298">
        <v>28.0</v>
      </c>
      <c r="L147" s="297"/>
      <c r="M147" s="295"/>
      <c r="N147" s="297"/>
      <c r="O147" s="297"/>
      <c r="P147" s="297"/>
      <c r="Q147" s="297"/>
      <c r="R147" s="295"/>
      <c r="S147" s="137"/>
      <c r="T147" s="295"/>
      <c r="U147" s="137"/>
      <c r="V147" s="137"/>
      <c r="W147" s="137"/>
      <c r="X147" s="137"/>
      <c r="Y147" s="137"/>
      <c r="Z147" s="137"/>
    </row>
    <row r="148">
      <c r="A148" s="137"/>
      <c r="B148" s="296" t="s">
        <v>908</v>
      </c>
      <c r="C148" s="297" t="s">
        <v>909</v>
      </c>
      <c r="D148" s="289">
        <f>ROUND((F148*'Pawn Weights'!$K$60)+(G148*'Pawn Weights'!$K$61)+(H148*'Pawn Weights'!$K$62)+(I148*'Pawn Weights'!$K$63)+(J148*'Pawn Weights'!$K$64)+(K148*'Pawn Weights'!$K$65)+(L148*'Pawn Weights'!$K$66)+(M148*'Pawn Weights'!$K$67)+(N148*'Pawn Weights'!$K$68)+(O148*'Pawn Weights'!$K$69)+(P148*'Pawn Weights'!$K$70)+(Q148*'Pawn Weights'!$K$71), 2)</f>
        <v>164.47</v>
      </c>
      <c r="E148" s="298">
        <v>28.0</v>
      </c>
      <c r="F148" s="297"/>
      <c r="G148" s="298">
        <v>29.0</v>
      </c>
      <c r="H148" s="298">
        <v>58.0</v>
      </c>
      <c r="I148" s="297"/>
      <c r="J148" s="297"/>
      <c r="K148" s="297"/>
      <c r="L148" s="297"/>
      <c r="M148" s="298">
        <v>126.0</v>
      </c>
      <c r="N148" s="297"/>
      <c r="O148" s="297"/>
      <c r="P148" s="297"/>
      <c r="Q148" s="297"/>
      <c r="R148" s="295"/>
      <c r="S148" s="137"/>
      <c r="T148" s="295"/>
      <c r="U148" s="137"/>
      <c r="V148" s="137"/>
      <c r="W148" s="137"/>
      <c r="X148" s="137"/>
      <c r="Y148" s="137"/>
      <c r="Z148" s="137"/>
    </row>
    <row r="149">
      <c r="A149" s="281"/>
      <c r="B149" s="288" t="s">
        <v>912</v>
      </c>
      <c r="C149" s="280" t="s">
        <v>913</v>
      </c>
      <c r="D149" s="289">
        <f>ROUND((F149*'Pawn Weights'!$K$60)+(G149*'Pawn Weights'!$K$61)+(H149*'Pawn Weights'!$K$62)+(I149*'Pawn Weights'!$K$63)+(J149*'Pawn Weights'!$K$64)+(K149*'Pawn Weights'!$K$65)+(L149*'Pawn Weights'!$K$66)+(M149*'Pawn Weights'!$K$67)+(N149*'Pawn Weights'!$K$68)+(O149*'Pawn Weights'!$K$69)+(P149*'Pawn Weights'!$K$70)+(Q149*'Pawn Weights'!$K$71), 2)</f>
        <v>162.58</v>
      </c>
      <c r="E149" s="280">
        <v>30.0</v>
      </c>
      <c r="F149" s="280"/>
      <c r="G149" s="280">
        <v>28.0</v>
      </c>
      <c r="H149" s="280">
        <v>58.0</v>
      </c>
      <c r="I149" s="280"/>
      <c r="J149" s="280"/>
      <c r="K149" s="280"/>
      <c r="L149" s="280"/>
      <c r="M149" s="280">
        <v>126.0</v>
      </c>
      <c r="N149" s="280"/>
      <c r="O149" s="280"/>
      <c r="P149" s="280"/>
      <c r="Q149" s="280"/>
      <c r="R149" s="290"/>
      <c r="S149" s="281"/>
      <c r="T149" s="291"/>
      <c r="U149" s="281"/>
      <c r="V149" s="281"/>
      <c r="W149" s="281"/>
    </row>
    <row r="150">
      <c r="A150" s="281"/>
      <c r="B150" s="288" t="s">
        <v>917</v>
      </c>
      <c r="C150" s="280" t="s">
        <v>741</v>
      </c>
      <c r="D150" s="289">
        <f>ROUND((F150*'Pawn Weights'!$K$60)+(G150*'Pawn Weights'!$K$61)+(H150*'Pawn Weights'!$K$62)+(I150*'Pawn Weights'!$K$63)+(J150*'Pawn Weights'!$K$64)+(K150*'Pawn Weights'!$K$65)+(L150*'Pawn Weights'!$K$66)+(M150*'Pawn Weights'!$K$67)+(N150*'Pawn Weights'!$K$68)+(O150*'Pawn Weights'!$K$69)+(P150*'Pawn Weights'!$K$70)+(Q150*'Pawn Weights'!$K$71), 2)</f>
        <v>142.72</v>
      </c>
      <c r="E150" s="280">
        <v>27.0</v>
      </c>
      <c r="F150" s="280"/>
      <c r="G150" s="280"/>
      <c r="H150" s="280">
        <v>56.0</v>
      </c>
      <c r="I150" s="280">
        <v>28.0</v>
      </c>
      <c r="J150" s="280">
        <v>18.0</v>
      </c>
      <c r="K150" s="280"/>
      <c r="L150" s="280"/>
      <c r="M150" s="281"/>
      <c r="N150" s="280"/>
      <c r="O150" s="280"/>
      <c r="P150" s="280"/>
      <c r="Q150" s="280"/>
      <c r="R150" s="290"/>
      <c r="S150" s="281"/>
      <c r="T150" s="291"/>
      <c r="U150" s="281"/>
      <c r="V150" s="281"/>
      <c r="W150" s="281"/>
    </row>
    <row r="151">
      <c r="A151" s="281"/>
      <c r="B151" s="288" t="s">
        <v>918</v>
      </c>
      <c r="C151" s="280" t="s">
        <v>919</v>
      </c>
      <c r="D151" s="289">
        <f>ROUND((F151*'Pawn Weights'!$K$60)+(G151*'Pawn Weights'!$K$61)+(H151*'Pawn Weights'!$K$62)+(I151*'Pawn Weights'!$K$63)+(J151*'Pawn Weights'!$K$64)+(K151*'Pawn Weights'!$K$65)+(L151*'Pawn Weights'!$K$66)+(M151*'Pawn Weights'!$K$67)+(N151*'Pawn Weights'!$K$68)+(O151*'Pawn Weights'!$K$69)+(P151*'Pawn Weights'!$K$70)+(Q151*'Pawn Weights'!$K$71)+26.6, 2)</f>
        <v>141.41</v>
      </c>
      <c r="E151" s="280">
        <v>43.0</v>
      </c>
      <c r="F151" s="280"/>
      <c r="G151" s="280">
        <v>29.0</v>
      </c>
      <c r="H151" s="280">
        <v>60.0</v>
      </c>
      <c r="I151" s="280"/>
      <c r="J151" s="280"/>
      <c r="K151" s="280"/>
      <c r="L151" s="280"/>
      <c r="M151" s="281"/>
      <c r="N151" s="280"/>
      <c r="O151" s="280"/>
      <c r="P151" s="280"/>
      <c r="Q151" s="280"/>
      <c r="R151" s="290"/>
      <c r="S151" s="281"/>
      <c r="T151" s="291" t="s">
        <v>920</v>
      </c>
      <c r="U151" s="281"/>
      <c r="V151" s="281"/>
      <c r="W151" s="281"/>
    </row>
    <row r="152">
      <c r="A152" s="281"/>
      <c r="B152" s="288" t="s">
        <v>914</v>
      </c>
      <c r="C152" s="280" t="s">
        <v>857</v>
      </c>
      <c r="D152" s="289">
        <f>ROUND((F152*'Pawn Weights'!$K$60)+(G152*'Pawn Weights'!$K$61)+(H152*'Pawn Weights'!$K$62)+(I152*'Pawn Weights'!$K$63)+(J152*'Pawn Weights'!$K$64)+(K152*'Pawn Weights'!$K$65)+(L152*'Pawn Weights'!$K$66)+(M152*'Pawn Weights'!$K$67)+(N152*'Pawn Weights'!$K$68)+(O152*'Pawn Weights'!$K$69)+(P152*'Pawn Weights'!$K$70)+(Q152*'Pawn Weights'!$K$71), 2)</f>
        <v>137.4</v>
      </c>
      <c r="E152" s="280">
        <v>28.0</v>
      </c>
      <c r="F152" s="280">
        <v>36.0</v>
      </c>
      <c r="G152" s="280"/>
      <c r="H152" s="280"/>
      <c r="I152" s="280">
        <v>30.0</v>
      </c>
      <c r="J152" s="280"/>
      <c r="K152" s="280"/>
      <c r="L152" s="280"/>
      <c r="M152" s="281"/>
      <c r="N152" s="280"/>
      <c r="O152" s="280"/>
      <c r="P152" s="280"/>
      <c r="Q152" s="280"/>
      <c r="R152" s="290"/>
      <c r="S152" s="281"/>
      <c r="T152" s="291"/>
      <c r="U152" s="281"/>
      <c r="V152" s="281"/>
      <c r="W152" s="281"/>
    </row>
    <row r="153">
      <c r="A153" s="137" t="s">
        <v>671</v>
      </c>
      <c r="B153" s="296" t="s">
        <v>915</v>
      </c>
      <c r="C153" s="297" t="s">
        <v>916</v>
      </c>
      <c r="D153" s="289">
        <f>ROUND((F153*'Pawn Weights'!$K$60)+(G153*'Pawn Weights'!$K$61)+(H153*'Pawn Weights'!$K$62)+(I153*'Pawn Weights'!$K$63)+(J153*'Pawn Weights'!$K$64)+(K153*'Pawn Weights'!$K$65)+(L153*'Pawn Weights'!$K$66)+(M153*'Pawn Weights'!$K$67)+(N153*'Pawn Weights'!$K$68)+(O153*'Pawn Weights'!$K$69)+(P153*'Pawn Weights'!$K$70)+(Q153*'Pawn Weights'!$K$71), 2)</f>
        <v>133.16</v>
      </c>
      <c r="E153" s="298">
        <v>38.0</v>
      </c>
      <c r="F153" s="297"/>
      <c r="G153" s="297"/>
      <c r="H153" s="298">
        <v>52.0</v>
      </c>
      <c r="I153" s="298">
        <v>30.0</v>
      </c>
      <c r="J153" s="297"/>
      <c r="K153" s="297"/>
      <c r="L153" s="297"/>
      <c r="M153" s="298">
        <v>56.0</v>
      </c>
      <c r="N153" s="297"/>
      <c r="O153" s="297"/>
      <c r="P153" s="297"/>
      <c r="Q153" s="297"/>
      <c r="R153" s="295"/>
      <c r="S153" s="137"/>
      <c r="T153" s="297" t="s">
        <v>861</v>
      </c>
      <c r="U153" s="137"/>
      <c r="V153" s="137"/>
      <c r="W153" s="137"/>
      <c r="X153" s="137"/>
      <c r="Y153" s="137"/>
      <c r="Z153" s="137"/>
    </row>
    <row r="154">
      <c r="A154" s="281"/>
      <c r="B154" s="288" t="s">
        <v>926</v>
      </c>
      <c r="C154" s="280" t="s">
        <v>723</v>
      </c>
      <c r="D154" s="289">
        <f>ROUND((F154*'Pawn Weights'!$K$60)+(G154*'Pawn Weights'!$K$61)+(H154*'Pawn Weights'!$K$62)+(I154*'Pawn Weights'!$K$63)+(J154*'Pawn Weights'!$K$64)+(K154*'Pawn Weights'!$K$65)+(L154*'Pawn Weights'!$K$66)+(M154*'Pawn Weights'!$K$67)+(N154*'Pawn Weights'!$K$68)+(O154*'Pawn Weights'!$K$69)+(P154*'Pawn Weights'!$K$70)+(Q154*'Pawn Weights'!$K$71), 2)</f>
        <v>131.89</v>
      </c>
      <c r="E154" s="280">
        <v>42.0</v>
      </c>
      <c r="F154" s="280"/>
      <c r="G154" s="280">
        <v>21.0</v>
      </c>
      <c r="H154" s="280">
        <v>58.0</v>
      </c>
      <c r="I154" s="280"/>
      <c r="J154" s="280">
        <v>19.0</v>
      </c>
      <c r="K154" s="280"/>
      <c r="L154" s="280"/>
      <c r="M154" s="281"/>
      <c r="N154" s="280"/>
      <c r="O154" s="280"/>
      <c r="P154" s="280"/>
      <c r="Q154" s="280"/>
      <c r="R154" s="290"/>
      <c r="S154" s="281"/>
      <c r="T154" s="291"/>
      <c r="U154" s="281"/>
      <c r="V154" s="281"/>
      <c r="W154" s="281"/>
    </row>
    <row r="155">
      <c r="A155" s="281"/>
      <c r="B155" s="288" t="s">
        <v>927</v>
      </c>
      <c r="C155" s="280" t="s">
        <v>710</v>
      </c>
      <c r="D155" s="289">
        <f>ROUND((F155*'Pawn Weights'!$K$60)+(G155*'Pawn Weights'!$K$61)+(H155*'Pawn Weights'!$K$62)+(I155*'Pawn Weights'!$K$63)+(J155*'Pawn Weights'!$K$64)+(K155*'Pawn Weights'!$K$65)+(L155*'Pawn Weights'!$K$66)+(M155*'Pawn Weights'!$K$67)+(N155*'Pawn Weights'!$K$68)+(O155*'Pawn Weights'!$K$69)+(P155*'Pawn Weights'!$K$70)+(Q155*'Pawn Weights'!$K$71), 2)</f>
        <v>129.56</v>
      </c>
      <c r="E155" s="280">
        <v>19.0</v>
      </c>
      <c r="F155" s="280"/>
      <c r="G155" s="280">
        <v>24.0</v>
      </c>
      <c r="H155" s="280">
        <v>50.0</v>
      </c>
      <c r="I155" s="280"/>
      <c r="J155" s="280">
        <v>19.0</v>
      </c>
      <c r="K155" s="280"/>
      <c r="L155" s="280"/>
      <c r="M155" s="281"/>
      <c r="N155" s="280"/>
      <c r="O155" s="280"/>
      <c r="P155" s="280"/>
      <c r="Q155" s="280"/>
      <c r="R155" s="290"/>
      <c r="S155" s="281"/>
      <c r="T155" s="291"/>
      <c r="U155" s="281"/>
      <c r="V155" s="281"/>
      <c r="W155" s="281"/>
    </row>
    <row r="156">
      <c r="A156" s="281"/>
      <c r="B156" s="288" t="s">
        <v>921</v>
      </c>
      <c r="C156" s="280" t="s">
        <v>821</v>
      </c>
      <c r="D156" s="289">
        <f>ROUND((F156*'Pawn Weights'!$K$60)+(G156*'Pawn Weights'!$K$61)+(H156*'Pawn Weights'!$K$62)+(I156*'Pawn Weights'!$K$63)+(J156*'Pawn Weights'!$K$64)+(K156*'Pawn Weights'!$K$65)+(L156*'Pawn Weights'!$K$66)+(M156*'Pawn Weights'!$K$67)+(N156*'Pawn Weights'!$K$68)+(O156*'Pawn Weights'!$K$69)+(P156*'Pawn Weights'!$K$70)+(Q156*'Pawn Weights'!$K$71), 2)</f>
        <v>127.38</v>
      </c>
      <c r="E156" s="280"/>
      <c r="F156" s="280"/>
      <c r="G156" s="280"/>
      <c r="H156" s="280">
        <v>66.0</v>
      </c>
      <c r="I156" s="280"/>
      <c r="J156" s="280"/>
      <c r="K156" s="280">
        <v>31.0</v>
      </c>
      <c r="L156" s="280"/>
      <c r="M156" s="281"/>
      <c r="N156" s="280"/>
      <c r="O156" s="280"/>
      <c r="P156" s="280"/>
      <c r="Q156" s="280"/>
      <c r="R156" s="290"/>
      <c r="S156" s="281"/>
      <c r="T156" s="291"/>
      <c r="U156" s="281"/>
      <c r="V156" s="281"/>
      <c r="W156" s="281"/>
    </row>
    <row r="157">
      <c r="A157" s="281"/>
      <c r="B157" s="288" t="s">
        <v>922</v>
      </c>
      <c r="C157" s="280" t="s">
        <v>708</v>
      </c>
      <c r="D157" s="289">
        <f>ROUND((F157*'Pawn Weights'!$K$60)+(G157*'Pawn Weights'!$K$61)+(H157*'Pawn Weights'!$K$62)+(I157*'Pawn Weights'!$K$63)+(J157*'Pawn Weights'!$K$64)+(K157*'Pawn Weights'!$K$65)+(L157*'Pawn Weights'!$K$66)+(M157*'Pawn Weights'!$K$67)+(N157*'Pawn Weights'!$K$68)+(O157*'Pawn Weights'!$K$69)+(P157*'Pawn Weights'!$K$70)+(Q157*'Pawn Weights'!$K$71), 2)</f>
        <v>125.86</v>
      </c>
      <c r="E157" s="280"/>
      <c r="F157" s="280"/>
      <c r="G157" s="280"/>
      <c r="H157" s="280">
        <v>62.0</v>
      </c>
      <c r="I157" s="280">
        <v>19.0</v>
      </c>
      <c r="J157" s="280">
        <v>15.0</v>
      </c>
      <c r="K157" s="280"/>
      <c r="L157" s="280"/>
      <c r="M157" s="281"/>
      <c r="N157" s="280"/>
      <c r="O157" s="280"/>
      <c r="P157" s="280"/>
      <c r="Q157" s="280"/>
      <c r="R157" s="290"/>
      <c r="S157" s="281"/>
      <c r="T157" s="291"/>
      <c r="U157" s="281"/>
      <c r="V157" s="281"/>
      <c r="W157" s="281"/>
    </row>
    <row r="158">
      <c r="A158" s="281"/>
      <c r="B158" s="288" t="s">
        <v>923</v>
      </c>
      <c r="C158" s="280" t="s">
        <v>656</v>
      </c>
      <c r="D158" s="289">
        <f>ROUND((F158*'Pawn Weights'!$K$60)+(G158*'Pawn Weights'!$K$61)+(H158*'Pawn Weights'!$K$62)+(I158*'Pawn Weights'!$K$63)+(J158*'Pawn Weights'!$K$64)+(K158*'Pawn Weights'!$K$65)+(L158*'Pawn Weights'!$K$66)+(M158*'Pawn Weights'!$K$67)+(N158*'Pawn Weights'!$K$68)+(O158*'Pawn Weights'!$K$69)+(P158*'Pawn Weights'!$K$70)+(Q158*'Pawn Weights'!$K$71), 2)</f>
        <v>122.82</v>
      </c>
      <c r="E158" s="280">
        <v>21.0</v>
      </c>
      <c r="F158" s="280"/>
      <c r="G158" s="280"/>
      <c r="H158" s="280">
        <v>44.0</v>
      </c>
      <c r="I158" s="280">
        <v>23.0</v>
      </c>
      <c r="J158" s="280">
        <v>19.0</v>
      </c>
      <c r="K158" s="280"/>
      <c r="L158" s="280"/>
      <c r="M158" s="281"/>
      <c r="N158" s="280"/>
      <c r="O158" s="280"/>
      <c r="P158" s="280"/>
      <c r="Q158" s="280"/>
      <c r="R158" s="290"/>
      <c r="S158" s="281"/>
      <c r="T158" s="291"/>
      <c r="U158" s="281"/>
      <c r="V158" s="281"/>
      <c r="W158" s="281"/>
    </row>
    <row r="159">
      <c r="A159" s="137"/>
      <c r="B159" s="296" t="s">
        <v>1244</v>
      </c>
      <c r="C159" s="297" t="s">
        <v>1245</v>
      </c>
      <c r="D159" s="367">
        <f>ROUND((F159*'Pawn Weights'!$K$60)+(G159*'Pawn Weights'!$K$61)+(H159*'Pawn Weights'!$K$62)+(I159*'Pawn Weights'!$K$63)+(J159*'Pawn Weights'!$K$64)+(K159*'Pawn Weights'!$K$65)+(L159*'Pawn Weights'!$K$66)+(M159*'Pawn Weights'!$K$67)+(N159*'Pawn Weights'!$K$68)+(O159*'Pawn Weights'!$K$69)+(P159*'Pawn Weights'!$K$70)+(Q159*'Pawn Weights'!$K$71), 2)</f>
        <v>117.85</v>
      </c>
      <c r="E159" s="298">
        <v>18.0</v>
      </c>
      <c r="F159" s="297"/>
      <c r="G159" s="298">
        <v>25.0</v>
      </c>
      <c r="H159" s="297"/>
      <c r="I159" s="297"/>
      <c r="J159" s="297"/>
      <c r="K159" s="297"/>
      <c r="L159" s="298">
        <v>20.0</v>
      </c>
      <c r="M159" s="137"/>
      <c r="N159" s="297"/>
      <c r="O159" s="297"/>
      <c r="P159" s="297"/>
      <c r="Q159" s="297"/>
      <c r="R159" s="295"/>
      <c r="S159" s="137"/>
      <c r="T159" s="297" t="s">
        <v>1246</v>
      </c>
      <c r="U159" s="137"/>
      <c r="V159" s="137"/>
      <c r="W159" s="137"/>
      <c r="X159" s="137"/>
      <c r="Y159" s="137"/>
      <c r="Z159" s="137"/>
    </row>
    <row r="160">
      <c r="A160" s="281"/>
      <c r="B160" s="288" t="s">
        <v>1111</v>
      </c>
      <c r="C160" s="280" t="s">
        <v>1112</v>
      </c>
      <c r="D160" s="289">
        <f>ROUND((F160*'Pawn Weights'!$K$60)+(G160*'Pawn Weights'!$K$61)+(H160*'Pawn Weights'!$K$62)+(I160*'Pawn Weights'!$K$63)+(J160*'Pawn Weights'!$K$64)+(K160*'Pawn Weights'!$K$65)+(L160*'Pawn Weights'!$K$66)+(M160*'Pawn Weights'!$K$67)+(N160*'Pawn Weights'!$K$68)+(O160*'Pawn Weights'!$K$69)+(P160*'Pawn Weights'!$K$70)+(Q160*'Pawn Weights'!$K$71), 2)</f>
        <v>113</v>
      </c>
      <c r="E160" s="280"/>
      <c r="F160" s="280"/>
      <c r="G160" s="280"/>
      <c r="H160" s="280">
        <v>40.0</v>
      </c>
      <c r="I160" s="280">
        <v>20.0</v>
      </c>
      <c r="J160" s="280">
        <v>19.0</v>
      </c>
      <c r="K160" s="280"/>
      <c r="L160" s="280"/>
      <c r="M160" s="281"/>
      <c r="N160" s="280"/>
      <c r="O160" s="280"/>
      <c r="P160" s="280"/>
      <c r="Q160" s="280"/>
      <c r="R160" s="290"/>
      <c r="S160" s="281"/>
      <c r="T160" s="291"/>
      <c r="U160" s="281"/>
      <c r="V160" s="281"/>
      <c r="W160" s="281"/>
    </row>
    <row r="161">
      <c r="A161" s="137"/>
      <c r="B161" s="296" t="s">
        <v>924</v>
      </c>
      <c r="C161" s="297" t="s">
        <v>744</v>
      </c>
      <c r="D161" s="289">
        <f>ROUND((F161*'Pawn Weights'!$K$60)+(G161*'Pawn Weights'!$K$61)+(H161*'Pawn Weights'!$K$62)+(I161*'Pawn Weights'!$K$63)+(J161*'Pawn Weights'!$K$64)+(K161*'Pawn Weights'!$K$65)+(L161*'Pawn Weights'!$K$66)+(M161*'Pawn Weights'!$K$67)+(N161*'Pawn Weights'!$K$68)+(O161*'Pawn Weights'!$K$69)+(P161*'Pawn Weights'!$K$70)+(Q161*'Pawn Weights'!$K$71), 2)</f>
        <v>112.32</v>
      </c>
      <c r="E161" s="298">
        <v>30.0</v>
      </c>
      <c r="F161" s="297"/>
      <c r="G161" s="297"/>
      <c r="H161" s="298">
        <v>58.0</v>
      </c>
      <c r="I161" s="298">
        <v>28.0</v>
      </c>
      <c r="J161" s="297"/>
      <c r="K161" s="297"/>
      <c r="L161" s="297"/>
      <c r="M161" s="137"/>
      <c r="N161" s="297"/>
      <c r="O161" s="297"/>
      <c r="P161" s="297"/>
      <c r="Q161" s="297"/>
      <c r="R161" s="295"/>
      <c r="S161" s="137"/>
      <c r="T161" s="297" t="s">
        <v>925</v>
      </c>
      <c r="U161" s="137"/>
      <c r="V161" s="137"/>
      <c r="W161" s="137"/>
      <c r="X161" s="137"/>
      <c r="Y161" s="137"/>
      <c r="Z161" s="137"/>
    </row>
    <row r="162">
      <c r="A162" s="224" t="s">
        <v>928</v>
      </c>
      <c r="B162" s="401" t="s">
        <v>929</v>
      </c>
      <c r="C162" s="281"/>
      <c r="D162" s="289"/>
      <c r="E162" s="313" t="s">
        <v>607</v>
      </c>
      <c r="F162" s="314" t="s">
        <v>608</v>
      </c>
      <c r="G162" s="314" t="s">
        <v>561</v>
      </c>
      <c r="H162" s="314" t="s">
        <v>930</v>
      </c>
      <c r="I162" s="314" t="s">
        <v>330</v>
      </c>
      <c r="J162" s="314" t="s">
        <v>344</v>
      </c>
      <c r="K162" s="314" t="s">
        <v>356</v>
      </c>
      <c r="L162" s="314" t="s">
        <v>563</v>
      </c>
      <c r="M162" s="314" t="s">
        <v>564</v>
      </c>
      <c r="N162" s="281"/>
      <c r="O162" s="281"/>
      <c r="P162" s="281"/>
      <c r="Q162" s="281"/>
      <c r="R162" s="282"/>
      <c r="S162" s="281"/>
      <c r="T162" s="285"/>
      <c r="U162" s="281"/>
      <c r="V162" s="281"/>
      <c r="W162" s="281"/>
    </row>
    <row r="163">
      <c r="A163" s="137"/>
      <c r="B163" s="296" t="s">
        <v>938</v>
      </c>
      <c r="C163" s="297" t="s">
        <v>939</v>
      </c>
      <c r="D163" s="289">
        <f>ROUND((F163*'Pawn Weights'!$K$60)+(G163*'Pawn Weights'!$K$61)+(H163*'Pawn Weights'!$K$62)+(I163*'Pawn Weights'!$K$63)+(J163*'Pawn Weights'!$K$64)+(K163*'Pawn Weights'!$K$65)+(L163*'Pawn Weights'!$K$66)+(M163*'Pawn Weights'!$K$67)+(N163*'Pawn Weights'!$K$68)+(O163*'Pawn Weights'!$K$69)+(P163*'Pawn Weights'!$K$70)+(Q163*'Pawn Weights'!$K$71), 2)</f>
        <v>247.32</v>
      </c>
      <c r="E163" s="297"/>
      <c r="F163" s="297"/>
      <c r="G163" s="297"/>
      <c r="H163" s="298">
        <v>92.0</v>
      </c>
      <c r="I163" s="297"/>
      <c r="J163" s="297"/>
      <c r="K163" s="297"/>
      <c r="L163" s="298">
        <v>44.0</v>
      </c>
      <c r="M163" s="137"/>
      <c r="N163" s="297"/>
      <c r="O163" s="297"/>
      <c r="P163" s="297"/>
      <c r="Q163" s="297"/>
      <c r="R163" s="295"/>
      <c r="S163" s="137"/>
      <c r="T163" s="297" t="s">
        <v>940</v>
      </c>
      <c r="U163" s="137"/>
      <c r="V163" s="137"/>
      <c r="W163" s="137"/>
      <c r="X163" s="137"/>
      <c r="Y163" s="137"/>
      <c r="Z163" s="137"/>
    </row>
    <row r="164">
      <c r="A164" s="281"/>
      <c r="B164" s="288" t="s">
        <v>936</v>
      </c>
      <c r="C164" s="280" t="s">
        <v>823</v>
      </c>
      <c r="D164" s="289">
        <f>ROUND((F164*'Pawn Weights'!$K$60)+(G164*'Pawn Weights'!$K$61)+(H164*'Pawn Weights'!$K$62)+(I164*'Pawn Weights'!$K$63)+(J164*'Pawn Weights'!$K$64)+(K164*'Pawn Weights'!$K$65)+(L164*'Pawn Weights'!$K$66)+(M164*'Pawn Weights'!$K$67)+(N164*'Pawn Weights'!$K$68)+(O164*'Pawn Weights'!$K$69)+(P164*'Pawn Weights'!$K$70)+(Q164*'Pawn Weights'!$K$71), 2)</f>
        <v>239.49</v>
      </c>
      <c r="E164" s="280"/>
      <c r="F164" s="280"/>
      <c r="G164" s="280"/>
      <c r="H164" s="280">
        <v>40.0</v>
      </c>
      <c r="I164" s="280"/>
      <c r="J164" s="280"/>
      <c r="K164" s="280">
        <v>100.75</v>
      </c>
      <c r="L164" s="280"/>
      <c r="M164" s="281"/>
      <c r="N164" s="280"/>
      <c r="O164" s="280"/>
      <c r="P164" s="280"/>
      <c r="Q164" s="280"/>
      <c r="R164" s="290"/>
      <c r="S164" s="281"/>
      <c r="T164" s="291" t="s">
        <v>1352</v>
      </c>
      <c r="U164" s="281"/>
      <c r="V164" s="281"/>
      <c r="W164" s="281"/>
    </row>
    <row r="165">
      <c r="A165" s="137"/>
      <c r="B165" s="296" t="s">
        <v>934</v>
      </c>
      <c r="C165" s="297" t="s">
        <v>744</v>
      </c>
      <c r="D165" s="289">
        <f>ROUND((F165*'Pawn Weights'!$K$60)+(G165*'Pawn Weights'!$K$61)+(H165*'Pawn Weights'!$K$62)+(I165*'Pawn Weights'!$K$63)+(J165*'Pawn Weights'!$K$64)+(K165*'Pawn Weights'!$K$65)+(L165*'Pawn Weights'!$K$66)+(M165*'Pawn Weights'!$K$67)+(N165*'Pawn Weights'!$K$68)+(O165*'Pawn Weights'!$K$69)+(P165*'Pawn Weights'!$K$70)+(Q165*'Pawn Weights'!$K$71), 2)</f>
        <v>238.92</v>
      </c>
      <c r="E165" s="297"/>
      <c r="F165" s="297"/>
      <c r="G165" s="297"/>
      <c r="H165" s="298">
        <v>132.0</v>
      </c>
      <c r="I165" s="297"/>
      <c r="J165" s="297"/>
      <c r="K165" s="298">
        <v>54.0</v>
      </c>
      <c r="L165" s="297"/>
      <c r="M165" s="361"/>
      <c r="N165" s="297"/>
      <c r="O165" s="297"/>
      <c r="P165" s="297"/>
      <c r="Q165" s="297"/>
      <c r="R165" s="295"/>
      <c r="S165" s="137"/>
      <c r="T165" s="297" t="s">
        <v>935</v>
      </c>
      <c r="U165" s="137"/>
      <c r="V165" s="137"/>
      <c r="W165" s="137"/>
      <c r="X165" s="137"/>
      <c r="Y165" s="137"/>
      <c r="Z165" s="137"/>
    </row>
    <row r="166">
      <c r="A166" s="137" t="s">
        <v>943</v>
      </c>
      <c r="B166" s="296" t="s">
        <v>944</v>
      </c>
      <c r="C166" s="297" t="s">
        <v>744</v>
      </c>
      <c r="D166" s="289">
        <f>ROUND((F166*'Pawn Weights'!$K$60)+(G166*'Pawn Weights'!$K$61)+(H166*'Pawn Weights'!$K$62)+(I166*'Pawn Weights'!$K$63)+(J166*'Pawn Weights'!$K$64)+(K166*'Pawn Weights'!$K$65)+(L166*'Pawn Weights'!$K$66)+(M166*'Pawn Weights'!$K$67)+(N166*'Pawn Weights'!$K$68)+(O166*'Pawn Weights'!$K$69)+(P166*'Pawn Weights'!$K$70)+(Q166*'Pawn Weights'!$K$71), 2)</f>
        <v>190.62</v>
      </c>
      <c r="E166" s="297"/>
      <c r="F166" s="297"/>
      <c r="G166" s="297"/>
      <c r="H166" s="297"/>
      <c r="I166" s="297"/>
      <c r="J166" s="297"/>
      <c r="K166" s="297"/>
      <c r="L166" s="298">
        <v>54.0</v>
      </c>
      <c r="M166" s="295"/>
      <c r="N166" s="297"/>
      <c r="O166" s="297"/>
      <c r="P166" s="297"/>
      <c r="Q166" s="297"/>
      <c r="R166" s="295"/>
      <c r="S166" s="137"/>
      <c r="T166" s="297" t="s">
        <v>945</v>
      </c>
      <c r="U166" s="137"/>
      <c r="V166" s="137"/>
      <c r="W166" s="137"/>
      <c r="X166" s="137"/>
      <c r="Y166" s="137"/>
      <c r="Z166" s="137"/>
    </row>
    <row r="167">
      <c r="A167" s="281"/>
      <c r="B167" s="288" t="s">
        <v>941</v>
      </c>
      <c r="C167" s="280" t="s">
        <v>639</v>
      </c>
      <c r="D167" s="289">
        <f>ROUND((F167*'Pawn Weights'!$K$60)+(G167*'Pawn Weights'!$K$61)+(H167*'Pawn Weights'!$K$62)+(I167*'Pawn Weights'!$K$63)+(J167*'Pawn Weights'!$K$64)+(K167*'Pawn Weights'!$K$65)+(L167*'Pawn Weights'!$K$66)+(M167*'Pawn Weights'!$K$67)+(N167*'Pawn Weights'!$K$68)+(O167*'Pawn Weights'!$K$69)+(P167*'Pawn Weights'!$K$70)+(Q167*'Pawn Weights'!$K$71), 2)</f>
        <v>181.5</v>
      </c>
      <c r="E167" s="280"/>
      <c r="F167" s="280"/>
      <c r="G167" s="280"/>
      <c r="H167" s="280">
        <v>84.0</v>
      </c>
      <c r="I167" s="280"/>
      <c r="J167" s="280">
        <v>20.0</v>
      </c>
      <c r="K167" s="280"/>
      <c r="L167" s="280"/>
      <c r="M167" s="280">
        <v>150.0</v>
      </c>
      <c r="N167" s="280"/>
      <c r="O167" s="280"/>
      <c r="P167" s="280"/>
      <c r="Q167" s="280"/>
      <c r="R167" s="290"/>
      <c r="S167" s="281"/>
      <c r="T167" s="291" t="s">
        <v>1353</v>
      </c>
      <c r="U167" s="281"/>
      <c r="V167" s="281"/>
      <c r="W167" s="281"/>
    </row>
    <row r="168">
      <c r="A168" s="281"/>
      <c r="B168" s="288" t="s">
        <v>946</v>
      </c>
      <c r="C168" s="280" t="s">
        <v>947</v>
      </c>
      <c r="D168" s="289">
        <f>ROUND((F168*'Pawn Weights'!$K$60)+(G168*'Pawn Weights'!$K$61)+(H168*'Pawn Weights'!$K$62)+(I168*'Pawn Weights'!$K$63)+(J168*'Pawn Weights'!$K$64)+(K168*'Pawn Weights'!$K$65)+(L168*'Pawn Weights'!$K$66)+(M168*'Pawn Weights'!$K$67)+(N168*'Pawn Weights'!$K$68)+(O168*'Pawn Weights'!$K$69)+(P168*'Pawn Weights'!$K$70)+(Q168*'Pawn Weights'!$K$71), 2)</f>
        <v>150</v>
      </c>
      <c r="E168" s="280"/>
      <c r="F168" s="280"/>
      <c r="G168" s="280"/>
      <c r="H168" s="280">
        <v>150.0</v>
      </c>
      <c r="I168" s="280"/>
      <c r="J168" s="280"/>
      <c r="K168" s="280"/>
      <c r="L168" s="280"/>
      <c r="M168" s="281"/>
      <c r="N168" s="280"/>
      <c r="O168" s="280"/>
      <c r="P168" s="280"/>
      <c r="Q168" s="280"/>
      <c r="R168" s="290"/>
      <c r="S168" s="281"/>
      <c r="T168" s="291" t="s">
        <v>948</v>
      </c>
      <c r="U168" s="281"/>
      <c r="V168" s="281"/>
      <c r="W168" s="281"/>
    </row>
    <row r="169">
      <c r="A169" s="292" t="s">
        <v>949</v>
      </c>
      <c r="B169" s="288" t="s">
        <v>950</v>
      </c>
      <c r="C169" s="280" t="s">
        <v>951</v>
      </c>
      <c r="D169" s="289">
        <f>ROUND((F169*'Pawn Weights'!$K$60)+(G169*'Pawn Weights'!$K$61)+(H169*'Pawn Weights'!$K$62)+(I169*'Pawn Weights'!$K$63)+(J169*'Pawn Weights'!$K$64)+(K169*'Pawn Weights'!$K$65)+(L169*'Pawn Weights'!$K$66)+(M169*'Pawn Weights'!$K$67)+(N169*'Pawn Weights'!$K$68)+(O169*'Pawn Weights'!$K$69)+(P169*'Pawn Weights'!$K$70)+(Q169*'Pawn Weights'!$K$71), 2)</f>
        <v>150</v>
      </c>
      <c r="E169" s="280"/>
      <c r="F169" s="280"/>
      <c r="G169" s="280"/>
      <c r="H169" s="280">
        <v>150.0</v>
      </c>
      <c r="I169" s="280"/>
      <c r="J169" s="280"/>
      <c r="K169" s="280"/>
      <c r="L169" s="280"/>
      <c r="M169" s="281"/>
      <c r="N169" s="280"/>
      <c r="O169" s="280"/>
      <c r="P169" s="280"/>
      <c r="Q169" s="280"/>
      <c r="R169" s="290"/>
      <c r="S169" s="281"/>
      <c r="T169" s="291" t="s">
        <v>952</v>
      </c>
      <c r="U169" s="281"/>
      <c r="V169" s="281"/>
      <c r="W169" s="281"/>
    </row>
    <row r="170">
      <c r="A170" s="292"/>
      <c r="B170" s="288" t="s">
        <v>1354</v>
      </c>
      <c r="C170" s="280" t="s">
        <v>1355</v>
      </c>
      <c r="D170" s="289">
        <f>ROUND((F170*'Pawn Weights'!$K$60)+(G170*'Pawn Weights'!$K$61)+(H170*'Pawn Weights'!$K$62)+(I170*'Pawn Weights'!$K$63)+(J170*'Pawn Weights'!$K$64)+(K170*'Pawn Weights'!$K$65)+(L170*'Pawn Weights'!$K$66)+(M170*'Pawn Weights'!$K$67)+(N170*'Pawn Weights'!$K$68)+(O170*'Pawn Weights'!$K$69)+(P170*'Pawn Weights'!$K$70)+(Q170*'Pawn Weights'!$K$71), 2)</f>
        <v>137.5</v>
      </c>
      <c r="E170" s="280"/>
      <c r="F170" s="280"/>
      <c r="G170" s="280"/>
      <c r="H170" s="280">
        <v>137.5</v>
      </c>
      <c r="I170" s="280"/>
      <c r="J170" s="280"/>
      <c r="K170" s="280"/>
      <c r="L170" s="280"/>
      <c r="M170" s="281"/>
      <c r="N170" s="280"/>
      <c r="O170" s="280"/>
      <c r="P170" s="280"/>
      <c r="Q170" s="280"/>
      <c r="R170" s="290"/>
      <c r="S170" s="281"/>
      <c r="T170" s="291" t="s">
        <v>1356</v>
      </c>
      <c r="U170" s="281"/>
      <c r="V170" s="281"/>
      <c r="W170" s="281"/>
    </row>
    <row r="171">
      <c r="A171" s="281"/>
      <c r="B171" s="288" t="s">
        <v>956</v>
      </c>
      <c r="C171" s="280" t="s">
        <v>957</v>
      </c>
      <c r="D171" s="289">
        <f>ROUND((F171*'Pawn Weights'!$K$60)+(G171*'Pawn Weights'!$K$61)+(H171*'Pawn Weights'!$K$62)+(I171*'Pawn Weights'!$K$63)+(J171*'Pawn Weights'!$K$64)+(K171*'Pawn Weights'!$K$65)+(L171*'Pawn Weights'!$K$66)+(M171*'Pawn Weights'!$K$67)+(N171*'Pawn Weights'!$K$68)+(O171*'Pawn Weights'!$K$69)+(P171*'Pawn Weights'!$K$70)+(Q171*'Pawn Weights'!$K$71), 2)</f>
        <v>135.72</v>
      </c>
      <c r="E171" s="280"/>
      <c r="F171" s="280"/>
      <c r="G171" s="280"/>
      <c r="H171" s="280">
        <v>44.0</v>
      </c>
      <c r="I171" s="280">
        <v>38.0</v>
      </c>
      <c r="J171" s="280">
        <v>10.0</v>
      </c>
      <c r="K171" s="280"/>
      <c r="L171" s="280"/>
      <c r="M171" s="281"/>
      <c r="N171" s="280"/>
      <c r="O171" s="280"/>
      <c r="P171" s="280"/>
      <c r="Q171" s="280"/>
      <c r="R171" s="290"/>
      <c r="S171" s="281"/>
      <c r="T171" s="291" t="s">
        <v>958</v>
      </c>
      <c r="U171" s="281"/>
      <c r="V171" s="281"/>
      <c r="W171" s="281"/>
    </row>
    <row r="172">
      <c r="A172" s="219" t="s">
        <v>627</v>
      </c>
      <c r="B172" s="296" t="s">
        <v>953</v>
      </c>
      <c r="C172" s="297" t="s">
        <v>954</v>
      </c>
      <c r="D172" s="289">
        <f>ROUND((F172*'Pawn Weights'!$K$60)+(G172*'Pawn Weights'!$K$61)+(H172*'Pawn Weights'!$K$62)+(I172*'Pawn Weights'!$K$63)+(J172*'Pawn Weights'!$K$64)+(K172*'Pawn Weights'!$K$65)+(L172*'Pawn Weights'!$K$66)+(M172*'Pawn Weights'!$K$67)+(N172*'Pawn Weights'!$K$68)+(O172*'Pawn Weights'!$K$69)+(P172*'Pawn Weights'!$K$70)+(Q172*'Pawn Weights'!$K$71), 2)</f>
        <v>133.33</v>
      </c>
      <c r="E172" s="295"/>
      <c r="F172" s="295"/>
      <c r="G172" s="295"/>
      <c r="H172" s="298">
        <v>133.33</v>
      </c>
      <c r="I172" s="295"/>
      <c r="J172" s="295"/>
      <c r="K172" s="295"/>
      <c r="L172" s="295"/>
      <c r="M172" s="137"/>
      <c r="N172" s="295"/>
      <c r="O172" s="295"/>
      <c r="P172" s="295"/>
      <c r="Q172" s="295"/>
      <c r="R172" s="295"/>
      <c r="S172" s="137"/>
      <c r="T172" s="297" t="s">
        <v>955</v>
      </c>
      <c r="U172" s="137"/>
      <c r="V172" s="137"/>
      <c r="W172" s="137"/>
      <c r="X172" s="137"/>
      <c r="Y172" s="137"/>
      <c r="Z172" s="137"/>
    </row>
    <row r="173">
      <c r="A173" s="281"/>
      <c r="B173" s="288" t="s">
        <v>959</v>
      </c>
      <c r="C173" s="154" t="s">
        <v>960</v>
      </c>
      <c r="D173" s="289">
        <f>ROUND((F173*'Pawn Weights'!$K$60)+(G173*'Pawn Weights'!$K$61)+(H173*'Pawn Weights'!$K$62)+(I173*'Pawn Weights'!$K$63)+(J173*'Pawn Weights'!$K$64)+(K173*'Pawn Weights'!$K$65)+(L173*'Pawn Weights'!$K$66)+(M173*'Pawn Weights'!$K$67)+(N173*'Pawn Weights'!$K$68)+(O173*'Pawn Weights'!$K$69)+(P173*'Pawn Weights'!$K$70)+(Q173*'Pawn Weights'!$K$71), 2)</f>
        <v>120</v>
      </c>
      <c r="E173" s="280"/>
      <c r="F173" s="280"/>
      <c r="G173" s="280"/>
      <c r="H173" s="280">
        <v>120.0</v>
      </c>
      <c r="I173" s="280"/>
      <c r="J173" s="280"/>
      <c r="K173" s="280"/>
      <c r="L173" s="280"/>
      <c r="M173" s="280"/>
      <c r="N173" s="280"/>
      <c r="O173" s="280"/>
      <c r="P173" s="280"/>
      <c r="Q173" s="280"/>
      <c r="R173" s="290"/>
      <c r="S173" s="281"/>
      <c r="T173" s="291" t="s">
        <v>961</v>
      </c>
      <c r="U173" s="281"/>
      <c r="V173" s="281"/>
      <c r="W173" s="281"/>
      <c r="X173" s="281"/>
    </row>
    <row r="174">
      <c r="A174" s="281"/>
      <c r="B174" s="288" t="s">
        <v>962</v>
      </c>
      <c r="C174" s="280" t="s">
        <v>963</v>
      </c>
      <c r="D174" s="289">
        <f>ROUND((F174*'Pawn Weights'!$K$60)+(G174*'Pawn Weights'!$K$61)+(H174*'Pawn Weights'!$K$62)+(I174*'Pawn Weights'!$K$63)+(J174*'Pawn Weights'!$K$64)+(K174*'Pawn Weights'!$K$65)+(L174*'Pawn Weights'!$K$66)+(M174*'Pawn Weights'!$K$67)+(N174*'Pawn Weights'!$K$68)+(O174*'Pawn Weights'!$K$69)+(P174*'Pawn Weights'!$K$70)+(Q174*'Pawn Weights'!$K$71), 2)</f>
        <v>118</v>
      </c>
      <c r="E174" s="280"/>
      <c r="F174" s="280"/>
      <c r="G174" s="280"/>
      <c r="H174" s="280">
        <v>118.0</v>
      </c>
      <c r="I174" s="280"/>
      <c r="J174" s="280"/>
      <c r="K174" s="280"/>
      <c r="L174" s="280"/>
      <c r="M174" s="280"/>
      <c r="N174" s="280"/>
      <c r="O174" s="280"/>
      <c r="P174" s="280"/>
      <c r="Q174" s="280"/>
      <c r="R174" s="290"/>
      <c r="S174" s="281"/>
      <c r="T174" s="291" t="s">
        <v>964</v>
      </c>
      <c r="U174" s="281"/>
      <c r="V174" s="281"/>
      <c r="W174" s="281"/>
      <c r="X174" s="281"/>
    </row>
    <row r="175">
      <c r="A175" s="292" t="s">
        <v>965</v>
      </c>
      <c r="B175" s="288" t="s">
        <v>966</v>
      </c>
      <c r="C175" s="280" t="s">
        <v>967</v>
      </c>
      <c r="D175" s="289">
        <f>ROUND((F175*'Pawn Weights'!$K$60)+(G175*'Pawn Weights'!$K$61)+(H175*'Pawn Weights'!$K$62)+(I175*'Pawn Weights'!$K$63)+(J175*'Pawn Weights'!$K$64)+(K175*'Pawn Weights'!$K$65)+(L175*'Pawn Weights'!$K$66)+(M175*'Pawn Weights'!$K$67)+(N175*'Pawn Weights'!$K$68)+(O175*'Pawn Weights'!$K$69)+(P175*'Pawn Weights'!$K$70)+(Q175*'Pawn Weights'!$K$71), 2)</f>
        <v>107</v>
      </c>
      <c r="E175" s="280"/>
      <c r="F175" s="280"/>
      <c r="G175" s="280"/>
      <c r="H175" s="280">
        <v>107.0</v>
      </c>
      <c r="I175" s="280"/>
      <c r="J175" s="280"/>
      <c r="K175" s="280"/>
      <c r="L175" s="280"/>
      <c r="M175" s="281"/>
      <c r="N175" s="280"/>
      <c r="O175" s="280"/>
      <c r="P175" s="280"/>
      <c r="Q175" s="280"/>
      <c r="R175" s="290"/>
      <c r="S175" s="281"/>
      <c r="T175" s="291" t="s">
        <v>968</v>
      </c>
      <c r="U175" s="281"/>
      <c r="V175" s="281"/>
      <c r="W175" s="281"/>
    </row>
    <row r="176">
      <c r="A176" s="281"/>
      <c r="B176" s="311" t="s">
        <v>1357</v>
      </c>
      <c r="C176" s="280" t="s">
        <v>1358</v>
      </c>
      <c r="D176" s="289">
        <f>ROUND((F176*'Pawn Weights'!$K$60)+(G176*'Pawn Weights'!$K$61)+(H176*'Pawn Weights'!$K$62)+(I176*'Pawn Weights'!$K$63)+(J176*'Pawn Weights'!$K$64)+(K176*'Pawn Weights'!$K$65)+(L176*'Pawn Weights'!$K$66)+(M176*'Pawn Weights'!$K$67)+(N176*'Pawn Weights'!$K$68)+(O176*'Pawn Weights'!$K$69)+(P176*'Pawn Weights'!$K$70)+(Q176*'Pawn Weights'!$K$71), 2)</f>
        <v>106.87</v>
      </c>
      <c r="E176" s="280"/>
      <c r="F176" s="280"/>
      <c r="G176" s="280"/>
      <c r="H176" s="280">
        <v>64.0</v>
      </c>
      <c r="I176" s="280"/>
      <c r="J176" s="280"/>
      <c r="K176" s="280">
        <v>21.65</v>
      </c>
      <c r="L176" s="280"/>
      <c r="M176" s="281"/>
      <c r="N176" s="280"/>
      <c r="O176" s="280"/>
      <c r="P176" s="280"/>
      <c r="Q176" s="280"/>
      <c r="R176" s="290"/>
      <c r="S176" s="281"/>
      <c r="T176" s="291" t="s">
        <v>1359</v>
      </c>
      <c r="U176" s="281"/>
      <c r="V176" s="281"/>
      <c r="W176" s="281"/>
    </row>
    <row r="177">
      <c r="A177" s="281"/>
      <c r="B177" s="311" t="s">
        <v>969</v>
      </c>
      <c r="C177" s="280" t="s">
        <v>970</v>
      </c>
      <c r="D177" s="289">
        <f>ROUND((F177*'Pawn Weights'!$K$60)+(G177*'Pawn Weights'!$K$61)+(H177*'Pawn Weights'!$K$62)+(I177*'Pawn Weights'!$K$63)+(J177*'Pawn Weights'!$K$64)+(K177*'Pawn Weights'!$K$65)+(L177*'Pawn Weights'!$K$66)+(M177*'Pawn Weights'!$K$67)+(N177*'Pawn Weights'!$K$68)+(O177*'Pawn Weights'!$K$69)+(P177*'Pawn Weights'!$K$70)+(Q177*'Pawn Weights'!$K$71), 2)</f>
        <v>101.08</v>
      </c>
      <c r="E177" s="280"/>
      <c r="F177" s="280"/>
      <c r="G177" s="280"/>
      <c r="H177" s="280">
        <v>39.0</v>
      </c>
      <c r="I177" s="280">
        <v>32.0</v>
      </c>
      <c r="J177" s="280"/>
      <c r="K177" s="280"/>
      <c r="L177" s="280"/>
      <c r="M177" s="280"/>
      <c r="N177" s="280"/>
      <c r="O177" s="280"/>
      <c r="P177" s="280"/>
      <c r="Q177" s="280"/>
      <c r="R177" s="290"/>
      <c r="S177" s="281"/>
      <c r="T177" s="291" t="s">
        <v>971</v>
      </c>
      <c r="U177" s="281"/>
      <c r="V177" s="281"/>
      <c r="W177" s="281"/>
      <c r="X177" s="281"/>
    </row>
    <row r="178">
      <c r="A178" s="224" t="s">
        <v>1360</v>
      </c>
      <c r="B178" s="325" t="s">
        <v>1361</v>
      </c>
      <c r="C178" s="281"/>
      <c r="D178" s="301"/>
      <c r="E178" s="281"/>
      <c r="F178" s="281"/>
      <c r="G178" s="281"/>
      <c r="H178" s="281"/>
      <c r="I178" s="281"/>
      <c r="J178" s="281"/>
      <c r="K178" s="281"/>
      <c r="L178" s="281"/>
      <c r="M178" s="281"/>
      <c r="N178" s="281"/>
      <c r="O178" s="281"/>
      <c r="P178" s="281"/>
      <c r="Q178" s="281"/>
      <c r="R178" s="282"/>
      <c r="S178" s="281"/>
      <c r="T178" s="285"/>
      <c r="U178" s="281"/>
      <c r="V178" s="281"/>
      <c r="W178" s="281"/>
    </row>
    <row r="179">
      <c r="A179" s="281"/>
      <c r="B179" s="288" t="s">
        <v>1362</v>
      </c>
      <c r="C179" s="280" t="s">
        <v>1363</v>
      </c>
      <c r="D179" s="301" t="s">
        <v>1364</v>
      </c>
      <c r="E179" s="280"/>
      <c r="F179" s="280"/>
      <c r="G179" s="280"/>
      <c r="H179" s="280"/>
      <c r="I179" s="280"/>
      <c r="J179" s="280"/>
      <c r="K179" s="320"/>
      <c r="L179" s="320"/>
      <c r="M179" s="281"/>
      <c r="N179" s="320"/>
      <c r="O179" s="280"/>
      <c r="P179" s="320"/>
      <c r="Q179" s="320"/>
      <c r="R179" s="290"/>
      <c r="S179" s="281"/>
      <c r="T179" s="291"/>
      <c r="U179" s="281"/>
      <c r="V179" s="281"/>
      <c r="W179" s="281"/>
    </row>
    <row r="180">
      <c r="A180" s="281"/>
      <c r="B180" s="311" t="s">
        <v>1365</v>
      </c>
      <c r="C180" s="280" t="s">
        <v>1366</v>
      </c>
      <c r="D180" s="301" t="s">
        <v>1367</v>
      </c>
      <c r="E180" s="280"/>
      <c r="F180" s="280"/>
      <c r="G180" s="280"/>
      <c r="H180" s="280"/>
      <c r="I180" s="280"/>
      <c r="J180" s="280"/>
      <c r="K180" s="320"/>
      <c r="L180" s="320"/>
      <c r="M180" s="281"/>
      <c r="N180" s="320"/>
      <c r="O180" s="280"/>
      <c r="P180" s="320"/>
      <c r="Q180" s="320"/>
      <c r="R180" s="290"/>
      <c r="S180" s="281"/>
      <c r="T180" s="291"/>
      <c r="U180" s="281"/>
      <c r="V180" s="281"/>
      <c r="W180" s="281"/>
    </row>
    <row r="181">
      <c r="A181" s="281"/>
      <c r="B181" s="311" t="s">
        <v>1368</v>
      </c>
      <c r="C181" s="280" t="s">
        <v>1369</v>
      </c>
      <c r="D181" s="301" t="s">
        <v>1370</v>
      </c>
      <c r="E181" s="280"/>
      <c r="F181" s="280"/>
      <c r="G181" s="280"/>
      <c r="H181" s="280"/>
      <c r="I181" s="280"/>
      <c r="J181" s="280"/>
      <c r="K181" s="320"/>
      <c r="L181" s="320"/>
      <c r="M181" s="281"/>
      <c r="N181" s="320"/>
      <c r="O181" s="320"/>
      <c r="P181" s="320"/>
      <c r="Q181" s="320"/>
      <c r="R181" s="321"/>
      <c r="S181" s="281"/>
      <c r="T181" s="291"/>
      <c r="U181" s="281"/>
      <c r="V181" s="281"/>
      <c r="W181" s="281"/>
    </row>
    <row r="182">
      <c r="A182" s="281"/>
      <c r="B182" s="311" t="s">
        <v>1371</v>
      </c>
      <c r="C182" s="280" t="s">
        <v>1372</v>
      </c>
      <c r="D182" s="301" t="s">
        <v>1373</v>
      </c>
      <c r="E182" s="280"/>
      <c r="F182" s="280"/>
      <c r="G182" s="280"/>
      <c r="H182" s="280"/>
      <c r="I182" s="280"/>
      <c r="J182" s="280"/>
      <c r="K182" s="280"/>
      <c r="L182" s="280"/>
      <c r="M182" s="281"/>
      <c r="N182" s="280"/>
      <c r="O182" s="280"/>
      <c r="P182" s="280"/>
      <c r="Q182" s="280"/>
      <c r="R182" s="290"/>
      <c r="S182" s="281"/>
      <c r="T182" s="291"/>
      <c r="U182" s="281"/>
      <c r="V182" s="281"/>
      <c r="W182" s="281"/>
    </row>
    <row r="183">
      <c r="A183" s="281"/>
      <c r="B183" s="311" t="s">
        <v>1374</v>
      </c>
      <c r="C183" s="280" t="s">
        <v>1375</v>
      </c>
      <c r="D183" s="301" t="s">
        <v>1376</v>
      </c>
      <c r="E183" s="280"/>
      <c r="F183" s="280"/>
      <c r="G183" s="280"/>
      <c r="H183" s="280"/>
      <c r="I183" s="280"/>
      <c r="J183" s="280"/>
      <c r="K183" s="320"/>
      <c r="L183" s="320"/>
      <c r="M183" s="281"/>
      <c r="N183" s="320"/>
      <c r="O183" s="280"/>
      <c r="P183" s="320"/>
      <c r="Q183" s="320"/>
      <c r="R183" s="290"/>
      <c r="S183" s="281"/>
      <c r="T183" s="291"/>
      <c r="U183" s="281"/>
      <c r="V183" s="281"/>
      <c r="W183" s="281"/>
    </row>
    <row r="184">
      <c r="A184" s="281"/>
      <c r="B184" s="311" t="s">
        <v>1377</v>
      </c>
      <c r="C184" s="280" t="s">
        <v>1378</v>
      </c>
      <c r="D184" s="301" t="s">
        <v>1379</v>
      </c>
      <c r="E184" s="280"/>
      <c r="F184" s="280"/>
      <c r="G184" s="280"/>
      <c r="H184" s="280"/>
      <c r="I184" s="280"/>
      <c r="J184" s="280"/>
      <c r="K184" s="320"/>
      <c r="L184" s="320"/>
      <c r="M184" s="281"/>
      <c r="N184" s="320"/>
      <c r="O184" s="280"/>
      <c r="P184" s="320"/>
      <c r="Q184" s="320"/>
      <c r="R184" s="290"/>
      <c r="S184" s="281"/>
      <c r="T184" s="291"/>
      <c r="U184" s="281"/>
      <c r="V184" s="281"/>
      <c r="W184" s="281"/>
    </row>
    <row r="185">
      <c r="A185" s="224" t="s">
        <v>1002</v>
      </c>
      <c r="B185" s="323" t="s">
        <v>604</v>
      </c>
      <c r="C185" s="323" t="s">
        <v>605</v>
      </c>
      <c r="D185" s="386" t="s">
        <v>606</v>
      </c>
      <c r="E185" s="224" t="s">
        <v>1003</v>
      </c>
      <c r="F185" s="224" t="s">
        <v>1004</v>
      </c>
      <c r="G185" s="224" t="s">
        <v>561</v>
      </c>
      <c r="H185" s="224" t="s">
        <v>562</v>
      </c>
      <c r="I185" s="224" t="s">
        <v>330</v>
      </c>
      <c r="J185" s="224" t="s">
        <v>563</v>
      </c>
      <c r="K185" s="272" t="s">
        <v>344</v>
      </c>
      <c r="L185" s="224" t="s">
        <v>607</v>
      </c>
      <c r="M185" s="224" t="s">
        <v>564</v>
      </c>
      <c r="N185" s="224" t="s">
        <v>1006</v>
      </c>
      <c r="O185" s="274" t="s">
        <v>610</v>
      </c>
      <c r="P185" s="275" t="s">
        <v>611</v>
      </c>
      <c r="Q185" s="276" t="s">
        <v>612</v>
      </c>
      <c r="R185" s="277" t="s">
        <v>613</v>
      </c>
      <c r="S185" s="366" t="s">
        <v>1380</v>
      </c>
      <c r="T185" s="224" t="s">
        <v>615</v>
      </c>
      <c r="U185" s="366" t="s">
        <v>356</v>
      </c>
      <c r="V185" s="324"/>
      <c r="W185" s="366"/>
    </row>
    <row r="186">
      <c r="A186" s="292"/>
      <c r="B186" s="376" t="s">
        <v>1381</v>
      </c>
      <c r="C186" s="326"/>
      <c r="D186" s="387"/>
      <c r="E186" s="326"/>
      <c r="F186" s="326"/>
      <c r="G186" s="154"/>
      <c r="H186" s="326"/>
      <c r="I186" s="326"/>
      <c r="J186" s="326"/>
      <c r="K186" s="326"/>
      <c r="L186" s="326"/>
      <c r="M186" s="326"/>
      <c r="N186" s="326"/>
      <c r="O186" s="326"/>
      <c r="P186" s="326"/>
      <c r="Q186" s="326"/>
      <c r="R186" s="327"/>
      <c r="S186" s="326"/>
      <c r="T186" s="328"/>
      <c r="U186" s="326"/>
      <c r="V186" s="326"/>
      <c r="W186" s="329"/>
    </row>
    <row r="187">
      <c r="A187" s="295"/>
      <c r="B187" s="296" t="s">
        <v>1008</v>
      </c>
      <c r="C187" s="330" t="s">
        <v>621</v>
      </c>
      <c r="D187" s="289">
        <f>ROUND((E187*'Pawn Weights'!$K$72)+(G187*'Pawn Weights'!$K$61)+(H187*'Pawn Weights'!$K$62)+(I187*'Pawn Weights'!$K$63)+(J187*'Pawn Weights'!$K$66)+(K187*'Pawn Weights'!$K$64)+(M187*'Pawn Weights'!$K$67)+(N187*'Pawn Weights'!$K$60)+(O187*'Pawn Weights'!$K$69)+(P187*'Pawn Weights'!$K$70)+(Q187*'Pawn Weights'!$K$71)+(F187*'Pawn Weights'!$K$73)+(U187*'Pawn Weights'!$K$65)-44+41.4+6, 2)</f>
        <v>1393.36</v>
      </c>
      <c r="E187" s="332">
        <v>114.4</v>
      </c>
      <c r="F187" s="332">
        <v>2.6</v>
      </c>
      <c r="G187" s="330"/>
      <c r="H187" s="332">
        <v>54.0</v>
      </c>
      <c r="I187" s="330"/>
      <c r="J187" s="330"/>
      <c r="K187" s="330"/>
      <c r="L187" s="332">
        <v>28.0</v>
      </c>
      <c r="M187" s="332">
        <v>196.0</v>
      </c>
      <c r="N187" s="330"/>
      <c r="O187" s="330"/>
      <c r="P187" s="332">
        <v>2.0</v>
      </c>
      <c r="Q187" s="330"/>
      <c r="R187" s="332" t="s">
        <v>809</v>
      </c>
      <c r="S187" s="330"/>
      <c r="T187" s="295"/>
      <c r="U187" s="330"/>
      <c r="V187" s="330"/>
      <c r="W187" s="137"/>
      <c r="X187" s="137"/>
      <c r="Y187" s="137"/>
      <c r="Z187" s="137"/>
    </row>
    <row r="188">
      <c r="A188" s="295"/>
      <c r="B188" s="296" t="s">
        <v>1382</v>
      </c>
      <c r="C188" s="330" t="s">
        <v>637</v>
      </c>
      <c r="D188" s="367">
        <f>ROUND((E188*'Pawn Weights'!$K$72)+(G188*'Pawn Weights'!$K$61)+(H188*'Pawn Weights'!$K$62)+(I188*'Pawn Weights'!$K$63)+(J188*'Pawn Weights'!$K$66)+(K188*'Pawn Weights'!$K$64)+(M188*'Pawn Weights'!$K$67)+(N188*'Pawn Weights'!$K$60)+(O188*'Pawn Weights'!$K$69)+(P188*'Pawn Weights'!$K$70)+(Q188*'Pawn Weights'!$K$71)+(F188*'Pawn Weights'!$K$73)+(U188*'Pawn Weights'!$K$65), 2)</f>
        <v>1270.07</v>
      </c>
      <c r="E188" s="332">
        <v>107.9</v>
      </c>
      <c r="F188" s="332">
        <v>2.6</v>
      </c>
      <c r="G188" s="330"/>
      <c r="H188" s="332">
        <v>38.0</v>
      </c>
      <c r="I188" s="332">
        <v>22.0</v>
      </c>
      <c r="J188" s="330"/>
      <c r="K188" s="332">
        <v>9.0</v>
      </c>
      <c r="L188" s="332">
        <v>31.0</v>
      </c>
      <c r="M188" s="332">
        <v>49.0</v>
      </c>
      <c r="N188" s="330"/>
      <c r="O188" s="330"/>
      <c r="P188" s="330"/>
      <c r="Q188" s="330"/>
      <c r="R188" s="295"/>
      <c r="S188" s="330"/>
      <c r="T188" s="330" t="s">
        <v>986</v>
      </c>
      <c r="U188" s="330"/>
      <c r="V188" s="330"/>
      <c r="W188" s="137"/>
      <c r="X188" s="137"/>
      <c r="Y188" s="137"/>
      <c r="Z188" s="137"/>
    </row>
    <row r="189">
      <c r="A189" s="292" t="s">
        <v>627</v>
      </c>
      <c r="B189" s="288" t="s">
        <v>1055</v>
      </c>
      <c r="C189" s="326" t="s">
        <v>1016</v>
      </c>
      <c r="D189" s="289">
        <f>ROUND((E189*'Pawn Weights'!$K$72)+(G189*'Pawn Weights'!$K$61)+(H189*'Pawn Weights'!$K$62)+(I189*'Pawn Weights'!$K$63)+(J189*'Pawn Weights'!$K$66)+(K189*'Pawn Weights'!$K$64)+(M189*'Pawn Weights'!$K$67)+(N189*'Pawn Weights'!$K$60)+(O189*'Pawn Weights'!$K$69)+(P189*'Pawn Weights'!$K$70)+(Q189*'Pawn Weights'!$K$71)+(F189*'Pawn Weights'!$K$73)+(U189*'Pawn Weights'!$K$65)+(84.8*'Pawn Weights'!$K$65), 2)</f>
        <v>1235.3</v>
      </c>
      <c r="E189" s="326">
        <v>97.6</v>
      </c>
      <c r="F189" s="326">
        <v>2.7</v>
      </c>
      <c r="G189" s="326"/>
      <c r="H189" s="326"/>
      <c r="I189" s="326"/>
      <c r="J189" s="326"/>
      <c r="K189" s="326"/>
      <c r="L189" s="326">
        <v>19.0</v>
      </c>
      <c r="M189" s="326"/>
      <c r="N189" s="326"/>
      <c r="O189" s="326"/>
      <c r="P189" s="326"/>
      <c r="Q189" s="326"/>
      <c r="R189" s="327"/>
      <c r="S189" s="326"/>
      <c r="T189" s="328" t="s">
        <v>1297</v>
      </c>
      <c r="U189" s="326"/>
      <c r="V189" s="326"/>
      <c r="W189" s="329"/>
    </row>
    <row r="190">
      <c r="A190" s="292"/>
      <c r="B190" s="288" t="s">
        <v>1383</v>
      </c>
      <c r="C190" s="326" t="s">
        <v>646</v>
      </c>
      <c r="D190" s="289">
        <f>ROUND((E190*'Pawn Weights'!$K$72)+(G190*'Pawn Weights'!$K$61)+(H190*'Pawn Weights'!$K$62)+(I190*'Pawn Weights'!$K$63)+(J190*'Pawn Weights'!$K$66)+(K190*'Pawn Weights'!$K$64)+(M190*'Pawn Weights'!$K$67)+(N190*'Pawn Weights'!$K$60)+(O190*'Pawn Weights'!$K$69)+(P190*'Pawn Weights'!$K$70)+(Q190*'Pawn Weights'!$K$71)+(F190*'Pawn Weights'!$K$73)+(U190*'Pawn Weights'!$K$65), 2)</f>
        <v>1219.13</v>
      </c>
      <c r="E190" s="326">
        <v>103.1</v>
      </c>
      <c r="F190" s="326">
        <v>2.6</v>
      </c>
      <c r="G190" s="326"/>
      <c r="H190" s="326">
        <v>34.0</v>
      </c>
      <c r="I190" s="326">
        <v>21.0</v>
      </c>
      <c r="J190" s="326"/>
      <c r="K190" s="326">
        <v>8.0</v>
      </c>
      <c r="L190" s="326">
        <v>30.0</v>
      </c>
      <c r="M190" s="326">
        <v>49.0</v>
      </c>
      <c r="N190" s="326"/>
      <c r="O190" s="326"/>
      <c r="P190" s="326"/>
      <c r="Q190" s="326"/>
      <c r="R190" s="327"/>
      <c r="S190" s="326"/>
      <c r="T190" s="328" t="s">
        <v>986</v>
      </c>
      <c r="U190" s="326"/>
      <c r="V190" s="326"/>
      <c r="W190" s="329"/>
    </row>
    <row r="191">
      <c r="A191" s="295"/>
      <c r="B191" s="296" t="s">
        <v>1013</v>
      </c>
      <c r="C191" s="330" t="s">
        <v>1014</v>
      </c>
      <c r="D191" s="289">
        <f>ROUND((E191*'Pawn Weights'!$K$72)+(G191*'Pawn Weights'!$K$61)+(H191*'Pawn Weights'!$K$62)+(I191*'Pawn Weights'!$K$63)+(J191*'Pawn Weights'!$K$66)+(K191*'Pawn Weights'!$K$64)+(M191*'Pawn Weights'!$K$67)+(N191*'Pawn Weights'!$K$60)+(O191*'Pawn Weights'!$K$69)+(P191*'Pawn Weights'!$K$70)+(Q191*'Pawn Weights'!$K$71)+(F191*'Pawn Weights'!$K$73)+(U191*'Pawn Weights'!$K$65), 2)</f>
        <v>1189.47</v>
      </c>
      <c r="E191" s="332">
        <v>103.0</v>
      </c>
      <c r="F191" s="332">
        <v>2.5</v>
      </c>
      <c r="G191" s="332">
        <v>23.0</v>
      </c>
      <c r="H191" s="332">
        <v>44.0</v>
      </c>
      <c r="I191" s="330"/>
      <c r="J191" s="330"/>
      <c r="K191" s="330"/>
      <c r="L191" s="330"/>
      <c r="M191" s="330"/>
      <c r="N191" s="330"/>
      <c r="O191" s="330"/>
      <c r="P191" s="330"/>
      <c r="Q191" s="330"/>
      <c r="R191" s="295"/>
      <c r="S191" s="332">
        <v>21.0</v>
      </c>
      <c r="T191" s="295"/>
      <c r="U191" s="330"/>
      <c r="V191" s="330"/>
      <c r="W191" s="137"/>
      <c r="X191" s="137"/>
      <c r="Y191" s="137"/>
      <c r="Z191" s="137"/>
    </row>
    <row r="192">
      <c r="A192" s="295" t="s">
        <v>627</v>
      </c>
      <c r="B192" s="296" t="s">
        <v>1295</v>
      </c>
      <c r="C192" s="330" t="s">
        <v>1296</v>
      </c>
      <c r="D192" s="367">
        <f>ROUND((E192*'Pawn Weights'!$K$72)+(G192*'Pawn Weights'!$K$61)+(H192*'Pawn Weights'!$K$62)+(I192*'Pawn Weights'!$K$63)+(J192*'Pawn Weights'!$K$66)+(K192*'Pawn Weights'!$K$64)+(M192*'Pawn Weights'!$K$67)+(N192*'Pawn Weights'!$K$60)+(O192*'Pawn Weights'!$K$69)+(P192*'Pawn Weights'!$K$70)+(Q192*'Pawn Weights'!$K$71)+(F192*'Pawn Weights'!$K$73)+(U192*'Pawn Weights'!$K$65)+(84.8*'Pawn Weights'!$K$65), 2)</f>
        <v>1176.8</v>
      </c>
      <c r="E192" s="332">
        <v>91.1</v>
      </c>
      <c r="F192" s="332">
        <v>2.7</v>
      </c>
      <c r="G192" s="295"/>
      <c r="H192" s="330"/>
      <c r="I192" s="330"/>
      <c r="J192" s="330"/>
      <c r="K192" s="330"/>
      <c r="L192" s="332">
        <v>9.0</v>
      </c>
      <c r="M192" s="330"/>
      <c r="N192" s="330"/>
      <c r="O192" s="330"/>
      <c r="P192" s="330"/>
      <c r="Q192" s="330"/>
      <c r="R192" s="295"/>
      <c r="S192" s="330"/>
      <c r="T192" s="330" t="s">
        <v>1297</v>
      </c>
      <c r="U192" s="330"/>
      <c r="V192" s="330"/>
      <c r="W192" s="137"/>
      <c r="X192" s="137"/>
      <c r="Y192" s="137"/>
      <c r="Z192" s="137"/>
    </row>
    <row r="193">
      <c r="A193" s="295"/>
      <c r="B193" s="296" t="s">
        <v>1024</v>
      </c>
      <c r="C193" s="330" t="s">
        <v>1025</v>
      </c>
      <c r="D193" s="289">
        <f>ROUND((E193*'Pawn Weights'!$K$72)+(G193*'Pawn Weights'!$K$61)+(H193*'Pawn Weights'!$K$62)+(I193*'Pawn Weights'!$K$63)+(J193*'Pawn Weights'!$K$66)+(K193*'Pawn Weights'!$K$64)+(M193*'Pawn Weights'!$K$67)+(N193*'Pawn Weights'!$K$60)+(O193*'Pawn Weights'!$K$69)+(P193*'Pawn Weights'!$K$70)+(Q193*'Pawn Weights'!$K$71)+(F193*'Pawn Weights'!$K$73)+(U193*'Pawn Weights'!$K$65), 2)</f>
        <v>1173.36</v>
      </c>
      <c r="E193" s="332">
        <v>96.5</v>
      </c>
      <c r="F193" s="332">
        <v>2.7</v>
      </c>
      <c r="G193" s="330"/>
      <c r="H193" s="332">
        <v>52.0</v>
      </c>
      <c r="I193" s="332">
        <v>19.0</v>
      </c>
      <c r="J193" s="330"/>
      <c r="K193" s="332">
        <v>15.0</v>
      </c>
      <c r="L193" s="330"/>
      <c r="M193" s="330"/>
      <c r="N193" s="330"/>
      <c r="O193" s="330"/>
      <c r="P193" s="330"/>
      <c r="Q193" s="330"/>
      <c r="R193" s="295"/>
      <c r="S193" s="330"/>
      <c r="T193" s="295"/>
      <c r="U193" s="330"/>
      <c r="V193" s="330"/>
      <c r="W193" s="137"/>
      <c r="X193" s="137"/>
      <c r="Y193" s="137"/>
      <c r="Z193" s="137"/>
    </row>
    <row r="194">
      <c r="A194" s="292"/>
      <c r="B194" s="288" t="s">
        <v>1026</v>
      </c>
      <c r="C194" s="326" t="s">
        <v>716</v>
      </c>
      <c r="D194" s="289">
        <f>ROUND((E194*'Pawn Weights'!$K$72)+(G194*'Pawn Weights'!$K$61)+(H194*'Pawn Weights'!$K$62)+(I194*'Pawn Weights'!$K$63)+(J194*'Pawn Weights'!$K$66)+(K194*'Pawn Weights'!$K$64)+(M194*'Pawn Weights'!$K$67)+(N194*'Pawn Weights'!$K$60)+(O194*'Pawn Weights'!$K$69)+(P194*'Pawn Weights'!$K$70)+(Q194*'Pawn Weights'!$K$71)+(F194*'Pawn Weights'!$K$73)+(U194*'Pawn Weights'!$K$65), 2)</f>
        <v>1165.6</v>
      </c>
      <c r="E194" s="326">
        <v>100.2</v>
      </c>
      <c r="F194" s="326">
        <v>2.6</v>
      </c>
      <c r="G194" s="326"/>
      <c r="H194" s="326">
        <v>44.0</v>
      </c>
      <c r="I194" s="326"/>
      <c r="J194" s="326"/>
      <c r="K194" s="326">
        <v>21.0</v>
      </c>
      <c r="L194" s="326">
        <v>33.0</v>
      </c>
      <c r="M194" s="326"/>
      <c r="N194" s="326"/>
      <c r="O194" s="326"/>
      <c r="P194" s="326"/>
      <c r="Q194" s="326"/>
      <c r="R194" s="327"/>
      <c r="S194" s="326"/>
      <c r="T194" s="328" t="s">
        <v>1027</v>
      </c>
      <c r="U194" s="326"/>
      <c r="V194" s="326"/>
      <c r="W194" s="329"/>
    </row>
    <row r="195">
      <c r="A195" s="295"/>
      <c r="B195" s="296" t="s">
        <v>1028</v>
      </c>
      <c r="C195" s="330" t="s">
        <v>1029</v>
      </c>
      <c r="D195" s="367">
        <f>ROUND((E195*'Pawn Weights'!$K$72)+(G195*'Pawn Weights'!$K$61)+(H195*'Pawn Weights'!$K$62)+(I195*'Pawn Weights'!$K$63)+(J195*'Pawn Weights'!$K$66)+(K195*'Pawn Weights'!$K$64)+(M195*'Pawn Weights'!$K$67)+(N195*'Pawn Weights'!$K$60)+(O195*'Pawn Weights'!$K$69)+(P195*'Pawn Weights'!$K$70)+(Q195*'Pawn Weights'!$K$71)+(F195*'Pawn Weights'!$K$73)+(U195*'Pawn Weights'!$K$65), 2)</f>
        <v>1166.6</v>
      </c>
      <c r="E195" s="332">
        <v>100.2</v>
      </c>
      <c r="F195" s="332">
        <v>2.7</v>
      </c>
      <c r="G195" s="298">
        <v>20.0</v>
      </c>
      <c r="H195" s="332">
        <v>38.0</v>
      </c>
      <c r="I195" s="330"/>
      <c r="J195" s="330"/>
      <c r="K195" s="330"/>
      <c r="L195" s="332">
        <v>28.0</v>
      </c>
      <c r="M195" s="330"/>
      <c r="N195" s="330"/>
      <c r="O195" s="330"/>
      <c r="P195" s="330"/>
      <c r="Q195" s="330"/>
      <c r="R195" s="295"/>
      <c r="S195" s="330"/>
      <c r="T195" s="330" t="s">
        <v>1030</v>
      </c>
      <c r="U195" s="330"/>
      <c r="V195" s="330"/>
      <c r="W195" s="137"/>
      <c r="X195" s="137"/>
      <c r="Y195" s="137"/>
      <c r="Z195" s="137"/>
    </row>
    <row r="196">
      <c r="A196" s="292" t="s">
        <v>627</v>
      </c>
      <c r="B196" s="288" t="s">
        <v>1031</v>
      </c>
      <c r="C196" s="326" t="s">
        <v>1032</v>
      </c>
      <c r="D196" s="289">
        <f>ROUND((E196*'Pawn Weights'!$K$72)+(G196*'Pawn Weights'!$K$61)+(H196*'Pawn Weights'!$K$62)+(I196*'Pawn Weights'!$K$63)+(J196*'Pawn Weights'!$K$66)+(K196*'Pawn Weights'!$K$64)+(M196*'Pawn Weights'!$K$67)+(N196*'Pawn Weights'!$K$60)+(O196*'Pawn Weights'!$K$69)+(P196*'Pawn Weights'!$K$70)+(Q196*'Pawn Weights'!$K$71)+(F196*'Pawn Weights'!$K$73)+(U196*'Pawn Weights'!$K$65), 2)</f>
        <v>1160.02</v>
      </c>
      <c r="E196" s="326">
        <v>97.6</v>
      </c>
      <c r="F196" s="326">
        <v>2.7</v>
      </c>
      <c r="G196" s="326"/>
      <c r="H196" s="326">
        <v>48.0</v>
      </c>
      <c r="I196" s="326">
        <v>23.0</v>
      </c>
      <c r="J196" s="326"/>
      <c r="K196" s="326"/>
      <c r="L196" s="326"/>
      <c r="M196" s="326"/>
      <c r="N196" s="326"/>
      <c r="O196" s="326"/>
      <c r="P196" s="326"/>
      <c r="Q196" s="326"/>
      <c r="R196" s="327"/>
      <c r="S196" s="326"/>
      <c r="T196" s="328" t="s">
        <v>1384</v>
      </c>
      <c r="U196" s="326"/>
      <c r="V196" s="326"/>
      <c r="W196" s="329"/>
    </row>
    <row r="197">
      <c r="A197" s="281"/>
      <c r="B197" s="288" t="s">
        <v>1385</v>
      </c>
      <c r="C197" s="326" t="s">
        <v>997</v>
      </c>
      <c r="D197" s="289">
        <f>ROUND((E197*'Pawn Weights'!$K$72)+(G197*'Pawn Weights'!$K$61)+(H197*'Pawn Weights'!$K$62)+(I197*'Pawn Weights'!$K$63)+(J197*'Pawn Weights'!$K$66)+(K197*'Pawn Weights'!$K$64)+(M197*'Pawn Weights'!$K$67)+(N197*'Pawn Weights'!$K$60)+(O197*'Pawn Weights'!$K$69)+(P197*'Pawn Weights'!$K$70)+(Q197*'Pawn Weights'!$K$71)+(F197*'Pawn Weights'!$K$73)+(U197*'Pawn Weights'!$K$65), 2)</f>
        <v>1146.16</v>
      </c>
      <c r="E197" s="326">
        <v>97.7</v>
      </c>
      <c r="F197" s="326">
        <v>2.6</v>
      </c>
      <c r="G197" s="326"/>
      <c r="H197" s="326">
        <v>30.0</v>
      </c>
      <c r="I197" s="326">
        <v>19.0</v>
      </c>
      <c r="J197" s="326"/>
      <c r="K197" s="326">
        <v>10.0</v>
      </c>
      <c r="L197" s="326">
        <v>27.0</v>
      </c>
      <c r="M197" s="326"/>
      <c r="N197" s="326"/>
      <c r="O197" s="326"/>
      <c r="P197" s="326"/>
      <c r="Q197" s="326"/>
      <c r="R197" s="327"/>
      <c r="S197" s="326"/>
      <c r="T197" s="328" t="s">
        <v>1034</v>
      </c>
      <c r="U197" s="326"/>
      <c r="V197" s="326"/>
      <c r="W197" s="329"/>
    </row>
    <row r="198">
      <c r="A198" s="292" t="s">
        <v>943</v>
      </c>
      <c r="B198" s="288" t="s">
        <v>1022</v>
      </c>
      <c r="C198" s="326" t="s">
        <v>665</v>
      </c>
      <c r="D198" s="289">
        <f>ROUND((E198*'Pawn Weights'!$K$72)+(G198*'Pawn Weights'!$K$61)+(H198*'Pawn Weights'!$K$62)+(I198*'Pawn Weights'!$K$63)+(J198*'Pawn Weights'!$K$66)+(K198*'Pawn Weights'!$K$64)+(M198*'Pawn Weights'!$K$67)+(N198*'Pawn Weights'!$K$60)+(O198*'Pawn Weights'!$K$69)+(P198*'Pawn Weights'!$K$70)+(Q198*'Pawn Weights'!$K$71)+(F198*'Pawn Weights'!$K$73)+(U198*'Pawn Weights'!$K$65), 2)</f>
        <v>1147.8</v>
      </c>
      <c r="E198" s="326">
        <v>100.2</v>
      </c>
      <c r="F198" s="326">
        <v>2.8</v>
      </c>
      <c r="G198" s="326"/>
      <c r="H198" s="326">
        <v>50.0</v>
      </c>
      <c r="I198" s="326"/>
      <c r="J198" s="326"/>
      <c r="K198" s="326"/>
      <c r="L198" s="326"/>
      <c r="M198" s="326"/>
      <c r="N198" s="326"/>
      <c r="O198" s="326"/>
      <c r="P198" s="326"/>
      <c r="Q198" s="326"/>
      <c r="R198" s="327"/>
      <c r="S198" s="326"/>
      <c r="T198" s="328" t="s">
        <v>1386</v>
      </c>
      <c r="U198" s="326"/>
      <c r="V198" s="326"/>
      <c r="W198" s="329"/>
    </row>
    <row r="199">
      <c r="A199" s="281"/>
      <c r="B199" s="288" t="s">
        <v>1020</v>
      </c>
      <c r="C199" s="326" t="s">
        <v>741</v>
      </c>
      <c r="D199" s="289">
        <f>ROUND((E199*'Pawn Weights'!$K$72)+(G199*'Pawn Weights'!$K$61)+(H199*'Pawn Weights'!$K$62)+(I199*'Pawn Weights'!$K$63)+(J199*'Pawn Weights'!$K$66)+(K199*'Pawn Weights'!$K$64)+(M199*'Pawn Weights'!$K$67)+(N199*'Pawn Weights'!$K$60)+(O199*'Pawn Weights'!$K$69)+(P199*'Pawn Weights'!$K$70)+(Q199*'Pawn Weights'!$K$71)+(F199*'Pawn Weights'!$K$73)+(U199*'Pawn Weights'!$K$65), 2)</f>
        <v>1142.8</v>
      </c>
      <c r="E199" s="326">
        <v>100.2</v>
      </c>
      <c r="F199" s="326">
        <v>2.7</v>
      </c>
      <c r="G199" s="326"/>
      <c r="H199" s="326">
        <v>52.0</v>
      </c>
      <c r="I199" s="326"/>
      <c r="J199" s="326"/>
      <c r="K199" s="326"/>
      <c r="L199" s="326"/>
      <c r="M199" s="326"/>
      <c r="N199" s="326"/>
      <c r="O199" s="326"/>
      <c r="P199" s="326"/>
      <c r="Q199" s="326"/>
      <c r="R199" s="327"/>
      <c r="S199" s="326"/>
      <c r="T199" s="328" t="s">
        <v>1021</v>
      </c>
      <c r="U199" s="326"/>
      <c r="V199" s="326"/>
      <c r="W199" s="329"/>
    </row>
    <row r="200">
      <c r="A200" s="281"/>
      <c r="B200" s="288" t="s">
        <v>1037</v>
      </c>
      <c r="C200" s="326" t="s">
        <v>1025</v>
      </c>
      <c r="D200" s="289">
        <f>ROUND((E200*'Pawn Weights'!$K$72)+(G200*'Pawn Weights'!$K$61)+(H200*'Pawn Weights'!$K$62)+(I200*'Pawn Weights'!$K$63)+(J200*'Pawn Weights'!$K$66)+(K200*'Pawn Weights'!$K$64)+(M200*'Pawn Weights'!$K$67)+(N200*'Pawn Weights'!$K$60)+(O200*'Pawn Weights'!$K$69)+(P200*'Pawn Weights'!$K$70)+(Q200*'Pawn Weights'!$K$71)+(F200*'Pawn Weights'!$K$73)+(U200*'Pawn Weights'!$K$65), 2)</f>
        <v>1137.75</v>
      </c>
      <c r="E200" s="326">
        <v>96.5</v>
      </c>
      <c r="F200" s="326">
        <v>2.6</v>
      </c>
      <c r="G200" s="326">
        <v>25.0</v>
      </c>
      <c r="H200" s="326">
        <v>40.0</v>
      </c>
      <c r="I200" s="326"/>
      <c r="J200" s="326"/>
      <c r="K200" s="326"/>
      <c r="L200" s="326">
        <v>21.0</v>
      </c>
      <c r="M200" s="326"/>
      <c r="N200" s="326"/>
      <c r="O200" s="326"/>
      <c r="P200" s="326"/>
      <c r="Q200" s="326"/>
      <c r="R200" s="327"/>
      <c r="S200" s="326"/>
      <c r="T200" s="328"/>
      <c r="U200" s="326"/>
      <c r="V200" s="326"/>
      <c r="W200" s="329"/>
    </row>
    <row r="201">
      <c r="A201" s="224" t="s">
        <v>1040</v>
      </c>
      <c r="B201" s="323" t="s">
        <v>604</v>
      </c>
      <c r="C201" s="323" t="s">
        <v>605</v>
      </c>
      <c r="D201" s="386" t="s">
        <v>606</v>
      </c>
      <c r="E201" s="224" t="s">
        <v>1003</v>
      </c>
      <c r="F201" s="224" t="s">
        <v>1004</v>
      </c>
      <c r="G201" s="224" t="s">
        <v>561</v>
      </c>
      <c r="H201" s="224" t="s">
        <v>562</v>
      </c>
      <c r="I201" s="224" t="s">
        <v>330</v>
      </c>
      <c r="J201" s="224" t="s">
        <v>563</v>
      </c>
      <c r="K201" s="272" t="s">
        <v>344</v>
      </c>
      <c r="L201" s="224" t="s">
        <v>607</v>
      </c>
      <c r="M201" s="224" t="s">
        <v>564</v>
      </c>
      <c r="N201" s="224" t="s">
        <v>1006</v>
      </c>
      <c r="O201" s="274" t="s">
        <v>610</v>
      </c>
      <c r="P201" s="275" t="s">
        <v>611</v>
      </c>
      <c r="Q201" s="276" t="s">
        <v>612</v>
      </c>
      <c r="R201" s="277" t="s">
        <v>613</v>
      </c>
      <c r="S201" s="366"/>
      <c r="T201" s="224" t="s">
        <v>615</v>
      </c>
      <c r="U201" s="366" t="s">
        <v>356</v>
      </c>
      <c r="V201" s="324"/>
      <c r="W201" s="324"/>
    </row>
    <row r="202" ht="14.25" customHeight="1">
      <c r="A202" s="281"/>
      <c r="B202" s="350" t="s">
        <v>1381</v>
      </c>
      <c r="C202" s="326"/>
      <c r="D202" s="387"/>
      <c r="E202" s="326"/>
      <c r="F202" s="326"/>
      <c r="G202" s="326"/>
      <c r="H202" s="326"/>
      <c r="I202" s="326"/>
      <c r="J202" s="326"/>
      <c r="K202" s="326"/>
      <c r="L202" s="326"/>
      <c r="M202" s="326"/>
      <c r="N202" s="326"/>
      <c r="O202" s="326"/>
      <c r="P202" s="326"/>
      <c r="Q202" s="326"/>
      <c r="R202" s="327"/>
      <c r="S202" s="326"/>
      <c r="T202" s="328"/>
      <c r="U202" s="326"/>
      <c r="V202" s="326"/>
      <c r="W202" s="329"/>
    </row>
    <row r="203">
      <c r="A203" s="295"/>
      <c r="B203" s="296" t="s">
        <v>1041</v>
      </c>
      <c r="C203" s="330" t="s">
        <v>978</v>
      </c>
      <c r="D203" s="289">
        <f>ROUND((E203*'Pawn Weights'!$K$74)+(G203*'Pawn Weights'!$K$61)+(H203*'Pawn Weights'!$K$62)+(I203*'Pawn Weights'!$K$63)+(J203*'Pawn Weights'!$K$66)+(K203*'Pawn Weights'!$K$64)+(M203*'Pawn Weights'!$K$67)+(N203*'Pawn Weights'!$K$60)+(O203*'Pawn Weights'!$K$69)+(P203*'Pawn Weights'!$K$70)+(Q203*'Pawn Weights'!$K$71)+(F203*'Pawn Weights'!$K$73)+(U203*'Pawn Weights'!$K$65), 2)</f>
        <v>728.63</v>
      </c>
      <c r="E203" s="332">
        <v>107.9</v>
      </c>
      <c r="F203" s="332">
        <v>2.6</v>
      </c>
      <c r="G203" s="330"/>
      <c r="H203" s="332">
        <v>46.0</v>
      </c>
      <c r="I203" s="330"/>
      <c r="J203" s="330"/>
      <c r="K203" s="330"/>
      <c r="L203" s="332">
        <v>22.0</v>
      </c>
      <c r="M203" s="332">
        <v>140.0</v>
      </c>
      <c r="N203" s="330"/>
      <c r="O203" s="330"/>
      <c r="P203" s="332">
        <v>1.0</v>
      </c>
      <c r="Q203" s="332">
        <v>1.0</v>
      </c>
      <c r="R203" s="332" t="s">
        <v>698</v>
      </c>
      <c r="S203" s="330"/>
      <c r="T203" s="295"/>
      <c r="U203" s="330"/>
      <c r="V203" s="330"/>
      <c r="W203" s="137"/>
      <c r="X203" s="137"/>
      <c r="Y203" s="137"/>
      <c r="Z203" s="137"/>
    </row>
    <row r="204">
      <c r="A204" s="295"/>
      <c r="B204" s="296" t="s">
        <v>1387</v>
      </c>
      <c r="C204" s="330" t="s">
        <v>637</v>
      </c>
      <c r="D204" s="367">
        <f>ROUND((E204*'Pawn Weights'!$K$74)+(G204*'Pawn Weights'!$K$61)+(H204*'Pawn Weights'!$K$62)+(I204*'Pawn Weights'!$K$63)+(J204*'Pawn Weights'!$K$66)+(K204*'Pawn Weights'!$K$64)+(M204*'Pawn Weights'!$K$67)+(N204*'Pawn Weights'!$K$60)+(O204*'Pawn Weights'!$K$69)+(P204*'Pawn Weights'!$K$70)+(Q204*'Pawn Weights'!$K$71)+(F204*'Pawn Weights'!$K$73)+(U204*'Pawn Weights'!$K$65), 2)</f>
        <v>698.2</v>
      </c>
      <c r="E204" s="332">
        <v>107.9</v>
      </c>
      <c r="F204" s="332">
        <v>2.6</v>
      </c>
      <c r="G204" s="330"/>
      <c r="H204" s="332">
        <v>38.0</v>
      </c>
      <c r="I204" s="332">
        <v>22.0</v>
      </c>
      <c r="J204" s="330"/>
      <c r="K204" s="332">
        <v>9.0</v>
      </c>
      <c r="L204" s="332">
        <v>31.0</v>
      </c>
      <c r="M204" s="332">
        <v>49.0</v>
      </c>
      <c r="N204" s="330"/>
      <c r="O204" s="330"/>
      <c r="P204" s="330"/>
      <c r="Q204" s="330"/>
      <c r="R204" s="295"/>
      <c r="S204" s="330"/>
      <c r="T204" s="330" t="s">
        <v>986</v>
      </c>
      <c r="U204" s="330"/>
      <c r="V204" s="330"/>
      <c r="W204" s="137"/>
      <c r="X204" s="137"/>
      <c r="Y204" s="137"/>
      <c r="Z204" s="137"/>
    </row>
    <row r="205" ht="14.25" customHeight="1">
      <c r="A205" s="295" t="s">
        <v>627</v>
      </c>
      <c r="B205" s="317" t="s">
        <v>1049</v>
      </c>
      <c r="C205" s="330" t="s">
        <v>1016</v>
      </c>
      <c r="D205" s="289">
        <f>ROUND((E205*'Pawn Weights'!$K$74)+(G205*'Pawn Weights'!$K$61)+(H205*'Pawn Weights'!$K$62)+(I205*'Pawn Weights'!$K$63)+(J205*'Pawn Weights'!$K$66)+(K205*'Pawn Weights'!$K$64)+(M205*'Pawn Weights'!$K$67)+(N205*'Pawn Weights'!$K$60)+(O205*'Pawn Weights'!$K$69)+(P205*'Pawn Weights'!$K$70)+(Q205*'Pawn Weights'!$K$71)+(F205*'Pawn Weights'!$K$73)+(U205*'Pawn Weights'!$K$65)+(72.08*'Pawn Weights'!$K$65), 2)</f>
        <v>692.84</v>
      </c>
      <c r="E205" s="332">
        <v>97.6</v>
      </c>
      <c r="F205" s="332">
        <v>2.7</v>
      </c>
      <c r="G205" s="330"/>
      <c r="H205" s="330"/>
      <c r="I205" s="330"/>
      <c r="J205" s="330"/>
      <c r="K205" s="330"/>
      <c r="L205" s="332">
        <v>19.0</v>
      </c>
      <c r="M205" s="330"/>
      <c r="N205" s="330"/>
      <c r="O205" s="330"/>
      <c r="P205" s="330"/>
      <c r="Q205" s="330"/>
      <c r="R205" s="295"/>
      <c r="S205" s="330"/>
      <c r="T205" s="402" t="s">
        <v>1297</v>
      </c>
      <c r="U205" s="330"/>
      <c r="V205" s="330"/>
      <c r="W205" s="137"/>
      <c r="X205" s="137"/>
      <c r="Y205" s="137"/>
      <c r="Z205" s="137"/>
    </row>
    <row r="206">
      <c r="A206" s="292"/>
      <c r="B206" s="288" t="s">
        <v>1388</v>
      </c>
      <c r="C206" s="326" t="s">
        <v>646</v>
      </c>
      <c r="D206" s="289">
        <f>ROUND((E206*'Pawn Weights'!$K$74)+(G206*'Pawn Weights'!$K$61)+(H206*'Pawn Weights'!$K$62)+(I206*'Pawn Weights'!$K$63)+(J206*'Pawn Weights'!$K$66)+(K206*'Pawn Weights'!$K$64)+(M206*'Pawn Weights'!$K$67)+(N206*'Pawn Weights'!$K$60)+(O206*'Pawn Weights'!$K$69)+(P206*'Pawn Weights'!$K$70)+(Q206*'Pawn Weights'!$K$71)+(F206*'Pawn Weights'!$K$73)+(U206*'Pawn Weights'!$K$65), 2)</f>
        <v>672.7</v>
      </c>
      <c r="E206" s="326">
        <v>103.1</v>
      </c>
      <c r="F206" s="326">
        <v>2.6</v>
      </c>
      <c r="G206" s="326"/>
      <c r="H206" s="326">
        <v>34.0</v>
      </c>
      <c r="I206" s="326">
        <v>21.0</v>
      </c>
      <c r="J206" s="326"/>
      <c r="K206" s="326">
        <v>8.0</v>
      </c>
      <c r="L206" s="326">
        <v>30.0</v>
      </c>
      <c r="M206" s="326">
        <v>49.0</v>
      </c>
      <c r="N206" s="326"/>
      <c r="O206" s="326"/>
      <c r="P206" s="326"/>
      <c r="Q206" s="326"/>
      <c r="R206" s="327"/>
      <c r="S206" s="326"/>
      <c r="T206" s="328" t="s">
        <v>986</v>
      </c>
      <c r="U206" s="326"/>
      <c r="V206" s="326"/>
      <c r="W206" s="329"/>
    </row>
    <row r="207">
      <c r="A207" s="295" t="s">
        <v>627</v>
      </c>
      <c r="B207" s="296" t="s">
        <v>1389</v>
      </c>
      <c r="C207" s="330" t="s">
        <v>1296</v>
      </c>
      <c r="D207" s="367">
        <f>ROUND((E207*'Pawn Weights'!$K$74)+(G207*'Pawn Weights'!$K$61)+(H207*'Pawn Weights'!$K$62)+(I207*'Pawn Weights'!$K$63)+(J207*'Pawn Weights'!$K$66)+(K207*'Pawn Weights'!$K$64)+(M207*'Pawn Weights'!$K$67)+(N207*'Pawn Weights'!$K$60)+(O207*'Pawn Weights'!$K$69)+(P207*'Pawn Weights'!$K$70)+(Q207*'Pawn Weights'!$K$71)+(F207*'Pawn Weights'!$K$73)+(U207*'Pawn Weights'!$K$65)+(72.08*'Pawn Weights'!$K$65), 2)</f>
        <v>668.79</v>
      </c>
      <c r="E207" s="332">
        <v>91.1</v>
      </c>
      <c r="F207" s="332">
        <v>2.7</v>
      </c>
      <c r="G207" s="295"/>
      <c r="H207" s="330"/>
      <c r="I207" s="330"/>
      <c r="J207" s="330"/>
      <c r="K207" s="330"/>
      <c r="L207" s="332">
        <v>9.0</v>
      </c>
      <c r="M207" s="330"/>
      <c r="N207" s="330"/>
      <c r="O207" s="330"/>
      <c r="P207" s="330"/>
      <c r="Q207" s="330"/>
      <c r="R207" s="295"/>
      <c r="S207" s="330"/>
      <c r="T207" s="297" t="s">
        <v>1297</v>
      </c>
      <c r="U207" s="330"/>
      <c r="V207" s="330"/>
      <c r="W207" s="137"/>
      <c r="X207" s="137"/>
      <c r="Y207" s="137"/>
      <c r="Z207" s="137"/>
    </row>
    <row r="208">
      <c r="A208" s="295" t="s">
        <v>627</v>
      </c>
      <c r="B208" s="296" t="s">
        <v>1390</v>
      </c>
      <c r="C208" s="330" t="s">
        <v>1299</v>
      </c>
      <c r="D208" s="367">
        <f>ROUND((E208*'Pawn Weights'!$K$74)+(G208*'Pawn Weights'!$K$61)+(H208*'Pawn Weights'!$K$62)+(I208*'Pawn Weights'!$K$63)+(J208*'Pawn Weights'!$K$66)+(K208*'Pawn Weights'!$K$64)+(M208*'Pawn Weights'!$K$67)+(N208*'Pawn Weights'!$K$60)+(O208*'Pawn Weights'!$K$69)+(P208*'Pawn Weights'!$K$70)+(Q208*'Pawn Weights'!$K$71)+(F208*'Pawn Weights'!$K$73)+(U208*'Pawn Weights'!$K$65)+(72.08*'Pawn Weights'!$K$65), 2)</f>
        <v>643.63</v>
      </c>
      <c r="E208" s="332">
        <v>84.3</v>
      </c>
      <c r="F208" s="332">
        <v>2.7</v>
      </c>
      <c r="G208" s="295"/>
      <c r="H208" s="330"/>
      <c r="I208" s="330"/>
      <c r="J208" s="330"/>
      <c r="K208" s="330"/>
      <c r="L208" s="330"/>
      <c r="M208" s="330"/>
      <c r="N208" s="330"/>
      <c r="O208" s="330"/>
      <c r="P208" s="330"/>
      <c r="Q208" s="330"/>
      <c r="R208" s="295"/>
      <c r="S208" s="330"/>
      <c r="T208" s="297" t="s">
        <v>1297</v>
      </c>
      <c r="U208" s="330"/>
      <c r="V208" s="330"/>
      <c r="W208" s="137"/>
      <c r="X208" s="137"/>
      <c r="Y208" s="137"/>
      <c r="Z208" s="137"/>
    </row>
    <row r="209">
      <c r="A209" s="295" t="s">
        <v>627</v>
      </c>
      <c r="B209" s="296" t="s">
        <v>1031</v>
      </c>
      <c r="C209" s="330" t="s">
        <v>1032</v>
      </c>
      <c r="D209" s="367">
        <f>ROUND((E209*'Pawn Weights'!$K$74)+(G209*'Pawn Weights'!$K$61)+(H209*'Pawn Weights'!$K$62)+(I209*'Pawn Weights'!$K$63)+(J209*'Pawn Weights'!$K$66)+(K209*'Pawn Weights'!$K$64)+(M209*'Pawn Weights'!$K$67)+(N209*'Pawn Weights'!$K$60)+(O209*'Pawn Weights'!$K$69)+(P209*'Pawn Weights'!$K$70)+(Q209*'Pawn Weights'!$K$71)+(F209*'Pawn Weights'!$K$73)+(U209*'Pawn Weights'!$K$65), 2)</f>
        <v>642.74</v>
      </c>
      <c r="E209" s="332">
        <v>97.6</v>
      </c>
      <c r="F209" s="332">
        <v>2.7</v>
      </c>
      <c r="G209" s="330"/>
      <c r="H209" s="332">
        <v>48.0</v>
      </c>
      <c r="I209" s="332">
        <v>23.0</v>
      </c>
      <c r="J209" s="330"/>
      <c r="K209" s="330"/>
      <c r="L209" s="330"/>
      <c r="M209" s="330"/>
      <c r="N209" s="330"/>
      <c r="O209" s="330"/>
      <c r="P209" s="330"/>
      <c r="Q209" s="330"/>
      <c r="R209" s="295"/>
      <c r="S209" s="330"/>
      <c r="T209" s="297" t="s">
        <v>1391</v>
      </c>
      <c r="U209" s="330"/>
      <c r="V209" s="330"/>
      <c r="W209" s="137"/>
      <c r="X209" s="137"/>
      <c r="Y209" s="137"/>
      <c r="Z209" s="137"/>
    </row>
    <row r="210">
      <c r="A210" s="295"/>
      <c r="B210" s="296" t="s">
        <v>1046</v>
      </c>
      <c r="C210" s="330" t="s">
        <v>1047</v>
      </c>
      <c r="D210" s="367">
        <f>ROUND((E210*'Pawn Weights'!$K$74)+(G210*'Pawn Weights'!$K$61)+(H210*'Pawn Weights'!$K$62)+(I210*'Pawn Weights'!$K$63)+(J210*'Pawn Weights'!$K$66)+(K210*'Pawn Weights'!$K$64)+(M210*'Pawn Weights'!$K$67)+(N210*'Pawn Weights'!$K$60)+(O210*'Pawn Weights'!$K$69)+(P210*'Pawn Weights'!$K$70)+(Q210*'Pawn Weights'!$K$71)+(F210*'Pawn Weights'!$K$73)+(U210*'Pawn Weights'!$K$65), 2)</f>
        <v>637.9</v>
      </c>
      <c r="E210" s="332">
        <v>103.0</v>
      </c>
      <c r="F210" s="332">
        <v>2.5</v>
      </c>
      <c r="G210" s="330"/>
      <c r="H210" s="332">
        <v>44.0</v>
      </c>
      <c r="I210" s="330"/>
      <c r="J210" s="330"/>
      <c r="K210" s="332">
        <v>21.0</v>
      </c>
      <c r="L210" s="330"/>
      <c r="M210" s="330"/>
      <c r="N210" s="330"/>
      <c r="O210" s="330"/>
      <c r="P210" s="330"/>
      <c r="Q210" s="330"/>
      <c r="R210" s="295"/>
      <c r="S210" s="332">
        <v>23.0</v>
      </c>
      <c r="T210" s="295"/>
      <c r="U210" s="330"/>
      <c r="V210" s="330"/>
      <c r="W210" s="137"/>
      <c r="X210" s="137"/>
      <c r="Y210" s="137"/>
      <c r="Z210" s="137"/>
    </row>
    <row r="211">
      <c r="A211" s="295"/>
      <c r="B211" s="296" t="s">
        <v>1026</v>
      </c>
      <c r="C211" s="330" t="s">
        <v>716</v>
      </c>
      <c r="D211" s="367">
        <f>ROUND((E211*'Pawn Weights'!$K$74)+(G211*'Pawn Weights'!$K$61)+(H211*'Pawn Weights'!$K$62)+(I211*'Pawn Weights'!$K$63)+(J211*'Pawn Weights'!$K$66)+(K211*'Pawn Weights'!$K$64)+(M211*'Pawn Weights'!$K$67)+(N211*'Pawn Weights'!$K$60)+(O211*'Pawn Weights'!$K$69)+(P211*'Pawn Weights'!$K$70)+(Q211*'Pawn Weights'!$K$71)+(F211*'Pawn Weights'!$K$73)+(U211*'Pawn Weights'!$K$65), 2)</f>
        <v>634.54</v>
      </c>
      <c r="E211" s="332">
        <v>100.2</v>
      </c>
      <c r="F211" s="332">
        <v>2.6</v>
      </c>
      <c r="G211" s="330"/>
      <c r="H211" s="332">
        <v>44.0</v>
      </c>
      <c r="I211" s="330"/>
      <c r="J211" s="330"/>
      <c r="K211" s="332">
        <v>21.0</v>
      </c>
      <c r="L211" s="332">
        <v>33.0</v>
      </c>
      <c r="M211" s="330"/>
      <c r="N211" s="330"/>
      <c r="O211" s="330"/>
      <c r="P211" s="330"/>
      <c r="Q211" s="330"/>
      <c r="R211" s="295"/>
      <c r="S211" s="330"/>
      <c r="T211" s="330" t="s">
        <v>1027</v>
      </c>
      <c r="U211" s="330"/>
      <c r="V211" s="330"/>
      <c r="W211" s="137"/>
      <c r="X211" s="137"/>
      <c r="Y211" s="137"/>
      <c r="Z211" s="137"/>
    </row>
    <row r="212">
      <c r="A212" s="295" t="s">
        <v>627</v>
      </c>
      <c r="B212" s="296" t="s">
        <v>1055</v>
      </c>
      <c r="C212" s="330" t="s">
        <v>1016</v>
      </c>
      <c r="D212" s="289">
        <f>ROUND((E212*'Pawn Weights'!$K$74)+(G212*'Pawn Weights'!$K$61)+(H212*'Pawn Weights'!$K$62)+(I212*'Pawn Weights'!$K$63)+(J212*'Pawn Weights'!$K$66)+(K212*'Pawn Weights'!$K$64)+(M212*'Pawn Weights'!$K$67)+(N212*'Pawn Weights'!$K$60)+(O212*'Pawn Weights'!$K$69)+(P212*'Pawn Weights'!$K$70)+(Q212*'Pawn Weights'!$K$71)+(F212*'Pawn Weights'!$K$73)+(U212*'Pawn Weights'!$K$65)+(42.4*'Pawn Weights'!$K$65), 2)</f>
        <v>634.07</v>
      </c>
      <c r="E212" s="332">
        <v>97.6</v>
      </c>
      <c r="F212" s="332">
        <v>2.7</v>
      </c>
      <c r="G212" s="330"/>
      <c r="H212" s="330"/>
      <c r="I212" s="330"/>
      <c r="J212" s="330"/>
      <c r="K212" s="330"/>
      <c r="L212" s="332">
        <v>19.0</v>
      </c>
      <c r="M212" s="330"/>
      <c r="N212" s="330"/>
      <c r="O212" s="330"/>
      <c r="P212" s="330"/>
      <c r="Q212" s="330"/>
      <c r="R212" s="295"/>
      <c r="S212" s="330"/>
      <c r="T212" s="402" t="s">
        <v>1297</v>
      </c>
      <c r="U212" s="330"/>
      <c r="V212" s="330"/>
      <c r="W212" s="137"/>
      <c r="X212" s="137"/>
      <c r="Y212" s="137"/>
      <c r="Z212" s="137"/>
    </row>
    <row r="213">
      <c r="A213" s="137"/>
      <c r="B213" s="317" t="s">
        <v>1385</v>
      </c>
      <c r="C213" s="330" t="s">
        <v>997</v>
      </c>
      <c r="D213" s="289">
        <f>ROUND((E213*'Pawn Weights'!$K$74)+(G213*'Pawn Weights'!$K$61)+(H213*'Pawn Weights'!$K$62)+(I213*'Pawn Weights'!$K$63)+(J213*'Pawn Weights'!$K$66)+(K213*'Pawn Weights'!$K$64)+(M213*'Pawn Weights'!$K$67)+(N213*'Pawn Weights'!$K$60)+(O213*'Pawn Weights'!$K$69)+(P213*'Pawn Weights'!$K$70)+(Q213*'Pawn Weights'!$K$71)+(F213*'Pawn Weights'!$K$73)+(U213*'Pawn Weights'!$K$65), 2)</f>
        <v>628.35</v>
      </c>
      <c r="E213" s="332">
        <v>97.7</v>
      </c>
      <c r="F213" s="332">
        <v>2.6</v>
      </c>
      <c r="G213" s="330"/>
      <c r="H213" s="332">
        <v>30.0</v>
      </c>
      <c r="I213" s="332">
        <v>19.0</v>
      </c>
      <c r="J213" s="330"/>
      <c r="K213" s="332">
        <v>10.0</v>
      </c>
      <c r="L213" s="332">
        <v>27.0</v>
      </c>
      <c r="M213" s="330"/>
      <c r="N213" s="330"/>
      <c r="O213" s="330"/>
      <c r="P213" s="330"/>
      <c r="Q213" s="330"/>
      <c r="R213" s="295"/>
      <c r="S213" s="330"/>
      <c r="T213" s="402" t="s">
        <v>1034</v>
      </c>
      <c r="U213" s="330"/>
      <c r="V213" s="330"/>
      <c r="W213" s="137"/>
      <c r="X213" s="137"/>
      <c r="Y213" s="137"/>
      <c r="Z213" s="137"/>
    </row>
    <row r="214">
      <c r="A214" s="137"/>
      <c r="B214" s="296" t="s">
        <v>1037</v>
      </c>
      <c r="C214" s="330" t="s">
        <v>1025</v>
      </c>
      <c r="D214" s="367">
        <f>ROUND((E214*'Pawn Weights'!$K$74)+(G214*'Pawn Weights'!$K$61)+(H214*'Pawn Weights'!$K$62)+(I214*'Pawn Weights'!$K$63)+(J214*'Pawn Weights'!$K$66)+(K214*'Pawn Weights'!$K$64)+(M214*'Pawn Weights'!$K$67)+(N214*'Pawn Weights'!$K$60)+(O214*'Pawn Weights'!$K$69)+(P214*'Pawn Weights'!$K$70)+(Q214*'Pawn Weights'!$K$71)+(F214*'Pawn Weights'!$K$73)+(U214*'Pawn Weights'!$K$65), 2)</f>
        <v>626.3</v>
      </c>
      <c r="E214" s="332">
        <v>96.5</v>
      </c>
      <c r="F214" s="332">
        <v>2.6</v>
      </c>
      <c r="G214" s="332">
        <v>25.0</v>
      </c>
      <c r="H214" s="332">
        <v>40.0</v>
      </c>
      <c r="I214" s="330"/>
      <c r="J214" s="330"/>
      <c r="K214" s="330"/>
      <c r="L214" s="332">
        <v>21.0</v>
      </c>
      <c r="M214" s="330"/>
      <c r="N214" s="330"/>
      <c r="O214" s="330"/>
      <c r="P214" s="330"/>
      <c r="Q214" s="330"/>
      <c r="R214" s="295"/>
      <c r="S214" s="330"/>
      <c r="T214" s="295"/>
      <c r="U214" s="330"/>
      <c r="V214" s="330"/>
      <c r="W214" s="137"/>
      <c r="X214" s="137"/>
      <c r="Y214" s="137"/>
      <c r="Z214" s="137"/>
    </row>
    <row r="215">
      <c r="A215" s="395"/>
      <c r="B215" s="308" t="s">
        <v>1059</v>
      </c>
      <c r="C215" s="390" t="s">
        <v>839</v>
      </c>
      <c r="D215" s="289">
        <f>ROUND((E215*'Pawn Weights'!$K$74)+(G215*'Pawn Weights'!$K$61)+(H215*'Pawn Weights'!$K$62)+(I215*'Pawn Weights'!$K$63)+(J215*'Pawn Weights'!$K$66)+(K215*'Pawn Weights'!$K$64)+(M215*'Pawn Weights'!$K$67)+(N215*'Pawn Weights'!$K$60)+(O215*'Pawn Weights'!$K$69)+(P215*'Pawn Weights'!$K$70)+(Q215*'Pawn Weights'!$K$71)+(F215*'Pawn Weights'!$K$73)+(U215*'Pawn Weights'!$K$65), 2)</f>
        <v>619.72</v>
      </c>
      <c r="E215" s="394">
        <v>95.6</v>
      </c>
      <c r="F215" s="394">
        <v>2.6</v>
      </c>
      <c r="G215" s="395"/>
      <c r="H215" s="394">
        <v>26.0</v>
      </c>
      <c r="I215" s="395"/>
      <c r="J215" s="390"/>
      <c r="K215" s="394">
        <v>20.0</v>
      </c>
      <c r="L215" s="394">
        <v>20.0</v>
      </c>
      <c r="M215" s="395"/>
      <c r="N215" s="395"/>
      <c r="O215" s="394">
        <v>1.0</v>
      </c>
      <c r="P215" s="395"/>
      <c r="Q215" s="395"/>
      <c r="R215" s="394" t="s">
        <v>660</v>
      </c>
      <c r="S215" s="395"/>
      <c r="T215" s="395"/>
      <c r="U215" s="395"/>
      <c r="V215" s="395"/>
      <c r="W215" s="142"/>
      <c r="X215" s="142"/>
      <c r="Y215" s="142"/>
      <c r="Z215" s="142"/>
    </row>
    <row r="216">
      <c r="A216" s="292" t="s">
        <v>943</v>
      </c>
      <c r="B216" s="288" t="s">
        <v>1022</v>
      </c>
      <c r="C216" s="326" t="s">
        <v>665</v>
      </c>
      <c r="D216" s="289">
        <f>ROUND((E216*'Pawn Weights'!$K$74)+(G216*'Pawn Weights'!$K$61)+(H216*'Pawn Weights'!$K$62)+(I216*'Pawn Weights'!$K$63)+(J216*'Pawn Weights'!$K$66)+(K216*'Pawn Weights'!$K$64)+(M216*'Pawn Weights'!$K$67)+(N216*'Pawn Weights'!$K$60)+(O216*'Pawn Weights'!$K$69)+(P216*'Pawn Weights'!$K$70)+(Q216*'Pawn Weights'!$K$71)+(F216*'Pawn Weights'!$K$73)+(U216*'Pawn Weights'!$K$65), 2)</f>
        <v>616.74</v>
      </c>
      <c r="E216" s="326">
        <v>100.2</v>
      </c>
      <c r="F216" s="326">
        <v>2.8</v>
      </c>
      <c r="G216" s="326"/>
      <c r="H216" s="326">
        <v>50.0</v>
      </c>
      <c r="I216" s="326"/>
      <c r="J216" s="326"/>
      <c r="K216" s="326"/>
      <c r="L216" s="326"/>
      <c r="M216" s="326"/>
      <c r="N216" s="326"/>
      <c r="O216" s="326"/>
      <c r="P216" s="326"/>
      <c r="Q216" s="326"/>
      <c r="R216" s="327"/>
      <c r="S216" s="326"/>
      <c r="T216" s="328" t="s">
        <v>1386</v>
      </c>
      <c r="U216" s="326"/>
      <c r="V216" s="326"/>
      <c r="W216" s="329"/>
    </row>
    <row r="217">
      <c r="A217" s="137"/>
      <c r="B217" s="296" t="s">
        <v>1020</v>
      </c>
      <c r="C217" s="330" t="s">
        <v>741</v>
      </c>
      <c r="D217" s="289">
        <f>ROUND((E217*'Pawn Weights'!$K$74)+(G217*'Pawn Weights'!$K$61)+(H217*'Pawn Weights'!$K$62)+(I217*'Pawn Weights'!$K$63)+(J217*'Pawn Weights'!$K$66)+(K217*'Pawn Weights'!$K$64)+(M217*'Pawn Weights'!$K$67)+(N217*'Pawn Weights'!$K$60)+(O217*'Pawn Weights'!$K$69)+(P217*'Pawn Weights'!$K$70)+(Q217*'Pawn Weights'!$K$71)+(F217*'Pawn Weights'!$K$73)+(U217*'Pawn Weights'!$K$65), 2)</f>
        <v>611.74</v>
      </c>
      <c r="E217" s="332">
        <v>100.2</v>
      </c>
      <c r="F217" s="332">
        <v>2.7</v>
      </c>
      <c r="G217" s="330"/>
      <c r="H217" s="332">
        <v>52.0</v>
      </c>
      <c r="I217" s="330"/>
      <c r="J217" s="330"/>
      <c r="K217" s="330"/>
      <c r="L217" s="330"/>
      <c r="M217" s="330"/>
      <c r="N217" s="330"/>
      <c r="O217" s="330"/>
      <c r="P217" s="330"/>
      <c r="Q217" s="330"/>
      <c r="R217" s="295"/>
      <c r="S217" s="330"/>
      <c r="T217" s="402" t="s">
        <v>1021</v>
      </c>
      <c r="U217" s="330"/>
      <c r="V217" s="330"/>
      <c r="W217" s="137"/>
      <c r="X217" s="137"/>
      <c r="Y217" s="137"/>
      <c r="Z217" s="137"/>
    </row>
    <row r="218">
      <c r="A218" s="295" t="s">
        <v>627</v>
      </c>
      <c r="B218" s="296" t="s">
        <v>1392</v>
      </c>
      <c r="C218" s="330" t="s">
        <v>1393</v>
      </c>
      <c r="D218" s="289">
        <f>ROUND((E218*'Pawn Weights'!$K$74)+(G218*'Pawn Weights'!$K$61)+(H218*'Pawn Weights'!$K$62)+(I218*'Pawn Weights'!$K$63)+(J218*'Pawn Weights'!$K$66)+(K218*'Pawn Weights'!$K$64)+(M218*'Pawn Weights'!$K$67)+(N218*'Pawn Weights'!$K$60)+(O218*'Pawn Weights'!$K$69)+(P218*'Pawn Weights'!$K$70)+(Q218*'Pawn Weights'!$K$71)+(F218*'Pawn Weights'!$K$73)+(U218*'Pawn Weights'!$K$65), 2)</f>
        <v>610.81</v>
      </c>
      <c r="E218" s="332">
        <v>91.1</v>
      </c>
      <c r="F218" s="332">
        <v>2.7</v>
      </c>
      <c r="G218" s="330"/>
      <c r="H218" s="332">
        <v>44.0</v>
      </c>
      <c r="I218" s="332">
        <v>21.0</v>
      </c>
      <c r="J218" s="330"/>
      <c r="K218" s="330"/>
      <c r="L218" s="330"/>
      <c r="M218" s="330"/>
      <c r="N218" s="330"/>
      <c r="O218" s="330"/>
      <c r="P218" s="330"/>
      <c r="Q218" s="330"/>
      <c r="R218" s="295"/>
      <c r="S218" s="330"/>
      <c r="T218" s="402" t="s">
        <v>1391</v>
      </c>
      <c r="U218" s="330"/>
      <c r="V218" s="330"/>
      <c r="W218" s="137"/>
      <c r="X218" s="137"/>
      <c r="Y218" s="137"/>
      <c r="Z218" s="137"/>
    </row>
    <row r="219">
      <c r="A219" s="295" t="s">
        <v>627</v>
      </c>
      <c r="B219" s="296" t="s">
        <v>1295</v>
      </c>
      <c r="C219" s="330" t="s">
        <v>1296</v>
      </c>
      <c r="D219" s="289">
        <f>ROUND((E219*'Pawn Weights'!$K$74)+(G219*'Pawn Weights'!$K$61)+(H219*'Pawn Weights'!$K$62)+(I219*'Pawn Weights'!$K$63)+(J219*'Pawn Weights'!$K$66)+(K219*'Pawn Weights'!$K$64)+(M219*'Pawn Weights'!$K$67)+(N219*'Pawn Weights'!$K$60)+(O219*'Pawn Weights'!$K$69)+(P219*'Pawn Weights'!$K$70)+(Q219*'Pawn Weights'!$K$71)+(F219*'Pawn Weights'!$K$73)+(U219*'Pawn Weights'!$K$65)+(42.4*'Pawn Weights'!$K$65), 2)</f>
        <v>610.02</v>
      </c>
      <c r="E219" s="332">
        <v>91.1</v>
      </c>
      <c r="F219" s="332">
        <v>2.7</v>
      </c>
      <c r="G219" s="295"/>
      <c r="H219" s="330"/>
      <c r="I219" s="330"/>
      <c r="J219" s="330"/>
      <c r="K219" s="330"/>
      <c r="L219" s="332">
        <v>9.0</v>
      </c>
      <c r="M219" s="330"/>
      <c r="N219" s="330"/>
      <c r="O219" s="330"/>
      <c r="P219" s="330"/>
      <c r="Q219" s="330"/>
      <c r="R219" s="295"/>
      <c r="S219" s="330"/>
      <c r="T219" s="402" t="s">
        <v>1297</v>
      </c>
      <c r="U219" s="330"/>
      <c r="V219" s="330"/>
      <c r="W219" s="137"/>
      <c r="X219" s="137"/>
      <c r="Y219" s="137"/>
      <c r="Z219" s="137"/>
    </row>
    <row r="220">
      <c r="A220" s="292"/>
      <c r="B220" s="288" t="s">
        <v>1289</v>
      </c>
      <c r="C220" s="326" t="s">
        <v>1122</v>
      </c>
      <c r="D220" s="289">
        <f>ROUND((E220*'Pawn Weights'!$K$74)+(G220*'Pawn Weights'!$K$61)+(H220*'Pawn Weights'!$K$62)+(I220*'Pawn Weights'!$K$63)+(J220*'Pawn Weights'!$K$66)+(K220*'Pawn Weights'!$K$64)+(M220*'Pawn Weights'!$K$67)+(N220*'Pawn Weights'!$K$60)+(O220*'Pawn Weights'!$K$69)+(P220*'Pawn Weights'!$K$70)+(Q220*'Pawn Weights'!$K$71)+(F220*'Pawn Weights'!$K$73)+(U220*'Pawn Weights'!$K$65), 2)</f>
        <v>604.31</v>
      </c>
      <c r="E220" s="326">
        <v>87.5</v>
      </c>
      <c r="F220" s="326">
        <v>2.6</v>
      </c>
      <c r="G220" s="154"/>
      <c r="H220" s="326">
        <v>30.0</v>
      </c>
      <c r="I220" s="326">
        <v>24.0</v>
      </c>
      <c r="J220" s="326"/>
      <c r="K220" s="326"/>
      <c r="L220" s="326"/>
      <c r="M220" s="326"/>
      <c r="N220" s="326"/>
      <c r="O220" s="326"/>
      <c r="P220" s="326">
        <v>1.0</v>
      </c>
      <c r="Q220" s="326"/>
      <c r="R220" s="327" t="s">
        <v>674</v>
      </c>
      <c r="S220" s="326"/>
      <c r="T220" s="328"/>
      <c r="U220" s="326"/>
      <c r="V220" s="326"/>
      <c r="W220" s="329"/>
    </row>
    <row r="221" ht="14.25" customHeight="1">
      <c r="A221" s="281"/>
      <c r="B221" s="288" t="s">
        <v>1394</v>
      </c>
      <c r="C221" s="326" t="s">
        <v>1159</v>
      </c>
      <c r="D221" s="289">
        <f>ROUND((E221*'Pawn Weights'!$K$74)+(G221*'Pawn Weights'!$K$61)+(H221*'Pawn Weights'!$K$62)+(I221*'Pawn Weights'!$K$63)+(J221*'Pawn Weights'!$K$66)+(K221*'Pawn Weights'!$K$64)+(M221*'Pawn Weights'!$K$67)+(N221*'Pawn Weights'!$K$60)+(O221*'Pawn Weights'!$K$69)+(P221*'Pawn Weights'!$K$70)+(Q221*'Pawn Weights'!$K$71)+(F221*'Pawn Weights'!$K$73)+(U221*'Pawn Weights'!$K$65), 2)</f>
        <v>592.74</v>
      </c>
      <c r="E221" s="326">
        <v>91.2</v>
      </c>
      <c r="F221" s="326">
        <v>2.6</v>
      </c>
      <c r="G221" s="326"/>
      <c r="H221" s="326">
        <v>28.0</v>
      </c>
      <c r="I221" s="326">
        <v>15.0</v>
      </c>
      <c r="J221" s="326"/>
      <c r="K221" s="326">
        <v>9.0</v>
      </c>
      <c r="L221" s="326">
        <v>21.0</v>
      </c>
      <c r="M221" s="326"/>
      <c r="N221" s="326"/>
      <c r="O221" s="326"/>
      <c r="P221" s="326"/>
      <c r="Q221" s="326"/>
      <c r="R221" s="327"/>
      <c r="S221" s="326"/>
      <c r="T221" s="328"/>
      <c r="U221" s="326"/>
      <c r="V221" s="326"/>
      <c r="W221" s="329"/>
    </row>
    <row r="222">
      <c r="A222" s="295"/>
      <c r="B222" s="296" t="s">
        <v>1042</v>
      </c>
      <c r="C222" s="330" t="s">
        <v>669</v>
      </c>
      <c r="D222" s="289">
        <f>ROUND((E222*'Pawn Weights'!$K$74)+(G222*'Pawn Weights'!$K$61)+(H222*'Pawn Weights'!$K$62)+(I222*'Pawn Weights'!$K$63)+(J222*'Pawn Weights'!$K$66)+(K222*'Pawn Weights'!$K$64)+(M222*'Pawn Weights'!$K$67)+(N222*'Pawn Weights'!$K$60)+(O222*'Pawn Weights'!$K$69)+(P222*'Pawn Weights'!$K$70)+(Q222*'Pawn Weights'!$K$71)+(F222*'Pawn Weights'!$K$73)+(U222*'Pawn Weights'!$K$65), 2)</f>
        <v>586.6</v>
      </c>
      <c r="E222" s="332">
        <v>108.0</v>
      </c>
      <c r="F222" s="332">
        <v>1.5</v>
      </c>
      <c r="G222" s="330"/>
      <c r="H222" s="332">
        <v>46.0</v>
      </c>
      <c r="I222" s="330"/>
      <c r="J222" s="330"/>
      <c r="K222" s="332">
        <v>20.0</v>
      </c>
      <c r="L222" s="330"/>
      <c r="M222" s="330"/>
      <c r="N222" s="330"/>
      <c r="O222" s="330"/>
      <c r="P222" s="330"/>
      <c r="Q222" s="330"/>
      <c r="R222" s="295"/>
      <c r="S222" s="332">
        <v>31.0</v>
      </c>
      <c r="T222" s="295"/>
      <c r="U222" s="330"/>
      <c r="V222" s="330"/>
      <c r="W222" s="137"/>
      <c r="X222" s="137"/>
      <c r="Y222" s="137"/>
      <c r="Z222" s="137"/>
    </row>
    <row r="223">
      <c r="A223" s="295"/>
      <c r="B223" s="296" t="s">
        <v>1048</v>
      </c>
      <c r="C223" s="330" t="s">
        <v>1047</v>
      </c>
      <c r="D223" s="289">
        <f>ROUND((E223*'Pawn Weights'!$K$74)+(G223*'Pawn Weights'!$K$61)+(H223*'Pawn Weights'!$K$62)+(I223*'Pawn Weights'!$K$63)+(J223*'Pawn Weights'!$K$66)+(K223*'Pawn Weights'!$K$64)+(M223*'Pawn Weights'!$K$67)+(N223*'Pawn Weights'!$K$60)+(O223*'Pawn Weights'!$K$69)+(P223*'Pawn Weights'!$K$70)+(Q223*'Pawn Weights'!$K$71)+(F223*'Pawn Weights'!$K$73)+(U223*'Pawn Weights'!$K$65), 2)</f>
        <v>567.9</v>
      </c>
      <c r="E223" s="332">
        <v>103.0</v>
      </c>
      <c r="F223" s="332">
        <v>1.5</v>
      </c>
      <c r="G223" s="330"/>
      <c r="H223" s="332">
        <v>44.0</v>
      </c>
      <c r="I223" s="330"/>
      <c r="J223" s="330"/>
      <c r="K223" s="332">
        <v>21.0</v>
      </c>
      <c r="L223" s="330"/>
      <c r="M223" s="330"/>
      <c r="N223" s="330"/>
      <c r="O223" s="330"/>
      <c r="P223" s="330"/>
      <c r="Q223" s="330"/>
      <c r="R223" s="295"/>
      <c r="S223" s="332">
        <v>23.0</v>
      </c>
      <c r="T223" s="295"/>
      <c r="U223" s="330"/>
      <c r="V223" s="330"/>
      <c r="W223" s="137"/>
      <c r="X223" s="137"/>
      <c r="Y223" s="137"/>
      <c r="Z223" s="137"/>
    </row>
    <row r="224">
      <c r="A224" s="403"/>
      <c r="B224" s="350" t="s">
        <v>1064</v>
      </c>
      <c r="C224" s="336"/>
      <c r="D224" s="404"/>
      <c r="E224" s="336"/>
      <c r="F224" s="336"/>
      <c r="G224" s="336"/>
      <c r="H224" s="336"/>
      <c r="I224" s="336"/>
      <c r="J224" s="336"/>
      <c r="K224" s="336"/>
      <c r="L224" s="336"/>
      <c r="M224" s="336"/>
      <c r="N224" s="336"/>
      <c r="O224" s="336"/>
      <c r="P224" s="336"/>
      <c r="Q224" s="336"/>
      <c r="R224" s="337"/>
      <c r="S224" s="336"/>
      <c r="T224" s="338"/>
      <c r="U224" s="336"/>
      <c r="V224" s="339"/>
      <c r="W224" s="339"/>
      <c r="X224" s="340"/>
      <c r="Y224" s="340"/>
      <c r="Z224" s="340"/>
    </row>
    <row r="225">
      <c r="A225" s="345"/>
      <c r="B225" s="119" t="s">
        <v>1395</v>
      </c>
      <c r="C225" s="351"/>
      <c r="D225" s="405"/>
      <c r="E225" s="351"/>
      <c r="F225" s="351"/>
      <c r="G225" s="351"/>
      <c r="H225" s="351"/>
      <c r="I225" s="351"/>
      <c r="J225" s="351"/>
      <c r="K225" s="351"/>
      <c r="L225" s="351"/>
      <c r="M225" s="351"/>
      <c r="N225" s="351"/>
      <c r="O225" s="351"/>
      <c r="P225" s="351"/>
      <c r="Q225" s="351"/>
      <c r="R225" s="352"/>
      <c r="S225" s="351"/>
      <c r="T225" s="353"/>
      <c r="U225" s="351"/>
      <c r="V225" s="348"/>
      <c r="W225" s="348"/>
      <c r="X225" s="340"/>
      <c r="Y225" s="340"/>
      <c r="Z225" s="340"/>
    </row>
    <row r="226">
      <c r="A226" s="345"/>
      <c r="B226" s="351"/>
      <c r="C226" s="351"/>
      <c r="D226" s="405"/>
      <c r="E226" s="351"/>
      <c r="F226" s="351"/>
      <c r="G226" s="351"/>
      <c r="H226" s="351"/>
      <c r="I226" s="351"/>
      <c r="J226" s="351"/>
      <c r="K226" s="351"/>
      <c r="L226" s="351"/>
      <c r="M226" s="351"/>
      <c r="N226" s="351"/>
      <c r="O226" s="351"/>
      <c r="P226" s="351"/>
      <c r="Q226" s="351"/>
      <c r="R226" s="352"/>
      <c r="S226" s="351"/>
      <c r="T226" s="353"/>
      <c r="U226" s="351"/>
      <c r="V226" s="348"/>
      <c r="W226" s="348"/>
      <c r="X226" s="340"/>
      <c r="Y226" s="340"/>
      <c r="Z226" s="340"/>
    </row>
    <row r="227">
      <c r="A227" s="349"/>
      <c r="B227" s="351"/>
      <c r="C227" s="351"/>
      <c r="D227" s="405"/>
      <c r="E227" s="351"/>
      <c r="F227" s="351"/>
      <c r="G227" s="351"/>
      <c r="H227" s="351"/>
      <c r="I227" s="351"/>
      <c r="J227" s="351"/>
      <c r="K227" s="351"/>
      <c r="L227" s="351"/>
      <c r="M227" s="351"/>
      <c r="N227" s="351"/>
      <c r="O227" s="351"/>
      <c r="P227" s="351"/>
      <c r="Q227" s="351"/>
      <c r="R227" s="352"/>
      <c r="S227" s="351"/>
      <c r="T227" s="353"/>
      <c r="U227" s="351"/>
      <c r="V227" s="348"/>
      <c r="W227" s="348"/>
      <c r="X227" s="340"/>
      <c r="Y227" s="340"/>
      <c r="Z227" s="340"/>
    </row>
    <row r="228">
      <c r="A228" s="281"/>
      <c r="B228" s="354"/>
      <c r="C228" s="354"/>
      <c r="D228" s="392"/>
      <c r="E228" s="354"/>
      <c r="F228" s="354"/>
      <c r="G228" s="354"/>
      <c r="H228" s="354"/>
      <c r="I228" s="354"/>
      <c r="J228" s="354"/>
      <c r="K228" s="354"/>
      <c r="L228" s="354"/>
      <c r="M228" s="354"/>
      <c r="N228" s="354"/>
      <c r="O228" s="354"/>
      <c r="P228" s="354"/>
      <c r="Q228" s="354"/>
      <c r="R228" s="355"/>
      <c r="S228" s="354"/>
      <c r="T228" s="356"/>
      <c r="U228" s="354"/>
      <c r="V228" s="281"/>
      <c r="W228" s="281"/>
      <c r="X228" s="304"/>
      <c r="Y228" s="304"/>
      <c r="Z228" s="304"/>
    </row>
    <row r="229">
      <c r="A229" s="333"/>
      <c r="B229" s="354"/>
      <c r="C229" s="354"/>
      <c r="D229" s="392"/>
      <c r="E229" s="354"/>
      <c r="F229" s="354"/>
      <c r="G229" s="354"/>
      <c r="H229" s="354"/>
      <c r="I229" s="354"/>
      <c r="J229" s="354"/>
      <c r="K229" s="354"/>
      <c r="L229" s="354"/>
      <c r="M229" s="354"/>
      <c r="N229" s="354"/>
      <c r="O229" s="354"/>
      <c r="P229" s="354"/>
      <c r="Q229" s="354"/>
      <c r="R229" s="355"/>
      <c r="S229" s="354"/>
      <c r="T229" s="354"/>
      <c r="U229" s="354"/>
      <c r="V229" s="357"/>
      <c r="W229" s="357"/>
      <c r="X229" s="304"/>
      <c r="Y229" s="304"/>
      <c r="Z229" s="304"/>
    </row>
    <row r="230">
      <c r="A230" s="333"/>
      <c r="B230" s="354"/>
      <c r="C230" s="354"/>
      <c r="D230" s="392"/>
      <c r="E230" s="354"/>
      <c r="F230" s="354"/>
      <c r="G230" s="354"/>
      <c r="H230" s="354"/>
      <c r="I230" s="354"/>
      <c r="J230" s="354"/>
      <c r="K230" s="354"/>
      <c r="L230" s="354"/>
      <c r="M230" s="354"/>
      <c r="N230" s="354"/>
      <c r="O230" s="354"/>
      <c r="P230" s="354"/>
      <c r="Q230" s="354"/>
      <c r="R230" s="355"/>
      <c r="S230" s="354"/>
      <c r="T230" s="354"/>
      <c r="U230" s="354"/>
      <c r="V230" s="357"/>
      <c r="W230" s="357"/>
      <c r="X230" s="304"/>
      <c r="Y230" s="304"/>
      <c r="Z230" s="304"/>
    </row>
    <row r="231">
      <c r="A231" s="345"/>
      <c r="B231" s="354"/>
      <c r="C231" s="354"/>
      <c r="D231" s="392"/>
      <c r="E231" s="354"/>
      <c r="F231" s="354"/>
      <c r="G231" s="354"/>
      <c r="H231" s="354"/>
      <c r="I231" s="354"/>
      <c r="J231" s="354"/>
      <c r="K231" s="354"/>
      <c r="L231" s="354"/>
      <c r="M231" s="354"/>
      <c r="N231" s="354"/>
      <c r="O231" s="354"/>
      <c r="P231" s="354"/>
      <c r="Q231" s="354"/>
      <c r="R231" s="355"/>
      <c r="S231" s="354"/>
      <c r="T231" s="354"/>
      <c r="U231" s="354"/>
      <c r="V231" s="281"/>
      <c r="W231" s="281"/>
      <c r="X231" s="304"/>
      <c r="Y231" s="304"/>
      <c r="Z231" s="304"/>
    </row>
    <row r="232">
      <c r="A232" s="345"/>
      <c r="B232" s="354"/>
      <c r="C232" s="354"/>
      <c r="D232" s="392"/>
      <c r="E232" s="354"/>
      <c r="F232" s="354"/>
      <c r="G232" s="354"/>
      <c r="H232" s="354"/>
      <c r="I232" s="354"/>
      <c r="J232" s="354"/>
      <c r="K232" s="354"/>
      <c r="L232" s="354"/>
      <c r="M232" s="354"/>
      <c r="N232" s="354"/>
      <c r="O232" s="354"/>
      <c r="P232" s="354"/>
      <c r="Q232" s="354"/>
      <c r="R232" s="355"/>
      <c r="S232" s="354"/>
      <c r="T232" s="354"/>
      <c r="U232" s="354"/>
      <c r="V232" s="281"/>
      <c r="W232" s="281"/>
      <c r="X232" s="304"/>
      <c r="Y232" s="304"/>
      <c r="Z232" s="304"/>
    </row>
    <row r="233">
      <c r="A233" s="345"/>
      <c r="B233" s="354"/>
      <c r="C233" s="354"/>
      <c r="D233" s="392"/>
      <c r="E233" s="354"/>
      <c r="F233" s="354"/>
      <c r="G233" s="354"/>
      <c r="H233" s="354"/>
      <c r="I233" s="354"/>
      <c r="J233" s="354"/>
      <c r="K233" s="354"/>
      <c r="L233" s="354"/>
      <c r="M233" s="354"/>
      <c r="N233" s="354"/>
      <c r="O233" s="354"/>
      <c r="P233" s="354"/>
      <c r="Q233" s="354"/>
      <c r="R233" s="355"/>
      <c r="S233" s="354"/>
      <c r="T233" s="354"/>
      <c r="U233" s="354"/>
      <c r="V233" s="281"/>
      <c r="W233" s="281"/>
      <c r="X233" s="304"/>
      <c r="Y233" s="304"/>
      <c r="Z233" s="304"/>
    </row>
    <row r="234">
      <c r="A234" s="345"/>
      <c r="B234" s="281"/>
      <c r="C234" s="281"/>
      <c r="D234" s="397"/>
      <c r="E234" s="281"/>
      <c r="F234" s="281"/>
      <c r="G234" s="354"/>
      <c r="H234" s="281"/>
      <c r="I234" s="281"/>
      <c r="J234" s="281"/>
      <c r="K234" s="281"/>
      <c r="L234" s="281"/>
      <c r="M234" s="281"/>
      <c r="N234" s="281"/>
      <c r="O234" s="281"/>
      <c r="P234" s="281"/>
      <c r="Q234" s="281"/>
      <c r="R234" s="282"/>
      <c r="S234" s="281"/>
      <c r="T234" s="281"/>
      <c r="U234" s="281"/>
      <c r="V234" s="281"/>
      <c r="W234" s="281"/>
      <c r="X234" s="304"/>
      <c r="Y234" s="304"/>
      <c r="Z234" s="304"/>
    </row>
    <row r="235">
      <c r="A235" s="345"/>
      <c r="B235" s="281"/>
      <c r="C235" s="281"/>
      <c r="D235" s="397"/>
      <c r="E235" s="281"/>
      <c r="F235" s="281"/>
      <c r="G235" s="354"/>
      <c r="H235" s="281"/>
      <c r="I235" s="281"/>
      <c r="J235" s="281"/>
      <c r="K235" s="281"/>
      <c r="L235" s="281"/>
      <c r="M235" s="281"/>
      <c r="N235" s="281"/>
      <c r="O235" s="281"/>
      <c r="P235" s="281"/>
      <c r="Q235" s="281"/>
      <c r="R235" s="282"/>
      <c r="S235" s="281"/>
      <c r="T235" s="281"/>
      <c r="U235" s="281"/>
      <c r="V235" s="281"/>
      <c r="W235" s="281"/>
      <c r="X235" s="304"/>
      <c r="Y235" s="304"/>
      <c r="Z235" s="304"/>
    </row>
    <row r="236">
      <c r="A236" s="345"/>
      <c r="B236" s="281"/>
      <c r="C236" s="281"/>
      <c r="D236" s="397"/>
      <c r="E236" s="281"/>
      <c r="F236" s="281"/>
      <c r="G236" s="354"/>
      <c r="H236" s="281"/>
      <c r="I236" s="281"/>
      <c r="J236" s="281"/>
      <c r="K236" s="281"/>
      <c r="L236" s="281"/>
      <c r="M236" s="281"/>
      <c r="N236" s="281"/>
      <c r="O236" s="281"/>
      <c r="P236" s="281"/>
      <c r="Q236" s="281"/>
      <c r="R236" s="282"/>
      <c r="S236" s="281"/>
      <c r="T236" s="281"/>
      <c r="U236" s="281"/>
      <c r="V236" s="281"/>
      <c r="W236" s="281"/>
      <c r="X236" s="304"/>
      <c r="Y236" s="304"/>
      <c r="Z236" s="304"/>
    </row>
    <row r="237">
      <c r="A237" s="345"/>
      <c r="B237" s="281"/>
      <c r="C237" s="281"/>
      <c r="D237" s="397"/>
      <c r="E237" s="281"/>
      <c r="F237" s="281"/>
      <c r="G237" s="354"/>
      <c r="H237" s="281"/>
      <c r="I237" s="281"/>
      <c r="J237" s="281"/>
      <c r="K237" s="281"/>
      <c r="L237" s="281"/>
      <c r="M237" s="281"/>
      <c r="N237" s="281"/>
      <c r="O237" s="281"/>
      <c r="P237" s="281"/>
      <c r="Q237" s="281"/>
      <c r="R237" s="282"/>
      <c r="S237" s="281"/>
      <c r="T237" s="281"/>
      <c r="U237" s="281"/>
      <c r="V237" s="281"/>
      <c r="W237" s="281"/>
      <c r="X237" s="304"/>
      <c r="Y237" s="304"/>
      <c r="Z237" s="304"/>
    </row>
    <row r="238">
      <c r="A238" s="345"/>
      <c r="B238" s="281"/>
      <c r="C238" s="281"/>
      <c r="D238" s="397"/>
      <c r="E238" s="281"/>
      <c r="F238" s="281"/>
      <c r="G238" s="354"/>
      <c r="H238" s="281"/>
      <c r="I238" s="281"/>
      <c r="J238" s="281"/>
      <c r="K238" s="281"/>
      <c r="L238" s="281"/>
      <c r="M238" s="281"/>
      <c r="N238" s="281"/>
      <c r="O238" s="281"/>
      <c r="P238" s="281"/>
      <c r="Q238" s="281"/>
      <c r="R238" s="282"/>
      <c r="S238" s="281"/>
      <c r="T238" s="281"/>
      <c r="U238" s="281"/>
      <c r="V238" s="281"/>
      <c r="W238" s="281"/>
      <c r="X238" s="304"/>
      <c r="Y238" s="304"/>
      <c r="Z238" s="304"/>
    </row>
    <row r="239">
      <c r="A239" s="345"/>
      <c r="B239" s="281"/>
      <c r="C239" s="281"/>
      <c r="D239" s="397"/>
      <c r="E239" s="281"/>
      <c r="F239" s="281"/>
      <c r="G239" s="354"/>
      <c r="H239" s="281"/>
      <c r="I239" s="281"/>
      <c r="J239" s="281"/>
      <c r="K239" s="281"/>
      <c r="L239" s="281"/>
      <c r="M239" s="281"/>
      <c r="N239" s="281"/>
      <c r="O239" s="281"/>
      <c r="P239" s="281"/>
      <c r="Q239" s="281"/>
      <c r="R239" s="282"/>
      <c r="S239" s="281"/>
      <c r="T239" s="281"/>
      <c r="U239" s="281"/>
      <c r="V239" s="281"/>
      <c r="W239" s="281"/>
      <c r="X239" s="304"/>
      <c r="Y239" s="304"/>
      <c r="Z239" s="304"/>
    </row>
    <row r="240">
      <c r="A240" s="345"/>
      <c r="B240" s="281"/>
      <c r="C240" s="281"/>
      <c r="D240" s="397"/>
      <c r="E240" s="281"/>
      <c r="F240" s="281"/>
      <c r="G240" s="354"/>
      <c r="H240" s="281"/>
      <c r="I240" s="281"/>
      <c r="J240" s="281"/>
      <c r="K240" s="281"/>
      <c r="L240" s="281"/>
      <c r="M240" s="281"/>
      <c r="N240" s="281"/>
      <c r="O240" s="281"/>
      <c r="P240" s="281"/>
      <c r="Q240" s="281"/>
      <c r="R240" s="282"/>
      <c r="S240" s="281"/>
      <c r="T240" s="281"/>
      <c r="U240" s="281"/>
      <c r="V240" s="281"/>
      <c r="W240" s="281"/>
      <c r="X240" s="304"/>
      <c r="Y240" s="304"/>
      <c r="Z240" s="304"/>
    </row>
    <row r="241">
      <c r="A241" s="345"/>
      <c r="B241" s="281"/>
      <c r="C241" s="281"/>
      <c r="D241" s="397"/>
      <c r="E241" s="281"/>
      <c r="F241" s="281"/>
      <c r="G241" s="354"/>
      <c r="H241" s="281"/>
      <c r="I241" s="281"/>
      <c r="J241" s="281"/>
      <c r="K241" s="281"/>
      <c r="L241" s="281"/>
      <c r="M241" s="281"/>
      <c r="N241" s="281"/>
      <c r="O241" s="281"/>
      <c r="P241" s="281"/>
      <c r="Q241" s="281"/>
      <c r="R241" s="282"/>
      <c r="S241" s="281"/>
      <c r="T241" s="281"/>
      <c r="U241" s="281"/>
      <c r="V241" s="281"/>
      <c r="W241" s="281"/>
      <c r="X241" s="304"/>
      <c r="Y241" s="304"/>
      <c r="Z241" s="304"/>
    </row>
    <row r="242">
      <c r="A242" s="345"/>
      <c r="B242" s="281"/>
      <c r="C242" s="281"/>
      <c r="D242" s="397"/>
      <c r="E242" s="281"/>
      <c r="F242" s="281"/>
      <c r="G242" s="354"/>
      <c r="H242" s="281"/>
      <c r="I242" s="281"/>
      <c r="J242" s="281"/>
      <c r="K242" s="281"/>
      <c r="L242" s="281"/>
      <c r="M242" s="281"/>
      <c r="N242" s="281"/>
      <c r="O242" s="281"/>
      <c r="P242" s="281"/>
      <c r="Q242" s="281"/>
      <c r="R242" s="282"/>
      <c r="S242" s="281"/>
      <c r="T242" s="281"/>
      <c r="U242" s="281"/>
      <c r="V242" s="281"/>
      <c r="W242" s="281"/>
      <c r="X242" s="304"/>
      <c r="Y242" s="304"/>
      <c r="Z242" s="304"/>
    </row>
    <row r="243">
      <c r="A243" s="345"/>
      <c r="B243" s="281"/>
      <c r="C243" s="281"/>
      <c r="D243" s="397"/>
      <c r="E243" s="281"/>
      <c r="F243" s="281"/>
      <c r="G243" s="329"/>
      <c r="H243" s="281"/>
      <c r="I243" s="281"/>
      <c r="J243" s="281"/>
      <c r="K243" s="281"/>
      <c r="L243" s="281"/>
      <c r="M243" s="281"/>
      <c r="N243" s="281"/>
      <c r="O243" s="281"/>
      <c r="P243" s="281"/>
      <c r="Q243" s="281"/>
      <c r="R243" s="282"/>
      <c r="S243" s="281"/>
      <c r="T243" s="281"/>
      <c r="U243" s="281"/>
      <c r="V243" s="281"/>
      <c r="W243" s="281"/>
      <c r="X243" s="304"/>
      <c r="Y243" s="304"/>
      <c r="Z243" s="304"/>
    </row>
    <row r="244">
      <c r="A244" s="345"/>
      <c r="B244" s="281"/>
      <c r="C244" s="281"/>
      <c r="D244" s="397"/>
      <c r="E244" s="281"/>
      <c r="F244" s="281"/>
      <c r="G244" s="329"/>
      <c r="H244" s="281"/>
      <c r="I244" s="281"/>
      <c r="J244" s="281"/>
      <c r="K244" s="281"/>
      <c r="L244" s="281"/>
      <c r="M244" s="281"/>
      <c r="N244" s="281"/>
      <c r="O244" s="281"/>
      <c r="P244" s="281"/>
      <c r="Q244" s="281"/>
      <c r="R244" s="282"/>
      <c r="S244" s="281"/>
      <c r="T244" s="281"/>
      <c r="U244" s="281"/>
      <c r="V244" s="281"/>
      <c r="W244" s="281"/>
      <c r="X244" s="304"/>
      <c r="Y244" s="304"/>
      <c r="Z244" s="304"/>
    </row>
    <row r="245">
      <c r="A245" s="345"/>
      <c r="B245" s="281"/>
      <c r="C245" s="281"/>
      <c r="D245" s="397"/>
      <c r="E245" s="281"/>
      <c r="F245" s="281"/>
      <c r="G245" s="329"/>
      <c r="H245" s="281"/>
      <c r="I245" s="281"/>
      <c r="J245" s="281"/>
      <c r="K245" s="281"/>
      <c r="L245" s="281"/>
      <c r="M245" s="281"/>
      <c r="N245" s="281"/>
      <c r="O245" s="281"/>
      <c r="P245" s="281"/>
      <c r="Q245" s="281"/>
      <c r="R245" s="282"/>
      <c r="S245" s="281"/>
      <c r="T245" s="281"/>
      <c r="U245" s="281"/>
      <c r="V245" s="281"/>
      <c r="W245" s="281"/>
      <c r="X245" s="304"/>
      <c r="Y245" s="304"/>
      <c r="Z245" s="304"/>
    </row>
    <row r="246">
      <c r="A246" s="345"/>
      <c r="B246" s="281"/>
      <c r="C246" s="281"/>
      <c r="D246" s="397"/>
      <c r="E246" s="281"/>
      <c r="F246" s="281"/>
      <c r="G246" s="326"/>
      <c r="H246" s="281"/>
      <c r="I246" s="281"/>
      <c r="J246" s="281"/>
      <c r="K246" s="281"/>
      <c r="L246" s="281"/>
      <c r="M246" s="281"/>
      <c r="N246" s="281"/>
      <c r="O246" s="281"/>
      <c r="P246" s="281"/>
      <c r="Q246" s="281"/>
      <c r="R246" s="282"/>
      <c r="S246" s="281"/>
      <c r="T246" s="281"/>
      <c r="U246" s="281"/>
      <c r="V246" s="281"/>
      <c r="W246" s="281"/>
      <c r="X246" s="304"/>
      <c r="Y246" s="304"/>
      <c r="Z246" s="304"/>
    </row>
    <row r="247">
      <c r="A247" s="345"/>
      <c r="B247" s="281"/>
      <c r="C247" s="281"/>
      <c r="D247" s="397"/>
      <c r="E247" s="281"/>
      <c r="F247" s="281"/>
      <c r="G247" s="326"/>
      <c r="H247" s="281"/>
      <c r="I247" s="281"/>
      <c r="J247" s="281"/>
      <c r="K247" s="281"/>
      <c r="L247" s="281"/>
      <c r="M247" s="281"/>
      <c r="N247" s="281"/>
      <c r="O247" s="281"/>
      <c r="P247" s="281"/>
      <c r="Q247" s="281"/>
      <c r="R247" s="282"/>
      <c r="S247" s="281"/>
      <c r="T247" s="281"/>
      <c r="U247" s="281"/>
      <c r="V247" s="281"/>
      <c r="W247" s="281"/>
      <c r="X247" s="304"/>
      <c r="Y247" s="304"/>
      <c r="Z247" s="304"/>
    </row>
    <row r="248">
      <c r="A248" s="345"/>
      <c r="B248" s="281"/>
      <c r="C248" s="281"/>
      <c r="D248" s="397"/>
      <c r="E248" s="281"/>
      <c r="F248" s="281"/>
      <c r="G248" s="326"/>
      <c r="H248" s="281"/>
      <c r="I248" s="281"/>
      <c r="J248" s="281"/>
      <c r="K248" s="281"/>
      <c r="L248" s="281"/>
      <c r="M248" s="281"/>
      <c r="N248" s="281"/>
      <c r="O248" s="281"/>
      <c r="P248" s="281"/>
      <c r="Q248" s="281"/>
      <c r="R248" s="282"/>
      <c r="S248" s="281"/>
      <c r="T248" s="281"/>
      <c r="U248" s="281"/>
      <c r="V248" s="281"/>
      <c r="W248" s="281"/>
      <c r="X248" s="304"/>
      <c r="Y248" s="304"/>
      <c r="Z248" s="304"/>
    </row>
    <row r="249">
      <c r="A249" s="345"/>
      <c r="B249" s="281"/>
      <c r="C249" s="281"/>
      <c r="D249" s="397"/>
      <c r="E249" s="281"/>
      <c r="F249" s="281"/>
      <c r="G249" s="326"/>
      <c r="H249" s="281"/>
      <c r="I249" s="281"/>
      <c r="J249" s="281"/>
      <c r="K249" s="281"/>
      <c r="L249" s="281"/>
      <c r="M249" s="281"/>
      <c r="N249" s="281"/>
      <c r="O249" s="281"/>
      <c r="P249" s="281"/>
      <c r="Q249" s="281"/>
      <c r="R249" s="282"/>
      <c r="S249" s="281"/>
      <c r="T249" s="281"/>
      <c r="U249" s="281"/>
      <c r="V249" s="281"/>
      <c r="W249" s="281"/>
      <c r="X249" s="304"/>
      <c r="Y249" s="304"/>
      <c r="Z249" s="304"/>
    </row>
    <row r="250">
      <c r="A250" s="345"/>
      <c r="B250" s="281"/>
      <c r="C250" s="281"/>
      <c r="D250" s="397"/>
      <c r="E250" s="281"/>
      <c r="F250" s="281"/>
      <c r="G250" s="281"/>
      <c r="H250" s="281"/>
      <c r="I250" s="281"/>
      <c r="J250" s="281"/>
      <c r="K250" s="281"/>
      <c r="L250" s="281"/>
      <c r="M250" s="281"/>
      <c r="N250" s="281"/>
      <c r="O250" s="281"/>
      <c r="P250" s="281"/>
      <c r="Q250" s="281"/>
      <c r="R250" s="282"/>
      <c r="S250" s="281"/>
      <c r="T250" s="281"/>
      <c r="U250" s="281"/>
      <c r="V250" s="281"/>
      <c r="W250" s="281"/>
      <c r="X250" s="304"/>
      <c r="Y250" s="304"/>
      <c r="Z250" s="304"/>
    </row>
    <row r="251">
      <c r="A251" s="345"/>
      <c r="B251" s="281"/>
      <c r="C251" s="281"/>
      <c r="D251" s="397"/>
      <c r="E251" s="281"/>
      <c r="F251" s="281"/>
      <c r="G251" s="281"/>
      <c r="H251" s="281"/>
      <c r="I251" s="281"/>
      <c r="J251" s="281"/>
      <c r="K251" s="281"/>
      <c r="L251" s="281"/>
      <c r="M251" s="281"/>
      <c r="N251" s="281"/>
      <c r="O251" s="281"/>
      <c r="P251" s="281"/>
      <c r="Q251" s="281"/>
      <c r="R251" s="282"/>
      <c r="S251" s="281"/>
      <c r="T251" s="281"/>
      <c r="U251" s="281"/>
      <c r="V251" s="281"/>
      <c r="W251" s="281"/>
      <c r="X251" s="304"/>
      <c r="Y251" s="304"/>
      <c r="Z251" s="304"/>
    </row>
    <row r="252">
      <c r="A252" s="345"/>
      <c r="B252" s="281"/>
      <c r="C252" s="281"/>
      <c r="D252" s="397"/>
      <c r="E252" s="281"/>
      <c r="F252" s="281"/>
      <c r="G252" s="281"/>
      <c r="H252" s="281"/>
      <c r="I252" s="281"/>
      <c r="J252" s="281"/>
      <c r="K252" s="281"/>
      <c r="L252" s="281"/>
      <c r="M252" s="281"/>
      <c r="N252" s="281"/>
      <c r="O252" s="281"/>
      <c r="P252" s="281"/>
      <c r="Q252" s="281"/>
      <c r="R252" s="282"/>
      <c r="S252" s="281"/>
      <c r="T252" s="281"/>
      <c r="U252" s="281"/>
      <c r="V252" s="281"/>
      <c r="W252" s="281"/>
      <c r="X252" s="304"/>
      <c r="Y252" s="304"/>
      <c r="Z252" s="304"/>
    </row>
    <row r="253">
      <c r="A253" s="345"/>
      <c r="B253" s="281"/>
      <c r="C253" s="281"/>
      <c r="D253" s="397"/>
      <c r="E253" s="281"/>
      <c r="F253" s="281"/>
      <c r="G253" s="281"/>
      <c r="H253" s="281"/>
      <c r="I253" s="281"/>
      <c r="J253" s="281"/>
      <c r="K253" s="281"/>
      <c r="L253" s="281"/>
      <c r="M253" s="281"/>
      <c r="N253" s="281"/>
      <c r="O253" s="281"/>
      <c r="P253" s="281"/>
      <c r="Q253" s="281"/>
      <c r="R253" s="282"/>
      <c r="S253" s="281"/>
      <c r="T253" s="281"/>
      <c r="U253" s="281"/>
      <c r="V253" s="281"/>
      <c r="W253" s="281"/>
      <c r="X253" s="304"/>
      <c r="Y253" s="304"/>
      <c r="Z253" s="304"/>
    </row>
    <row r="254">
      <c r="A254" s="345"/>
      <c r="B254" s="281"/>
      <c r="C254" s="281"/>
      <c r="D254" s="397"/>
      <c r="E254" s="281"/>
      <c r="F254" s="281"/>
      <c r="G254" s="281"/>
      <c r="H254" s="281"/>
      <c r="I254" s="281"/>
      <c r="J254" s="281"/>
      <c r="K254" s="281"/>
      <c r="L254" s="281"/>
      <c r="M254" s="281"/>
      <c r="N254" s="281"/>
      <c r="O254" s="281"/>
      <c r="P254" s="281"/>
      <c r="Q254" s="281"/>
      <c r="R254" s="282"/>
      <c r="S254" s="281"/>
      <c r="T254" s="281"/>
      <c r="U254" s="281"/>
      <c r="V254" s="281"/>
      <c r="W254" s="281"/>
      <c r="X254" s="304"/>
      <c r="Y254" s="304"/>
      <c r="Z254" s="304"/>
    </row>
    <row r="255">
      <c r="A255" s="345"/>
      <c r="B255" s="281"/>
      <c r="C255" s="281"/>
      <c r="D255" s="397"/>
      <c r="E255" s="281"/>
      <c r="F255" s="281"/>
      <c r="G255" s="281"/>
      <c r="H255" s="281"/>
      <c r="I255" s="281"/>
      <c r="J255" s="281"/>
      <c r="K255" s="281"/>
      <c r="L255" s="281"/>
      <c r="M255" s="281"/>
      <c r="N255" s="281"/>
      <c r="O255" s="281"/>
      <c r="P255" s="281"/>
      <c r="Q255" s="281"/>
      <c r="R255" s="282"/>
      <c r="S255" s="281"/>
      <c r="T255" s="281"/>
      <c r="U255" s="281"/>
      <c r="V255" s="281"/>
      <c r="W255" s="281"/>
      <c r="X255" s="304"/>
      <c r="Y255" s="304"/>
      <c r="Z255" s="304"/>
    </row>
    <row r="256">
      <c r="A256" s="345"/>
      <c r="B256" s="281"/>
      <c r="C256" s="281"/>
      <c r="D256" s="397"/>
      <c r="E256" s="281"/>
      <c r="F256" s="281"/>
      <c r="G256" s="281"/>
      <c r="H256" s="281"/>
      <c r="I256" s="281"/>
      <c r="J256" s="281"/>
      <c r="K256" s="281"/>
      <c r="L256" s="281"/>
      <c r="M256" s="281"/>
      <c r="N256" s="281"/>
      <c r="O256" s="281"/>
      <c r="P256" s="281"/>
      <c r="Q256" s="281"/>
      <c r="R256" s="282"/>
      <c r="S256" s="281"/>
      <c r="T256" s="281"/>
      <c r="U256" s="281"/>
      <c r="V256" s="281"/>
      <c r="W256" s="281"/>
      <c r="X256" s="304"/>
      <c r="Y256" s="304"/>
      <c r="Z256" s="304"/>
    </row>
    <row r="257">
      <c r="A257" s="345"/>
      <c r="B257" s="281"/>
      <c r="C257" s="281"/>
      <c r="D257" s="397"/>
      <c r="E257" s="281"/>
      <c r="F257" s="281"/>
      <c r="G257" s="281"/>
      <c r="H257" s="281"/>
      <c r="I257" s="281"/>
      <c r="J257" s="281"/>
      <c r="K257" s="281"/>
      <c r="L257" s="281"/>
      <c r="M257" s="281"/>
      <c r="N257" s="281"/>
      <c r="O257" s="281"/>
      <c r="P257" s="281"/>
      <c r="Q257" s="281"/>
      <c r="R257" s="282"/>
      <c r="S257" s="281"/>
      <c r="T257" s="281"/>
      <c r="U257" s="281"/>
      <c r="V257" s="281"/>
      <c r="W257" s="281"/>
      <c r="X257" s="304"/>
      <c r="Y257" s="304"/>
      <c r="Z257" s="304"/>
    </row>
    <row r="258">
      <c r="A258" s="345"/>
      <c r="B258" s="281"/>
      <c r="C258" s="281"/>
      <c r="D258" s="397"/>
      <c r="E258" s="281"/>
      <c r="F258" s="281"/>
      <c r="G258" s="281"/>
      <c r="H258" s="281"/>
      <c r="I258" s="281"/>
      <c r="J258" s="281"/>
      <c r="K258" s="281"/>
      <c r="L258" s="281"/>
      <c r="M258" s="281"/>
      <c r="N258" s="281"/>
      <c r="O258" s="281"/>
      <c r="P258" s="281"/>
      <c r="Q258" s="281"/>
      <c r="R258" s="282"/>
      <c r="S258" s="281"/>
      <c r="T258" s="281"/>
      <c r="U258" s="281"/>
      <c r="V258" s="281"/>
      <c r="W258" s="281"/>
      <c r="X258" s="304"/>
      <c r="Y258" s="304"/>
      <c r="Z258" s="304"/>
    </row>
    <row r="259">
      <c r="A259" s="345"/>
      <c r="B259" s="281"/>
      <c r="C259" s="281"/>
      <c r="D259" s="397"/>
      <c r="E259" s="281"/>
      <c r="F259" s="281"/>
      <c r="G259" s="281"/>
      <c r="H259" s="281"/>
      <c r="I259" s="281"/>
      <c r="J259" s="281"/>
      <c r="K259" s="281"/>
      <c r="L259" s="281"/>
      <c r="M259" s="281"/>
      <c r="N259" s="281"/>
      <c r="O259" s="281"/>
      <c r="P259" s="281"/>
      <c r="Q259" s="281"/>
      <c r="R259" s="282"/>
      <c r="S259" s="281"/>
      <c r="T259" s="281"/>
      <c r="U259" s="281"/>
      <c r="V259" s="281"/>
      <c r="W259" s="281"/>
      <c r="X259" s="304"/>
      <c r="Y259" s="304"/>
      <c r="Z259" s="304"/>
    </row>
    <row r="260">
      <c r="A260" s="345"/>
      <c r="B260" s="281"/>
      <c r="C260" s="281"/>
      <c r="D260" s="397"/>
      <c r="E260" s="281"/>
      <c r="F260" s="281"/>
      <c r="G260" s="281"/>
      <c r="H260" s="281"/>
      <c r="I260" s="281"/>
      <c r="J260" s="281"/>
      <c r="K260" s="281"/>
      <c r="L260" s="281"/>
      <c r="M260" s="281"/>
      <c r="N260" s="281"/>
      <c r="O260" s="281"/>
      <c r="P260" s="281"/>
      <c r="Q260" s="281"/>
      <c r="R260" s="282"/>
      <c r="S260" s="281"/>
      <c r="T260" s="281"/>
      <c r="U260" s="281"/>
      <c r="V260" s="281"/>
      <c r="W260" s="281"/>
      <c r="X260" s="304"/>
      <c r="Y260" s="304"/>
      <c r="Z260" s="304"/>
    </row>
    <row r="261">
      <c r="A261" s="345"/>
      <c r="B261" s="281"/>
      <c r="C261" s="281"/>
      <c r="D261" s="397"/>
      <c r="E261" s="281"/>
      <c r="F261" s="281"/>
      <c r="G261" s="281"/>
      <c r="H261" s="281"/>
      <c r="I261" s="281"/>
      <c r="J261" s="281"/>
      <c r="K261" s="281"/>
      <c r="L261" s="281"/>
      <c r="M261" s="281"/>
      <c r="N261" s="281"/>
      <c r="O261" s="281"/>
      <c r="P261" s="281"/>
      <c r="Q261" s="281"/>
      <c r="R261" s="282"/>
      <c r="S261" s="281"/>
      <c r="T261" s="281"/>
      <c r="U261" s="281"/>
      <c r="V261" s="281"/>
      <c r="W261" s="281"/>
      <c r="X261" s="304"/>
      <c r="Y261" s="304"/>
      <c r="Z261" s="304"/>
    </row>
    <row r="262">
      <c r="A262" s="345"/>
      <c r="B262" s="281"/>
      <c r="C262" s="281"/>
      <c r="D262" s="397"/>
      <c r="E262" s="281"/>
      <c r="F262" s="281"/>
      <c r="G262" s="281"/>
      <c r="H262" s="281"/>
      <c r="I262" s="281"/>
      <c r="J262" s="281"/>
      <c r="K262" s="281"/>
      <c r="L262" s="281"/>
      <c r="M262" s="281"/>
      <c r="N262" s="281"/>
      <c r="O262" s="281"/>
      <c r="P262" s="281"/>
      <c r="Q262" s="281"/>
      <c r="R262" s="282"/>
      <c r="S262" s="281"/>
      <c r="T262" s="281"/>
      <c r="U262" s="281"/>
      <c r="V262" s="281"/>
      <c r="W262" s="281"/>
      <c r="X262" s="304"/>
      <c r="Y262" s="304"/>
      <c r="Z262" s="304"/>
    </row>
    <row r="263">
      <c r="A263" s="345"/>
      <c r="B263" s="281"/>
      <c r="C263" s="281"/>
      <c r="D263" s="397"/>
      <c r="E263" s="281"/>
      <c r="F263" s="281"/>
      <c r="G263" s="281"/>
      <c r="H263" s="281"/>
      <c r="I263" s="281"/>
      <c r="J263" s="281"/>
      <c r="K263" s="281"/>
      <c r="L263" s="281"/>
      <c r="M263" s="281"/>
      <c r="N263" s="281"/>
      <c r="O263" s="281"/>
      <c r="P263" s="281"/>
      <c r="Q263" s="281"/>
      <c r="R263" s="282"/>
      <c r="S263" s="281"/>
      <c r="T263" s="281"/>
      <c r="U263" s="281"/>
      <c r="V263" s="281"/>
      <c r="W263" s="281"/>
      <c r="X263" s="304"/>
      <c r="Y263" s="304"/>
      <c r="Z263" s="304"/>
    </row>
    <row r="264">
      <c r="A264" s="345"/>
      <c r="B264" s="281"/>
      <c r="C264" s="281"/>
      <c r="D264" s="397"/>
      <c r="E264" s="281"/>
      <c r="F264" s="281"/>
      <c r="G264" s="281"/>
      <c r="H264" s="281"/>
      <c r="I264" s="281"/>
      <c r="J264" s="281"/>
      <c r="K264" s="281"/>
      <c r="L264" s="281"/>
      <c r="M264" s="281"/>
      <c r="N264" s="281"/>
      <c r="O264" s="281"/>
      <c r="P264" s="281"/>
      <c r="Q264" s="281"/>
      <c r="R264" s="282"/>
      <c r="S264" s="281"/>
      <c r="T264" s="281"/>
      <c r="U264" s="281"/>
      <c r="V264" s="281"/>
      <c r="W264" s="281"/>
      <c r="X264" s="304"/>
      <c r="Y264" s="304"/>
      <c r="Z264" s="304"/>
    </row>
    <row r="265">
      <c r="A265" s="345"/>
      <c r="B265" s="281"/>
      <c r="C265" s="281"/>
      <c r="D265" s="397"/>
      <c r="E265" s="281"/>
      <c r="F265" s="281"/>
      <c r="G265" s="281"/>
      <c r="H265" s="281"/>
      <c r="I265" s="281"/>
      <c r="J265" s="281"/>
      <c r="K265" s="281"/>
      <c r="L265" s="281"/>
      <c r="M265" s="281"/>
      <c r="N265" s="281"/>
      <c r="O265" s="281"/>
      <c r="P265" s="281"/>
      <c r="Q265" s="281"/>
      <c r="R265" s="282"/>
      <c r="S265" s="281"/>
      <c r="T265" s="281"/>
      <c r="U265" s="281"/>
      <c r="V265" s="281"/>
      <c r="W265" s="281"/>
      <c r="X265" s="304"/>
      <c r="Y265" s="304"/>
      <c r="Z265" s="304"/>
    </row>
    <row r="266">
      <c r="A266" s="345"/>
      <c r="B266" s="281"/>
      <c r="C266" s="281"/>
      <c r="D266" s="397"/>
      <c r="E266" s="281"/>
      <c r="F266" s="281"/>
      <c r="G266" s="281"/>
      <c r="H266" s="281"/>
      <c r="I266" s="281"/>
      <c r="J266" s="281"/>
      <c r="K266" s="281"/>
      <c r="L266" s="281"/>
      <c r="M266" s="281"/>
      <c r="N266" s="281"/>
      <c r="O266" s="281"/>
      <c r="P266" s="281"/>
      <c r="Q266" s="281"/>
      <c r="R266" s="282"/>
      <c r="S266" s="281"/>
      <c r="T266" s="281"/>
      <c r="U266" s="281"/>
      <c r="V266" s="281"/>
      <c r="W266" s="281"/>
      <c r="X266" s="304"/>
      <c r="Y266" s="304"/>
      <c r="Z266" s="304"/>
    </row>
    <row r="267">
      <c r="A267" s="345"/>
      <c r="B267" s="281"/>
      <c r="C267" s="281"/>
      <c r="D267" s="397"/>
      <c r="E267" s="281"/>
      <c r="F267" s="281"/>
      <c r="G267" s="281"/>
      <c r="H267" s="281"/>
      <c r="I267" s="281"/>
      <c r="J267" s="281"/>
      <c r="K267" s="281"/>
      <c r="L267" s="281"/>
      <c r="M267" s="281"/>
      <c r="N267" s="281"/>
      <c r="O267" s="281"/>
      <c r="P267" s="281"/>
      <c r="Q267" s="281"/>
      <c r="R267" s="282"/>
      <c r="S267" s="281"/>
      <c r="T267" s="281"/>
      <c r="U267" s="281"/>
      <c r="V267" s="281"/>
      <c r="W267" s="281"/>
      <c r="X267" s="304"/>
      <c r="Y267" s="304"/>
      <c r="Z267" s="304"/>
    </row>
    <row r="268">
      <c r="A268" s="345"/>
      <c r="B268" s="281"/>
      <c r="C268" s="281"/>
      <c r="D268" s="397"/>
      <c r="E268" s="281"/>
      <c r="F268" s="281"/>
      <c r="G268" s="281"/>
      <c r="H268" s="281"/>
      <c r="I268" s="281"/>
      <c r="J268" s="281"/>
      <c r="K268" s="281"/>
      <c r="L268" s="281"/>
      <c r="M268" s="281"/>
      <c r="N268" s="281"/>
      <c r="O268" s="281"/>
      <c r="P268" s="281"/>
      <c r="Q268" s="281"/>
      <c r="R268" s="282"/>
      <c r="S268" s="281"/>
      <c r="T268" s="281"/>
      <c r="U268" s="281"/>
      <c r="V268" s="281"/>
      <c r="W268" s="281"/>
      <c r="X268" s="304"/>
      <c r="Y268" s="304"/>
      <c r="Z268" s="304"/>
    </row>
    <row r="269">
      <c r="A269" s="345"/>
      <c r="B269" s="281"/>
      <c r="C269" s="281"/>
      <c r="D269" s="397"/>
      <c r="E269" s="281"/>
      <c r="F269" s="281"/>
      <c r="G269" s="281"/>
      <c r="H269" s="281"/>
      <c r="I269" s="281"/>
      <c r="J269" s="281"/>
      <c r="K269" s="281"/>
      <c r="L269" s="281"/>
      <c r="M269" s="281"/>
      <c r="N269" s="281"/>
      <c r="O269" s="281"/>
      <c r="P269" s="281"/>
      <c r="Q269" s="281"/>
      <c r="R269" s="282"/>
      <c r="S269" s="281"/>
      <c r="T269" s="281"/>
      <c r="U269" s="281"/>
      <c r="V269" s="281"/>
      <c r="W269" s="281"/>
      <c r="X269" s="304"/>
      <c r="Y269" s="304"/>
      <c r="Z269" s="304"/>
    </row>
    <row r="270">
      <c r="A270" s="345"/>
      <c r="B270" s="281"/>
      <c r="C270" s="281"/>
      <c r="D270" s="397"/>
      <c r="E270" s="281"/>
      <c r="F270" s="281"/>
      <c r="G270" s="281"/>
      <c r="H270" s="281"/>
      <c r="I270" s="281"/>
      <c r="J270" s="281"/>
      <c r="K270" s="281"/>
      <c r="L270" s="281"/>
      <c r="M270" s="281"/>
      <c r="N270" s="281"/>
      <c r="O270" s="281"/>
      <c r="P270" s="281"/>
      <c r="Q270" s="281"/>
      <c r="R270" s="282"/>
      <c r="S270" s="281"/>
      <c r="T270" s="281"/>
      <c r="U270" s="281"/>
      <c r="V270" s="281"/>
      <c r="W270" s="281"/>
      <c r="X270" s="304"/>
      <c r="Y270" s="304"/>
      <c r="Z270" s="304"/>
    </row>
    <row r="271">
      <c r="A271" s="345"/>
      <c r="B271" s="281"/>
      <c r="C271" s="281"/>
      <c r="D271" s="397"/>
      <c r="E271" s="281"/>
      <c r="F271" s="281"/>
      <c r="G271" s="281"/>
      <c r="H271" s="281"/>
      <c r="I271" s="281"/>
      <c r="J271" s="281"/>
      <c r="K271" s="281"/>
      <c r="L271" s="281"/>
      <c r="M271" s="281"/>
      <c r="N271" s="281"/>
      <c r="O271" s="281"/>
      <c r="P271" s="281"/>
      <c r="Q271" s="281"/>
      <c r="R271" s="282"/>
      <c r="S271" s="281"/>
      <c r="T271" s="281"/>
      <c r="U271" s="281"/>
      <c r="V271" s="281"/>
      <c r="W271" s="281"/>
      <c r="X271" s="304"/>
      <c r="Y271" s="304"/>
      <c r="Z271" s="304"/>
    </row>
    <row r="272">
      <c r="A272" s="345"/>
      <c r="B272" s="281"/>
      <c r="C272" s="281"/>
      <c r="D272" s="397"/>
      <c r="E272" s="281"/>
      <c r="F272" s="281"/>
      <c r="G272" s="281"/>
      <c r="H272" s="281"/>
      <c r="I272" s="281"/>
      <c r="J272" s="281"/>
      <c r="K272" s="281"/>
      <c r="L272" s="281"/>
      <c r="M272" s="281"/>
      <c r="N272" s="281"/>
      <c r="O272" s="281"/>
      <c r="P272" s="281"/>
      <c r="Q272" s="281"/>
      <c r="R272" s="282"/>
      <c r="S272" s="281"/>
      <c r="T272" s="281"/>
      <c r="U272" s="281"/>
      <c r="V272" s="281"/>
      <c r="W272" s="281"/>
      <c r="X272" s="304"/>
      <c r="Y272" s="304"/>
      <c r="Z272" s="304"/>
    </row>
    <row r="273">
      <c r="A273" s="345"/>
      <c r="B273" s="281"/>
      <c r="C273" s="281"/>
      <c r="D273" s="397"/>
      <c r="E273" s="281"/>
      <c r="F273" s="281"/>
      <c r="G273" s="281"/>
      <c r="H273" s="281"/>
      <c r="I273" s="281"/>
      <c r="J273" s="281"/>
      <c r="K273" s="281"/>
      <c r="L273" s="281"/>
      <c r="M273" s="281"/>
      <c r="N273" s="281"/>
      <c r="O273" s="281"/>
      <c r="P273" s="281"/>
      <c r="Q273" s="281"/>
      <c r="R273" s="281"/>
      <c r="S273" s="281"/>
      <c r="T273" s="281"/>
      <c r="U273" s="281"/>
      <c r="V273" s="281"/>
      <c r="W273" s="281"/>
      <c r="X273" s="304"/>
      <c r="Y273" s="304"/>
      <c r="Z273" s="304"/>
    </row>
    <row r="274">
      <c r="A274" s="345"/>
      <c r="B274" s="281"/>
      <c r="C274" s="281"/>
      <c r="D274" s="397"/>
      <c r="E274" s="281"/>
      <c r="F274" s="281"/>
      <c r="G274" s="281"/>
      <c r="H274" s="281"/>
      <c r="I274" s="281"/>
      <c r="J274" s="281"/>
      <c r="K274" s="281"/>
      <c r="L274" s="281"/>
      <c r="M274" s="281"/>
      <c r="N274" s="281"/>
      <c r="O274" s="281"/>
      <c r="P274" s="281"/>
      <c r="Q274" s="281"/>
      <c r="R274" s="281"/>
      <c r="S274" s="281"/>
      <c r="T274" s="281"/>
      <c r="U274" s="281"/>
      <c r="V274" s="281"/>
      <c r="W274" s="281"/>
      <c r="X274" s="304"/>
      <c r="Y274" s="304"/>
      <c r="Z274" s="304"/>
    </row>
    <row r="275">
      <c r="A275" s="345"/>
      <c r="B275" s="281"/>
      <c r="C275" s="281"/>
      <c r="D275" s="397"/>
      <c r="E275" s="281"/>
      <c r="F275" s="281"/>
      <c r="G275" s="281"/>
      <c r="H275" s="281"/>
      <c r="I275" s="281"/>
      <c r="J275" s="281"/>
      <c r="K275" s="281"/>
      <c r="L275" s="281"/>
      <c r="M275" s="281"/>
      <c r="N275" s="281"/>
      <c r="O275" s="281"/>
      <c r="P275" s="281"/>
      <c r="Q275" s="281"/>
      <c r="R275" s="281"/>
      <c r="S275" s="281"/>
      <c r="T275" s="281"/>
      <c r="U275" s="281"/>
      <c r="V275" s="281"/>
      <c r="W275" s="281"/>
      <c r="X275" s="304"/>
      <c r="Y275" s="304"/>
      <c r="Z275" s="304"/>
    </row>
    <row r="276">
      <c r="A276" s="345"/>
      <c r="B276" s="281"/>
      <c r="C276" s="281"/>
      <c r="D276" s="397"/>
      <c r="E276" s="281"/>
      <c r="F276" s="281"/>
      <c r="G276" s="281"/>
      <c r="H276" s="281"/>
      <c r="I276" s="281"/>
      <c r="J276" s="281"/>
      <c r="K276" s="281"/>
      <c r="L276" s="281"/>
      <c r="M276" s="281"/>
      <c r="N276" s="281"/>
      <c r="O276" s="281"/>
      <c r="P276" s="281"/>
      <c r="Q276" s="281"/>
      <c r="R276" s="281"/>
      <c r="S276" s="281"/>
      <c r="T276" s="281"/>
      <c r="U276" s="281"/>
      <c r="V276" s="281"/>
      <c r="W276" s="281"/>
      <c r="X276" s="304"/>
      <c r="Y276" s="304"/>
      <c r="Z276" s="304"/>
    </row>
    <row r="277">
      <c r="A277" s="345"/>
      <c r="B277" s="281"/>
      <c r="C277" s="281"/>
      <c r="D277" s="397"/>
      <c r="E277" s="281"/>
      <c r="F277" s="281"/>
      <c r="G277" s="281"/>
      <c r="H277" s="281"/>
      <c r="I277" s="281"/>
      <c r="J277" s="281"/>
      <c r="K277" s="281"/>
      <c r="L277" s="281"/>
      <c r="M277" s="281"/>
      <c r="N277" s="281"/>
      <c r="O277" s="281"/>
      <c r="P277" s="281"/>
      <c r="Q277" s="281"/>
      <c r="R277" s="281"/>
      <c r="S277" s="281"/>
      <c r="T277" s="281"/>
      <c r="U277" s="281"/>
      <c r="V277" s="281"/>
      <c r="W277" s="281"/>
      <c r="X277" s="304"/>
      <c r="Y277" s="304"/>
      <c r="Z277" s="304"/>
    </row>
    <row r="278">
      <c r="A278" s="345"/>
      <c r="B278" s="281"/>
      <c r="C278" s="281"/>
      <c r="D278" s="397"/>
      <c r="E278" s="281"/>
      <c r="F278" s="281"/>
      <c r="G278" s="281"/>
      <c r="H278" s="281"/>
      <c r="I278" s="281"/>
      <c r="J278" s="281"/>
      <c r="K278" s="281"/>
      <c r="L278" s="281"/>
      <c r="M278" s="281"/>
      <c r="N278" s="281"/>
      <c r="O278" s="281"/>
      <c r="P278" s="281"/>
      <c r="Q278" s="281"/>
      <c r="R278" s="281"/>
      <c r="S278" s="281"/>
      <c r="T278" s="281"/>
      <c r="U278" s="281"/>
      <c r="V278" s="281"/>
      <c r="W278" s="281"/>
      <c r="X278" s="304"/>
      <c r="Y278" s="304"/>
      <c r="Z278" s="304"/>
    </row>
    <row r="279">
      <c r="A279" s="345"/>
      <c r="B279" s="281"/>
      <c r="C279" s="281"/>
      <c r="D279" s="397"/>
      <c r="E279" s="281"/>
      <c r="F279" s="281"/>
      <c r="G279" s="281"/>
      <c r="H279" s="281"/>
      <c r="I279" s="281"/>
      <c r="J279" s="281"/>
      <c r="K279" s="281"/>
      <c r="L279" s="281"/>
      <c r="M279" s="281"/>
      <c r="N279" s="281"/>
      <c r="O279" s="281"/>
      <c r="P279" s="281"/>
      <c r="Q279" s="281"/>
      <c r="R279" s="281"/>
      <c r="S279" s="281"/>
      <c r="T279" s="281"/>
      <c r="U279" s="281"/>
      <c r="V279" s="281"/>
      <c r="W279" s="281"/>
      <c r="X279" s="304"/>
      <c r="Y279" s="304"/>
      <c r="Z279" s="304"/>
    </row>
    <row r="280">
      <c r="A280" s="345"/>
      <c r="B280" s="281"/>
      <c r="C280" s="281"/>
      <c r="D280" s="397"/>
      <c r="E280" s="281"/>
      <c r="F280" s="281"/>
      <c r="G280" s="281"/>
      <c r="H280" s="281"/>
      <c r="I280" s="281"/>
      <c r="J280" s="281"/>
      <c r="K280" s="281"/>
      <c r="L280" s="281"/>
      <c r="M280" s="281"/>
      <c r="N280" s="281"/>
      <c r="O280" s="281"/>
      <c r="P280" s="281"/>
      <c r="Q280" s="281"/>
      <c r="R280" s="281"/>
      <c r="S280" s="281"/>
      <c r="T280" s="281"/>
      <c r="U280" s="281"/>
      <c r="V280" s="281"/>
      <c r="W280" s="281"/>
      <c r="X280" s="304"/>
      <c r="Y280" s="304"/>
      <c r="Z280" s="304"/>
    </row>
    <row r="281">
      <c r="A281" s="345"/>
      <c r="B281" s="281"/>
      <c r="C281" s="281"/>
      <c r="D281" s="397"/>
      <c r="E281" s="281"/>
      <c r="F281" s="281"/>
      <c r="G281" s="281"/>
      <c r="H281" s="281"/>
      <c r="I281" s="281"/>
      <c r="J281" s="281"/>
      <c r="K281" s="281"/>
      <c r="L281" s="281"/>
      <c r="M281" s="281"/>
      <c r="N281" s="281"/>
      <c r="O281" s="281"/>
      <c r="P281" s="281"/>
      <c r="Q281" s="281"/>
      <c r="R281" s="281"/>
      <c r="S281" s="281"/>
      <c r="T281" s="281"/>
      <c r="U281" s="281"/>
      <c r="V281" s="281"/>
      <c r="W281" s="281"/>
      <c r="X281" s="304"/>
      <c r="Y281" s="304"/>
      <c r="Z281" s="304"/>
    </row>
    <row r="282">
      <c r="A282" s="345"/>
      <c r="B282" s="281"/>
      <c r="C282" s="281"/>
      <c r="D282" s="397"/>
      <c r="E282" s="281"/>
      <c r="F282" s="281"/>
      <c r="G282" s="281"/>
      <c r="H282" s="281"/>
      <c r="I282" s="281"/>
      <c r="J282" s="281"/>
      <c r="K282" s="281"/>
      <c r="L282" s="281"/>
      <c r="M282" s="281"/>
      <c r="N282" s="281"/>
      <c r="O282" s="281"/>
      <c r="P282" s="281"/>
      <c r="Q282" s="281"/>
      <c r="R282" s="281"/>
      <c r="S282" s="281"/>
      <c r="T282" s="281"/>
      <c r="U282" s="281"/>
      <c r="V282" s="281"/>
      <c r="W282" s="281"/>
      <c r="X282" s="304"/>
      <c r="Y282" s="304"/>
      <c r="Z282" s="304"/>
    </row>
    <row r="283">
      <c r="A283" s="345"/>
      <c r="B283" s="281"/>
      <c r="C283" s="281"/>
      <c r="D283" s="397"/>
      <c r="E283" s="281"/>
      <c r="F283" s="281"/>
      <c r="G283" s="281"/>
      <c r="H283" s="281"/>
      <c r="I283" s="281"/>
      <c r="J283" s="281"/>
      <c r="K283" s="281"/>
      <c r="L283" s="281"/>
      <c r="M283" s="281"/>
      <c r="N283" s="281"/>
      <c r="O283" s="281"/>
      <c r="P283" s="281"/>
      <c r="Q283" s="281"/>
      <c r="R283" s="281"/>
      <c r="S283" s="281"/>
      <c r="T283" s="281"/>
      <c r="U283" s="281"/>
      <c r="V283" s="281"/>
      <c r="W283" s="281"/>
      <c r="X283" s="304"/>
      <c r="Y283" s="304"/>
      <c r="Z283" s="304"/>
    </row>
    <row r="284">
      <c r="A284" s="345"/>
      <c r="B284" s="281"/>
      <c r="C284" s="281"/>
      <c r="D284" s="397"/>
      <c r="E284" s="281"/>
      <c r="F284" s="281"/>
      <c r="G284" s="281"/>
      <c r="H284" s="281"/>
      <c r="I284" s="281"/>
      <c r="J284" s="281"/>
      <c r="K284" s="281"/>
      <c r="L284" s="281"/>
      <c r="M284" s="281"/>
      <c r="N284" s="281"/>
      <c r="O284" s="281"/>
      <c r="P284" s="281"/>
      <c r="Q284" s="281"/>
      <c r="R284" s="281"/>
      <c r="S284" s="281"/>
      <c r="T284" s="281"/>
      <c r="U284" s="281"/>
      <c r="V284" s="281"/>
      <c r="W284" s="281"/>
      <c r="X284" s="304"/>
      <c r="Y284" s="304"/>
      <c r="Z284" s="304"/>
    </row>
    <row r="285">
      <c r="A285" s="345"/>
      <c r="B285" s="281"/>
      <c r="C285" s="281"/>
      <c r="D285" s="397"/>
      <c r="E285" s="281"/>
      <c r="F285" s="281"/>
      <c r="G285" s="281"/>
      <c r="H285" s="281"/>
      <c r="I285" s="281"/>
      <c r="J285" s="281"/>
      <c r="K285" s="281"/>
      <c r="L285" s="281"/>
      <c r="M285" s="281"/>
      <c r="N285" s="281"/>
      <c r="O285" s="281"/>
      <c r="P285" s="281"/>
      <c r="Q285" s="281"/>
      <c r="R285" s="281"/>
      <c r="S285" s="281"/>
      <c r="T285" s="281"/>
      <c r="U285" s="281"/>
      <c r="V285" s="281"/>
      <c r="W285" s="281"/>
      <c r="X285" s="304"/>
      <c r="Y285" s="304"/>
      <c r="Z285" s="304"/>
    </row>
    <row r="286">
      <c r="A286" s="345"/>
      <c r="B286" s="281"/>
      <c r="C286" s="281"/>
      <c r="D286" s="397"/>
      <c r="E286" s="281"/>
      <c r="F286" s="281"/>
      <c r="G286" s="281"/>
      <c r="H286" s="281"/>
      <c r="I286" s="281"/>
      <c r="J286" s="281"/>
      <c r="K286" s="281"/>
      <c r="L286" s="281"/>
      <c r="M286" s="281"/>
      <c r="N286" s="281"/>
      <c r="O286" s="281"/>
      <c r="P286" s="281"/>
      <c r="Q286" s="281"/>
      <c r="R286" s="281"/>
      <c r="S286" s="281"/>
      <c r="T286" s="281"/>
      <c r="U286" s="281"/>
      <c r="V286" s="281"/>
      <c r="W286" s="281"/>
      <c r="X286" s="304"/>
      <c r="Y286" s="304"/>
      <c r="Z286" s="304"/>
    </row>
    <row r="287">
      <c r="A287" s="345"/>
      <c r="B287" s="281"/>
      <c r="C287" s="281"/>
      <c r="D287" s="397"/>
      <c r="E287" s="281"/>
      <c r="F287" s="281"/>
      <c r="G287" s="281"/>
      <c r="H287" s="281"/>
      <c r="I287" s="281"/>
      <c r="J287" s="281"/>
      <c r="K287" s="281"/>
      <c r="L287" s="281"/>
      <c r="M287" s="281"/>
      <c r="N287" s="281"/>
      <c r="O287" s="281"/>
      <c r="P287" s="281"/>
      <c r="Q287" s="281"/>
      <c r="R287" s="281"/>
      <c r="S287" s="281"/>
      <c r="T287" s="281"/>
      <c r="U287" s="281"/>
      <c r="V287" s="281"/>
      <c r="W287" s="281"/>
      <c r="X287" s="304"/>
      <c r="Y287" s="304"/>
      <c r="Z287" s="304"/>
    </row>
    <row r="288">
      <c r="A288" s="345"/>
      <c r="B288" s="281"/>
      <c r="C288" s="281"/>
      <c r="D288" s="397"/>
      <c r="E288" s="281"/>
      <c r="F288" s="281"/>
      <c r="G288" s="281"/>
      <c r="H288" s="281"/>
      <c r="I288" s="281"/>
      <c r="J288" s="281"/>
      <c r="K288" s="281"/>
      <c r="L288" s="281"/>
      <c r="M288" s="281"/>
      <c r="N288" s="281"/>
      <c r="O288" s="281"/>
      <c r="P288" s="281"/>
      <c r="Q288" s="281"/>
      <c r="R288" s="281"/>
      <c r="S288" s="281"/>
      <c r="T288" s="281"/>
      <c r="U288" s="281"/>
      <c r="V288" s="281"/>
      <c r="W288" s="281"/>
      <c r="X288" s="304"/>
      <c r="Y288" s="304"/>
      <c r="Z288" s="304"/>
    </row>
    <row r="289">
      <c r="A289" s="345"/>
      <c r="B289" s="281"/>
      <c r="C289" s="281"/>
      <c r="D289" s="397"/>
      <c r="E289" s="281"/>
      <c r="F289" s="281"/>
      <c r="G289" s="281"/>
      <c r="H289" s="281"/>
      <c r="I289" s="281"/>
      <c r="J289" s="281"/>
      <c r="K289" s="281"/>
      <c r="L289" s="281"/>
      <c r="M289" s="281"/>
      <c r="N289" s="281"/>
      <c r="O289" s="281"/>
      <c r="P289" s="281"/>
      <c r="Q289" s="281"/>
      <c r="R289" s="281"/>
      <c r="S289" s="281"/>
      <c r="T289" s="281"/>
      <c r="U289" s="281"/>
      <c r="V289" s="281"/>
      <c r="W289" s="281"/>
      <c r="X289" s="304"/>
      <c r="Y289" s="304"/>
      <c r="Z289" s="304"/>
    </row>
    <row r="290">
      <c r="A290" s="345"/>
      <c r="B290" s="281"/>
      <c r="C290" s="281"/>
      <c r="D290" s="397"/>
      <c r="E290" s="281"/>
      <c r="F290" s="281"/>
      <c r="G290" s="281"/>
      <c r="H290" s="281"/>
      <c r="I290" s="281"/>
      <c r="J290" s="281"/>
      <c r="K290" s="281"/>
      <c r="L290" s="281"/>
      <c r="M290" s="281"/>
      <c r="N290" s="281"/>
      <c r="O290" s="281"/>
      <c r="P290" s="281"/>
      <c r="Q290" s="281"/>
      <c r="R290" s="281"/>
      <c r="S290" s="281"/>
      <c r="T290" s="281"/>
      <c r="U290" s="281"/>
      <c r="V290" s="281"/>
      <c r="W290" s="281"/>
      <c r="X290" s="304"/>
      <c r="Y290" s="304"/>
      <c r="Z290" s="304"/>
    </row>
  </sheetData>
  <conditionalFormatting sqref="D1">
    <cfRule type="notContainsBlanks" dxfId="0" priority="1">
      <formula>LEN(TRIM(D1))&gt;0</formula>
    </cfRule>
  </conditionalFormatting>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9C6E"/>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0"/>
    <col customWidth="1" min="2" max="2" width="36.86"/>
    <col customWidth="1" min="3" max="3" width="49.43"/>
    <col customWidth="1" min="4" max="4" width="19.0"/>
    <col customWidth="1" min="5" max="5" width="6.14"/>
    <col customWidth="1" min="6" max="6" width="9.14"/>
    <col customWidth="1" min="7" max="7" width="5.14"/>
    <col customWidth="1" min="8" max="8" width="8.86"/>
    <col customWidth="1" min="9" max="9" width="5.14"/>
    <col customWidth="1" min="10" max="10" width="7.0"/>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3.29"/>
    <col customWidth="1" min="21" max="21" width="16.14"/>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77" t="s">
        <v>615</v>
      </c>
    </row>
    <row r="2" ht="20.25" customHeight="1">
      <c r="A2" s="278"/>
      <c r="B2" s="279" t="s">
        <v>616</v>
      </c>
      <c r="C2" s="280"/>
      <c r="D2" s="280"/>
      <c r="E2" s="281"/>
      <c r="F2" s="281"/>
      <c r="G2" s="281"/>
      <c r="H2" s="281"/>
      <c r="I2" s="281"/>
      <c r="J2" s="281"/>
      <c r="K2" s="281"/>
      <c r="L2" s="281"/>
      <c r="M2" s="281"/>
      <c r="N2" s="280"/>
      <c r="O2" s="280"/>
      <c r="P2" s="280"/>
      <c r="Q2" s="280"/>
      <c r="R2" s="282"/>
      <c r="S2" s="281"/>
      <c r="T2" s="285"/>
    </row>
    <row r="3">
      <c r="A3" s="272"/>
      <c r="B3" s="284" t="s">
        <v>1396</v>
      </c>
      <c r="C3" s="280"/>
      <c r="D3" s="280"/>
      <c r="E3" s="281"/>
      <c r="F3" s="281"/>
      <c r="G3" s="281"/>
      <c r="H3" s="281"/>
      <c r="I3" s="281"/>
      <c r="J3" s="281"/>
      <c r="K3" s="281"/>
      <c r="L3" s="281"/>
      <c r="M3" s="281"/>
      <c r="N3" s="281"/>
      <c r="O3" s="281"/>
      <c r="P3" s="281"/>
      <c r="Q3" s="281"/>
      <c r="R3" s="282"/>
      <c r="S3" s="281"/>
      <c r="T3" s="285"/>
    </row>
    <row r="4">
      <c r="A4" s="286" t="s">
        <v>619</v>
      </c>
      <c r="B4" s="287"/>
      <c r="C4" s="280"/>
      <c r="D4" s="280"/>
      <c r="E4" s="281"/>
      <c r="F4" s="281"/>
      <c r="G4" s="281"/>
      <c r="H4" s="281"/>
      <c r="I4" s="281"/>
      <c r="J4" s="281"/>
      <c r="K4" s="281"/>
      <c r="L4" s="281"/>
      <c r="M4" s="281"/>
      <c r="N4" s="281"/>
      <c r="O4" s="281"/>
      <c r="P4" s="281"/>
      <c r="Q4" s="281"/>
      <c r="R4" s="282"/>
      <c r="S4" s="281"/>
      <c r="T4" s="285"/>
    </row>
    <row r="5">
      <c r="A5" s="137" t="s">
        <v>627</v>
      </c>
      <c r="B5" s="341" t="s">
        <v>628</v>
      </c>
      <c r="C5" s="297" t="s">
        <v>629</v>
      </c>
      <c r="D5" s="289">
        <f>ROUND((F5*'Pawn Weights'!$H$3)+(G5*'Pawn Weights'!$H$4)+(H5*'Pawn Weights'!$H$5)+(I5*'Pawn Weights'!$H$6)+(J5*'Pawn Weights'!$H$7)+(K5*'Pawn Weights'!$H$8)+(L5*'Pawn Weights'!$H$9)+(M5*'Pawn Weights'!$H$10)+(N5*'Pawn Weights'!$H$11)+(O5*'Pawn Weights'!$H$12)+(P5*'Pawn Weights'!$H$13)+(Q5*'Pawn Weights'!$H$14), 2)</f>
        <v>175.56</v>
      </c>
      <c r="E5" s="359">
        <v>47.0</v>
      </c>
      <c r="F5" s="359">
        <v>62.0</v>
      </c>
      <c r="G5" s="361"/>
      <c r="H5" s="361"/>
      <c r="I5" s="359">
        <v>51.0</v>
      </c>
      <c r="J5" s="359">
        <v>26.0</v>
      </c>
      <c r="K5" s="361"/>
      <c r="L5" s="361"/>
      <c r="M5" s="137"/>
      <c r="N5" s="359">
        <v>1.0</v>
      </c>
      <c r="O5" s="361"/>
      <c r="P5" s="361"/>
      <c r="Q5" s="359">
        <v>1.0</v>
      </c>
      <c r="R5" s="359" t="s">
        <v>624</v>
      </c>
      <c r="S5" s="137"/>
      <c r="T5" s="361" t="s">
        <v>630</v>
      </c>
      <c r="U5" s="137"/>
      <c r="V5" s="137"/>
      <c r="W5" s="137"/>
      <c r="X5" s="137"/>
      <c r="Y5" s="137"/>
      <c r="Z5" s="137"/>
    </row>
    <row r="6">
      <c r="A6" s="25"/>
      <c r="B6" s="288" t="s">
        <v>631</v>
      </c>
      <c r="C6" s="280" t="s">
        <v>632</v>
      </c>
      <c r="D6" s="289">
        <f>ROUND((F6*'Pawn Weights'!$H$3)+(G6*'Pawn Weights'!$H$4)+(H6*'Pawn Weights'!$H$5)+(I6*'Pawn Weights'!$H$6)+(J6*'Pawn Weights'!$H$7)+(K6*'Pawn Weights'!$H$8)+(L6*'Pawn Weights'!$H$9)+(M6*'Pawn Weights'!$H$10)+(N6*'Pawn Weights'!$H$11)+(O6*'Pawn Weights'!$H$12)+(P6*'Pawn Weights'!$H$13)+(Q6*'Pawn Weights'!$H$14), 2)</f>
        <v>173.72</v>
      </c>
      <c r="E6" s="280">
        <v>46.0</v>
      </c>
      <c r="F6" s="280"/>
      <c r="G6" s="280">
        <v>39.0</v>
      </c>
      <c r="H6" s="280">
        <v>108.0</v>
      </c>
      <c r="I6" s="280">
        <v>38.0</v>
      </c>
      <c r="J6" s="280">
        <v>21.0</v>
      </c>
      <c r="K6" s="280"/>
      <c r="L6" s="280"/>
      <c r="M6" s="281"/>
      <c r="N6" s="280">
        <v>1.0</v>
      </c>
      <c r="O6" s="280"/>
      <c r="P6" s="280">
        <v>1.0</v>
      </c>
      <c r="Q6" s="280"/>
      <c r="R6" s="290" t="s">
        <v>633</v>
      </c>
      <c r="S6" s="281"/>
      <c r="T6" s="291" t="s">
        <v>634</v>
      </c>
    </row>
    <row r="7">
      <c r="A7" s="295" t="s">
        <v>635</v>
      </c>
      <c r="B7" s="296" t="s">
        <v>636</v>
      </c>
      <c r="C7" s="297" t="s">
        <v>637</v>
      </c>
      <c r="D7" s="289">
        <f>ROUND((F7*'Pawn Weights'!$H$3)+(G7*'Pawn Weights'!$H$4)+(H7*'Pawn Weights'!$H$5)+(I7*'Pawn Weights'!$H$6)+(J7*'Pawn Weights'!$H$7)+(K7*'Pawn Weights'!$H$8)+(L7*'Pawn Weights'!$H$9)+(M7*'Pawn Weights'!$H$10)+(N7*'Pawn Weights'!$H$11)+(O7*'Pawn Weights'!$H$12)+(P7*'Pawn Weights'!$H$13)+(Q7*'Pawn Weights'!$H$14)-10+9.55+3.64, 2)</f>
        <v>162.55</v>
      </c>
      <c r="E7" s="298">
        <v>68.0</v>
      </c>
      <c r="F7" s="298">
        <v>45.0</v>
      </c>
      <c r="G7" s="297"/>
      <c r="H7" s="297"/>
      <c r="I7" s="298">
        <v>41.0</v>
      </c>
      <c r="J7" s="298">
        <v>18.0</v>
      </c>
      <c r="K7" s="297"/>
      <c r="L7" s="297"/>
      <c r="M7" s="359">
        <v>84.0</v>
      </c>
      <c r="N7" s="298">
        <v>1.0</v>
      </c>
      <c r="O7" s="297"/>
      <c r="P7" s="298">
        <v>1.0</v>
      </c>
      <c r="Q7" s="297"/>
      <c r="R7" s="298" t="s">
        <v>624</v>
      </c>
      <c r="S7" s="137"/>
      <c r="T7" s="295"/>
      <c r="U7" s="137"/>
      <c r="V7" s="137"/>
      <c r="W7" s="137"/>
      <c r="X7" s="137"/>
      <c r="Y7" s="137"/>
      <c r="Z7" s="137"/>
    </row>
    <row r="8">
      <c r="A8" s="25"/>
      <c r="B8" s="288" t="s">
        <v>638</v>
      </c>
      <c r="C8" s="280" t="s">
        <v>639</v>
      </c>
      <c r="D8" s="289">
        <f>ROUND((F8*'Pawn Weights'!$H$3)+(G8*'Pawn Weights'!$H$4)+(H8*'Pawn Weights'!$H$5)+(I8*'Pawn Weights'!$H$6)+(J8*'Pawn Weights'!$H$7)+(K8*'Pawn Weights'!$H$8)+(L8*'Pawn Weights'!$H$9)+(M8*'Pawn Weights'!$H$10)+(N8*'Pawn Weights'!$H$11)+(O8*'Pawn Weights'!$H$12)+(P8*'Pawn Weights'!$H$13)+(Q8*'Pawn Weights'!$H$14), 2)</f>
        <v>161.33</v>
      </c>
      <c r="E8" s="280">
        <v>29.0</v>
      </c>
      <c r="F8" s="280">
        <v>51.0</v>
      </c>
      <c r="G8" s="280"/>
      <c r="H8" s="280"/>
      <c r="I8" s="280">
        <v>42.0</v>
      </c>
      <c r="J8" s="280">
        <v>34.0</v>
      </c>
      <c r="K8" s="280"/>
      <c r="L8" s="280"/>
      <c r="M8" s="281"/>
      <c r="N8" s="280">
        <v>1.0</v>
      </c>
      <c r="O8" s="280"/>
      <c r="P8" s="280">
        <v>1.0</v>
      </c>
      <c r="Q8" s="280"/>
      <c r="R8" s="290" t="s">
        <v>633</v>
      </c>
      <c r="S8" s="281"/>
      <c r="T8" s="291"/>
    </row>
    <row r="9">
      <c r="A9" s="25" t="s">
        <v>640</v>
      </c>
      <c r="B9" s="288" t="s">
        <v>641</v>
      </c>
      <c r="C9" s="280" t="s">
        <v>642</v>
      </c>
      <c r="D9" s="289">
        <f>ROUND((F9*'Pawn Weights'!$H$3)+(G9*'Pawn Weights'!$H$4)+(H9*'Pawn Weights'!$H$5)+(I9*'Pawn Weights'!$H$6)+(J9*'Pawn Weights'!$H$7)+(K9*'Pawn Weights'!$H$8)+(L9*'Pawn Weights'!$H$9)+(M9*'Pawn Weights'!$H$10)+(N9*'Pawn Weights'!$H$11)+(O9*'Pawn Weights'!$H$12)+(P9*'Pawn Weights'!$H$13)+(Q9*'Pawn Weights'!$H$14)+4, 2)</f>
        <v>154.93</v>
      </c>
      <c r="E9" s="280">
        <v>54.0</v>
      </c>
      <c r="F9" s="280">
        <v>54.0</v>
      </c>
      <c r="G9" s="280">
        <v>41.0</v>
      </c>
      <c r="H9" s="280"/>
      <c r="I9" s="280"/>
      <c r="J9" s="280"/>
      <c r="K9" s="280"/>
      <c r="L9" s="280"/>
      <c r="M9" s="280">
        <v>105.0</v>
      </c>
      <c r="N9" s="280">
        <v>1.0</v>
      </c>
      <c r="O9" s="280">
        <v>1.0</v>
      </c>
      <c r="P9" s="280"/>
      <c r="Q9" s="280"/>
      <c r="R9" s="290" t="s">
        <v>643</v>
      </c>
      <c r="S9" s="281"/>
      <c r="T9" s="291"/>
    </row>
    <row r="10">
      <c r="A10" s="25" t="s">
        <v>644</v>
      </c>
      <c r="B10" s="288" t="s">
        <v>645</v>
      </c>
      <c r="C10" s="280" t="s">
        <v>646</v>
      </c>
      <c r="D10" s="289">
        <f>ROUND((F10*'Pawn Weights'!$H$3)+(G10*'Pawn Weights'!$H$4)+(H10*'Pawn Weights'!$H$5)+(I10*'Pawn Weights'!$H$6)+(J10*'Pawn Weights'!$H$7)+(K10*'Pawn Weights'!$H$8)+(L10*'Pawn Weights'!$H$9)+(M10*'Pawn Weights'!$H$10)+(N10*'Pawn Weights'!$H$11)+(O10*'Pawn Weights'!$H$12)+(P10*'Pawn Weights'!$H$13)+(Q10*'Pawn Weights'!$H$14)-10+9.55+3.64, 2)</f>
        <v>147.36</v>
      </c>
      <c r="E10" s="280">
        <v>61.0</v>
      </c>
      <c r="F10" s="280">
        <v>39.0</v>
      </c>
      <c r="G10" s="280"/>
      <c r="H10" s="280"/>
      <c r="I10" s="280">
        <v>35.0</v>
      </c>
      <c r="J10" s="280">
        <v>12.0</v>
      </c>
      <c r="K10" s="280"/>
      <c r="L10" s="280"/>
      <c r="M10" s="280">
        <v>84.0</v>
      </c>
      <c r="N10" s="280">
        <v>1.0</v>
      </c>
      <c r="O10" s="280"/>
      <c r="P10" s="280">
        <v>1.0</v>
      </c>
      <c r="Q10" s="280"/>
      <c r="R10" s="290" t="s">
        <v>624</v>
      </c>
      <c r="S10" s="281"/>
      <c r="T10" s="291"/>
    </row>
    <row r="11">
      <c r="A11" s="25" t="s">
        <v>647</v>
      </c>
      <c r="B11" s="288" t="s">
        <v>648</v>
      </c>
      <c r="C11" s="280" t="s">
        <v>649</v>
      </c>
      <c r="D11" s="289">
        <f>ROUND((F11*'Pawn Weights'!$H$3)+(G11*'Pawn Weights'!$H$4)+(H11*'Pawn Weights'!$H$5)+(I11*'Pawn Weights'!$H$6)+(J11*'Pawn Weights'!$H$7)+(K11*'Pawn Weights'!$H$8)+(L11*'Pawn Weights'!$H$9)+(M11*'Pawn Weights'!$H$10)+(N11*'Pawn Weights'!$H$11)+(O11*'Pawn Weights'!$H$12)+(P11*'Pawn Weights'!$H$13)+(Q11*'Pawn Weights'!$H$14), 2)</f>
        <v>143.8</v>
      </c>
      <c r="E11" s="280">
        <v>45.0</v>
      </c>
      <c r="F11" s="280">
        <v>47.0</v>
      </c>
      <c r="G11" s="280"/>
      <c r="H11" s="280"/>
      <c r="I11" s="280">
        <v>36.0</v>
      </c>
      <c r="J11" s="280">
        <v>21.0</v>
      </c>
      <c r="K11" s="280"/>
      <c r="L11" s="280"/>
      <c r="M11" s="281"/>
      <c r="N11" s="280">
        <v>1.0</v>
      </c>
      <c r="O11" s="280"/>
      <c r="P11" s="280"/>
      <c r="Q11" s="280">
        <v>1.0</v>
      </c>
      <c r="R11" s="290" t="s">
        <v>643</v>
      </c>
      <c r="S11" s="281"/>
      <c r="T11" s="291"/>
    </row>
    <row r="12">
      <c r="A12" s="292"/>
      <c r="B12" s="288" t="s">
        <v>650</v>
      </c>
      <c r="C12" s="154" t="s">
        <v>639</v>
      </c>
      <c r="D12" s="289">
        <f>ROUND((F12*'Pawn Weights'!$H$3)+(G12*'Pawn Weights'!$H$4)+(H12*'Pawn Weights'!$H$5)+(I12*'Pawn Weights'!$H$6)+(J12*'Pawn Weights'!$H$7)+(K12*'Pawn Weights'!$H$8)+(L12*'Pawn Weights'!$H$9)+(M12*'Pawn Weights'!$H$10)+(N12*'Pawn Weights'!$H$11)+(O12*'Pawn Weights'!$H$12)+(P12*'Pawn Weights'!$H$13)+(Q12*'Pawn Weights'!$H$14), 2)</f>
        <v>142.66</v>
      </c>
      <c r="E12" s="280">
        <v>29.0</v>
      </c>
      <c r="F12" s="280"/>
      <c r="G12" s="280">
        <v>42.0</v>
      </c>
      <c r="H12" s="280">
        <v>100.0</v>
      </c>
      <c r="I12" s="280">
        <v>20.0</v>
      </c>
      <c r="J12" s="280"/>
      <c r="K12" s="280"/>
      <c r="L12" s="280"/>
      <c r="M12" s="281"/>
      <c r="N12" s="280">
        <v>1.0</v>
      </c>
      <c r="O12" s="280">
        <v>1.0</v>
      </c>
      <c r="P12" s="280"/>
      <c r="Q12" s="280"/>
      <c r="R12" s="290" t="s">
        <v>651</v>
      </c>
      <c r="S12" s="281"/>
      <c r="T12" s="291"/>
    </row>
    <row r="13">
      <c r="A13" s="292" t="s">
        <v>627</v>
      </c>
      <c r="B13" s="288" t="s">
        <v>652</v>
      </c>
      <c r="C13" s="154" t="s">
        <v>653</v>
      </c>
      <c r="D13" s="289">
        <f>ROUND((F13*'Pawn Weights'!$H$3)+(G13*'Pawn Weights'!$H$4)+(H13*'Pawn Weights'!$H$5)+(I13*'Pawn Weights'!$H$6)+(J13*'Pawn Weights'!$H$7)+(K13*'Pawn Weights'!$H$8)+(L13*'Pawn Weights'!$H$9)+(M13*'Pawn Weights'!$H$10)+(N13*'Pawn Weights'!$H$11)+(O13*'Pawn Weights'!$H$12)+(P13*'Pawn Weights'!$H$13)+(Q13*'Pawn Weights'!$H$14), 2)</f>
        <v>141.65</v>
      </c>
      <c r="E13" s="280">
        <v>28.0</v>
      </c>
      <c r="F13" s="280">
        <v>48.0</v>
      </c>
      <c r="G13" s="280"/>
      <c r="H13" s="280"/>
      <c r="I13" s="280">
        <v>38.0</v>
      </c>
      <c r="J13" s="280">
        <v>13.0</v>
      </c>
      <c r="K13" s="280"/>
      <c r="L13" s="280"/>
      <c r="M13" s="281"/>
      <c r="N13" s="280">
        <v>1.0</v>
      </c>
      <c r="O13" s="280"/>
      <c r="P13" s="280"/>
      <c r="Q13" s="280">
        <v>1.0</v>
      </c>
      <c r="R13" s="290" t="s">
        <v>624</v>
      </c>
      <c r="S13" s="281"/>
      <c r="T13" s="291"/>
    </row>
    <row r="14">
      <c r="A14" s="25" t="s">
        <v>654</v>
      </c>
      <c r="B14" s="288" t="s">
        <v>655</v>
      </c>
      <c r="C14" s="280" t="s">
        <v>656</v>
      </c>
      <c r="D14" s="289">
        <f>ROUND((F14*'Pawn Weights'!$H$3)+(G14*'Pawn Weights'!$H$4)+(H14*'Pawn Weights'!$H$5)+(I14*'Pawn Weights'!$H$6)+(J14*'Pawn Weights'!$H$7)+(K14*'Pawn Weights'!$H$8)+(L14*'Pawn Weights'!$H$9)+(M14*'Pawn Weights'!$H$10)+(N14*'Pawn Weights'!$H$11)+(O14*'Pawn Weights'!$H$12)+(P14*'Pawn Weights'!$H$13)+(Q14*'Pawn Weights'!$H$14)-10+9.55+2.484, 2)</f>
        <v>128.57</v>
      </c>
      <c r="E14" s="280">
        <v>45.0</v>
      </c>
      <c r="F14" s="280">
        <v>45.0</v>
      </c>
      <c r="G14" s="280"/>
      <c r="H14" s="280"/>
      <c r="I14" s="280">
        <v>24.0</v>
      </c>
      <c r="J14" s="280">
        <v>14.0</v>
      </c>
      <c r="K14" s="280"/>
      <c r="L14" s="280"/>
      <c r="M14" s="281"/>
      <c r="N14" s="280">
        <v>1.0</v>
      </c>
      <c r="O14" s="280"/>
      <c r="P14" s="280">
        <v>1.0</v>
      </c>
      <c r="Q14" s="280"/>
      <c r="R14" s="290" t="s">
        <v>626</v>
      </c>
      <c r="S14" s="281"/>
      <c r="T14" s="291"/>
    </row>
    <row r="15">
      <c r="A15" s="25" t="s">
        <v>1068</v>
      </c>
      <c r="B15" s="288" t="s">
        <v>1069</v>
      </c>
      <c r="C15" s="280" t="s">
        <v>1070</v>
      </c>
      <c r="D15" s="289">
        <f>ROUND((F15*'Pawn Weights'!$H$3)+(G15*'Pawn Weights'!$H$4)+(H15*'Pawn Weights'!$H$5)+(I15*'Pawn Weights'!$H$6)+(J15*'Pawn Weights'!$H$7)+(K15*'Pawn Weights'!$H$8)+(L15*'Pawn Weights'!$H$9)+(M15*'Pawn Weights'!$H$10)+(N15*'Pawn Weights'!$H$11)+(O15*'Pawn Weights'!$H$12)+(P15*'Pawn Weights'!$H$13)+(Q15*'Pawn Weights'!$H$14)-10+9.55+4, 2)</f>
        <v>126.45</v>
      </c>
      <c r="E15" s="280">
        <v>54.0</v>
      </c>
      <c r="F15" s="280">
        <v>35.0</v>
      </c>
      <c r="G15" s="280"/>
      <c r="H15" s="280"/>
      <c r="I15" s="280">
        <v>31.0</v>
      </c>
      <c r="J15" s="280">
        <v>14.0</v>
      </c>
      <c r="K15" s="280"/>
      <c r="L15" s="280"/>
      <c r="M15" s="281"/>
      <c r="N15" s="280">
        <v>1.0</v>
      </c>
      <c r="O15" s="280"/>
      <c r="P15" s="280">
        <v>1.0</v>
      </c>
      <c r="Q15" s="280"/>
      <c r="R15" s="290" t="s">
        <v>643</v>
      </c>
      <c r="S15" s="281"/>
      <c r="T15" s="291" t="s">
        <v>1071</v>
      </c>
    </row>
    <row r="16">
      <c r="A16" s="25"/>
      <c r="B16" s="288" t="s">
        <v>1072</v>
      </c>
      <c r="C16" s="280" t="s">
        <v>1073</v>
      </c>
      <c r="D16" s="289">
        <f>ROUND((F16*'Pawn Weights'!$H$3)+(G16*'Pawn Weights'!$H$4)+(H16*'Pawn Weights'!$H$5)+(I16*'Pawn Weights'!$H$6)+(J16*'Pawn Weights'!$H$7)+(K16*'Pawn Weights'!$H$8)+(L16*'Pawn Weights'!$H$9)+(M16*'Pawn Weights'!$H$10)+(N16*'Pawn Weights'!$H$11)+(O16*'Pawn Weights'!$H$12)+(P16*'Pawn Weights'!$H$13)+(Q16*'Pawn Weights'!$H$14), 2)</f>
        <v>111.52</v>
      </c>
      <c r="E16" s="280">
        <v>40.0</v>
      </c>
      <c r="F16" s="280"/>
      <c r="G16" s="280">
        <v>36.0</v>
      </c>
      <c r="H16" s="280">
        <v>72.0</v>
      </c>
      <c r="I16" s="280"/>
      <c r="J16" s="280"/>
      <c r="K16" s="280"/>
      <c r="L16" s="280"/>
      <c r="M16" s="280">
        <v>140.0</v>
      </c>
      <c r="N16" s="280"/>
      <c r="O16" s="280">
        <v>1.0</v>
      </c>
      <c r="P16" s="280">
        <v>1.0</v>
      </c>
      <c r="Q16" s="280">
        <v>1.0</v>
      </c>
      <c r="R16" s="290" t="s">
        <v>745</v>
      </c>
      <c r="S16" s="281"/>
      <c r="T16" s="291"/>
    </row>
    <row r="17">
      <c r="A17" s="295"/>
      <c r="B17" s="296" t="s">
        <v>1074</v>
      </c>
      <c r="C17" s="297" t="s">
        <v>947</v>
      </c>
      <c r="D17" s="367">
        <f>ROUND((F17*'Pawn Weights'!$H$3)+(G17*'Pawn Weights'!$H$4)+(H17*'Pawn Weights'!$H$5)+(I17*'Pawn Weights'!$H$6)+(J17*'Pawn Weights'!$H$7)+(K17*'Pawn Weights'!$H$8)+(L17*'Pawn Weights'!$H$9)+(M17*'Pawn Weights'!$H$10)+(N17*'Pawn Weights'!$H$11)+(O17*'Pawn Weights'!$H$12)+(P17*'Pawn Weights'!$H$13)+(Q17*'Pawn Weights'!$H$14), 2)</f>
        <v>108.85</v>
      </c>
      <c r="E17" s="298">
        <v>48.0</v>
      </c>
      <c r="F17" s="297"/>
      <c r="G17" s="298">
        <v>40.0</v>
      </c>
      <c r="H17" s="298">
        <v>82.0</v>
      </c>
      <c r="I17" s="297"/>
      <c r="J17" s="298">
        <v>24.0</v>
      </c>
      <c r="K17" s="297"/>
      <c r="L17" s="297"/>
      <c r="M17" s="295"/>
      <c r="N17" s="297"/>
      <c r="O17" s="298">
        <v>1.0</v>
      </c>
      <c r="P17" s="298">
        <v>1.0</v>
      </c>
      <c r="Q17" s="298">
        <v>1.0</v>
      </c>
      <c r="R17" s="298" t="s">
        <v>745</v>
      </c>
      <c r="S17" s="137"/>
      <c r="T17" s="295"/>
      <c r="U17" s="137"/>
      <c r="V17" s="137"/>
      <c r="W17" s="137"/>
      <c r="X17" s="137"/>
      <c r="Y17" s="137"/>
      <c r="Z17" s="137"/>
    </row>
    <row r="18">
      <c r="A18" s="25"/>
      <c r="B18" s="288" t="s">
        <v>1397</v>
      </c>
      <c r="C18" s="280" t="s">
        <v>1195</v>
      </c>
      <c r="D18" s="289">
        <f>ROUND((F18*'Pawn Weights'!$H$3)+(G18*'Pawn Weights'!$H$4)+(H18*'Pawn Weights'!$H$5)+(I18*'Pawn Weights'!$H$6)+(J18*'Pawn Weights'!$H$7)+(K18*'Pawn Weights'!$H$8)+(L18*'Pawn Weights'!$H$9)+(M18*'Pawn Weights'!$H$10)+(N18*'Pawn Weights'!$H$11)+(O18*'Pawn Weights'!$H$12)+(P18*'Pawn Weights'!$H$13)+(Q18*'Pawn Weights'!$H$14), 2)</f>
        <v>104.67</v>
      </c>
      <c r="E18" s="280">
        <v>46.0</v>
      </c>
      <c r="F18" s="280">
        <v>46.0</v>
      </c>
      <c r="G18" s="280"/>
      <c r="H18" s="280"/>
      <c r="I18" s="280">
        <v>44.0</v>
      </c>
      <c r="J18" s="280">
        <v>30.0</v>
      </c>
      <c r="K18" s="280"/>
      <c r="L18" s="280"/>
      <c r="M18" s="281"/>
      <c r="N18" s="280"/>
      <c r="O18" s="280"/>
      <c r="P18" s="280"/>
      <c r="Q18" s="280"/>
      <c r="R18" s="290"/>
      <c r="S18" s="281"/>
      <c r="T18" s="291"/>
    </row>
    <row r="19">
      <c r="A19" s="25"/>
      <c r="B19" s="288" t="s">
        <v>1398</v>
      </c>
      <c r="C19" s="280" t="s">
        <v>1399</v>
      </c>
      <c r="D19" s="289">
        <f>ROUND((F19*'Pawn Weights'!$H$3)+(G19*'Pawn Weights'!$H$4)+(H19*'Pawn Weights'!$H$5)+(I19*'Pawn Weights'!$H$6)+(J19*'Pawn Weights'!$H$7)+(K19*'Pawn Weights'!$H$8)+(L19*'Pawn Weights'!$H$9)+(M19*'Pawn Weights'!$H$10)+(N19*'Pawn Weights'!$H$11)+(O19*'Pawn Weights'!$H$12)+(P19*'Pawn Weights'!$H$13)+(Q19*'Pawn Weights'!$H$14), 2)</f>
        <v>96.49</v>
      </c>
      <c r="E19" s="280">
        <v>51.0</v>
      </c>
      <c r="F19" s="280">
        <v>46.0</v>
      </c>
      <c r="G19" s="280"/>
      <c r="H19" s="280"/>
      <c r="I19" s="280"/>
      <c r="J19" s="280">
        <v>33.0</v>
      </c>
      <c r="K19" s="280"/>
      <c r="L19" s="280"/>
      <c r="M19" s="281"/>
      <c r="N19" s="280"/>
      <c r="O19" s="280">
        <v>1.0</v>
      </c>
      <c r="P19" s="280">
        <v>1.0</v>
      </c>
      <c r="Q19" s="280">
        <v>1.0</v>
      </c>
      <c r="R19" s="290" t="s">
        <v>633</v>
      </c>
      <c r="S19" s="281"/>
      <c r="T19" s="291" t="s">
        <v>1400</v>
      </c>
    </row>
    <row r="20">
      <c r="A20" s="272" t="s">
        <v>657</v>
      </c>
      <c r="B20" s="281"/>
      <c r="C20" s="281"/>
      <c r="D20" s="360"/>
      <c r="E20" s="281"/>
      <c r="F20" s="281"/>
      <c r="G20" s="281"/>
      <c r="H20" s="281"/>
      <c r="I20" s="281"/>
      <c r="J20" s="281"/>
      <c r="K20" s="281"/>
      <c r="L20" s="281"/>
      <c r="M20" s="281"/>
      <c r="N20" s="281"/>
      <c r="O20" s="281"/>
      <c r="P20" s="281"/>
      <c r="Q20" s="281"/>
      <c r="R20" s="282"/>
      <c r="S20" s="281"/>
      <c r="T20" s="285"/>
    </row>
    <row r="21">
      <c r="A21" s="137" t="s">
        <v>627</v>
      </c>
      <c r="B21" s="341" t="s">
        <v>658</v>
      </c>
      <c r="C21" s="280" t="s">
        <v>659</v>
      </c>
      <c r="D21" s="289">
        <f>ROUND((F21*'Pawn Weights'!$H$3)+(G21*'Pawn Weights'!$H$4)+(H21*'Pawn Weights'!$H$5)+(I21*'Pawn Weights'!$H$6)+(J21*'Pawn Weights'!$H$7)+(K21*'Pawn Weights'!$H$8)+(L21*'Pawn Weights'!$H$9)+(M21*'Pawn Weights'!$H$10)+(N21*'Pawn Weights'!$H$11)+(O21*'Pawn Weights'!$H$12)+(P21*'Pawn Weights'!$H$13)+(Q21*'Pawn Weights'!$H$14)-10+9.55+1.818, 2)</f>
        <v>86.9</v>
      </c>
      <c r="E21" s="359">
        <v>42.0</v>
      </c>
      <c r="F21" s="361"/>
      <c r="G21" s="361"/>
      <c r="H21" s="359">
        <v>58.0</v>
      </c>
      <c r="I21" s="361"/>
      <c r="J21" s="361"/>
      <c r="K21" s="359">
        <v>29.0</v>
      </c>
      <c r="L21" s="361"/>
      <c r="M21" s="359">
        <v>150.0</v>
      </c>
      <c r="N21" s="361"/>
      <c r="O21" s="361"/>
      <c r="P21" s="359">
        <v>1.0</v>
      </c>
      <c r="Q21" s="361"/>
      <c r="R21" s="359" t="s">
        <v>660</v>
      </c>
      <c r="S21" s="137"/>
      <c r="T21" s="361" t="s">
        <v>661</v>
      </c>
      <c r="U21" s="137"/>
      <c r="V21" s="137"/>
      <c r="W21" s="137"/>
      <c r="X21" s="137"/>
      <c r="Y21" s="137"/>
      <c r="Z21" s="137"/>
    </row>
    <row r="22">
      <c r="A22" s="281"/>
      <c r="B22" s="288" t="s">
        <v>664</v>
      </c>
      <c r="C22" s="280" t="s">
        <v>665</v>
      </c>
      <c r="D22" s="289">
        <f>ROUND((F22*'Pawn Weights'!$H$3)+(G22*'Pawn Weights'!$H$4)+(H22*'Pawn Weights'!$H$5)+(I22*'Pawn Weights'!$H$6)+(J22*'Pawn Weights'!$H$7)+(K22*'Pawn Weights'!$H$8)+(L22*'Pawn Weights'!$H$9)+(M22*'Pawn Weights'!$H$10)+(N22*'Pawn Weights'!$H$11)+(O22*'Pawn Weights'!$H$12)+(P22*'Pawn Weights'!$H$13)+(Q22*'Pawn Weights'!$H$14), 2)</f>
        <v>70.34</v>
      </c>
      <c r="E22" s="280"/>
      <c r="F22" s="280"/>
      <c r="G22" s="280"/>
      <c r="H22" s="280">
        <v>72.0</v>
      </c>
      <c r="I22" s="280">
        <v>27.0</v>
      </c>
      <c r="J22" s="280">
        <v>21.0</v>
      </c>
      <c r="K22" s="280"/>
      <c r="L22" s="280"/>
      <c r="M22" s="280"/>
      <c r="N22" s="280"/>
      <c r="O22" s="280"/>
      <c r="P22" s="280"/>
      <c r="Q22" s="280"/>
      <c r="R22" s="290"/>
      <c r="S22" s="281"/>
      <c r="T22" s="222"/>
      <c r="U22" s="281"/>
      <c r="X22" s="281"/>
    </row>
    <row r="23">
      <c r="A23" s="281"/>
      <c r="B23" s="288" t="s">
        <v>666</v>
      </c>
      <c r="C23" s="280" t="s">
        <v>667</v>
      </c>
      <c r="D23" s="289">
        <f>ROUND((F23*'Pawn Weights'!$H$3)+(G23*'Pawn Weights'!$H$4)+(H23*'Pawn Weights'!$H$5)+(I23*'Pawn Weights'!$H$6)+(J23*'Pawn Weights'!$H$7)+(K23*'Pawn Weights'!$H$8)+(L23*'Pawn Weights'!$H$9)+(M23*'Pawn Weights'!$H$10)+(N23*'Pawn Weights'!$H$11)+(O23*'Pawn Weights'!$H$12)+(P23*'Pawn Weights'!$H$13)+(Q23*'Pawn Weights'!$H$14), 2)</f>
        <v>62.79</v>
      </c>
      <c r="E23" s="280">
        <v>37.0</v>
      </c>
      <c r="F23" s="280"/>
      <c r="G23" s="280"/>
      <c r="H23" s="280">
        <v>70.0</v>
      </c>
      <c r="I23" s="280"/>
      <c r="J23" s="280"/>
      <c r="K23" s="280"/>
      <c r="L23" s="280"/>
      <c r="M23" s="280">
        <v>175.0</v>
      </c>
      <c r="N23" s="280"/>
      <c r="O23" s="280"/>
      <c r="P23" s="280"/>
      <c r="Q23" s="280"/>
      <c r="R23" s="290"/>
      <c r="S23" s="281"/>
      <c r="T23" s="222"/>
      <c r="U23" s="281"/>
      <c r="X23" s="281"/>
    </row>
    <row r="24">
      <c r="A24" s="137" t="s">
        <v>671</v>
      </c>
      <c r="B24" s="296" t="s">
        <v>672</v>
      </c>
      <c r="C24" s="297" t="s">
        <v>673</v>
      </c>
      <c r="D24" s="289">
        <f>ROUND((F24*'Pawn Weights'!$H$3)+(G24*'Pawn Weights'!$H$4)+(H24*'Pawn Weights'!$H$5)+(I24*'Pawn Weights'!$H$6)+(J24*'Pawn Weights'!$H$7)+(K24*'Pawn Weights'!$H$8)+(L24*'Pawn Weights'!$H$9)+(M24*'Pawn Weights'!$H$10)+(N24*'Pawn Weights'!$H$11)+(O24*'Pawn Weights'!$H$12)+(P24*'Pawn Weights'!$H$13)+(Q24*'Pawn Weights'!$H$14), 2)</f>
        <v>60.02</v>
      </c>
      <c r="E24" s="298">
        <v>39.0</v>
      </c>
      <c r="F24" s="297"/>
      <c r="G24" s="297"/>
      <c r="H24" s="298">
        <v>58.0</v>
      </c>
      <c r="I24" s="298">
        <v>26.0</v>
      </c>
      <c r="J24" s="297"/>
      <c r="K24" s="297"/>
      <c r="L24" s="297"/>
      <c r="M24" s="295"/>
      <c r="N24" s="297"/>
      <c r="O24" s="297"/>
      <c r="P24" s="298">
        <v>1.0</v>
      </c>
      <c r="Q24" s="297"/>
      <c r="R24" s="298" t="s">
        <v>674</v>
      </c>
      <c r="S24" s="137"/>
      <c r="T24" s="361" t="s">
        <v>675</v>
      </c>
      <c r="U24" s="137"/>
      <c r="V24" s="137"/>
      <c r="W24" s="137"/>
      <c r="X24" s="137"/>
      <c r="Y24" s="137"/>
      <c r="Z24" s="137"/>
    </row>
    <row r="25">
      <c r="A25" s="137" t="s">
        <v>676</v>
      </c>
      <c r="B25" s="296" t="s">
        <v>677</v>
      </c>
      <c r="C25" s="297" t="s">
        <v>678</v>
      </c>
      <c r="D25" s="289">
        <f>ROUND((F25*'Pawn Weights'!$H$3)+(G25*'Pawn Weights'!$H$4)+(H25*'Pawn Weights'!$H$5)+(I25*'Pawn Weights'!$H$6)+(J25*'Pawn Weights'!$H$7)+(K25*'Pawn Weights'!$H$8)+(L25*'Pawn Weights'!$H$9)+(M25*'Pawn Weights'!$H$10)+(N25*'Pawn Weights'!$H$11)+(O25*'Pawn Weights'!$H$12)+(P25*'Pawn Weights'!$H$13)+(Q25*'Pawn Weights'!$H$14)+17.82, 2)</f>
        <v>58.91</v>
      </c>
      <c r="E25" s="298">
        <v>19.0</v>
      </c>
      <c r="F25" s="297"/>
      <c r="G25" s="298">
        <v>18.0</v>
      </c>
      <c r="H25" s="298">
        <v>64.0</v>
      </c>
      <c r="I25" s="297"/>
      <c r="J25" s="297"/>
      <c r="K25" s="297"/>
      <c r="L25" s="297"/>
      <c r="M25" s="295"/>
      <c r="N25" s="297"/>
      <c r="O25" s="297"/>
      <c r="P25" s="297"/>
      <c r="Q25" s="297"/>
      <c r="R25" s="295"/>
      <c r="S25" s="137"/>
      <c r="T25" s="362" t="s">
        <v>679</v>
      </c>
      <c r="U25" s="194"/>
      <c r="V25" s="194"/>
      <c r="W25" s="137"/>
      <c r="X25" s="137"/>
      <c r="Y25" s="137"/>
      <c r="Z25" s="137"/>
    </row>
    <row r="26">
      <c r="A26" s="281"/>
      <c r="B26" s="288" t="s">
        <v>680</v>
      </c>
      <c r="C26" s="280" t="s">
        <v>681</v>
      </c>
      <c r="D26" s="289">
        <f>ROUND((F26*'Pawn Weights'!$H$3)+(G26*'Pawn Weights'!$H$4)+(H26*'Pawn Weights'!$H$5)+(I26*'Pawn Weights'!$H$6)+(J26*'Pawn Weights'!$H$7)+(K26*'Pawn Weights'!$H$8)+(L26*'Pawn Weights'!$H$9)+(M26*'Pawn Weights'!$H$10)+(N26*'Pawn Weights'!$H$11)+(O26*'Pawn Weights'!$H$12)+(P26*'Pawn Weights'!$H$13)+(Q26*'Pawn Weights'!$H$14), 2)</f>
        <v>52.93</v>
      </c>
      <c r="E26" s="280">
        <v>24.0</v>
      </c>
      <c r="F26" s="280">
        <v>32.0</v>
      </c>
      <c r="G26" s="280"/>
      <c r="H26" s="280"/>
      <c r="I26" s="280">
        <v>23.0</v>
      </c>
      <c r="J26" s="280"/>
      <c r="K26" s="280"/>
      <c r="L26" s="280"/>
      <c r="M26" s="280"/>
      <c r="N26" s="280"/>
      <c r="O26" s="280"/>
      <c r="P26" s="280"/>
      <c r="Q26" s="280"/>
      <c r="R26" s="290"/>
      <c r="S26" s="281"/>
      <c r="T26" s="222"/>
      <c r="U26" s="281"/>
      <c r="X26" s="281"/>
    </row>
    <row r="27">
      <c r="A27" s="292" t="s">
        <v>991</v>
      </c>
      <c r="B27" s="288" t="s">
        <v>1075</v>
      </c>
      <c r="C27" s="280" t="s">
        <v>673</v>
      </c>
      <c r="D27" s="289">
        <f>ROUND((F27*'Pawn Weights'!$H$3)+(G27*'Pawn Weights'!$H$4)+(H27*'Pawn Weights'!$H$5)+(I27*'Pawn Weights'!$H$6)+(J27*'Pawn Weights'!$H$7)+(K27*'Pawn Weights'!$H$8)+(L27*'Pawn Weights'!$H$9)+(M27*'Pawn Weights'!$H$10)+(N27*'Pawn Weights'!$H$11)+(O27*'Pawn Weights'!$H$12)+(P27*'Pawn Weights'!$H$13)+(Q27*'Pawn Weights'!$H$14), 2)</f>
        <v>52.75</v>
      </c>
      <c r="E27" s="280">
        <v>35.0</v>
      </c>
      <c r="F27" s="280"/>
      <c r="G27" s="280"/>
      <c r="H27" s="280">
        <v>50.0</v>
      </c>
      <c r="I27" s="280">
        <v>22.0</v>
      </c>
      <c r="J27" s="280"/>
      <c r="K27" s="280"/>
      <c r="L27" s="280"/>
      <c r="M27" s="280"/>
      <c r="N27" s="280"/>
      <c r="O27" s="280"/>
      <c r="P27" s="280">
        <v>1.0</v>
      </c>
      <c r="Q27" s="280"/>
      <c r="R27" s="290" t="s">
        <v>674</v>
      </c>
      <c r="S27" s="281"/>
      <c r="T27" s="294" t="s">
        <v>675</v>
      </c>
      <c r="U27" s="281"/>
      <c r="V27" s="281"/>
      <c r="W27" s="281"/>
      <c r="X27" s="281"/>
    </row>
    <row r="28">
      <c r="A28" s="281"/>
      <c r="B28" s="288" t="s">
        <v>682</v>
      </c>
      <c r="C28" s="280" t="s">
        <v>683</v>
      </c>
      <c r="D28" s="289">
        <f>ROUND((F28*'Pawn Weights'!$H$3)+(G28*'Pawn Weights'!$H$4)+(H28*'Pawn Weights'!$H$5)+(I28*'Pawn Weights'!$H$6)+(J28*'Pawn Weights'!$H$7)+(K28*'Pawn Weights'!$H$8)+(L28*'Pawn Weights'!$H$9)+(M28*'Pawn Weights'!$H$10)+(N28*'Pawn Weights'!$H$11)+(O28*'Pawn Weights'!$H$12)+(P28*'Pawn Weights'!$H$13)+(Q28*'Pawn Weights'!$H$14), 2)</f>
        <v>50.02</v>
      </c>
      <c r="E28" s="280">
        <v>24.0</v>
      </c>
      <c r="F28" s="280"/>
      <c r="G28" s="280"/>
      <c r="H28" s="280">
        <v>64.0</v>
      </c>
      <c r="I28" s="280">
        <v>23.0</v>
      </c>
      <c r="J28" s="280"/>
      <c r="K28" s="280"/>
      <c r="L28" s="280"/>
      <c r="M28" s="281"/>
      <c r="N28" s="280"/>
      <c r="O28" s="280"/>
      <c r="P28" s="280"/>
      <c r="Q28" s="280"/>
      <c r="R28" s="290"/>
      <c r="S28" s="281"/>
      <c r="T28" s="294"/>
      <c r="U28" s="281"/>
      <c r="V28" s="281"/>
      <c r="W28" s="281"/>
      <c r="X28" s="281"/>
    </row>
    <row r="29" ht="16.5" customHeight="1">
      <c r="A29" s="281"/>
      <c r="B29" s="288" t="s">
        <v>684</v>
      </c>
      <c r="C29" s="280" t="s">
        <v>685</v>
      </c>
      <c r="D29" s="289">
        <f>ROUND((F29*'Pawn Weights'!$H$3)+(G29*'Pawn Weights'!$H$4)+(H29*'Pawn Weights'!$H$5)+(I29*'Pawn Weights'!$H$6)+(J29*'Pawn Weights'!$H$7)+(K29*'Pawn Weights'!$H$8)+(L29*'Pawn Weights'!$H$9)+(M29*'Pawn Weights'!$H$10)+(N29*'Pawn Weights'!$H$11)+(O29*'Pawn Weights'!$H$12)+(P29*'Pawn Weights'!$H$13)+(Q29*'Pawn Weights'!$H$14), 2)</f>
        <v>49.82</v>
      </c>
      <c r="E29" s="280">
        <v>26.0</v>
      </c>
      <c r="F29" s="280"/>
      <c r="G29" s="280">
        <v>27.0</v>
      </c>
      <c r="H29" s="280">
        <v>70.0</v>
      </c>
      <c r="I29" s="280"/>
      <c r="J29" s="280"/>
      <c r="K29" s="280"/>
      <c r="L29" s="280"/>
      <c r="M29" s="281"/>
      <c r="N29" s="280"/>
      <c r="O29" s="280"/>
      <c r="P29" s="280"/>
      <c r="Q29" s="280"/>
      <c r="R29" s="290"/>
      <c r="S29" s="281"/>
      <c r="T29" s="222"/>
      <c r="U29" s="281"/>
      <c r="V29" s="281"/>
      <c r="W29" s="281"/>
      <c r="X29" s="281"/>
    </row>
    <row r="30">
      <c r="A30" s="281"/>
      <c r="B30" s="288" t="s">
        <v>686</v>
      </c>
      <c r="C30" s="280" t="s">
        <v>687</v>
      </c>
      <c r="D30" s="289">
        <f>ROUND((F30*'Pawn Weights'!$H$3)+(G30*'Pawn Weights'!$H$4)+(H30*'Pawn Weights'!$H$5)+(I30*'Pawn Weights'!$H$6)+(J30*'Pawn Weights'!$H$7)+(K30*'Pawn Weights'!$H$8)+(L30*'Pawn Weights'!$H$9)+(M30*'Pawn Weights'!$H$10)+(N30*'Pawn Weights'!$H$11)+(O30*'Pawn Weights'!$H$12)+(P30*'Pawn Weights'!$H$13)+(Q30*'Pawn Weights'!$H$14), 2)</f>
        <v>43.61</v>
      </c>
      <c r="E30" s="280">
        <v>18.0</v>
      </c>
      <c r="F30" s="280"/>
      <c r="G30" s="280">
        <v>20.0</v>
      </c>
      <c r="H30" s="280">
        <v>42.0</v>
      </c>
      <c r="I30" s="280"/>
      <c r="J30" s="280">
        <v>18.0</v>
      </c>
      <c r="K30" s="280"/>
      <c r="L30" s="280"/>
      <c r="M30" s="280"/>
      <c r="N30" s="280"/>
      <c r="O30" s="280"/>
      <c r="P30" s="280"/>
      <c r="Q30" s="280"/>
      <c r="R30" s="290"/>
      <c r="S30" s="281"/>
      <c r="T30" s="294"/>
      <c r="U30" s="281"/>
      <c r="V30" s="281"/>
      <c r="W30" s="281"/>
      <c r="X30" s="281"/>
    </row>
    <row r="31">
      <c r="A31" s="281"/>
      <c r="B31" s="288" t="s">
        <v>1077</v>
      </c>
      <c r="C31" s="280" t="s">
        <v>1078</v>
      </c>
      <c r="D31" s="289">
        <f>ROUND((F31*'Pawn Weights'!$H$3)+(G31*'Pawn Weights'!$H$4)+(H31*'Pawn Weights'!$H$5)+(I31*'Pawn Weights'!$H$6)+(J31*'Pawn Weights'!$H$7)+(K31*'Pawn Weights'!$H$8)+(L31*'Pawn Weights'!$H$9)+(M31*'Pawn Weights'!$H$10)+(N31*'Pawn Weights'!$H$11)+(O31*'Pawn Weights'!$H$12)+(P31*'Pawn Weights'!$H$13)+(Q31*'Pawn Weights'!$H$14), 2)</f>
        <v>42.99</v>
      </c>
      <c r="E31" s="280">
        <v>21.0</v>
      </c>
      <c r="F31" s="280"/>
      <c r="G31" s="280">
        <v>20.0</v>
      </c>
      <c r="H31" s="280">
        <v>42.0</v>
      </c>
      <c r="I31" s="280"/>
      <c r="J31" s="280">
        <v>17.0</v>
      </c>
      <c r="K31" s="280"/>
      <c r="L31" s="280"/>
      <c r="M31" s="280"/>
      <c r="N31" s="280"/>
      <c r="O31" s="280"/>
      <c r="P31" s="280"/>
      <c r="Q31" s="280"/>
      <c r="R31" s="290"/>
      <c r="S31" s="281"/>
      <c r="T31" s="222"/>
      <c r="U31" s="281"/>
      <c r="V31" s="281"/>
      <c r="W31" s="281"/>
      <c r="X31" s="281"/>
    </row>
    <row r="32">
      <c r="A32" s="137" t="s">
        <v>676</v>
      </c>
      <c r="B32" s="296" t="s">
        <v>688</v>
      </c>
      <c r="C32" s="297" t="s">
        <v>678</v>
      </c>
      <c r="D32" s="289">
        <f>ROUND((F32*'Pawn Weights'!$H$3)+(G32*'Pawn Weights'!$H$4)+(H32*'Pawn Weights'!$H$5)+(I32*'Pawn Weights'!$H$6)+(J32*'Pawn Weights'!$H$7)+(K32*'Pawn Weights'!$H$8)+(L32*'Pawn Weights'!$H$9)+(M32*'Pawn Weights'!$H$10)+(N32*'Pawn Weights'!$H$11)+(O32*'Pawn Weights'!$H$12)+(P32*'Pawn Weights'!$H$13)+(Q32*'Pawn Weights'!$H$14), 2)</f>
        <v>41.09</v>
      </c>
      <c r="E32" s="298">
        <v>19.0</v>
      </c>
      <c r="F32" s="297"/>
      <c r="G32" s="298">
        <v>18.0</v>
      </c>
      <c r="H32" s="298">
        <v>64.0</v>
      </c>
      <c r="I32" s="297"/>
      <c r="J32" s="297"/>
      <c r="K32" s="297"/>
      <c r="L32" s="297"/>
      <c r="M32" s="295"/>
      <c r="N32" s="297"/>
      <c r="O32" s="297"/>
      <c r="P32" s="297"/>
      <c r="Q32" s="297"/>
      <c r="R32" s="295"/>
      <c r="S32" s="137"/>
      <c r="T32" s="361" t="s">
        <v>689</v>
      </c>
      <c r="U32" s="137"/>
      <c r="V32" s="137"/>
      <c r="W32" s="137"/>
      <c r="X32" s="137"/>
      <c r="Y32" s="137"/>
      <c r="Z32" s="137"/>
    </row>
    <row r="33">
      <c r="A33" s="281"/>
      <c r="B33" s="288" t="s">
        <v>690</v>
      </c>
      <c r="C33" s="280" t="s">
        <v>691</v>
      </c>
      <c r="D33" s="289">
        <f>ROUND((F33*'Pawn Weights'!$H$3)+(G33*'Pawn Weights'!$H$4)+(H33*'Pawn Weights'!$H$5)+(I33*'Pawn Weights'!$H$6)+(J33*'Pawn Weights'!$H$7)+(K33*'Pawn Weights'!$H$8)+(L33*'Pawn Weights'!$H$9)+(M33*'Pawn Weights'!$H$10)+(N33*'Pawn Weights'!$H$11)+(O33*'Pawn Weights'!$H$12)+(P33*'Pawn Weights'!$H$13)+(Q33*'Pawn Weights'!$H$14), 2)</f>
        <v>39.91</v>
      </c>
      <c r="E33" s="280"/>
      <c r="F33" s="280"/>
      <c r="G33" s="280"/>
      <c r="H33" s="280"/>
      <c r="I33" s="280"/>
      <c r="J33" s="280">
        <v>22.0</v>
      </c>
      <c r="K33" s="280"/>
      <c r="L33" s="280">
        <v>21.0</v>
      </c>
      <c r="M33" s="281"/>
      <c r="N33" s="280"/>
      <c r="O33" s="280"/>
      <c r="P33" s="280"/>
      <c r="Q33" s="280"/>
      <c r="R33" s="290"/>
      <c r="S33" s="281"/>
      <c r="T33" s="294"/>
      <c r="U33" s="281"/>
      <c r="X33" s="281"/>
    </row>
    <row r="34">
      <c r="A34" s="272" t="s">
        <v>692</v>
      </c>
      <c r="B34" s="281"/>
      <c r="C34" s="281"/>
      <c r="D34" s="360"/>
      <c r="E34" s="281"/>
      <c r="F34" s="281"/>
      <c r="G34" s="281"/>
      <c r="H34" s="281"/>
      <c r="I34" s="281"/>
      <c r="J34" s="281"/>
      <c r="K34" s="281"/>
      <c r="L34" s="281"/>
      <c r="M34" s="281"/>
      <c r="N34" s="281"/>
      <c r="O34" s="281"/>
      <c r="P34" s="281"/>
      <c r="Q34" s="281"/>
      <c r="R34" s="282"/>
      <c r="S34" s="281"/>
      <c r="T34" s="285"/>
      <c r="U34" s="281"/>
      <c r="V34" s="281"/>
      <c r="W34" s="281"/>
    </row>
    <row r="35">
      <c r="A35" s="301" t="s">
        <v>640</v>
      </c>
      <c r="B35" s="288" t="s">
        <v>700</v>
      </c>
      <c r="C35" s="280" t="s">
        <v>701</v>
      </c>
      <c r="D35" s="289">
        <f>ROUND((F35*'Pawn Weights'!$H$3)+(G35*'Pawn Weights'!$H$4)+(H35*'Pawn Weights'!$H$5)+(I35*'Pawn Weights'!$H$6)+(J35*'Pawn Weights'!$H$7)+(K35*'Pawn Weights'!$H$8)+(L35*'Pawn Weights'!$H$9)+(M35*'Pawn Weights'!$H$10)+(N35*'Pawn Weights'!$H$11)+(O35*'Pawn Weights'!$H$12)+(P35*'Pawn Weights'!$H$13)+(Q35*'Pawn Weights'!$H$14), 2)</f>
        <v>101.12</v>
      </c>
      <c r="E35" s="280">
        <v>34.0</v>
      </c>
      <c r="F35" s="280">
        <v>39.0</v>
      </c>
      <c r="G35" s="280">
        <v>39.0</v>
      </c>
      <c r="H35" s="280"/>
      <c r="I35" s="280"/>
      <c r="J35" s="280"/>
      <c r="K35" s="280"/>
      <c r="L35" s="280"/>
      <c r="M35" s="280">
        <v>91.0</v>
      </c>
      <c r="N35" s="280"/>
      <c r="O35" s="280"/>
      <c r="P35" s="280">
        <v>1.0</v>
      </c>
      <c r="Q35" s="280">
        <v>1.0</v>
      </c>
      <c r="R35" s="290" t="s">
        <v>702</v>
      </c>
      <c r="S35" s="281"/>
      <c r="T35" s="291"/>
      <c r="U35" s="281"/>
      <c r="V35" s="281"/>
      <c r="W35" s="281"/>
    </row>
    <row r="36">
      <c r="A36" s="295" t="s">
        <v>635</v>
      </c>
      <c r="B36" s="296" t="s">
        <v>703</v>
      </c>
      <c r="C36" s="297" t="s">
        <v>637</v>
      </c>
      <c r="D36" s="289">
        <f>ROUND((F36*'Pawn Weights'!$H$3)+(G36*'Pawn Weights'!$H$4)+(H36*'Pawn Weights'!$H$5)+(I36*'Pawn Weights'!$H$6)+(J36*'Pawn Weights'!$H$7)+(K36*'Pawn Weights'!$H$8)+(L36*'Pawn Weights'!$H$9)+(M36*'Pawn Weights'!$H$10)+(N36*'Pawn Weights'!$H$11)+(O36*'Pawn Weights'!$H$12)+(P36*'Pawn Weights'!$H$13)+(Q36*'Pawn Weights'!$H$14)-10+9.55+2.73, 2)</f>
        <v>92.13</v>
      </c>
      <c r="E36" s="298">
        <v>64.0</v>
      </c>
      <c r="F36" s="298">
        <v>38.0</v>
      </c>
      <c r="G36" s="297"/>
      <c r="H36" s="297"/>
      <c r="I36" s="298">
        <v>35.0</v>
      </c>
      <c r="J36" s="297"/>
      <c r="K36" s="297"/>
      <c r="L36" s="297"/>
      <c r="M36" s="295"/>
      <c r="N36" s="297"/>
      <c r="O36" s="298">
        <v>1.0</v>
      </c>
      <c r="P36" s="298">
        <v>1.0</v>
      </c>
      <c r="Q36" s="297"/>
      <c r="R36" s="298" t="s">
        <v>702</v>
      </c>
      <c r="S36" s="137"/>
      <c r="T36" s="297" t="s">
        <v>704</v>
      </c>
      <c r="U36" s="137"/>
      <c r="V36" s="137"/>
      <c r="W36" s="137"/>
      <c r="X36" s="137"/>
      <c r="Y36" s="137"/>
      <c r="Z36" s="137"/>
    </row>
    <row r="37" ht="12.75" customHeight="1">
      <c r="A37" s="301"/>
      <c r="B37" s="288" t="s">
        <v>705</v>
      </c>
      <c r="C37" s="280" t="s">
        <v>706</v>
      </c>
      <c r="D37" s="289">
        <f>ROUND((F37*'Pawn Weights'!$H$3)+(G37*'Pawn Weights'!$H$4)+(H37*'Pawn Weights'!$H$5)+(I37*'Pawn Weights'!$H$6)+(J37*'Pawn Weights'!$H$7)+(K37*'Pawn Weights'!$H$8)+(L37*'Pawn Weights'!$H$9)+(M37*'Pawn Weights'!$H$10)+(N37*'Pawn Weights'!$H$11)+(O37*'Pawn Weights'!$H$12)+(P37*'Pawn Weights'!$H$13)+(Q37*'Pawn Weights'!$H$14), 2)</f>
        <v>90.4</v>
      </c>
      <c r="E37" s="280">
        <v>34.0</v>
      </c>
      <c r="F37" s="280">
        <v>47.0</v>
      </c>
      <c r="G37" s="280"/>
      <c r="H37" s="280"/>
      <c r="I37" s="280">
        <v>32.0</v>
      </c>
      <c r="J37" s="280">
        <v>23.0</v>
      </c>
      <c r="K37" s="280"/>
      <c r="L37" s="280"/>
      <c r="M37" s="281"/>
      <c r="N37" s="280"/>
      <c r="O37" s="280"/>
      <c r="P37" s="280"/>
      <c r="Q37" s="280"/>
      <c r="R37" s="290"/>
      <c r="S37" s="281"/>
      <c r="T37" s="291"/>
      <c r="U37" s="281"/>
      <c r="V37" s="281"/>
      <c r="W37" s="281"/>
    </row>
    <row r="38">
      <c r="A38" s="301"/>
      <c r="B38" s="288" t="s">
        <v>707</v>
      </c>
      <c r="C38" s="280" t="s">
        <v>708</v>
      </c>
      <c r="D38" s="289">
        <f>ROUND((F38*'Pawn Weights'!$H$3)+(G38*'Pawn Weights'!$H$4)+(H38*'Pawn Weights'!$H$5)+(I38*'Pawn Weights'!$H$6)+(J38*'Pawn Weights'!$H$7)+(K38*'Pawn Weights'!$H$8)+(L38*'Pawn Weights'!$H$9)+(M38*'Pawn Weights'!$H$10)+(N38*'Pawn Weights'!$H$11)+(O38*'Pawn Weights'!$H$12)+(P38*'Pawn Weights'!$H$13)+(Q38*'Pawn Weights'!$H$14)-20+19.1+3, 2)</f>
        <v>89.19</v>
      </c>
      <c r="E38" s="280"/>
      <c r="F38" s="280">
        <v>39.0</v>
      </c>
      <c r="G38" s="280"/>
      <c r="H38" s="280"/>
      <c r="I38" s="280">
        <v>22.0</v>
      </c>
      <c r="J38" s="280">
        <v>13.0</v>
      </c>
      <c r="K38" s="280"/>
      <c r="L38" s="280"/>
      <c r="M38" s="281"/>
      <c r="N38" s="280"/>
      <c r="O38" s="280"/>
      <c r="P38" s="280">
        <v>2.0</v>
      </c>
      <c r="Q38" s="280"/>
      <c r="R38" s="290" t="s">
        <v>698</v>
      </c>
      <c r="S38" s="281"/>
      <c r="T38" s="291"/>
      <c r="U38" s="281"/>
      <c r="V38" s="281"/>
      <c r="W38" s="281"/>
    </row>
    <row r="39">
      <c r="A39" s="301"/>
      <c r="B39" s="288" t="s">
        <v>709</v>
      </c>
      <c r="C39" s="280" t="s">
        <v>710</v>
      </c>
      <c r="D39" s="289">
        <f>ROUND((F39*'Pawn Weights'!$H$3)+(G39*'Pawn Weights'!$H$4)+(H39*'Pawn Weights'!$H$5)+(I39*'Pawn Weights'!$H$6)+(J39*'Pawn Weights'!$H$7)+(K39*'Pawn Weights'!$H$8)+(L39*'Pawn Weights'!$H$9)+(M39*'Pawn Weights'!$H$10)+(N39*'Pawn Weights'!$H$11)+(O39*'Pawn Weights'!$H$12)+(P39*'Pawn Weights'!$H$13)+(Q39*'Pawn Weights'!$H$14)+1.334, 2)</f>
        <v>87.68</v>
      </c>
      <c r="E39" s="280">
        <v>28.0</v>
      </c>
      <c r="F39" s="280"/>
      <c r="G39" s="280">
        <v>33.0</v>
      </c>
      <c r="H39" s="280">
        <v>60.0</v>
      </c>
      <c r="I39" s="280">
        <v>16.0</v>
      </c>
      <c r="J39" s="280"/>
      <c r="K39" s="280"/>
      <c r="L39" s="280">
        <v>10.0</v>
      </c>
      <c r="M39" s="281"/>
      <c r="N39" s="280"/>
      <c r="O39" s="280">
        <v>1.0</v>
      </c>
      <c r="P39" s="280"/>
      <c r="Q39" s="280"/>
      <c r="R39" s="290" t="s">
        <v>711</v>
      </c>
      <c r="S39" s="281"/>
      <c r="T39" s="291" t="s">
        <v>712</v>
      </c>
      <c r="U39" s="281"/>
      <c r="V39" s="281"/>
      <c r="W39" s="281"/>
    </row>
    <row r="40">
      <c r="A40" s="301"/>
      <c r="B40" s="288" t="s">
        <v>715</v>
      </c>
      <c r="C40" s="280" t="s">
        <v>716</v>
      </c>
      <c r="D40" s="289">
        <f>ROUND((F40*'Pawn Weights'!$H$3)+(G40*'Pawn Weights'!$H$4)+(H40*'Pawn Weights'!$H$5)+(I40*'Pawn Weights'!$H$6)+(J40*'Pawn Weights'!$H$7)+(K40*'Pawn Weights'!$H$8)+(L40*'Pawn Weights'!$H$9)+(M40*'Pawn Weights'!$H$10)+(N40*'Pawn Weights'!$H$11)+(O40*'Pawn Weights'!$H$12)+(P40*'Pawn Weights'!$H$13)+(Q40*'Pawn Weights'!$H$14), 2)</f>
        <v>86.42</v>
      </c>
      <c r="E40" s="280">
        <v>34.0</v>
      </c>
      <c r="F40" s="280"/>
      <c r="G40" s="280"/>
      <c r="H40" s="280">
        <v>94.0</v>
      </c>
      <c r="I40" s="280">
        <v>33.0</v>
      </c>
      <c r="J40" s="280">
        <v>22.0</v>
      </c>
      <c r="K40" s="280"/>
      <c r="L40" s="280"/>
      <c r="M40" s="281"/>
      <c r="N40" s="280"/>
      <c r="O40" s="280"/>
      <c r="P40" s="280"/>
      <c r="Q40" s="280"/>
      <c r="R40" s="290"/>
      <c r="S40" s="281"/>
      <c r="T40" s="291"/>
      <c r="U40" s="281"/>
      <c r="V40" s="281"/>
      <c r="W40" s="281"/>
    </row>
    <row r="41">
      <c r="A41" s="301" t="s">
        <v>627</v>
      </c>
      <c r="B41" s="288" t="s">
        <v>713</v>
      </c>
      <c r="C41" s="280" t="s">
        <v>714</v>
      </c>
      <c r="D41" s="289">
        <f>ROUND((F41*'Pawn Weights'!$H$3)+(G41*'Pawn Weights'!$H$4)+(H41*'Pawn Weights'!$H$5)+(I41*'Pawn Weights'!$H$6)+(J41*'Pawn Weights'!$H$7)+(K41*'Pawn Weights'!$H$8)+(L41*'Pawn Weights'!$H$9)+(M41*'Pawn Weights'!$H$10)+(N41*'Pawn Weights'!$H$11)+(O41*'Pawn Weights'!$H$12)+(P41*'Pawn Weights'!$H$13)+(Q41*'Pawn Weights'!$H$14), 2)</f>
        <v>86.1</v>
      </c>
      <c r="E41" s="280">
        <v>29.0</v>
      </c>
      <c r="F41" s="280">
        <v>47.0</v>
      </c>
      <c r="G41" s="280"/>
      <c r="H41" s="280"/>
      <c r="I41" s="280"/>
      <c r="J41" s="280">
        <v>19.0</v>
      </c>
      <c r="K41" s="280">
        <v>35.0</v>
      </c>
      <c r="L41" s="280"/>
      <c r="M41" s="281"/>
      <c r="N41" s="280"/>
      <c r="O41" s="280"/>
      <c r="P41" s="280"/>
      <c r="Q41" s="280"/>
      <c r="R41" s="290"/>
      <c r="S41" s="281"/>
      <c r="T41" s="291"/>
      <c r="U41" s="281"/>
      <c r="V41" s="281"/>
      <c r="W41" s="281"/>
    </row>
    <row r="42">
      <c r="A42" s="301" t="s">
        <v>647</v>
      </c>
      <c r="B42" s="288" t="s">
        <v>719</v>
      </c>
      <c r="C42" s="280" t="s">
        <v>720</v>
      </c>
      <c r="D42" s="289">
        <f>ROUND((F42*'Pawn Weights'!$H$3)+(G42*'Pawn Weights'!$H$4)+(H42*'Pawn Weights'!$H$5)+(I42*'Pawn Weights'!$H$6)+(J42*'Pawn Weights'!$H$7)+(K42*'Pawn Weights'!$H$8)+(L42*'Pawn Weights'!$H$9)+(M42*'Pawn Weights'!$H$10)+(N42*'Pawn Weights'!$H$11)+(O42*'Pawn Weights'!$H$12)+(P42*'Pawn Weights'!$H$13)+(Q42*'Pawn Weights'!$H$14), 2)</f>
        <v>85.38</v>
      </c>
      <c r="E42" s="280">
        <v>38.0</v>
      </c>
      <c r="F42" s="280">
        <v>36.0</v>
      </c>
      <c r="G42" s="280"/>
      <c r="H42" s="280"/>
      <c r="I42" s="280">
        <v>20.0</v>
      </c>
      <c r="J42" s="280">
        <v>18.0</v>
      </c>
      <c r="K42" s="280"/>
      <c r="L42" s="280"/>
      <c r="M42" s="281"/>
      <c r="N42" s="280"/>
      <c r="O42" s="280"/>
      <c r="P42" s="280">
        <v>1.0</v>
      </c>
      <c r="Q42" s="280">
        <v>1.0</v>
      </c>
      <c r="R42" s="290" t="s">
        <v>698</v>
      </c>
      <c r="S42" s="281"/>
      <c r="T42" s="291"/>
      <c r="U42" s="281"/>
      <c r="V42" s="281"/>
      <c r="W42" s="281"/>
      <c r="X42" s="281"/>
    </row>
    <row r="43">
      <c r="A43" s="301"/>
      <c r="B43" s="288" t="s">
        <v>721</v>
      </c>
      <c r="C43" s="280" t="s">
        <v>710</v>
      </c>
      <c r="D43" s="289">
        <f>ROUND((F43*'Pawn Weights'!$H$3)+(G43*'Pawn Weights'!$H$4)+(H43*'Pawn Weights'!$H$5)+(I43*'Pawn Weights'!$H$6)+(J43*'Pawn Weights'!$H$7)+(K43*'Pawn Weights'!$H$8)+(L43*'Pawn Weights'!$H$9)+(M43*'Pawn Weights'!$H$10)+(N43*'Pawn Weights'!$H$11)+(O43*'Pawn Weights'!$H$12)+(P43*'Pawn Weights'!$H$13)+(Q43*'Pawn Weights'!$H$14), 2)</f>
        <v>84.39</v>
      </c>
      <c r="E43" s="280">
        <v>21.0</v>
      </c>
      <c r="F43" s="280">
        <v>38.0</v>
      </c>
      <c r="G43" s="280"/>
      <c r="H43" s="280"/>
      <c r="I43" s="280">
        <v>29.0</v>
      </c>
      <c r="J43" s="280"/>
      <c r="K43" s="280"/>
      <c r="L43" s="280"/>
      <c r="M43" s="281"/>
      <c r="N43" s="280"/>
      <c r="O43" s="280">
        <v>1.0</v>
      </c>
      <c r="P43" s="280"/>
      <c r="Q43" s="280">
        <v>1.0</v>
      </c>
      <c r="R43" s="290" t="s">
        <v>702</v>
      </c>
      <c r="S43" s="281"/>
      <c r="T43" s="291"/>
      <c r="U43" s="281"/>
      <c r="V43" s="281"/>
      <c r="W43" s="281"/>
    </row>
    <row r="44">
      <c r="A44" s="301"/>
      <c r="B44" s="288" t="s">
        <v>722</v>
      </c>
      <c r="C44" s="280" t="s">
        <v>723</v>
      </c>
      <c r="D44" s="289">
        <f>ROUND((F44*'Pawn Weights'!$H$3)+(G44*'Pawn Weights'!$H$4)+(H44*'Pawn Weights'!$H$5)+(I44*'Pawn Weights'!$H$6)+(J44*'Pawn Weights'!$H$7)+(K44*'Pawn Weights'!$H$8)+(L44*'Pawn Weights'!$H$9)+(M44*'Pawn Weights'!$H$10)+(N44*'Pawn Weights'!$H$11)+(O44*'Pawn Weights'!$H$12)+(P44*'Pawn Weights'!$H$13)+(Q44*'Pawn Weights'!$H$14), 2)</f>
        <v>83.55</v>
      </c>
      <c r="E44" s="280">
        <v>37.0</v>
      </c>
      <c r="F44" s="280"/>
      <c r="G44" s="280">
        <v>38.0</v>
      </c>
      <c r="H44" s="280">
        <v>76.0</v>
      </c>
      <c r="I44" s="280">
        <v>26.0</v>
      </c>
      <c r="J44" s="280"/>
      <c r="K44" s="280"/>
      <c r="L44" s="280"/>
      <c r="M44" s="281"/>
      <c r="N44" s="280"/>
      <c r="O44" s="280"/>
      <c r="P44" s="280"/>
      <c r="Q44" s="280"/>
      <c r="R44" s="290"/>
      <c r="S44" s="281"/>
      <c r="T44" s="291"/>
      <c r="U44" s="281"/>
      <c r="V44" s="281"/>
      <c r="W44" s="281"/>
      <c r="X44" s="281"/>
    </row>
    <row r="45">
      <c r="A45" s="301"/>
      <c r="B45" s="288" t="s">
        <v>717</v>
      </c>
      <c r="C45" s="280" t="s">
        <v>718</v>
      </c>
      <c r="D45" s="289">
        <f>ROUND((F45*'Pawn Weights'!$H$3)+(G45*'Pawn Weights'!$H$4)+(H45*'Pawn Weights'!$H$5)+(I45*'Pawn Weights'!$H$6)+(J45*'Pawn Weights'!$H$7)+(K45*'Pawn Weights'!$H$8)+(L45*'Pawn Weights'!$H$9)+(M45*'Pawn Weights'!$H$10)+(N45*'Pawn Weights'!$H$11)+(O45*'Pawn Weights'!$H$12)+(P45*'Pawn Weights'!$H$13)+(Q45*'Pawn Weights'!$H$14), 2)</f>
        <v>83.54</v>
      </c>
      <c r="E45" s="280">
        <v>33.0</v>
      </c>
      <c r="F45" s="280">
        <v>42.0</v>
      </c>
      <c r="G45" s="280"/>
      <c r="H45" s="280"/>
      <c r="I45" s="280"/>
      <c r="J45" s="280">
        <v>23.0</v>
      </c>
      <c r="K45" s="280"/>
      <c r="L45" s="280"/>
      <c r="M45" s="280">
        <v>154.0</v>
      </c>
      <c r="N45" s="280"/>
      <c r="O45" s="280"/>
      <c r="P45" s="280"/>
      <c r="Q45" s="280"/>
      <c r="R45" s="290"/>
      <c r="S45" s="281"/>
      <c r="T45" s="291"/>
      <c r="U45" s="281"/>
      <c r="V45" s="281"/>
      <c r="W45" s="281"/>
    </row>
    <row r="46">
      <c r="A46" s="301" t="s">
        <v>627</v>
      </c>
      <c r="B46" s="288" t="s">
        <v>1190</v>
      </c>
      <c r="C46" s="280" t="s">
        <v>1191</v>
      </c>
      <c r="D46" s="289">
        <f>ROUND((F46*'Pawn Weights'!$H$3)+(G46*'Pawn Weights'!$H$4)+(H46*'Pawn Weights'!$H$5)+(I46*'Pawn Weights'!$H$6)+(J46*'Pawn Weights'!$H$7)+(K46*'Pawn Weights'!$H$8)+(L46*'Pawn Weights'!$H$9)+(M46*'Pawn Weights'!$H$10)+(N46*'Pawn Weights'!$H$11)+(O46*'Pawn Weights'!$H$12)+(P46*'Pawn Weights'!$H$13)+(Q46*'Pawn Weights'!$H$14), 2)</f>
        <v>82.62</v>
      </c>
      <c r="E46" s="280">
        <v>34.0</v>
      </c>
      <c r="F46" s="280"/>
      <c r="G46" s="280">
        <v>29.0</v>
      </c>
      <c r="H46" s="280">
        <v>74.0</v>
      </c>
      <c r="I46" s="280"/>
      <c r="J46" s="280"/>
      <c r="K46" s="280">
        <v>38.0</v>
      </c>
      <c r="L46" s="280"/>
      <c r="M46" s="281"/>
      <c r="N46" s="280"/>
      <c r="O46" s="280"/>
      <c r="P46" s="280"/>
      <c r="Q46" s="280"/>
      <c r="R46" s="290"/>
      <c r="S46" s="281"/>
      <c r="T46" s="291"/>
      <c r="U46" s="281"/>
      <c r="V46" s="281"/>
      <c r="W46" s="281"/>
    </row>
    <row r="47">
      <c r="A47" s="301" t="s">
        <v>644</v>
      </c>
      <c r="B47" s="288" t="s">
        <v>1080</v>
      </c>
      <c r="C47" s="280" t="s">
        <v>646</v>
      </c>
      <c r="D47" s="289">
        <f>ROUND((F47*'Pawn Weights'!$H$3)+(G47*'Pawn Weights'!$H$4)+(H47*'Pawn Weights'!$H$5)+(I47*'Pawn Weights'!$H$6)+(J47*'Pawn Weights'!$H$7)+(K47*'Pawn Weights'!$H$8)+(L47*'Pawn Weights'!$H$9)+(M47*'Pawn Weights'!$H$10)+(N47*'Pawn Weights'!$H$11)+(O47*'Pawn Weights'!$H$12)+(P47*'Pawn Weights'!$H$13)+(Q47*'Pawn Weights'!$H$14)-10+9.55+2.73, 2)</f>
        <v>82.58</v>
      </c>
      <c r="E47" s="280">
        <v>57.0</v>
      </c>
      <c r="F47" s="280">
        <v>33.0</v>
      </c>
      <c r="G47" s="280"/>
      <c r="H47" s="280"/>
      <c r="I47" s="280">
        <v>30.0</v>
      </c>
      <c r="J47" s="280"/>
      <c r="K47" s="280"/>
      <c r="L47" s="280"/>
      <c r="M47" s="281"/>
      <c r="N47" s="280"/>
      <c r="O47" s="280">
        <v>1.0</v>
      </c>
      <c r="P47" s="280">
        <v>1.0</v>
      </c>
      <c r="Q47" s="280"/>
      <c r="R47" s="290" t="s">
        <v>702</v>
      </c>
      <c r="S47" s="281"/>
      <c r="T47" s="291" t="s">
        <v>704</v>
      </c>
      <c r="U47" s="281"/>
      <c r="V47" s="281"/>
      <c r="W47" s="281"/>
    </row>
    <row r="48">
      <c r="A48" s="301" t="s">
        <v>627</v>
      </c>
      <c r="B48" s="288" t="s">
        <v>1322</v>
      </c>
      <c r="C48" s="280" t="s">
        <v>1191</v>
      </c>
      <c r="D48" s="289">
        <f>ROUND((F48*'Pawn Weights'!$H$3)+(G48*'Pawn Weights'!$H$4)+(H48*'Pawn Weights'!$H$5)+(I48*'Pawn Weights'!$H$6)+(J48*'Pawn Weights'!$H$7)+(K48*'Pawn Weights'!$H$8)+(L48*'Pawn Weights'!$H$9)+(M48*'Pawn Weights'!$H$10)+(N48*'Pawn Weights'!$H$11)+(O48*'Pawn Weights'!$H$12)+(P48*'Pawn Weights'!$H$13)+(Q48*'Pawn Weights'!$H$14), 2)</f>
        <v>80.5</v>
      </c>
      <c r="E48" s="280">
        <v>19.0</v>
      </c>
      <c r="F48" s="280"/>
      <c r="G48" s="280">
        <v>27.0</v>
      </c>
      <c r="H48" s="280">
        <v>74.0</v>
      </c>
      <c r="I48" s="280"/>
      <c r="J48" s="280"/>
      <c r="K48" s="280">
        <v>37.0</v>
      </c>
      <c r="L48" s="280"/>
      <c r="M48" s="281"/>
      <c r="N48" s="280"/>
      <c r="O48" s="280"/>
      <c r="P48" s="280"/>
      <c r="Q48" s="280"/>
      <c r="R48" s="290"/>
      <c r="S48" s="281"/>
      <c r="T48" s="291"/>
      <c r="U48" s="281"/>
      <c r="V48" s="281"/>
      <c r="W48" s="281"/>
    </row>
    <row r="49">
      <c r="A49" s="272" t="s">
        <v>724</v>
      </c>
      <c r="B49" s="281"/>
      <c r="C49" s="281"/>
      <c r="D49" s="360"/>
      <c r="E49" s="281"/>
      <c r="F49" s="281"/>
      <c r="G49" s="281"/>
      <c r="H49" s="281"/>
      <c r="I49" s="281"/>
      <c r="J49" s="281"/>
      <c r="K49" s="281"/>
      <c r="L49" s="281"/>
      <c r="M49" s="281"/>
      <c r="N49" s="281"/>
      <c r="O49" s="281"/>
      <c r="P49" s="281"/>
      <c r="Q49" s="281"/>
      <c r="R49" s="282"/>
      <c r="S49" s="281"/>
      <c r="T49" s="285"/>
      <c r="U49" s="281"/>
      <c r="V49" s="281"/>
      <c r="W49" s="281"/>
    </row>
    <row r="50">
      <c r="A50" s="281"/>
      <c r="B50" s="302" t="s">
        <v>726</v>
      </c>
      <c r="C50" s="280" t="s">
        <v>727</v>
      </c>
      <c r="D50" s="289">
        <f>ROUND((F50*'Pawn Weights'!$H$3)+(G50*'Pawn Weights'!$H$4)+(H50*'Pawn Weights'!$H$5)+(I50*'Pawn Weights'!$H$6)+(J50*'Pawn Weights'!$H$7)+(K50*'Pawn Weights'!$H$8)+(L50*'Pawn Weights'!$H$9)+(M50*'Pawn Weights'!$H$10)+(N50*'Pawn Weights'!$H$11)+(O50*'Pawn Weights'!$H$12)+(P50*'Pawn Weights'!$H$13)+(Q50*'Pawn Weights'!$H$14), 2)</f>
        <v>65.12</v>
      </c>
      <c r="E50" s="280">
        <v>24.0</v>
      </c>
      <c r="F50" s="280"/>
      <c r="G50" s="280"/>
      <c r="H50" s="280">
        <v>72.0</v>
      </c>
      <c r="I50" s="280">
        <v>24.0</v>
      </c>
      <c r="J50" s="280">
        <v>17.0</v>
      </c>
      <c r="K50" s="280"/>
      <c r="L50" s="280"/>
      <c r="M50" s="280"/>
      <c r="N50" s="280"/>
      <c r="O50" s="280"/>
      <c r="P50" s="280"/>
      <c r="Q50" s="280"/>
      <c r="R50" s="290"/>
      <c r="S50" s="281"/>
      <c r="T50" s="222"/>
      <c r="U50" s="281"/>
      <c r="V50" s="281"/>
      <c r="W50" s="281"/>
      <c r="X50" s="281"/>
    </row>
    <row r="51">
      <c r="A51" s="281"/>
      <c r="B51" s="302" t="s">
        <v>728</v>
      </c>
      <c r="C51" s="280" t="s">
        <v>718</v>
      </c>
      <c r="D51" s="289">
        <f>ROUND((F51*'Pawn Weights'!$H$3)+(G51*'Pawn Weights'!$H$4)+(H51*'Pawn Weights'!$H$5)+(I51*'Pawn Weights'!$H$6)+(J51*'Pawn Weights'!$H$7)+(K51*'Pawn Weights'!$H$8)+(L51*'Pawn Weights'!$H$9)+(M51*'Pawn Weights'!$H$10)+(N51*'Pawn Weights'!$H$11)+(O51*'Pawn Weights'!$H$12)+(P51*'Pawn Weights'!$H$13)+(Q51*'Pawn Weights'!$H$14), 2)</f>
        <v>58.93</v>
      </c>
      <c r="E51" s="280">
        <v>34.0</v>
      </c>
      <c r="F51" s="280"/>
      <c r="G51" s="280"/>
      <c r="H51" s="280">
        <v>46.0</v>
      </c>
      <c r="I51" s="280">
        <v>20.0</v>
      </c>
      <c r="J51" s="280"/>
      <c r="K51" s="280"/>
      <c r="L51" s="280"/>
      <c r="M51" s="280">
        <v>112.0</v>
      </c>
      <c r="N51" s="280"/>
      <c r="O51" s="280"/>
      <c r="P51" s="280"/>
      <c r="Q51" s="280"/>
      <c r="R51" s="290"/>
      <c r="S51" s="281"/>
      <c r="T51" s="294" t="s">
        <v>704</v>
      </c>
      <c r="U51" s="281"/>
      <c r="V51" s="281"/>
      <c r="W51" s="281"/>
      <c r="X51" s="281"/>
    </row>
    <row r="52">
      <c r="A52" s="292" t="s">
        <v>627</v>
      </c>
      <c r="B52" s="288" t="s">
        <v>729</v>
      </c>
      <c r="C52" s="280" t="s">
        <v>730</v>
      </c>
      <c r="D52" s="289">
        <f>ROUND((F52*'Pawn Weights'!$H$3)+(G52*'Pawn Weights'!$H$4)+(H52*'Pawn Weights'!$H$5)+(I52*'Pawn Weights'!$H$6)+(J52*'Pawn Weights'!$H$7)+(K52*'Pawn Weights'!$H$8)+(L52*'Pawn Weights'!$H$9)+(M52*'Pawn Weights'!$H$10)+(N52*'Pawn Weights'!$H$11)+(O52*'Pawn Weights'!$H$12)+(P52*'Pawn Weights'!$H$13)+(Q52*'Pawn Weights'!$H$14)+1.242, 2)</f>
        <v>55.81</v>
      </c>
      <c r="E52" s="280"/>
      <c r="F52" s="280"/>
      <c r="G52" s="280"/>
      <c r="H52" s="280">
        <v>52.0</v>
      </c>
      <c r="I52" s="280">
        <v>23.0</v>
      </c>
      <c r="J52" s="280"/>
      <c r="K52" s="280"/>
      <c r="L52" s="280"/>
      <c r="M52" s="281"/>
      <c r="N52" s="280"/>
      <c r="O52" s="280">
        <v>1.0</v>
      </c>
      <c r="P52" s="280"/>
      <c r="Q52" s="280"/>
      <c r="R52" s="290" t="s">
        <v>731</v>
      </c>
      <c r="S52" s="281"/>
      <c r="T52" s="222"/>
      <c r="U52" s="281"/>
      <c r="V52" s="281"/>
      <c r="W52" s="281"/>
      <c r="X52" s="281"/>
    </row>
    <row r="53">
      <c r="A53" s="303" t="s">
        <v>627</v>
      </c>
      <c r="B53" s="302" t="s">
        <v>734</v>
      </c>
      <c r="C53" s="154" t="s">
        <v>735</v>
      </c>
      <c r="D53" s="289">
        <f>ROUND((F53*'Pawn Weights'!$H$3)+(G53*'Pawn Weights'!$H$4)+(H53*'Pawn Weights'!$H$5)+(I53*'Pawn Weights'!$H$6)+(J53*'Pawn Weights'!$H$7)+(K53*'Pawn Weights'!$H$8)+(L53*'Pawn Weights'!$H$9)+(M53*'Pawn Weights'!$H$10)+(N53*'Pawn Weights'!$H$11)+(O53*'Pawn Weights'!$H$12)+(P53*'Pawn Weights'!$H$13)+(Q53*'Pawn Weights'!$H$14), 2)</f>
        <v>54.84</v>
      </c>
      <c r="E53" s="280">
        <v>25.0</v>
      </c>
      <c r="F53" s="280">
        <v>23.0</v>
      </c>
      <c r="G53" s="280"/>
      <c r="H53" s="280"/>
      <c r="I53" s="280">
        <v>24.0</v>
      </c>
      <c r="J53" s="280"/>
      <c r="K53" s="280"/>
      <c r="L53" s="280"/>
      <c r="M53" s="281"/>
      <c r="N53" s="280"/>
      <c r="O53" s="280"/>
      <c r="P53" s="280"/>
      <c r="Q53" s="280">
        <v>1.0</v>
      </c>
      <c r="R53" s="290" t="s">
        <v>736</v>
      </c>
      <c r="S53" s="281"/>
      <c r="T53" s="291" t="s">
        <v>737</v>
      </c>
      <c r="U53" s="281"/>
      <c r="V53" s="281"/>
      <c r="W53" s="281"/>
      <c r="X53" s="304"/>
      <c r="Y53" s="304"/>
      <c r="Z53" s="304"/>
    </row>
    <row r="54">
      <c r="A54" s="281"/>
      <c r="B54" s="302" t="s">
        <v>738</v>
      </c>
      <c r="C54" s="280" t="s">
        <v>739</v>
      </c>
      <c r="D54" s="289">
        <f>ROUND((F54*'Pawn Weights'!$H$3)+(G54*'Pawn Weights'!$H$4)+(H54*'Pawn Weights'!$H$5)+(I54*'Pawn Weights'!$H$6)+(J54*'Pawn Weights'!$H$7)+(K54*'Pawn Weights'!$H$8)+(L54*'Pawn Weights'!$H$9)+(M54*'Pawn Weights'!$H$10)+(N54*'Pawn Weights'!$H$11)+(O54*'Pawn Weights'!$H$12)+(P54*'Pawn Weights'!$H$13)+(Q54*'Pawn Weights'!$H$14), 2)</f>
        <v>54.57</v>
      </c>
      <c r="E54" s="280"/>
      <c r="F54" s="280"/>
      <c r="G54" s="280"/>
      <c r="H54" s="280">
        <v>60.0</v>
      </c>
      <c r="I54" s="280">
        <v>30.0</v>
      </c>
      <c r="J54" s="280"/>
      <c r="K54" s="280"/>
      <c r="L54" s="280"/>
      <c r="M54" s="280"/>
      <c r="N54" s="280"/>
      <c r="O54" s="280"/>
      <c r="P54" s="280"/>
      <c r="Q54" s="280"/>
      <c r="R54" s="290"/>
      <c r="S54" s="281"/>
      <c r="T54" s="222"/>
      <c r="U54" s="281"/>
      <c r="V54" s="281"/>
      <c r="W54" s="281"/>
      <c r="X54" s="281"/>
    </row>
    <row r="55">
      <c r="A55" s="303"/>
      <c r="B55" s="302" t="s">
        <v>732</v>
      </c>
      <c r="C55" s="154" t="s">
        <v>733</v>
      </c>
      <c r="D55" s="289">
        <f>ROUND((F55*'Pawn Weights'!$H$3)+(G55*'Pawn Weights'!$H$4)+(H55*'Pawn Weights'!$H$5)+(I55*'Pawn Weights'!$H$6)+(J55*'Pawn Weights'!$H$7)+(K55*'Pawn Weights'!$H$8)+(L55*'Pawn Weights'!$H$9)+(M55*'Pawn Weights'!$H$10)+(N55*'Pawn Weights'!$H$11)+(O55*'Pawn Weights'!$H$12)+(P55*'Pawn Weights'!$H$13)+(Q55*'Pawn Weights'!$H$14), 2)</f>
        <v>53.75</v>
      </c>
      <c r="E55" s="280">
        <v>22.0</v>
      </c>
      <c r="F55" s="280"/>
      <c r="G55" s="280">
        <v>20.0</v>
      </c>
      <c r="H55" s="280">
        <v>46.0</v>
      </c>
      <c r="I55" s="280"/>
      <c r="J55" s="280"/>
      <c r="K55" s="280">
        <v>25.0</v>
      </c>
      <c r="L55" s="280"/>
      <c r="M55" s="281"/>
      <c r="N55" s="280"/>
      <c r="O55" s="280"/>
      <c r="P55" s="280"/>
      <c r="Q55" s="280"/>
      <c r="R55" s="290"/>
      <c r="S55" s="281"/>
      <c r="T55" s="291"/>
      <c r="U55" s="281"/>
      <c r="V55" s="281"/>
      <c r="W55" s="281"/>
      <c r="X55" s="304"/>
      <c r="Y55" s="304"/>
      <c r="Z55" s="304"/>
    </row>
    <row r="56" ht="1.5" customHeight="1">
      <c r="A56" s="281"/>
      <c r="B56" s="302" t="s">
        <v>740</v>
      </c>
      <c r="C56" s="280" t="s">
        <v>741</v>
      </c>
      <c r="D56" s="289">
        <f>ROUND((F56*'Pawn Weights'!$H$3)+(G56*'Pawn Weights'!$H$4)+(H56*'Pawn Weights'!$H$5)+(I56*'Pawn Weights'!$H$6)+(J56*'Pawn Weights'!$H$7)+(K56*'Pawn Weights'!$H$8)+(L56*'Pawn Weights'!$H$9)+(M56*'Pawn Weights'!$H$10)+(N56*'Pawn Weights'!$H$11)+(O56*'Pawn Weights'!$H$12)+(P56*'Pawn Weights'!$H$13)+(Q56*'Pawn Weights'!$H$14), 2)</f>
        <v>49.58</v>
      </c>
      <c r="E56" s="280">
        <v>28.0</v>
      </c>
      <c r="F56" s="280"/>
      <c r="G56" s="280">
        <v>28.0</v>
      </c>
      <c r="H56" s="280">
        <v>68.0</v>
      </c>
      <c r="I56" s="280"/>
      <c r="J56" s="280"/>
      <c r="K56" s="280"/>
      <c r="L56" s="280"/>
      <c r="M56" s="280"/>
      <c r="N56" s="280"/>
      <c r="O56" s="280"/>
      <c r="P56" s="280"/>
      <c r="Q56" s="280"/>
      <c r="R56" s="290"/>
      <c r="S56" s="281"/>
      <c r="T56" s="222"/>
      <c r="U56" s="281"/>
      <c r="V56" s="281"/>
      <c r="W56" s="281"/>
      <c r="X56" s="281"/>
    </row>
    <row r="57">
      <c r="A57" s="281"/>
      <c r="B57" s="302" t="s">
        <v>1084</v>
      </c>
      <c r="C57" s="280" t="s">
        <v>900</v>
      </c>
      <c r="D57" s="289">
        <f>ROUND((F57*'Pawn Weights'!$H$3)+(G57*'Pawn Weights'!$H$4)+(H57*'Pawn Weights'!$H$5)+(I57*'Pawn Weights'!$H$6)+(J57*'Pawn Weights'!$H$7)+(K57*'Pawn Weights'!$H$8)+(L57*'Pawn Weights'!$H$9)+(M57*'Pawn Weights'!$H$10)+(N57*'Pawn Weights'!$H$11)+(O57*'Pawn Weights'!$H$12)+(P57*'Pawn Weights'!$H$13)+(Q57*'Pawn Weights'!$H$14), 2)</f>
        <v>48.34</v>
      </c>
      <c r="E57" s="280">
        <v>22.0</v>
      </c>
      <c r="F57" s="280">
        <v>33.0</v>
      </c>
      <c r="G57" s="280">
        <v>23.0</v>
      </c>
      <c r="H57" s="280"/>
      <c r="I57" s="280"/>
      <c r="J57" s="280"/>
      <c r="K57" s="280"/>
      <c r="L57" s="280"/>
      <c r="M57" s="280"/>
      <c r="N57" s="280"/>
      <c r="O57" s="280"/>
      <c r="P57" s="280"/>
      <c r="Q57" s="280"/>
      <c r="R57" s="290"/>
      <c r="S57" s="281"/>
      <c r="T57" s="222"/>
      <c r="U57" s="281"/>
      <c r="V57" s="281"/>
      <c r="W57" s="281"/>
      <c r="X57" s="281"/>
    </row>
    <row r="58">
      <c r="A58" s="272" t="s">
        <v>742</v>
      </c>
      <c r="B58" s="281"/>
      <c r="C58" s="281"/>
      <c r="D58" s="360"/>
      <c r="E58" s="281"/>
      <c r="F58" s="281"/>
      <c r="G58" s="281"/>
      <c r="H58" s="281"/>
      <c r="I58" s="281"/>
      <c r="J58" s="281"/>
      <c r="K58" s="281"/>
      <c r="L58" s="281"/>
      <c r="M58" s="281"/>
      <c r="N58" s="281"/>
      <c r="O58" s="281"/>
      <c r="P58" s="281"/>
      <c r="Q58" s="281"/>
      <c r="R58" s="282"/>
      <c r="S58" s="281"/>
      <c r="T58" s="222"/>
      <c r="U58" s="281"/>
      <c r="V58" s="281"/>
      <c r="W58" s="281"/>
    </row>
    <row r="59">
      <c r="A59" s="137" t="s">
        <v>627</v>
      </c>
      <c r="B59" s="381" t="s">
        <v>746</v>
      </c>
      <c r="C59" s="361" t="s">
        <v>747</v>
      </c>
      <c r="D59" s="289">
        <f>ROUND((F59*'Pawn Weights'!$H$3)+(G59*'Pawn Weights'!$H$4)+(H59*'Pawn Weights'!$H$5)+(I59*'Pawn Weights'!$H$6)+(J59*'Pawn Weights'!$H$7)+(K59*'Pawn Weights'!$H$8)+(L59*'Pawn Weights'!$H$9)+(M59*'Pawn Weights'!$H$10)+(N59*'Pawn Weights'!$H$11)+(O59*'Pawn Weights'!$H$12)+(P59*'Pawn Weights'!$H$13)+(Q59*'Pawn Weights'!$H$14)+3.64, 2)</f>
        <v>181.51</v>
      </c>
      <c r="E59" s="359">
        <v>55.0</v>
      </c>
      <c r="F59" s="359">
        <v>61.0</v>
      </c>
      <c r="G59" s="361"/>
      <c r="H59" s="361"/>
      <c r="I59" s="359">
        <v>41.0</v>
      </c>
      <c r="J59" s="361"/>
      <c r="K59" s="361"/>
      <c r="L59" s="361"/>
      <c r="M59" s="359">
        <v>280.0</v>
      </c>
      <c r="N59" s="361"/>
      <c r="O59" s="359">
        <v>3.0</v>
      </c>
      <c r="P59" s="361"/>
      <c r="Q59" s="361"/>
      <c r="R59" s="359" t="s">
        <v>624</v>
      </c>
      <c r="S59" s="137"/>
      <c r="T59" s="361" t="s">
        <v>748</v>
      </c>
      <c r="U59" s="137"/>
      <c r="V59" s="137"/>
      <c r="W59" s="137"/>
      <c r="X59" s="137"/>
      <c r="Y59" s="137"/>
      <c r="Z59" s="137"/>
    </row>
    <row r="60">
      <c r="A60" s="137"/>
      <c r="B60" s="381" t="s">
        <v>749</v>
      </c>
      <c r="C60" s="361" t="s">
        <v>750</v>
      </c>
      <c r="D60" s="289">
        <f>ROUND((F60*'Pawn Weights'!$H$3)+(G60*'Pawn Weights'!$H$4)+(H60*'Pawn Weights'!$H$5)+(I60*'Pawn Weights'!$H$6)+(J60*'Pawn Weights'!$H$7)+(K60*'Pawn Weights'!$H$8)+(L60*'Pawn Weights'!$H$9)+(M60*'Pawn Weights'!$H$10)+(N60*'Pawn Weights'!$H$11)+(O60*'Pawn Weights'!$H$12)+(P60*'Pawn Weights'!$H$13)+(Q60*'Pawn Weights'!$H$14)-10+9.55+3.636, 2)</f>
        <v>164.01</v>
      </c>
      <c r="E60" s="359">
        <v>45.0</v>
      </c>
      <c r="F60" s="361"/>
      <c r="G60" s="359">
        <v>42.0</v>
      </c>
      <c r="H60" s="359">
        <v>120.0</v>
      </c>
      <c r="I60" s="361"/>
      <c r="J60" s="359">
        <v>30.0</v>
      </c>
      <c r="K60" s="359">
        <v>38.0</v>
      </c>
      <c r="L60" s="361"/>
      <c r="M60" s="137"/>
      <c r="N60" s="361"/>
      <c r="O60" s="359">
        <v>2.0</v>
      </c>
      <c r="P60" s="359">
        <v>1.0</v>
      </c>
      <c r="Q60" s="361"/>
      <c r="R60" s="359" t="s">
        <v>745</v>
      </c>
      <c r="S60" s="137"/>
      <c r="T60" s="406" t="s">
        <v>748</v>
      </c>
      <c r="U60" s="137"/>
      <c r="V60" s="137"/>
      <c r="W60" s="137"/>
      <c r="X60" s="137"/>
      <c r="Y60" s="137"/>
      <c r="Z60" s="137"/>
    </row>
    <row r="61">
      <c r="A61" s="137" t="s">
        <v>635</v>
      </c>
      <c r="B61" s="381" t="s">
        <v>754</v>
      </c>
      <c r="C61" s="361" t="s">
        <v>637</v>
      </c>
      <c r="D61" s="289">
        <f>ROUND((F61*'Pawn Weights'!$H$3)+(G61*'Pawn Weights'!$H$4)+(H61*'Pawn Weights'!$H$5)+(I61*'Pawn Weights'!$H$6)+(J61*'Pawn Weights'!$H$7)+(K61*'Pawn Weights'!$H$8)+(L61*'Pawn Weights'!$H$9)+(M61*'Pawn Weights'!$H$10)+(N61*'Pawn Weights'!$H$11)+(O61*'Pawn Weights'!$H$12)+(P61*'Pawn Weights'!$H$13)+(Q61*'Pawn Weights'!$H$14)-10+9.55+3.64, 2)</f>
        <v>145.19</v>
      </c>
      <c r="E61" s="359">
        <v>76.0</v>
      </c>
      <c r="F61" s="359">
        <v>45.0</v>
      </c>
      <c r="G61" s="361"/>
      <c r="H61" s="361"/>
      <c r="I61" s="359">
        <v>45.0</v>
      </c>
      <c r="J61" s="359">
        <v>18.0</v>
      </c>
      <c r="K61" s="361"/>
      <c r="L61" s="361"/>
      <c r="M61" s="359">
        <v>84.0</v>
      </c>
      <c r="N61" s="361"/>
      <c r="O61" s="359">
        <v>2.0</v>
      </c>
      <c r="P61" s="359">
        <v>1.0</v>
      </c>
      <c r="Q61" s="361"/>
      <c r="R61" s="359" t="s">
        <v>624</v>
      </c>
      <c r="S61" s="137"/>
      <c r="T61" s="361" t="s">
        <v>755</v>
      </c>
      <c r="U61" s="137"/>
      <c r="V61" s="137"/>
      <c r="W61" s="137"/>
      <c r="X61" s="137"/>
      <c r="Y61" s="137"/>
      <c r="Z61" s="137"/>
    </row>
    <row r="62">
      <c r="A62" s="137" t="s">
        <v>627</v>
      </c>
      <c r="B62" s="381" t="s">
        <v>753</v>
      </c>
      <c r="C62" s="361" t="s">
        <v>750</v>
      </c>
      <c r="D62" s="289">
        <f>ROUND((F62*'Pawn Weights'!$H$3)+(G62*'Pawn Weights'!$H$4)+(H62*'Pawn Weights'!$H$5)+(I62*'Pawn Weights'!$H$6)+(J62*'Pawn Weights'!$H$7)+(K62*'Pawn Weights'!$H$8)+(L62*'Pawn Weights'!$H$9)+(M62*'Pawn Weights'!$H$10)+(N62*'Pawn Weights'!$H$11)+(O62*'Pawn Weights'!$H$12)+(P62*'Pawn Weights'!$H$13)+(Q62*'Pawn Weights'!$H$14)+3.636, 2)</f>
        <v>144.57</v>
      </c>
      <c r="E62" s="359">
        <v>43.0</v>
      </c>
      <c r="F62" s="361"/>
      <c r="G62" s="359">
        <v>44.0</v>
      </c>
      <c r="H62" s="359">
        <v>104.0</v>
      </c>
      <c r="I62" s="361"/>
      <c r="J62" s="361"/>
      <c r="K62" s="359">
        <v>44.0</v>
      </c>
      <c r="L62" s="361"/>
      <c r="M62" s="137"/>
      <c r="N62" s="361"/>
      <c r="O62" s="359">
        <v>3.0</v>
      </c>
      <c r="P62" s="361"/>
      <c r="Q62" s="361"/>
      <c r="R62" s="359" t="s">
        <v>745</v>
      </c>
      <c r="S62" s="137"/>
      <c r="T62" s="406" t="s">
        <v>748</v>
      </c>
      <c r="U62" s="137"/>
      <c r="V62" s="137"/>
      <c r="W62" s="137"/>
      <c r="X62" s="137"/>
      <c r="Y62" s="137"/>
      <c r="Z62" s="137"/>
    </row>
    <row r="63">
      <c r="A63" s="292"/>
      <c r="B63" s="305" t="s">
        <v>758</v>
      </c>
      <c r="C63" s="280" t="s">
        <v>642</v>
      </c>
      <c r="D63" s="289">
        <f>ROUND((F63*'Pawn Weights'!$H$3)+(G63*'Pawn Weights'!$H$4)+(H63*'Pawn Weights'!$H$5)+(I63*'Pawn Weights'!$H$6)+(J63*'Pawn Weights'!$H$7)+(K63*'Pawn Weights'!$H$8)+(L63*'Pawn Weights'!$H$9)+(M63*'Pawn Weights'!$H$10)+(N63*'Pawn Weights'!$H$11)+(O63*'Pawn Weights'!$H$12)+(P63*'Pawn Weights'!$H$13)+(Q63*'Pawn Weights'!$H$14), 2)</f>
        <v>138.05</v>
      </c>
      <c r="E63" s="280">
        <v>64.0</v>
      </c>
      <c r="F63" s="280"/>
      <c r="G63" s="280"/>
      <c r="H63" s="280">
        <v>106.0</v>
      </c>
      <c r="I63" s="280">
        <v>46.0</v>
      </c>
      <c r="J63" s="280">
        <v>29.0</v>
      </c>
      <c r="K63" s="280"/>
      <c r="L63" s="280"/>
      <c r="M63" s="281"/>
      <c r="N63" s="280"/>
      <c r="O63" s="280">
        <v>1.0</v>
      </c>
      <c r="P63" s="280">
        <v>1.0</v>
      </c>
      <c r="Q63" s="280">
        <v>1.0</v>
      </c>
      <c r="R63" s="290" t="s">
        <v>745</v>
      </c>
      <c r="S63" s="281"/>
      <c r="T63" s="291"/>
      <c r="U63" s="281"/>
      <c r="V63" s="281"/>
      <c r="W63" s="281"/>
    </row>
    <row r="64">
      <c r="A64" s="292" t="s">
        <v>640</v>
      </c>
      <c r="B64" s="305" t="s">
        <v>757</v>
      </c>
      <c r="C64" s="280" t="s">
        <v>632</v>
      </c>
      <c r="D64" s="289">
        <f>ROUND((F64*'Pawn Weights'!$H$3)+(G64*'Pawn Weights'!$H$4)+(H64*'Pawn Weights'!$H$5)+(I64*'Pawn Weights'!$H$6)+(J64*'Pawn Weights'!$H$7)+(K64*'Pawn Weights'!$H$8)+(L64*'Pawn Weights'!$H$9)+(M64*'Pawn Weights'!$H$10)+(N64*'Pawn Weights'!$H$11)+(O64*'Pawn Weights'!$H$12)+(P64*'Pawn Weights'!$H$13)+(Q64*'Pawn Weights'!$H$14), 2)</f>
        <v>137.92</v>
      </c>
      <c r="E64" s="280">
        <v>54.0</v>
      </c>
      <c r="F64" s="280">
        <v>53.0</v>
      </c>
      <c r="G64" s="280">
        <v>34.0</v>
      </c>
      <c r="H64" s="280"/>
      <c r="I64" s="280"/>
      <c r="J64" s="280">
        <v>16.0</v>
      </c>
      <c r="K64" s="280"/>
      <c r="L64" s="280"/>
      <c r="M64" s="280">
        <v>126.0</v>
      </c>
      <c r="N64" s="280"/>
      <c r="O64" s="280">
        <v>1.0</v>
      </c>
      <c r="P64" s="280"/>
      <c r="Q64" s="280">
        <v>2.0</v>
      </c>
      <c r="R64" s="290" t="s">
        <v>624</v>
      </c>
      <c r="S64" s="281"/>
      <c r="T64" s="291"/>
      <c r="U64" s="281"/>
      <c r="V64" s="281"/>
      <c r="W64" s="281"/>
    </row>
    <row r="65">
      <c r="A65" s="292" t="s">
        <v>644</v>
      </c>
      <c r="B65" s="305" t="s">
        <v>759</v>
      </c>
      <c r="C65" s="280" t="s">
        <v>646</v>
      </c>
      <c r="D65" s="289">
        <f>ROUND((F65*'Pawn Weights'!$H$3)+(G65*'Pawn Weights'!$H$4)+(H65*'Pawn Weights'!$H$5)+(I65*'Pawn Weights'!$H$6)+(J65*'Pawn Weights'!$H$7)+(K65*'Pawn Weights'!$H$8)+(L65*'Pawn Weights'!$H$9)+(M65*'Pawn Weights'!$H$10)+(N65*'Pawn Weights'!$H$11)+(O65*'Pawn Weights'!$H$12)+(P65*'Pawn Weights'!$H$13)+(Q65*'Pawn Weights'!$H$14)-10+9.55+3.64, 2)</f>
        <v>130</v>
      </c>
      <c r="E65" s="280">
        <v>67.0</v>
      </c>
      <c r="F65" s="280">
        <v>39.0</v>
      </c>
      <c r="G65" s="280"/>
      <c r="H65" s="280"/>
      <c r="I65" s="280">
        <v>39.0</v>
      </c>
      <c r="J65" s="280">
        <v>12.0</v>
      </c>
      <c r="K65" s="280"/>
      <c r="L65" s="280"/>
      <c r="M65" s="280">
        <v>84.0</v>
      </c>
      <c r="N65" s="280"/>
      <c r="O65" s="280">
        <v>2.0</v>
      </c>
      <c r="P65" s="280">
        <v>1.0</v>
      </c>
      <c r="Q65" s="280"/>
      <c r="R65" s="290" t="s">
        <v>624</v>
      </c>
      <c r="S65" s="281"/>
      <c r="T65" s="291" t="s">
        <v>755</v>
      </c>
      <c r="U65" s="281"/>
      <c r="V65" s="281"/>
      <c r="W65" s="281"/>
    </row>
    <row r="66">
      <c r="A66" s="292" t="s">
        <v>627</v>
      </c>
      <c r="B66" s="305" t="s">
        <v>760</v>
      </c>
      <c r="C66" s="280" t="s">
        <v>761</v>
      </c>
      <c r="D66" s="289">
        <f>ROUND((F66*'Pawn Weights'!$H$3)+(G66*'Pawn Weights'!$H$4)+(H66*'Pawn Weights'!$H$5)+(I66*'Pawn Weights'!$H$6)+(J66*'Pawn Weights'!$H$7)+(K66*'Pawn Weights'!$H$8)+(L66*'Pawn Weights'!$H$9)+(M66*'Pawn Weights'!$H$10)+(N66*'Pawn Weights'!$H$11)+(O66*'Pawn Weights'!$H$12)+(P66*'Pawn Weights'!$H$13)+(Q66*'Pawn Weights'!$H$14), 2)</f>
        <v>122.84</v>
      </c>
      <c r="E66" s="280">
        <v>56.0</v>
      </c>
      <c r="F66" s="280">
        <v>40.0</v>
      </c>
      <c r="G66" s="280"/>
      <c r="H66" s="280"/>
      <c r="I66" s="280">
        <v>41.0</v>
      </c>
      <c r="J66" s="280">
        <v>25.0</v>
      </c>
      <c r="K66" s="280"/>
      <c r="L66" s="280"/>
      <c r="M66" s="281"/>
      <c r="N66" s="280"/>
      <c r="O66" s="280"/>
      <c r="P66" s="280">
        <v>2.0</v>
      </c>
      <c r="Q66" s="280">
        <v>1.0</v>
      </c>
      <c r="R66" s="290" t="s">
        <v>624</v>
      </c>
      <c r="S66" s="281"/>
      <c r="T66" s="291" t="s">
        <v>762</v>
      </c>
      <c r="U66" s="281"/>
      <c r="V66" s="281"/>
      <c r="W66" s="281"/>
    </row>
    <row r="67">
      <c r="A67" s="292"/>
      <c r="B67" s="305" t="s">
        <v>763</v>
      </c>
      <c r="C67" s="280" t="s">
        <v>701</v>
      </c>
      <c r="D67" s="289">
        <f>ROUND((F67*'Pawn Weights'!$H$3)+(G67*'Pawn Weights'!$H$4)+(H67*'Pawn Weights'!$H$5)+(I67*'Pawn Weights'!$H$6)+(J67*'Pawn Weights'!$H$7)+(K67*'Pawn Weights'!$H$8)+(L67*'Pawn Weights'!$H$9)+(M67*'Pawn Weights'!$H$10)+(N67*'Pawn Weights'!$H$11)+(O67*'Pawn Weights'!$H$12)+(P67*'Pawn Weights'!$H$13)+(Q67*'Pawn Weights'!$H$14), 2)</f>
        <v>121.67</v>
      </c>
      <c r="E67" s="280">
        <v>45.0</v>
      </c>
      <c r="F67" s="280">
        <v>63.0</v>
      </c>
      <c r="G67" s="280"/>
      <c r="H67" s="280"/>
      <c r="I67" s="280">
        <v>44.0</v>
      </c>
      <c r="J67" s="280">
        <v>30.0</v>
      </c>
      <c r="K67" s="280"/>
      <c r="L67" s="280"/>
      <c r="M67" s="281"/>
      <c r="N67" s="280"/>
      <c r="O67" s="280"/>
      <c r="P67" s="280"/>
      <c r="Q67" s="280"/>
      <c r="R67" s="290"/>
      <c r="S67" s="281"/>
      <c r="T67" s="291"/>
      <c r="U67" s="281"/>
      <c r="V67" s="281"/>
      <c r="W67" s="281"/>
    </row>
    <row r="68">
      <c r="A68" s="281"/>
      <c r="B68" s="305" t="s">
        <v>764</v>
      </c>
      <c r="C68" s="307" t="s">
        <v>765</v>
      </c>
      <c r="D68" s="289">
        <f>ROUND((F68*'Pawn Weights'!$H$3)+(G68*'Pawn Weights'!$H$4)+(H68*'Pawn Weights'!$H$5)+(I68*'Pawn Weights'!$H$6)+(J68*'Pawn Weights'!$H$7)+(K68*'Pawn Weights'!$H$8)+(L68*'Pawn Weights'!$H$9)+(M68*'Pawn Weights'!$H$10)+(N68*'Pawn Weights'!$H$11)+(O68*'Pawn Weights'!$H$12)+(P68*'Pawn Weights'!$H$13)+(Q68*'Pawn Weights'!$H$14), 2)</f>
        <v>121.34</v>
      </c>
      <c r="E68" s="280">
        <v>24.0</v>
      </c>
      <c r="F68" s="280"/>
      <c r="G68" s="280"/>
      <c r="H68" s="280">
        <v>92.0</v>
      </c>
      <c r="I68" s="280">
        <v>36.0</v>
      </c>
      <c r="J68" s="280">
        <v>27.0</v>
      </c>
      <c r="K68" s="280"/>
      <c r="L68" s="280"/>
      <c r="M68" s="281"/>
      <c r="N68" s="280"/>
      <c r="O68" s="280"/>
      <c r="P68" s="280">
        <v>2.0</v>
      </c>
      <c r="Q68" s="280">
        <v>1.0</v>
      </c>
      <c r="R68" s="290" t="s">
        <v>745</v>
      </c>
      <c r="S68" s="281"/>
      <c r="T68" s="291"/>
      <c r="U68" s="281"/>
      <c r="V68" s="281"/>
      <c r="W68" s="281"/>
    </row>
    <row r="69">
      <c r="A69" s="292" t="s">
        <v>647</v>
      </c>
      <c r="B69" s="305" t="s">
        <v>766</v>
      </c>
      <c r="C69" s="280" t="s">
        <v>741</v>
      </c>
      <c r="D69" s="289">
        <f>ROUND((F69*'Pawn Weights'!$H$3)+(G69*'Pawn Weights'!$H$4)+(H69*'Pawn Weights'!$H$5)+(I69*'Pawn Weights'!$H$6)+(J69*'Pawn Weights'!$H$7)+(K69*'Pawn Weights'!$H$8)+(L69*'Pawn Weights'!$H$9)+(M69*'Pawn Weights'!$H$10)+(N69*'Pawn Weights'!$H$11)+(O69*'Pawn Weights'!$H$12)+(P69*'Pawn Weights'!$H$13)+(Q69*'Pawn Weights'!$H$14), 2)</f>
        <v>119.35</v>
      </c>
      <c r="E69" s="280">
        <v>48.0</v>
      </c>
      <c r="F69" s="280">
        <v>50.0</v>
      </c>
      <c r="G69" s="280"/>
      <c r="H69" s="280"/>
      <c r="I69" s="280">
        <v>33.0</v>
      </c>
      <c r="J69" s="280">
        <v>15.0</v>
      </c>
      <c r="K69" s="280"/>
      <c r="L69" s="280"/>
      <c r="M69" s="281"/>
      <c r="N69" s="280"/>
      <c r="O69" s="280">
        <v>1.0</v>
      </c>
      <c r="P69" s="280">
        <v>1.0</v>
      </c>
      <c r="Q69" s="280">
        <v>1.0</v>
      </c>
      <c r="R69" s="290" t="s">
        <v>643</v>
      </c>
      <c r="S69" s="281"/>
      <c r="T69" s="291"/>
      <c r="U69" s="281"/>
      <c r="V69" s="281"/>
      <c r="W69" s="281"/>
    </row>
    <row r="70">
      <c r="A70" s="292"/>
      <c r="B70" s="305" t="s">
        <v>767</v>
      </c>
      <c r="C70" s="280" t="s">
        <v>665</v>
      </c>
      <c r="D70" s="289">
        <f>ROUND((F70*'Pawn Weights'!$H$3)+(G70*'Pawn Weights'!$H$4)+(H70*'Pawn Weights'!$H$5)+(I70*'Pawn Weights'!$H$6)+(J70*'Pawn Weights'!$H$7)+(K70*'Pawn Weights'!$H$8)+(L70*'Pawn Weights'!$H$9)+(M70*'Pawn Weights'!$H$10)+(N70*'Pawn Weights'!$H$11)+(O70*'Pawn Weights'!$H$12)+(P70*'Pawn Weights'!$H$13)+(Q70*'Pawn Weights'!$H$14), 2)</f>
        <v>114.83</v>
      </c>
      <c r="E70" s="280">
        <v>52.0</v>
      </c>
      <c r="F70" s="280"/>
      <c r="G70" s="280">
        <v>36.0</v>
      </c>
      <c r="H70" s="280">
        <v>86.0</v>
      </c>
      <c r="I70" s="280"/>
      <c r="J70" s="280">
        <v>35.0</v>
      </c>
      <c r="K70" s="280"/>
      <c r="L70" s="280"/>
      <c r="M70" s="281"/>
      <c r="N70" s="280"/>
      <c r="O70" s="280">
        <v>1.0</v>
      </c>
      <c r="P70" s="280">
        <v>1.0</v>
      </c>
      <c r="Q70" s="280">
        <v>1.0</v>
      </c>
      <c r="R70" s="290" t="s">
        <v>745</v>
      </c>
      <c r="S70" s="281"/>
      <c r="T70" s="291"/>
      <c r="U70" s="281"/>
      <c r="V70" s="281"/>
      <c r="W70" s="281"/>
    </row>
    <row r="71">
      <c r="A71" s="292" t="s">
        <v>627</v>
      </c>
      <c r="B71" s="305" t="s">
        <v>770</v>
      </c>
      <c r="C71" s="280" t="s">
        <v>771</v>
      </c>
      <c r="D71" s="289">
        <f>ROUND((F71*'Pawn Weights'!$H$3)+(G71*'Pawn Weights'!$H$4)+(H71*'Pawn Weights'!$H$5)+(I71*'Pawn Weights'!$H$6)+(J71*'Pawn Weights'!$H$7)+(K71*'Pawn Weights'!$H$8)+(L71*'Pawn Weights'!$H$9)+(M71*'Pawn Weights'!$H$10)+(N71*'Pawn Weights'!$H$11)+(O71*'Pawn Weights'!$H$12)+(P71*'Pawn Weights'!$H$13)+(Q71*'Pawn Weights'!$H$14), 2)</f>
        <v>112.95</v>
      </c>
      <c r="E71" s="280">
        <v>55.0</v>
      </c>
      <c r="F71" s="280">
        <v>35.0</v>
      </c>
      <c r="G71" s="280"/>
      <c r="H71" s="280"/>
      <c r="I71" s="280">
        <v>37.0</v>
      </c>
      <c r="J71" s="280">
        <v>23.0</v>
      </c>
      <c r="K71" s="280"/>
      <c r="L71" s="280"/>
      <c r="M71" s="281"/>
      <c r="N71" s="280"/>
      <c r="O71" s="280"/>
      <c r="P71" s="280">
        <v>2.0</v>
      </c>
      <c r="Q71" s="280">
        <v>1.0</v>
      </c>
      <c r="R71" s="290" t="s">
        <v>624</v>
      </c>
      <c r="S71" s="281"/>
      <c r="T71" s="291" t="s">
        <v>762</v>
      </c>
      <c r="U71" s="281"/>
      <c r="V71" s="281"/>
      <c r="W71" s="281"/>
    </row>
    <row r="72">
      <c r="A72" s="295"/>
      <c r="B72" s="308" t="s">
        <v>772</v>
      </c>
      <c r="C72" s="297" t="s">
        <v>773</v>
      </c>
      <c r="D72" s="289">
        <f>ROUND((F72*'Pawn Weights'!$H$3)+(G72*'Pawn Weights'!$H$4)+(H72*'Pawn Weights'!$H$5)+(I72*'Pawn Weights'!$H$6)+(J72*'Pawn Weights'!$H$7)+(K72*'Pawn Weights'!$H$8)+(L72*'Pawn Weights'!$H$9)+(M72*'Pawn Weights'!$H$10)+(N72*'Pawn Weights'!$H$11)+(O72*'Pawn Weights'!$H$12)+(P72*'Pawn Weights'!$H$13)+(Q72*'Pawn Weights'!$H$14), 2)</f>
        <v>112.48</v>
      </c>
      <c r="E72" s="298">
        <v>42.0</v>
      </c>
      <c r="F72" s="298">
        <v>44.0</v>
      </c>
      <c r="G72" s="297"/>
      <c r="H72" s="297"/>
      <c r="I72" s="298">
        <v>30.0</v>
      </c>
      <c r="J72" s="298">
        <v>18.0</v>
      </c>
      <c r="K72" s="297"/>
      <c r="L72" s="297"/>
      <c r="M72" s="361"/>
      <c r="N72" s="297"/>
      <c r="O72" s="298">
        <v>1.0</v>
      </c>
      <c r="P72" s="298">
        <v>1.0</v>
      </c>
      <c r="Q72" s="298">
        <v>1.0</v>
      </c>
      <c r="R72" s="298" t="s">
        <v>643</v>
      </c>
      <c r="S72" s="137"/>
      <c r="T72" s="295"/>
      <c r="U72" s="137"/>
      <c r="V72" s="137"/>
      <c r="W72" s="137"/>
      <c r="X72" s="137"/>
      <c r="Y72" s="137"/>
      <c r="Z72" s="137"/>
    </row>
    <row r="73">
      <c r="A73" s="292"/>
      <c r="B73" s="305" t="s">
        <v>776</v>
      </c>
      <c r="C73" s="280" t="s">
        <v>739</v>
      </c>
      <c r="D73" s="289">
        <f>ROUND((F73*'Pawn Weights'!$H$3)+(G73*'Pawn Weights'!$H$4)+(H73*'Pawn Weights'!$H$5)+(I73*'Pawn Weights'!$H$6)+(J73*'Pawn Weights'!$H$7)+(K73*'Pawn Weights'!$H$8)+(L73*'Pawn Weights'!$H$9)+(M73*'Pawn Weights'!$H$10)+(N73*'Pawn Weights'!$H$11)+(O73*'Pawn Weights'!$H$12)+(P73*'Pawn Weights'!$H$13)+(Q73*'Pawn Weights'!$H$14)-20+19.1+3.64, 2)</f>
        <v>112.16</v>
      </c>
      <c r="E73" s="280"/>
      <c r="F73" s="280"/>
      <c r="G73" s="280"/>
      <c r="H73" s="280">
        <v>96.0</v>
      </c>
      <c r="I73" s="280">
        <v>25.0</v>
      </c>
      <c r="J73" s="280">
        <v>21.0</v>
      </c>
      <c r="K73" s="280"/>
      <c r="L73" s="280"/>
      <c r="M73" s="281"/>
      <c r="N73" s="280"/>
      <c r="O73" s="280">
        <v>1.0</v>
      </c>
      <c r="P73" s="280">
        <v>2.0</v>
      </c>
      <c r="Q73" s="280"/>
      <c r="R73" s="290" t="s">
        <v>624</v>
      </c>
      <c r="S73" s="281"/>
      <c r="T73" s="291"/>
      <c r="U73" s="281"/>
      <c r="V73" s="281"/>
      <c r="W73" s="281"/>
    </row>
    <row r="74">
      <c r="A74" s="292"/>
      <c r="B74" s="305" t="s">
        <v>768</v>
      </c>
      <c r="C74" s="280" t="s">
        <v>769</v>
      </c>
      <c r="D74" s="289">
        <f>ROUND((F74*'Pawn Weights'!$H$3)+(G74*'Pawn Weights'!$H$4)+(H74*'Pawn Weights'!$H$5)+(I74*'Pawn Weights'!$H$6)+(J74*'Pawn Weights'!$H$7)+(K74*'Pawn Weights'!$H$8)+(L74*'Pawn Weights'!$H$9)+(M74*'Pawn Weights'!$H$10)+(N74*'Pawn Weights'!$H$11)+(O74*'Pawn Weights'!$H$12)+(P74*'Pawn Weights'!$H$13)+(Q74*'Pawn Weights'!$H$14), 2)</f>
        <v>109</v>
      </c>
      <c r="E74" s="280">
        <v>46.0</v>
      </c>
      <c r="F74" s="280"/>
      <c r="G74" s="280">
        <v>45.0</v>
      </c>
      <c r="H74" s="280">
        <v>92.0</v>
      </c>
      <c r="I74" s="280"/>
      <c r="J74" s="280"/>
      <c r="K74" s="280"/>
      <c r="L74" s="280"/>
      <c r="M74" s="280">
        <v>210.0</v>
      </c>
      <c r="N74" s="280"/>
      <c r="O74" s="280"/>
      <c r="P74" s="280"/>
      <c r="Q74" s="280"/>
      <c r="R74" s="290"/>
      <c r="S74" s="281"/>
      <c r="T74" s="291"/>
      <c r="U74" s="281"/>
      <c r="V74" s="281"/>
      <c r="W74" s="281"/>
    </row>
    <row r="75">
      <c r="A75" s="292"/>
      <c r="B75" s="305" t="s">
        <v>1087</v>
      </c>
      <c r="C75" s="280" t="s">
        <v>997</v>
      </c>
      <c r="D75" s="289">
        <f>ROUND((F75*'Pawn Weights'!$H$3)+(G75*'Pawn Weights'!$H$4)+(H75*'Pawn Weights'!$H$5)+(I75*'Pawn Weights'!$H$6)+(J75*'Pawn Weights'!$H$7)+(K75*'Pawn Weights'!$H$8)+(L75*'Pawn Weights'!$H$9)+(M75*'Pawn Weights'!$H$10)+(N75*'Pawn Weights'!$H$11)+(O75*'Pawn Weights'!$H$12)+(P75*'Pawn Weights'!$H$13)+(Q75*'Pawn Weights'!$H$14)-10+9.55+3.64, 2)</f>
        <v>108.73</v>
      </c>
      <c r="E75" s="280">
        <v>60.0</v>
      </c>
      <c r="F75" s="280">
        <v>35.0</v>
      </c>
      <c r="G75" s="280"/>
      <c r="H75" s="280"/>
      <c r="I75" s="280">
        <v>35.0</v>
      </c>
      <c r="J75" s="280">
        <v>14.0</v>
      </c>
      <c r="K75" s="280"/>
      <c r="L75" s="280"/>
      <c r="M75" s="281"/>
      <c r="N75" s="280"/>
      <c r="O75" s="280">
        <v>2.0</v>
      </c>
      <c r="P75" s="280">
        <v>1.0</v>
      </c>
      <c r="Q75" s="280"/>
      <c r="R75" s="290" t="s">
        <v>624</v>
      </c>
      <c r="S75" s="281"/>
      <c r="T75" s="291" t="s">
        <v>755</v>
      </c>
      <c r="U75" s="281"/>
      <c r="V75" s="281"/>
      <c r="W75" s="281"/>
    </row>
    <row r="76">
      <c r="A76" s="295"/>
      <c r="B76" s="308" t="s">
        <v>774</v>
      </c>
      <c r="C76" s="297" t="s">
        <v>775</v>
      </c>
      <c r="D76" s="289">
        <f>ROUND((F76*'Pawn Weights'!$H$3)+(G76*'Pawn Weights'!$H$4)+(H76*'Pawn Weights'!$H$5)+(I76*'Pawn Weights'!$H$6)+(J76*'Pawn Weights'!$H$7)+(K76*'Pawn Weights'!$H$8)+(L76*'Pawn Weights'!$H$9)+(M76*'Pawn Weights'!$H$10)+(N76*'Pawn Weights'!$H$11)+(O76*'Pawn Weights'!$H$12)+(P76*'Pawn Weights'!$H$13)+(Q76*'Pawn Weights'!$H$14)-10+9.55+1.818, 2)</f>
        <v>108.58</v>
      </c>
      <c r="E76" s="298">
        <v>39.0</v>
      </c>
      <c r="F76" s="297"/>
      <c r="G76" s="298">
        <v>47.0</v>
      </c>
      <c r="H76" s="298">
        <v>102.0</v>
      </c>
      <c r="I76" s="297"/>
      <c r="J76" s="297"/>
      <c r="K76" s="298">
        <v>25.0</v>
      </c>
      <c r="L76" s="297"/>
      <c r="M76" s="361"/>
      <c r="N76" s="297"/>
      <c r="O76" s="297"/>
      <c r="P76" s="298">
        <v>1.0</v>
      </c>
      <c r="Q76" s="297"/>
      <c r="R76" s="298" t="s">
        <v>660</v>
      </c>
      <c r="S76" s="137"/>
      <c r="T76" s="295"/>
      <c r="U76" s="137"/>
      <c r="V76" s="137"/>
      <c r="W76" s="137"/>
      <c r="X76" s="137"/>
      <c r="Y76" s="137"/>
      <c r="Z76" s="137"/>
    </row>
    <row r="77">
      <c r="A77" s="281"/>
      <c r="B77" s="305" t="s">
        <v>1086</v>
      </c>
      <c r="C77" s="307" t="s">
        <v>649</v>
      </c>
      <c r="D77" s="289">
        <f>ROUND((F77*'Pawn Weights'!$H$3)+(G77*'Pawn Weights'!$H$4)+(H77*'Pawn Weights'!$H$5)+(I77*'Pawn Weights'!$H$6)+(J77*'Pawn Weights'!$H$7)+(K77*'Pawn Weights'!$H$8)+(L77*'Pawn Weights'!$H$9)+(M77*'Pawn Weights'!$H$10)+(N77*'Pawn Weights'!$H$11)+(O77*'Pawn Weights'!$H$12)+(P77*'Pawn Weights'!$H$13)+(Q77*'Pawn Weights'!$H$14), 2)</f>
        <v>108.31</v>
      </c>
      <c r="E77" s="280">
        <v>42.0</v>
      </c>
      <c r="F77" s="280">
        <v>61.0</v>
      </c>
      <c r="G77" s="280">
        <v>43.0</v>
      </c>
      <c r="H77" s="280"/>
      <c r="I77" s="280"/>
      <c r="J77" s="280">
        <v>30.0</v>
      </c>
      <c r="K77" s="280"/>
      <c r="L77" s="280"/>
      <c r="M77" s="281"/>
      <c r="N77" s="280"/>
      <c r="O77" s="280"/>
      <c r="P77" s="280"/>
      <c r="Q77" s="280"/>
      <c r="R77" s="290"/>
      <c r="S77" s="281"/>
      <c r="T77" s="291"/>
      <c r="U77" s="281"/>
      <c r="V77" s="281"/>
      <c r="W77" s="281"/>
    </row>
    <row r="78">
      <c r="A78" s="292"/>
      <c r="B78" s="305" t="s">
        <v>1401</v>
      </c>
      <c r="C78" s="280" t="s">
        <v>642</v>
      </c>
      <c r="D78" s="289">
        <f>ROUND((F78*'Pawn Weights'!$H$3)+(G78*'Pawn Weights'!$H$4)+(H78*'Pawn Weights'!$H$5)+(I78*'Pawn Weights'!$H$6)+(J78*'Pawn Weights'!$H$7)+(K78*'Pawn Weights'!$H$8)+(L78*'Pawn Weights'!$H$9)+(M78*'Pawn Weights'!$H$10)+(N78*'Pawn Weights'!$H$11)+(O78*'Pawn Weights'!$H$12)+(P78*'Pawn Weights'!$H$13)+(Q78*'Pawn Weights'!$H$14), 2)</f>
        <v>108.16</v>
      </c>
      <c r="E78" s="280">
        <v>66.0</v>
      </c>
      <c r="F78" s="280"/>
      <c r="G78" s="280">
        <v>49.0</v>
      </c>
      <c r="H78" s="280">
        <v>108.0</v>
      </c>
      <c r="I78" s="280">
        <v>29.0</v>
      </c>
      <c r="J78" s="280"/>
      <c r="K78" s="280"/>
      <c r="L78" s="280"/>
      <c r="M78" s="281"/>
      <c r="N78" s="280"/>
      <c r="O78" s="280"/>
      <c r="P78" s="280"/>
      <c r="Q78" s="280"/>
      <c r="R78" s="290"/>
      <c r="S78" s="281"/>
      <c r="T78" s="291"/>
      <c r="U78" s="281"/>
      <c r="V78" s="281"/>
      <c r="W78" s="281"/>
    </row>
    <row r="79">
      <c r="A79" s="295"/>
      <c r="B79" s="308" t="s">
        <v>777</v>
      </c>
      <c r="C79" s="297" t="s">
        <v>775</v>
      </c>
      <c r="D79" s="367">
        <f>ROUND((F79*'Pawn Weights'!$H$3)+(G79*'Pawn Weights'!$H$4)+(H79*'Pawn Weights'!$H$5)+(I79*'Pawn Weights'!$H$6)+(J79*'Pawn Weights'!$H$7)+(K79*'Pawn Weights'!$H$8)+(L79*'Pawn Weights'!$H$9)+(M79*'Pawn Weights'!$H$10)+(N79*'Pawn Weights'!$H$11)+(O79*'Pawn Weights'!$H$12)+(P79*'Pawn Weights'!$H$13)+(Q79*'Pawn Weights'!$H$14), 2)</f>
        <v>106.82</v>
      </c>
      <c r="E79" s="298">
        <v>51.0</v>
      </c>
      <c r="F79" s="297"/>
      <c r="G79" s="298">
        <v>44.0</v>
      </c>
      <c r="H79" s="298">
        <v>102.0</v>
      </c>
      <c r="I79" s="297"/>
      <c r="J79" s="298">
        <v>34.0</v>
      </c>
      <c r="K79" s="297"/>
      <c r="L79" s="297"/>
      <c r="M79" s="361"/>
      <c r="N79" s="297"/>
      <c r="O79" s="298">
        <v>1.0</v>
      </c>
      <c r="P79" s="297"/>
      <c r="Q79" s="297"/>
      <c r="R79" s="298" t="s">
        <v>674</v>
      </c>
      <c r="S79" s="137"/>
      <c r="T79" s="295"/>
      <c r="U79" s="137"/>
      <c r="V79" s="137"/>
      <c r="W79" s="137"/>
      <c r="X79" s="137"/>
      <c r="Y79" s="137"/>
      <c r="Z79" s="137"/>
    </row>
    <row r="80">
      <c r="A80" s="301"/>
      <c r="B80" s="305" t="s">
        <v>1333</v>
      </c>
      <c r="C80" s="280" t="s">
        <v>710</v>
      </c>
      <c r="D80" s="289">
        <f>ROUND((F80*'Pawn Weights'!$H$3)+(G80*'Pawn Weights'!$H$4)+(H80*'Pawn Weights'!$H$5)+(I80*'Pawn Weights'!$H$6)+(J80*'Pawn Weights'!$H$7)+(K80*'Pawn Weights'!$H$8)+(L80*'Pawn Weights'!$H$9)+(M80*'Pawn Weights'!$H$10)+(N80*'Pawn Weights'!$H$11)+(O80*'Pawn Weights'!$H$12)+(P80*'Pawn Weights'!$H$13)+(Q80*'Pawn Weights'!$H$14), 2)</f>
        <v>106.75</v>
      </c>
      <c r="E80" s="280">
        <v>19.0</v>
      </c>
      <c r="F80" s="280"/>
      <c r="G80" s="280">
        <v>36.0</v>
      </c>
      <c r="H80" s="280">
        <v>88.0</v>
      </c>
      <c r="I80" s="280">
        <v>14.0</v>
      </c>
      <c r="J80" s="280"/>
      <c r="K80" s="280"/>
      <c r="L80" s="280"/>
      <c r="M80" s="281"/>
      <c r="N80" s="280"/>
      <c r="O80" s="280">
        <v>1.0</v>
      </c>
      <c r="P80" s="280">
        <v>1.0</v>
      </c>
      <c r="Q80" s="280">
        <v>1.0</v>
      </c>
      <c r="R80" s="290" t="s">
        <v>622</v>
      </c>
      <c r="S80" s="281"/>
      <c r="T80" s="291"/>
      <c r="U80" s="281"/>
      <c r="V80" s="281"/>
      <c r="W80" s="281"/>
    </row>
    <row r="81">
      <c r="A81" s="292"/>
      <c r="B81" s="305" t="s">
        <v>1402</v>
      </c>
      <c r="C81" s="280" t="s">
        <v>1403</v>
      </c>
      <c r="D81" s="289">
        <f>ROUND((F81*'Pawn Weights'!$H$3)+(G81*'Pawn Weights'!$H$4)+(H81*'Pawn Weights'!$H$5)+(I81*'Pawn Weights'!$H$6)+(J81*'Pawn Weights'!$H$7)+(K81*'Pawn Weights'!$H$8)+(L81*'Pawn Weights'!$H$9)+(M81*'Pawn Weights'!$H$10)+(N81*'Pawn Weights'!$H$11)+(O81*'Pawn Weights'!$H$12)+(P81*'Pawn Weights'!$H$13)+(Q81*'Pawn Weights'!$H$14), 2)</f>
        <v>106.35</v>
      </c>
      <c r="E81" s="280">
        <v>69.0</v>
      </c>
      <c r="F81" s="280">
        <v>46.0</v>
      </c>
      <c r="G81" s="280"/>
      <c r="H81" s="280"/>
      <c r="I81" s="280">
        <v>35.0</v>
      </c>
      <c r="J81" s="280"/>
      <c r="K81" s="280"/>
      <c r="L81" s="280"/>
      <c r="M81" s="280">
        <v>161.0</v>
      </c>
      <c r="N81" s="280"/>
      <c r="O81" s="280"/>
      <c r="P81" s="280"/>
      <c r="Q81" s="280"/>
      <c r="R81" s="290"/>
      <c r="S81" s="281"/>
      <c r="T81" s="291"/>
      <c r="U81" s="281"/>
      <c r="V81" s="281"/>
      <c r="W81" s="281"/>
    </row>
    <row r="82" ht="5.25" customHeight="1">
      <c r="A82" s="292"/>
      <c r="B82" s="305" t="s">
        <v>1404</v>
      </c>
      <c r="C82" s="280" t="s">
        <v>1399</v>
      </c>
      <c r="D82" s="289">
        <f>ROUND((F82*'Pawn Weights'!$H$3)+(G82*'Pawn Weights'!$H$4)+(H82*'Pawn Weights'!$H$5)+(I82*'Pawn Weights'!$H$6)+(J82*'Pawn Weights'!$H$7)+(K82*'Pawn Weights'!$H$8)+(L82*'Pawn Weights'!$H$9)+(M82*'Pawn Weights'!$H$10)+(N82*'Pawn Weights'!$H$11)+(O82*'Pawn Weights'!$H$12)+(P82*'Pawn Weights'!$H$13)+(Q82*'Pawn Weights'!$H$14), 2)</f>
        <v>102.57</v>
      </c>
      <c r="E82" s="280">
        <v>36.0</v>
      </c>
      <c r="F82" s="280">
        <v>46.0</v>
      </c>
      <c r="G82" s="280">
        <v>45.0</v>
      </c>
      <c r="H82" s="280"/>
      <c r="I82" s="280"/>
      <c r="J82" s="280"/>
      <c r="K82" s="280"/>
      <c r="L82" s="280"/>
      <c r="M82" s="280">
        <v>150.0</v>
      </c>
      <c r="N82" s="280"/>
      <c r="O82" s="280"/>
      <c r="P82" s="280"/>
      <c r="Q82" s="280"/>
      <c r="R82" s="290"/>
      <c r="S82" s="281"/>
      <c r="T82" s="291"/>
      <c r="U82" s="281"/>
      <c r="V82" s="281"/>
      <c r="W82" s="281"/>
    </row>
    <row r="83" ht="4.5" customHeight="1">
      <c r="A83" s="295"/>
      <c r="B83" s="308" t="s">
        <v>778</v>
      </c>
      <c r="C83" s="297" t="s">
        <v>775</v>
      </c>
      <c r="D83" s="289">
        <f>ROUND((F83*'Pawn Weights'!$H$3)+(G83*'Pawn Weights'!$H$4)+(H83*'Pawn Weights'!$H$5)+(I83*'Pawn Weights'!$H$6)+(J83*'Pawn Weights'!$H$7)+(K83*'Pawn Weights'!$H$8)+(L83*'Pawn Weights'!$H$9)+(M83*'Pawn Weights'!$H$10)+(N83*'Pawn Weights'!$H$11)+(O83*'Pawn Weights'!$H$12)+(P83*'Pawn Weights'!$H$13)+(Q83*'Pawn Weights'!$H$14), 2)</f>
        <v>101.78</v>
      </c>
      <c r="E83" s="298">
        <v>65.0</v>
      </c>
      <c r="F83" s="298">
        <v>52.0</v>
      </c>
      <c r="G83" s="297"/>
      <c r="H83" s="297"/>
      <c r="I83" s="297"/>
      <c r="J83" s="297"/>
      <c r="K83" s="298">
        <v>51.0</v>
      </c>
      <c r="L83" s="297"/>
      <c r="M83" s="297"/>
      <c r="N83" s="297"/>
      <c r="O83" s="298">
        <v>1.0</v>
      </c>
      <c r="P83" s="297"/>
      <c r="Q83" s="297"/>
      <c r="R83" s="298" t="s">
        <v>674</v>
      </c>
      <c r="S83" s="137"/>
      <c r="T83" s="295"/>
      <c r="U83" s="137"/>
      <c r="V83" s="137"/>
      <c r="W83" s="137"/>
      <c r="X83" s="137"/>
      <c r="Y83" s="137"/>
      <c r="Z83" s="137"/>
    </row>
    <row r="84">
      <c r="A84" s="272" t="s">
        <v>779</v>
      </c>
      <c r="B84" s="281"/>
      <c r="C84" s="281"/>
      <c r="D84" s="360"/>
      <c r="E84" s="281"/>
      <c r="F84" s="281"/>
      <c r="G84" s="281"/>
      <c r="H84" s="281"/>
      <c r="I84" s="281"/>
      <c r="J84" s="281"/>
      <c r="K84" s="281"/>
      <c r="L84" s="281"/>
      <c r="M84" s="281"/>
      <c r="N84" s="281"/>
      <c r="O84" s="281"/>
      <c r="P84" s="281"/>
      <c r="Q84" s="281"/>
      <c r="R84" s="282"/>
      <c r="S84" s="281"/>
      <c r="T84" s="285"/>
      <c r="U84" s="281"/>
      <c r="V84" s="281"/>
      <c r="W84" s="281"/>
    </row>
    <row r="85">
      <c r="A85" s="281"/>
      <c r="B85" s="288" t="s">
        <v>782</v>
      </c>
      <c r="C85" s="280" t="s">
        <v>706</v>
      </c>
      <c r="D85" s="289">
        <f>ROUND((F85*'Pawn Weights'!$H$3)+(G85*'Pawn Weights'!$H$4)+(H85*'Pawn Weights'!$H$5)+(I85*'Pawn Weights'!$H$6)+(J85*'Pawn Weights'!$H$7)+(K85*'Pawn Weights'!$H$8)+(L85*'Pawn Weights'!$H$9)+(M85*'Pawn Weights'!$H$10)+(N85*'Pawn Weights'!$H$11)+(O85*'Pawn Weights'!$H$12)+(P85*'Pawn Weights'!$H$13)+(Q85*'Pawn Weights'!$H$14), 2)</f>
        <v>69.29</v>
      </c>
      <c r="E85" s="280">
        <v>28.0</v>
      </c>
      <c r="F85" s="280"/>
      <c r="G85" s="280"/>
      <c r="H85" s="280">
        <v>58.0</v>
      </c>
      <c r="I85" s="280">
        <v>28.0</v>
      </c>
      <c r="J85" s="280">
        <v>12.0</v>
      </c>
      <c r="K85" s="280"/>
      <c r="L85" s="280"/>
      <c r="M85" s="280"/>
      <c r="N85" s="280"/>
      <c r="O85" s="280"/>
      <c r="P85" s="280">
        <v>1.0</v>
      </c>
      <c r="Q85" s="280"/>
      <c r="R85" s="290" t="s">
        <v>674</v>
      </c>
      <c r="S85" s="281"/>
      <c r="T85" s="222"/>
      <c r="U85" s="281"/>
      <c r="V85" s="281"/>
      <c r="W85" s="281"/>
      <c r="X85" s="281"/>
    </row>
    <row r="86">
      <c r="A86" s="281"/>
      <c r="B86" s="288" t="s">
        <v>783</v>
      </c>
      <c r="C86" s="280" t="s">
        <v>683</v>
      </c>
      <c r="D86" s="289">
        <f>ROUND((F86*'Pawn Weights'!$H$3)+(G86*'Pawn Weights'!$H$4)+(H86*'Pawn Weights'!$H$5)+(I86*'Pawn Weights'!$H$6)+(J86*'Pawn Weights'!$H$7)+(K86*'Pawn Weights'!$H$8)+(L86*'Pawn Weights'!$H$9)+(M86*'Pawn Weights'!$H$10)+(N86*'Pawn Weights'!$H$11)+(O86*'Pawn Weights'!$H$12)+(P86*'Pawn Weights'!$H$13)+(Q86*'Pawn Weights'!$H$14), 2)</f>
        <v>67.4</v>
      </c>
      <c r="E86" s="280">
        <v>12.0</v>
      </c>
      <c r="F86" s="280">
        <v>25.0</v>
      </c>
      <c r="G86" s="280"/>
      <c r="H86" s="280"/>
      <c r="I86" s="280">
        <v>24.0</v>
      </c>
      <c r="J86" s="280">
        <v>17.0</v>
      </c>
      <c r="K86" s="280"/>
      <c r="L86" s="280"/>
      <c r="M86" s="280"/>
      <c r="N86" s="280"/>
      <c r="O86" s="280"/>
      <c r="P86" s="280"/>
      <c r="Q86" s="280">
        <v>1.0</v>
      </c>
      <c r="R86" s="290" t="s">
        <v>784</v>
      </c>
      <c r="S86" s="281"/>
      <c r="T86" s="222"/>
      <c r="U86" s="281"/>
      <c r="V86" s="281"/>
      <c r="W86" s="281"/>
      <c r="X86" s="281"/>
    </row>
    <row r="87">
      <c r="A87" s="281"/>
      <c r="B87" s="288" t="s">
        <v>785</v>
      </c>
      <c r="C87" s="280" t="s">
        <v>727</v>
      </c>
      <c r="D87" s="289">
        <f>ROUND((F87*'Pawn Weights'!$H$3)+(G87*'Pawn Weights'!$H$4)+(H87*'Pawn Weights'!$H$5)+(I87*'Pawn Weights'!$H$6)+(J87*'Pawn Weights'!$H$7)+(K87*'Pawn Weights'!$H$8)+(L87*'Pawn Weights'!$H$9)+(M87*'Pawn Weights'!$H$10)+(N87*'Pawn Weights'!$H$11)+(O87*'Pawn Weights'!$H$12)+(P87*'Pawn Weights'!$H$13)+(Q87*'Pawn Weights'!$H$14)-10+9.55+1.334, 2)</f>
        <v>63.37</v>
      </c>
      <c r="E87" s="280">
        <v>28.0</v>
      </c>
      <c r="F87" s="280"/>
      <c r="G87" s="280">
        <v>28.0</v>
      </c>
      <c r="H87" s="280">
        <v>58.0</v>
      </c>
      <c r="I87" s="280"/>
      <c r="J87" s="280">
        <v>12.0</v>
      </c>
      <c r="K87" s="280"/>
      <c r="L87" s="280"/>
      <c r="M87" s="280"/>
      <c r="N87" s="280"/>
      <c r="O87" s="280"/>
      <c r="P87" s="280">
        <v>1.0</v>
      </c>
      <c r="Q87" s="280"/>
      <c r="R87" s="290" t="s">
        <v>711</v>
      </c>
      <c r="S87" s="281"/>
      <c r="T87" s="222"/>
      <c r="U87" s="281"/>
      <c r="V87" s="281"/>
      <c r="W87" s="281"/>
      <c r="X87" s="281"/>
    </row>
    <row r="88">
      <c r="A88" s="281"/>
      <c r="B88" s="288" t="s">
        <v>786</v>
      </c>
      <c r="C88" s="280" t="s">
        <v>706</v>
      </c>
      <c r="D88" s="289">
        <f>ROUND((F88*'Pawn Weights'!$H$3)+(G88*'Pawn Weights'!$H$4)+(H88*'Pawn Weights'!$H$5)+(I88*'Pawn Weights'!$H$6)+(J88*'Pawn Weights'!$H$7)+(K88*'Pawn Weights'!$H$8)+(L88*'Pawn Weights'!$H$9)+(M88*'Pawn Weights'!$H$10)+(N88*'Pawn Weights'!$H$11)+(O88*'Pawn Weights'!$H$12)+(P88*'Pawn Weights'!$H$13)+(Q88*'Pawn Weights'!$H$14), 2)</f>
        <v>62.29</v>
      </c>
      <c r="E88" s="280">
        <v>28.0</v>
      </c>
      <c r="F88" s="280">
        <v>35.0</v>
      </c>
      <c r="G88" s="280"/>
      <c r="H88" s="280"/>
      <c r="I88" s="280">
        <v>19.0</v>
      </c>
      <c r="J88" s="280"/>
      <c r="K88" s="280"/>
      <c r="L88" s="280"/>
      <c r="M88" s="280"/>
      <c r="N88" s="280"/>
      <c r="O88" s="280"/>
      <c r="P88" s="280">
        <v>1.0</v>
      </c>
      <c r="Q88" s="280"/>
      <c r="R88" s="290" t="s">
        <v>674</v>
      </c>
      <c r="S88" s="281"/>
      <c r="T88" s="222"/>
      <c r="U88" s="281"/>
      <c r="V88" s="281"/>
      <c r="W88" s="281"/>
      <c r="X88" s="281"/>
    </row>
    <row r="89">
      <c r="A89" s="281"/>
      <c r="B89" s="288" t="s">
        <v>789</v>
      </c>
      <c r="C89" s="280" t="s">
        <v>790</v>
      </c>
      <c r="D89" s="289">
        <f>ROUND((F89*'Pawn Weights'!$H$3)+(G89*'Pawn Weights'!$H$4)+(H89*'Pawn Weights'!$H$5)+(I89*'Pawn Weights'!$H$6)+(J89*'Pawn Weights'!$H$7)+(K89*'Pawn Weights'!$H$8)+(L89*'Pawn Weights'!$H$9)+(M89*'Pawn Weights'!$H$10)+(N89*'Pawn Weights'!$H$11)+(O89*'Pawn Weights'!$H$12)+(P89*'Pawn Weights'!$H$13)+(Q89*'Pawn Weights'!$H$14), 2)</f>
        <v>61.84</v>
      </c>
      <c r="E89" s="280">
        <v>16.0</v>
      </c>
      <c r="F89" s="280">
        <v>20.0</v>
      </c>
      <c r="G89" s="280"/>
      <c r="H89" s="280"/>
      <c r="I89" s="280">
        <v>24.0</v>
      </c>
      <c r="J89" s="280"/>
      <c r="K89" s="280"/>
      <c r="L89" s="280"/>
      <c r="M89" s="280"/>
      <c r="N89" s="280"/>
      <c r="O89" s="280">
        <v>1.0</v>
      </c>
      <c r="P89" s="280"/>
      <c r="Q89" s="280">
        <v>1.0</v>
      </c>
      <c r="R89" s="290" t="s">
        <v>698</v>
      </c>
      <c r="S89" s="281"/>
      <c r="T89" s="222"/>
      <c r="U89" s="281"/>
      <c r="V89" s="281"/>
      <c r="W89" s="281"/>
      <c r="X89" s="281"/>
    </row>
    <row r="90">
      <c r="A90" s="281"/>
      <c r="B90" s="288" t="s">
        <v>795</v>
      </c>
      <c r="C90" s="280" t="s">
        <v>691</v>
      </c>
      <c r="D90" s="289">
        <f>ROUND((F90*'Pawn Weights'!$H$3)+(G90*'Pawn Weights'!$H$4)+(H90*'Pawn Weights'!$H$5)+(I90*'Pawn Weights'!$H$6)+(J90*'Pawn Weights'!$H$7)+(K90*'Pawn Weights'!$H$8)+(L90*'Pawn Weights'!$H$9)+(M90*'Pawn Weights'!$H$10)+(N90*'Pawn Weights'!$H$11)+(O90*'Pawn Weights'!$H$12)+(P90*'Pawn Weights'!$H$13)+(Q90*'Pawn Weights'!$H$14)-10+9.55+1.82, 2)</f>
        <v>61.81</v>
      </c>
      <c r="E90" s="280">
        <v>22.0</v>
      </c>
      <c r="F90" s="280"/>
      <c r="G90" s="280">
        <v>17.0</v>
      </c>
      <c r="H90" s="280">
        <v>50.0</v>
      </c>
      <c r="I90" s="280">
        <v>18.0</v>
      </c>
      <c r="J90" s="280"/>
      <c r="K90" s="280"/>
      <c r="L90" s="280"/>
      <c r="M90" s="280"/>
      <c r="N90" s="280"/>
      <c r="O90" s="280"/>
      <c r="P90" s="280">
        <v>1.0</v>
      </c>
      <c r="Q90" s="280"/>
      <c r="R90" s="290" t="s">
        <v>736</v>
      </c>
      <c r="S90" s="281"/>
      <c r="T90" s="222"/>
      <c r="U90" s="281"/>
      <c r="V90" s="281"/>
      <c r="W90" s="281"/>
      <c r="X90" s="281"/>
    </row>
    <row r="91">
      <c r="A91" s="292" t="s">
        <v>671</v>
      </c>
      <c r="B91" s="296" t="s">
        <v>791</v>
      </c>
      <c r="C91" s="297" t="s">
        <v>792</v>
      </c>
      <c r="D91" s="289">
        <f>ROUND((F91*'Pawn Weights'!$H$3)+(G91*'Pawn Weights'!$H$4)+(H91*'Pawn Weights'!$H$5)+(I91*'Pawn Weights'!$H$6)+(J91*'Pawn Weights'!$H$7)+(K91*'Pawn Weights'!$H$8)+(L91*'Pawn Weights'!$H$9)+(M91*'Pawn Weights'!$H$10)+(N91*'Pawn Weights'!$H$11)+(O91*'Pawn Weights'!$H$12)+(P91*'Pawn Weights'!$H$13)+(Q91*'Pawn Weights'!$H$14)-10+9.55+2, 2)</f>
        <v>61.39</v>
      </c>
      <c r="E91" s="298">
        <v>40.0</v>
      </c>
      <c r="F91" s="298">
        <v>28.0</v>
      </c>
      <c r="G91" s="297"/>
      <c r="H91" s="297"/>
      <c r="I91" s="298">
        <v>24.0</v>
      </c>
      <c r="J91" s="297"/>
      <c r="K91" s="297"/>
      <c r="L91" s="297"/>
      <c r="M91" s="297"/>
      <c r="N91" s="297"/>
      <c r="O91" s="297"/>
      <c r="P91" s="298">
        <v>1.0</v>
      </c>
      <c r="Q91" s="297"/>
      <c r="R91" s="298" t="s">
        <v>784</v>
      </c>
      <c r="S91" s="137"/>
      <c r="T91" s="294" t="s">
        <v>793</v>
      </c>
      <c r="U91" s="137"/>
      <c r="V91" s="137"/>
      <c r="W91" s="137"/>
      <c r="X91" s="137"/>
      <c r="Y91" s="137"/>
      <c r="Z91" s="137"/>
    </row>
    <row r="92">
      <c r="A92" s="292" t="s">
        <v>627</v>
      </c>
      <c r="B92" s="288" t="s">
        <v>787</v>
      </c>
      <c r="C92" s="280" t="s">
        <v>788</v>
      </c>
      <c r="D92" s="289">
        <f>ROUND((F92*'Pawn Weights'!$H$3)+(G92*'Pawn Weights'!$H$4)+(H92*'Pawn Weights'!$H$5)+(I92*'Pawn Weights'!$H$6)+(J92*'Pawn Weights'!$H$7)+(K92*'Pawn Weights'!$H$8)+(L92*'Pawn Weights'!$H$9)+(M92*'Pawn Weights'!$H$10)+(N92*'Pawn Weights'!$H$11)+(O92*'Pawn Weights'!$H$12)+(P92*'Pawn Weights'!$H$13)+(Q92*'Pawn Weights'!$H$14), 2)</f>
        <v>60.52</v>
      </c>
      <c r="E92" s="280">
        <v>15.0</v>
      </c>
      <c r="F92" s="280"/>
      <c r="G92" s="280">
        <v>21.0</v>
      </c>
      <c r="H92" s="280">
        <v>56.0</v>
      </c>
      <c r="I92" s="280"/>
      <c r="J92" s="280"/>
      <c r="K92" s="280">
        <v>27.0</v>
      </c>
      <c r="L92" s="280"/>
      <c r="M92" s="280"/>
      <c r="N92" s="280"/>
      <c r="O92" s="280"/>
      <c r="P92" s="280"/>
      <c r="Q92" s="280"/>
      <c r="R92" s="290"/>
      <c r="S92" s="281"/>
      <c r="T92" s="294"/>
      <c r="U92" s="281"/>
      <c r="V92" s="281"/>
      <c r="W92" s="281"/>
      <c r="X92" s="281"/>
    </row>
    <row r="93">
      <c r="A93" s="292"/>
      <c r="B93" s="288" t="s">
        <v>794</v>
      </c>
      <c r="C93" s="280" t="s">
        <v>691</v>
      </c>
      <c r="D93" s="289">
        <f>ROUND((F93*'Pawn Weights'!$H$3)+(G93*'Pawn Weights'!$H$4)+(H93*'Pawn Weights'!$H$5)+(I93*'Pawn Weights'!$H$6)+(J93*'Pawn Weights'!$H$7)+(K93*'Pawn Weights'!$H$8)+(L93*'Pawn Weights'!$H$9)+(M93*'Pawn Weights'!$H$10)+(N93*'Pawn Weights'!$H$11)+(O93*'Pawn Weights'!$H$12)+(P93*'Pawn Weights'!$H$13)+(Q93*'Pawn Weights'!$H$14), 2)</f>
        <v>58.55</v>
      </c>
      <c r="E93" s="280">
        <v>32.0</v>
      </c>
      <c r="F93" s="280">
        <v>32.0</v>
      </c>
      <c r="G93" s="280"/>
      <c r="H93" s="280"/>
      <c r="I93" s="280"/>
      <c r="J93" s="280"/>
      <c r="K93" s="280"/>
      <c r="L93" s="280"/>
      <c r="M93" s="280">
        <v>150.0</v>
      </c>
      <c r="N93" s="280"/>
      <c r="O93" s="280"/>
      <c r="P93" s="280"/>
      <c r="Q93" s="280"/>
      <c r="R93" s="290"/>
      <c r="S93" s="281"/>
      <c r="T93" s="294"/>
      <c r="U93" s="281"/>
      <c r="V93" s="281"/>
      <c r="W93" s="281"/>
      <c r="X93" s="281"/>
    </row>
    <row r="94">
      <c r="A94" s="292" t="s">
        <v>627</v>
      </c>
      <c r="B94" s="288" t="s">
        <v>796</v>
      </c>
      <c r="C94" s="280" t="s">
        <v>788</v>
      </c>
      <c r="D94" s="289">
        <f>ROUND((F94*'Pawn Weights'!$H$3)+(G94*'Pawn Weights'!$H$4)+(H94*'Pawn Weights'!$H$5)+(I94*'Pawn Weights'!$H$6)+(J94*'Pawn Weights'!$H$7)+(K94*'Pawn Weights'!$H$8)+(L94*'Pawn Weights'!$H$9)+(M94*'Pawn Weights'!$H$10)+(N94*'Pawn Weights'!$H$11)+(O94*'Pawn Weights'!$H$12)+(P94*'Pawn Weights'!$H$13)+(Q94*'Pawn Weights'!$H$14), 2)</f>
        <v>57.13</v>
      </c>
      <c r="E94" s="280">
        <v>34.0</v>
      </c>
      <c r="F94" s="280"/>
      <c r="G94" s="280">
        <v>20.0</v>
      </c>
      <c r="H94" s="280">
        <v>50.0</v>
      </c>
      <c r="I94" s="280"/>
      <c r="J94" s="280"/>
      <c r="K94" s="280">
        <v>27.0</v>
      </c>
      <c r="L94" s="280"/>
      <c r="M94" s="280"/>
      <c r="N94" s="280"/>
      <c r="O94" s="280"/>
      <c r="P94" s="280"/>
      <c r="Q94" s="280"/>
      <c r="R94" s="290"/>
      <c r="S94" s="281"/>
      <c r="T94" s="222"/>
      <c r="U94" s="281"/>
      <c r="V94" s="281"/>
      <c r="W94" s="281"/>
      <c r="X94" s="281"/>
    </row>
    <row r="95">
      <c r="A95" s="292" t="s">
        <v>627</v>
      </c>
      <c r="B95" s="288" t="s">
        <v>797</v>
      </c>
      <c r="C95" s="280" t="s">
        <v>798</v>
      </c>
      <c r="D95" s="289">
        <f>ROUND((F95*'Pawn Weights'!$H$3)+(G95*'Pawn Weights'!$H$4)+(H95*'Pawn Weights'!$H$5)+(I95*'Pawn Weights'!$H$6)+(J95*'Pawn Weights'!$H$7)+(K95*'Pawn Weights'!$H$8)+(L95*'Pawn Weights'!$H$9)+(M95*'Pawn Weights'!$H$10)+(N95*'Pawn Weights'!$H$11)+(O95*'Pawn Weights'!$H$12)+(P95*'Pawn Weights'!$H$13)+(Q95*'Pawn Weights'!$H$14), 2)</f>
        <v>56.06</v>
      </c>
      <c r="E95" s="280">
        <v>32.0</v>
      </c>
      <c r="F95" s="280">
        <v>35.0</v>
      </c>
      <c r="G95" s="280"/>
      <c r="H95" s="280"/>
      <c r="I95" s="280"/>
      <c r="J95" s="280"/>
      <c r="K95" s="280">
        <v>27.0</v>
      </c>
      <c r="L95" s="280"/>
      <c r="M95" s="280"/>
      <c r="N95" s="280"/>
      <c r="O95" s="280"/>
      <c r="P95" s="280"/>
      <c r="Q95" s="280"/>
      <c r="R95" s="290"/>
      <c r="S95" s="281"/>
      <c r="T95" s="294"/>
      <c r="U95" s="281"/>
      <c r="V95" s="281"/>
      <c r="W95" s="281"/>
      <c r="X95" s="281"/>
    </row>
    <row r="96">
      <c r="A96" s="292" t="s">
        <v>991</v>
      </c>
      <c r="B96" s="288" t="s">
        <v>1089</v>
      </c>
      <c r="C96" s="307" t="s">
        <v>1090</v>
      </c>
      <c r="D96" s="289">
        <f>ROUND((F96*'Pawn Weights'!$H$3)+(G96*'Pawn Weights'!$H$4)+(H96*'Pawn Weights'!$H$5)+(I96*'Pawn Weights'!$H$6)+(J96*'Pawn Weights'!$H$7)+(K96*'Pawn Weights'!$H$8)+(L96*'Pawn Weights'!$H$9)+(M96*'Pawn Weights'!$H$10)+(N96*'Pawn Weights'!$H$11)+(O96*'Pawn Weights'!$H$12)+(P96*'Pawn Weights'!$H$13)+(Q96*'Pawn Weights'!$H$14)-10+9.55+2, 2)</f>
        <v>55.66</v>
      </c>
      <c r="E96" s="280">
        <v>36.0</v>
      </c>
      <c r="F96" s="280">
        <v>25.0</v>
      </c>
      <c r="G96" s="280"/>
      <c r="H96" s="280"/>
      <c r="I96" s="280">
        <v>21.0</v>
      </c>
      <c r="J96" s="280"/>
      <c r="K96" s="280"/>
      <c r="L96" s="280"/>
      <c r="M96" s="280"/>
      <c r="N96" s="280"/>
      <c r="O96" s="280"/>
      <c r="P96" s="280">
        <v>1.0</v>
      </c>
      <c r="Q96" s="280"/>
      <c r="R96" s="290" t="s">
        <v>784</v>
      </c>
      <c r="S96" s="281"/>
      <c r="T96" s="294" t="s">
        <v>793</v>
      </c>
      <c r="U96" s="281"/>
      <c r="V96" s="281"/>
      <c r="W96" s="281"/>
      <c r="X96" s="281"/>
    </row>
    <row r="97">
      <c r="A97" s="281"/>
      <c r="B97" s="288" t="s">
        <v>1091</v>
      </c>
      <c r="C97" s="280" t="s">
        <v>665</v>
      </c>
      <c r="D97" s="289">
        <f>ROUND((F97*'Pawn Weights'!$H$3)+(G97*'Pawn Weights'!$H$4)+(H97*'Pawn Weights'!$H$5)+(I97*'Pawn Weights'!$H$6)+(J97*'Pawn Weights'!$H$7)+(K97*'Pawn Weights'!$H$8)+(L97*'Pawn Weights'!$H$9)+(M97*'Pawn Weights'!$H$10)+(N97*'Pawn Weights'!$H$11)+(O97*'Pawn Weights'!$H$12)+(P97*'Pawn Weights'!$H$13)+(Q97*'Pawn Weights'!$H$14), 2)</f>
        <v>55.66</v>
      </c>
      <c r="E97" s="280">
        <v>28.0</v>
      </c>
      <c r="F97" s="280"/>
      <c r="G97" s="280">
        <v>18.0</v>
      </c>
      <c r="H97" s="280">
        <v>58.0</v>
      </c>
      <c r="I97" s="280">
        <v>19.0</v>
      </c>
      <c r="J97" s="280"/>
      <c r="K97" s="280"/>
      <c r="L97" s="280"/>
      <c r="M97" s="280"/>
      <c r="N97" s="280"/>
      <c r="O97" s="280"/>
      <c r="P97" s="280"/>
      <c r="Q97" s="280"/>
      <c r="R97" s="290"/>
      <c r="S97" s="281"/>
      <c r="T97" s="294"/>
      <c r="U97" s="281"/>
      <c r="V97" s="281"/>
      <c r="W97" s="281"/>
      <c r="X97" s="281"/>
    </row>
    <row r="98">
      <c r="A98" s="281"/>
      <c r="B98" s="288" t="s">
        <v>1092</v>
      </c>
      <c r="C98" s="280" t="s">
        <v>957</v>
      </c>
      <c r="D98" s="289">
        <f>ROUND((F98*'Pawn Weights'!$H$3)+(G98*'Pawn Weights'!$H$4)+(H98*'Pawn Weights'!$H$5)+(I98*'Pawn Weights'!$H$6)+(J98*'Pawn Weights'!$H$7)+(K98*'Pawn Weights'!$H$8)+(L98*'Pawn Weights'!$H$9)+(M98*'Pawn Weights'!$H$10)+(N98*'Pawn Weights'!$H$11)+(O98*'Pawn Weights'!$H$12)+(P98*'Pawn Weights'!$H$13)+(Q98*'Pawn Weights'!$H$14), 2)</f>
        <v>54.57</v>
      </c>
      <c r="E98" s="280">
        <v>18.0</v>
      </c>
      <c r="F98" s="280"/>
      <c r="G98" s="280"/>
      <c r="H98" s="280">
        <v>50.0</v>
      </c>
      <c r="I98" s="280">
        <v>24.0</v>
      </c>
      <c r="J98" s="280"/>
      <c r="K98" s="280"/>
      <c r="L98" s="280"/>
      <c r="M98" s="280"/>
      <c r="N98" s="280"/>
      <c r="O98" s="280"/>
      <c r="P98" s="280">
        <v>1.0</v>
      </c>
      <c r="Q98" s="280"/>
      <c r="R98" s="290" t="s">
        <v>674</v>
      </c>
      <c r="S98" s="281"/>
      <c r="T98" s="294"/>
      <c r="U98" s="281"/>
      <c r="V98" s="281"/>
      <c r="W98" s="281"/>
      <c r="X98" s="281"/>
    </row>
    <row r="99">
      <c r="A99" s="281"/>
      <c r="B99" s="288" t="s">
        <v>799</v>
      </c>
      <c r="C99" s="280" t="s">
        <v>691</v>
      </c>
      <c r="D99" s="289">
        <f>ROUND((F99*'Pawn Weights'!$H$3)+(G99*'Pawn Weights'!$H$4)+(H99*'Pawn Weights'!$H$5)+(I99*'Pawn Weights'!$H$6)+(J99*'Pawn Weights'!$H$7)+(K99*'Pawn Weights'!$H$8)+(L99*'Pawn Weights'!$H$9)+(M99*'Pawn Weights'!$H$10)+(N99*'Pawn Weights'!$H$11)+(O99*'Pawn Weights'!$H$12)+(P99*'Pawn Weights'!$H$13)+(Q99*'Pawn Weights'!$H$14), 2)</f>
        <v>53.32</v>
      </c>
      <c r="E99" s="280">
        <v>21.0</v>
      </c>
      <c r="F99" s="280"/>
      <c r="G99" s="280">
        <v>18.0</v>
      </c>
      <c r="H99" s="280">
        <v>50.0</v>
      </c>
      <c r="I99" s="280"/>
      <c r="J99" s="280"/>
      <c r="K99" s="280"/>
      <c r="L99" s="280"/>
      <c r="M99" s="280">
        <v>105.0</v>
      </c>
      <c r="N99" s="280"/>
      <c r="O99" s="280"/>
      <c r="P99" s="280"/>
      <c r="Q99" s="280"/>
      <c r="R99" s="290"/>
      <c r="S99" s="281"/>
      <c r="T99" s="294"/>
      <c r="U99" s="281"/>
      <c r="V99" s="281"/>
      <c r="W99" s="281"/>
      <c r="X99" s="281"/>
    </row>
    <row r="100">
      <c r="A100" s="272" t="s">
        <v>800</v>
      </c>
      <c r="B100" s="281"/>
      <c r="C100" s="281"/>
      <c r="D100" s="360"/>
      <c r="E100" s="281"/>
      <c r="F100" s="281"/>
      <c r="G100" s="281"/>
      <c r="H100" s="281"/>
      <c r="I100" s="281"/>
      <c r="J100" s="281"/>
      <c r="K100" s="281"/>
      <c r="L100" s="281"/>
      <c r="M100" s="281"/>
      <c r="N100" s="281"/>
      <c r="O100" s="281"/>
      <c r="P100" s="281"/>
      <c r="Q100" s="281"/>
      <c r="R100" s="282"/>
      <c r="S100" s="281"/>
      <c r="T100" s="285"/>
      <c r="U100" s="281"/>
      <c r="V100" s="281"/>
      <c r="W100" s="281"/>
    </row>
    <row r="101">
      <c r="A101" s="137" t="s">
        <v>627</v>
      </c>
      <c r="B101" s="341" t="s">
        <v>801</v>
      </c>
      <c r="C101" s="361" t="s">
        <v>802</v>
      </c>
      <c r="D101" s="289">
        <f>ROUND((F101*'Pawn Weights'!$H$3)+(G101*'Pawn Weights'!$H$4)+(H101*'Pawn Weights'!$H$5)+(I101*'Pawn Weights'!$H$6)+(J101*'Pawn Weights'!$H$7)+(K101*'Pawn Weights'!$H$8)+(L101*'Pawn Weights'!$H$9)+(M101*'Pawn Weights'!$H$10)+(N101*'Pawn Weights'!$H$11)+(O101*'Pawn Weights'!$H$12)+(P101*'Pawn Weights'!$H$13)+(Q101*'Pawn Weights'!$H$14)+2.73, 2)</f>
        <v>138.2</v>
      </c>
      <c r="E101" s="359">
        <v>33.0</v>
      </c>
      <c r="F101" s="361"/>
      <c r="G101" s="359">
        <v>30.0</v>
      </c>
      <c r="H101" s="359">
        <v>90.0</v>
      </c>
      <c r="I101" s="359">
        <v>30.0</v>
      </c>
      <c r="J101" s="361"/>
      <c r="K101" s="361"/>
      <c r="L101" s="361"/>
      <c r="M101" s="359">
        <v>154.0</v>
      </c>
      <c r="N101" s="361"/>
      <c r="O101" s="359">
        <v>2.0</v>
      </c>
      <c r="P101" s="361"/>
      <c r="Q101" s="361"/>
      <c r="R101" s="359" t="s">
        <v>702</v>
      </c>
      <c r="S101" s="137"/>
      <c r="T101" s="137"/>
      <c r="U101" s="137"/>
      <c r="V101" s="137"/>
      <c r="W101" s="137"/>
      <c r="X101" s="137"/>
      <c r="Y101" s="137"/>
      <c r="Z101" s="137"/>
    </row>
    <row r="102">
      <c r="A102" s="137" t="s">
        <v>627</v>
      </c>
      <c r="B102" s="341" t="s">
        <v>805</v>
      </c>
      <c r="C102" s="361" t="s">
        <v>806</v>
      </c>
      <c r="D102" s="289">
        <f>ROUND((F102*'Pawn Weights'!$H$3)+(G102*'Pawn Weights'!$H$4)+(H102*'Pawn Weights'!$H$5)+(I102*'Pawn Weights'!$H$6)+(J102*'Pawn Weights'!$H$7)+(K102*'Pawn Weights'!$H$8)+(L102*'Pawn Weights'!$H$9)+(M102*'Pawn Weights'!$H$10)+(N102*'Pawn Weights'!$H$11)+(O102*'Pawn Weights'!$H$12)+(P102*'Pawn Weights'!$H$13)+(Q102*'Pawn Weights'!$H$14)-10+9.55+3, 2)</f>
        <v>109.91</v>
      </c>
      <c r="E102" s="359">
        <v>45.0</v>
      </c>
      <c r="F102" s="359">
        <v>45.0</v>
      </c>
      <c r="G102" s="361"/>
      <c r="H102" s="361"/>
      <c r="I102" s="361"/>
      <c r="J102" s="359">
        <v>23.0</v>
      </c>
      <c r="K102" s="359">
        <v>36.0</v>
      </c>
      <c r="L102" s="361"/>
      <c r="M102" s="137"/>
      <c r="N102" s="361"/>
      <c r="O102" s="359">
        <v>1.0</v>
      </c>
      <c r="P102" s="359">
        <v>1.0</v>
      </c>
      <c r="Q102" s="361"/>
      <c r="R102" s="359" t="s">
        <v>698</v>
      </c>
      <c r="S102" s="137"/>
      <c r="T102" s="137"/>
      <c r="U102" s="137"/>
      <c r="V102" s="137"/>
      <c r="W102" s="137"/>
      <c r="X102" s="137"/>
      <c r="Y102" s="137"/>
      <c r="Z102" s="137"/>
    </row>
    <row r="103">
      <c r="A103" s="137" t="s">
        <v>627</v>
      </c>
      <c r="B103" s="341" t="s">
        <v>808</v>
      </c>
      <c r="C103" s="361" t="s">
        <v>802</v>
      </c>
      <c r="D103" s="289">
        <f>ROUND((F103*'Pawn Weights'!$H$3)+(G103*'Pawn Weights'!$H$4)+(H103*'Pawn Weights'!$H$5)+(I103*'Pawn Weights'!$H$6)+(J103*'Pawn Weights'!$H$7)+(K103*'Pawn Weights'!$H$8)+(L103*'Pawn Weights'!$H$9)+(M103*'Pawn Weights'!$H$10)+(N103*'Pawn Weights'!$H$11)+(O103*'Pawn Weights'!$H$12)+(P103*'Pawn Weights'!$H$13)+(Q103*'Pawn Weights'!$H$14)-20+19.1+2.727, 2)</f>
        <v>102.9</v>
      </c>
      <c r="E103" s="359">
        <v>33.0</v>
      </c>
      <c r="F103" s="361"/>
      <c r="G103" s="359">
        <v>30.0</v>
      </c>
      <c r="H103" s="359">
        <v>76.0</v>
      </c>
      <c r="I103" s="361"/>
      <c r="J103" s="361"/>
      <c r="K103" s="359">
        <v>34.0</v>
      </c>
      <c r="L103" s="361"/>
      <c r="M103" s="137"/>
      <c r="N103" s="361"/>
      <c r="O103" s="361"/>
      <c r="P103" s="359">
        <v>2.0</v>
      </c>
      <c r="Q103" s="361"/>
      <c r="R103" s="359" t="s">
        <v>809</v>
      </c>
      <c r="S103" s="137"/>
      <c r="T103" s="137"/>
      <c r="U103" s="137"/>
      <c r="V103" s="137"/>
      <c r="W103" s="137"/>
      <c r="X103" s="137"/>
      <c r="Y103" s="137"/>
      <c r="Z103" s="137"/>
    </row>
    <row r="104">
      <c r="A104" s="25"/>
      <c r="B104" s="288" t="s">
        <v>811</v>
      </c>
      <c r="C104" s="280" t="s">
        <v>723</v>
      </c>
      <c r="D104" s="289">
        <f>ROUND((F104*'Pawn Weights'!$H$3)+(G104*'Pawn Weights'!$H$4)+(H104*'Pawn Weights'!$H$5)+(I104*'Pawn Weights'!$H$6)+(J104*'Pawn Weights'!$H$7)+(K104*'Pawn Weights'!$H$8)+(L104*'Pawn Weights'!$H$9)+(M104*'Pawn Weights'!$H$10)+(N104*'Pawn Weights'!$H$11)+(O104*'Pawn Weights'!$H$12)+(P104*'Pawn Weights'!$H$13)+(Q104*'Pawn Weights'!$H$14), 2)</f>
        <v>100.29</v>
      </c>
      <c r="E104" s="280">
        <v>37.0</v>
      </c>
      <c r="F104" s="280">
        <v>40.0</v>
      </c>
      <c r="G104" s="280"/>
      <c r="H104" s="280"/>
      <c r="I104" s="280"/>
      <c r="J104" s="280">
        <v>15.0</v>
      </c>
      <c r="K104" s="280"/>
      <c r="L104" s="280"/>
      <c r="M104" s="280">
        <v>175.0</v>
      </c>
      <c r="N104" s="280"/>
      <c r="O104" s="280">
        <v>2.0</v>
      </c>
      <c r="P104" s="280"/>
      <c r="Q104" s="280"/>
      <c r="R104" s="290" t="s">
        <v>812</v>
      </c>
      <c r="S104" s="281"/>
      <c r="T104" s="291"/>
      <c r="U104" s="281"/>
      <c r="V104" s="281"/>
      <c r="W104" s="281"/>
    </row>
    <row r="105">
      <c r="A105" s="25" t="s">
        <v>640</v>
      </c>
      <c r="B105" s="288" t="s">
        <v>813</v>
      </c>
      <c r="C105" s="280" t="s">
        <v>814</v>
      </c>
      <c r="D105" s="289">
        <f>ROUND((F105*'Pawn Weights'!$H$3)+(G105*'Pawn Weights'!$H$4)+(H105*'Pawn Weights'!$H$5)+(I105*'Pawn Weights'!$H$6)+(J105*'Pawn Weights'!$H$7)+(K105*'Pawn Weights'!$H$8)+(L105*'Pawn Weights'!$H$9)+(M105*'Pawn Weights'!$H$10)+(N105*'Pawn Weights'!$H$11)+(O105*'Pawn Weights'!$H$12)+(P105*'Pawn Weights'!$H$13)+(Q105*'Pawn Weights'!$H$14)+1.82, 2)</f>
        <v>88.94</v>
      </c>
      <c r="E105" s="280">
        <v>49.0</v>
      </c>
      <c r="F105" s="280">
        <v>41.0</v>
      </c>
      <c r="G105" s="280">
        <v>30.0</v>
      </c>
      <c r="H105" s="280"/>
      <c r="I105" s="280"/>
      <c r="J105" s="280"/>
      <c r="K105" s="280"/>
      <c r="L105" s="280"/>
      <c r="M105" s="280">
        <v>91.0</v>
      </c>
      <c r="N105" s="280"/>
      <c r="O105" s="280">
        <v>1.0</v>
      </c>
      <c r="P105" s="280"/>
      <c r="Q105" s="280"/>
      <c r="R105" s="290" t="s">
        <v>736</v>
      </c>
      <c r="S105" s="281"/>
      <c r="T105" s="291"/>
      <c r="U105" s="281"/>
      <c r="V105" s="281"/>
      <c r="W105" s="281"/>
    </row>
    <row r="106">
      <c r="A106" s="295"/>
      <c r="B106" s="296" t="s">
        <v>817</v>
      </c>
      <c r="C106" s="297" t="s">
        <v>818</v>
      </c>
      <c r="D106" s="289">
        <f>ROUND((F106*'Pawn Weights'!$H$3)+(G106*'Pawn Weights'!$H$4)+(H106*'Pawn Weights'!$H$5)+(I106*'Pawn Weights'!$H$6)+(J106*'Pawn Weights'!$H$7)+(K106*'Pawn Weights'!$H$8)+(L106*'Pawn Weights'!$H$9)+(M106*'Pawn Weights'!$H$10)+(N106*'Pawn Weights'!$H$11)+(O106*'Pawn Weights'!$H$12)+(P106*'Pawn Weights'!$H$13)+(Q106*'Pawn Weights'!$H$14)-10+9.55+1.334, 2)</f>
        <v>83.57</v>
      </c>
      <c r="E106" s="298">
        <v>30.0</v>
      </c>
      <c r="F106" s="297"/>
      <c r="G106" s="298">
        <v>34.0</v>
      </c>
      <c r="H106" s="298">
        <v>78.0</v>
      </c>
      <c r="I106" s="298">
        <v>16.0</v>
      </c>
      <c r="J106" s="297"/>
      <c r="K106" s="297"/>
      <c r="L106" s="297"/>
      <c r="M106" s="295"/>
      <c r="N106" s="297"/>
      <c r="O106" s="297"/>
      <c r="P106" s="298">
        <v>1.0</v>
      </c>
      <c r="Q106" s="297"/>
      <c r="R106" s="298" t="s">
        <v>711</v>
      </c>
      <c r="S106" s="137"/>
      <c r="T106" s="295"/>
      <c r="U106" s="137"/>
      <c r="V106" s="137"/>
      <c r="W106" s="137"/>
      <c r="X106" s="137"/>
      <c r="Y106" s="137"/>
      <c r="Z106" s="137"/>
    </row>
    <row r="107">
      <c r="A107" s="25"/>
      <c r="B107" s="288" t="s">
        <v>815</v>
      </c>
      <c r="C107" s="280" t="s">
        <v>816</v>
      </c>
      <c r="D107" s="289">
        <f>ROUND((F107*'Pawn Weights'!$H$3)+(G107*'Pawn Weights'!$H$4)+(H107*'Pawn Weights'!$H$5)+(I107*'Pawn Weights'!$H$6)+(J107*'Pawn Weights'!$H$7)+(K107*'Pawn Weights'!$H$8)+(L107*'Pawn Weights'!$H$9)+(M107*'Pawn Weights'!$H$10)+(N107*'Pawn Weights'!$H$11)+(O107*'Pawn Weights'!$H$12)+(P107*'Pawn Weights'!$H$13)+(Q107*'Pawn Weights'!$H$14), 2)</f>
        <v>81.41</v>
      </c>
      <c r="E107" s="280">
        <v>38.0</v>
      </c>
      <c r="F107" s="280"/>
      <c r="G107" s="280">
        <v>27.0</v>
      </c>
      <c r="H107" s="280">
        <v>76.0</v>
      </c>
      <c r="I107" s="280"/>
      <c r="J107" s="280"/>
      <c r="K107" s="280">
        <v>37.0</v>
      </c>
      <c r="L107" s="280"/>
      <c r="M107" s="280"/>
      <c r="N107" s="280"/>
      <c r="O107" s="280"/>
      <c r="P107" s="280"/>
      <c r="Q107" s="280"/>
      <c r="R107" s="290"/>
      <c r="S107" s="281"/>
      <c r="T107" s="291"/>
      <c r="U107" s="281"/>
      <c r="V107" s="281"/>
      <c r="W107" s="281"/>
    </row>
    <row r="108">
      <c r="A108" s="25"/>
      <c r="B108" s="288" t="s">
        <v>819</v>
      </c>
      <c r="C108" s="280" t="s">
        <v>716</v>
      </c>
      <c r="D108" s="289">
        <f>ROUND((F108*'Pawn Weights'!$H$3)+(G108*'Pawn Weights'!$H$4)+(H108*'Pawn Weights'!$H$5)+(I108*'Pawn Weights'!$H$6)+(J108*'Pawn Weights'!$H$7)+(K108*'Pawn Weights'!$H$8)+(L108*'Pawn Weights'!$H$9)+(M108*'Pawn Weights'!$H$10)+(N108*'Pawn Weights'!$H$11)+(O108*'Pawn Weights'!$H$12)+(P108*'Pawn Weights'!$H$13)+(Q108*'Pawn Weights'!$H$14), 2)</f>
        <v>80.08</v>
      </c>
      <c r="E108" s="280">
        <v>24.0</v>
      </c>
      <c r="F108" s="280"/>
      <c r="G108" s="280">
        <v>25.0</v>
      </c>
      <c r="H108" s="280">
        <v>76.0</v>
      </c>
      <c r="I108" s="280"/>
      <c r="J108" s="280"/>
      <c r="K108" s="280">
        <v>37.0</v>
      </c>
      <c r="L108" s="280"/>
      <c r="M108" s="281"/>
      <c r="N108" s="280"/>
      <c r="O108" s="280"/>
      <c r="P108" s="280"/>
      <c r="Q108" s="280"/>
      <c r="R108" s="290"/>
      <c r="S108" s="281"/>
      <c r="T108" s="291"/>
      <c r="U108" s="281"/>
      <c r="V108" s="281"/>
      <c r="W108" s="281"/>
    </row>
    <row r="109">
      <c r="A109" s="25"/>
      <c r="B109" s="288" t="s">
        <v>820</v>
      </c>
      <c r="C109" s="280" t="s">
        <v>821</v>
      </c>
      <c r="D109" s="289">
        <f>ROUND((F109*'Pawn Weights'!$H$3)+(G109*'Pawn Weights'!$H$4)+(H109*'Pawn Weights'!$H$5)+(I109*'Pawn Weights'!$H$6)+(J109*'Pawn Weights'!$H$7)+(K109*'Pawn Weights'!$H$8)+(L109*'Pawn Weights'!$H$9)+(M109*'Pawn Weights'!$H$10)+(N109*'Pawn Weights'!$H$11)+(O109*'Pawn Weights'!$H$12)+(P109*'Pawn Weights'!$H$13)+(Q109*'Pawn Weights'!$H$14), 2)</f>
        <v>78.82</v>
      </c>
      <c r="E109" s="280">
        <v>45.0</v>
      </c>
      <c r="F109" s="280">
        <v>38.0</v>
      </c>
      <c r="G109" s="280"/>
      <c r="H109" s="280"/>
      <c r="I109" s="280"/>
      <c r="J109" s="280">
        <v>18.0</v>
      </c>
      <c r="K109" s="280">
        <v>38.0</v>
      </c>
      <c r="L109" s="280"/>
      <c r="M109" s="280"/>
      <c r="N109" s="280"/>
      <c r="O109" s="280"/>
      <c r="P109" s="280"/>
      <c r="Q109" s="280"/>
      <c r="R109" s="290"/>
      <c r="S109" s="281"/>
      <c r="T109" s="291"/>
      <c r="U109" s="281"/>
      <c r="V109" s="281"/>
      <c r="W109" s="281"/>
    </row>
    <row r="110">
      <c r="A110" s="25"/>
      <c r="B110" s="288" t="s">
        <v>822</v>
      </c>
      <c r="C110" s="280" t="s">
        <v>823</v>
      </c>
      <c r="D110" s="289">
        <f>ROUND((F110*'Pawn Weights'!$H$3)+(G110*'Pawn Weights'!$H$4)+(H110*'Pawn Weights'!$H$5)+(I110*'Pawn Weights'!$H$6)+(J110*'Pawn Weights'!$H$7)+(K110*'Pawn Weights'!$H$8)+(L110*'Pawn Weights'!$H$9)+(M110*'Pawn Weights'!$H$10)+(N110*'Pawn Weights'!$H$11)+(O110*'Pawn Weights'!$H$12)+(P110*'Pawn Weights'!$H$13)+(Q110*'Pawn Weights'!$H$14), 2)</f>
        <v>76.93</v>
      </c>
      <c r="E110" s="280">
        <v>34.0</v>
      </c>
      <c r="F110" s="280">
        <v>36.0</v>
      </c>
      <c r="G110" s="280"/>
      <c r="H110" s="280"/>
      <c r="I110" s="280">
        <v>23.0</v>
      </c>
      <c r="J110" s="280"/>
      <c r="K110" s="280"/>
      <c r="L110" s="280"/>
      <c r="M110" s="281"/>
      <c r="N110" s="280"/>
      <c r="O110" s="280"/>
      <c r="P110" s="280">
        <v>1.0</v>
      </c>
      <c r="Q110" s="280">
        <v>1.0</v>
      </c>
      <c r="R110" s="290" t="s">
        <v>698</v>
      </c>
      <c r="S110" s="281"/>
      <c r="T110" s="291"/>
      <c r="U110" s="281"/>
      <c r="V110" s="281"/>
      <c r="W110" s="281"/>
    </row>
    <row r="111">
      <c r="A111" s="301"/>
      <c r="B111" s="288" t="s">
        <v>824</v>
      </c>
      <c r="C111" s="280" t="s">
        <v>825</v>
      </c>
      <c r="D111" s="289">
        <f>ROUND((F111*'Pawn Weights'!$H$3)+(G111*'Pawn Weights'!$H$4)+(H111*'Pawn Weights'!$H$5)+(I111*'Pawn Weights'!$H$6)+(J111*'Pawn Weights'!$H$7)+(K111*'Pawn Weights'!$H$8)+(L111*'Pawn Weights'!$H$9)+(M111*'Pawn Weights'!$H$10)+(N111*'Pawn Weights'!$H$11)+(O111*'Pawn Weights'!$H$12)+(P111*'Pawn Weights'!$H$13)+(Q111*'Pawn Weights'!$H$14), 2)</f>
        <v>76.38</v>
      </c>
      <c r="E111" s="280">
        <v>31.0</v>
      </c>
      <c r="F111" s="280"/>
      <c r="G111" s="280"/>
      <c r="H111" s="280">
        <v>72.0</v>
      </c>
      <c r="I111" s="280">
        <v>26.0</v>
      </c>
      <c r="J111" s="280"/>
      <c r="K111" s="280"/>
      <c r="L111" s="280"/>
      <c r="M111" s="281"/>
      <c r="N111" s="280"/>
      <c r="O111" s="280"/>
      <c r="P111" s="280"/>
      <c r="Q111" s="280">
        <v>2.0</v>
      </c>
      <c r="R111" s="290" t="s">
        <v>702</v>
      </c>
      <c r="S111" s="281"/>
      <c r="T111" s="291"/>
      <c r="U111" s="281"/>
      <c r="V111" s="281"/>
      <c r="W111" s="281"/>
    </row>
    <row r="112">
      <c r="A112" s="295" t="s">
        <v>635</v>
      </c>
      <c r="B112" s="296" t="s">
        <v>826</v>
      </c>
      <c r="C112" s="297" t="s">
        <v>637</v>
      </c>
      <c r="D112" s="289">
        <f>ROUND((F112*'Pawn Weights'!$H$3)+(G112*'Pawn Weights'!$H$4)+(H112*'Pawn Weights'!$H$5)+(I112*'Pawn Weights'!$H$6)+(J112*'Pawn Weights'!$H$7)+(K112*'Pawn Weights'!$H$8)+(L112*'Pawn Weights'!$H$9)+(M112*'Pawn Weights'!$H$10)+(N112*'Pawn Weights'!$H$11)+(O112*'Pawn Weights'!$H$12)+(P112*'Pawn Weights'!$H$13)+(Q112*'Pawn Weights'!$H$14), 2)</f>
        <v>75.67</v>
      </c>
      <c r="E112" s="298">
        <v>59.0</v>
      </c>
      <c r="F112" s="298">
        <v>42.0</v>
      </c>
      <c r="G112" s="297"/>
      <c r="H112" s="297"/>
      <c r="I112" s="298">
        <v>37.0</v>
      </c>
      <c r="J112" s="297"/>
      <c r="K112" s="297"/>
      <c r="L112" s="297"/>
      <c r="M112" s="137"/>
      <c r="N112" s="297"/>
      <c r="O112" s="297"/>
      <c r="P112" s="297"/>
      <c r="Q112" s="297"/>
      <c r="R112" s="295"/>
      <c r="S112" s="137"/>
      <c r="T112" s="297" t="s">
        <v>827</v>
      </c>
      <c r="U112" s="137"/>
      <c r="V112" s="137"/>
      <c r="W112" s="137"/>
      <c r="X112" s="137"/>
      <c r="Y112" s="137"/>
      <c r="Z112" s="137"/>
    </row>
    <row r="113">
      <c r="B113" s="288" t="s">
        <v>1094</v>
      </c>
      <c r="C113" s="280" t="s">
        <v>1025</v>
      </c>
      <c r="D113" s="289">
        <f>ROUND((F113*'Pawn Weights'!$H$3)+(G113*'Pawn Weights'!$H$4)+(H113*'Pawn Weights'!$H$5)+(I113*'Pawn Weights'!$H$6)+(J113*'Pawn Weights'!$H$7)+(K113*'Pawn Weights'!$H$8)+(L113*'Pawn Weights'!$H$9)+(M113*'Pawn Weights'!$H$10)+(N113*'Pawn Weights'!$H$11)+(O113*'Pawn Weights'!$H$12)+(P113*'Pawn Weights'!$H$13)+(Q113*'Pawn Weights'!$H$14), 2)</f>
        <v>74.51</v>
      </c>
      <c r="E113" s="280">
        <v>37.0</v>
      </c>
      <c r="F113" s="280"/>
      <c r="G113" s="280">
        <v>33.0</v>
      </c>
      <c r="H113" s="280">
        <v>66.0</v>
      </c>
      <c r="I113" s="280"/>
      <c r="J113" s="280"/>
      <c r="K113" s="280"/>
      <c r="L113" s="280">
        <v>18.0</v>
      </c>
      <c r="M113" s="281"/>
      <c r="N113" s="280"/>
      <c r="O113" s="280"/>
      <c r="P113" s="280"/>
      <c r="Q113" s="280"/>
      <c r="R113" s="290"/>
      <c r="S113" s="281"/>
      <c r="T113" s="291" t="s">
        <v>712</v>
      </c>
      <c r="U113" s="281"/>
      <c r="V113" s="281"/>
      <c r="W113" s="281"/>
    </row>
    <row r="114">
      <c r="A114" s="25"/>
      <c r="B114" s="288" t="s">
        <v>1095</v>
      </c>
      <c r="C114" s="280" t="s">
        <v>889</v>
      </c>
      <c r="D114" s="289">
        <f>ROUND((F114*'Pawn Weights'!$H$3)+(G114*'Pawn Weights'!$H$4)+(H114*'Pawn Weights'!$H$5)+(I114*'Pawn Weights'!$H$6)+(J114*'Pawn Weights'!$H$7)+(K114*'Pawn Weights'!$H$8)+(L114*'Pawn Weights'!$H$9)+(M114*'Pawn Weights'!$H$10)+(N114*'Pawn Weights'!$H$11)+(O114*'Pawn Weights'!$H$12)+(P114*'Pawn Weights'!$H$13)+(Q114*'Pawn Weights'!$H$14)-10+9.55+2.727, 2)</f>
        <v>73.78</v>
      </c>
      <c r="E114" s="280">
        <v>27.0</v>
      </c>
      <c r="F114" s="280"/>
      <c r="G114" s="280">
        <v>20.0</v>
      </c>
      <c r="H114" s="280">
        <v>58.0</v>
      </c>
      <c r="I114" s="280"/>
      <c r="J114" s="280">
        <v>19.0</v>
      </c>
      <c r="K114" s="280"/>
      <c r="L114" s="280"/>
      <c r="M114" s="281"/>
      <c r="N114" s="280"/>
      <c r="O114" s="280">
        <v>1.0</v>
      </c>
      <c r="P114" s="280">
        <v>1.0</v>
      </c>
      <c r="Q114" s="280"/>
      <c r="R114" s="290" t="s">
        <v>809</v>
      </c>
      <c r="S114" s="281"/>
      <c r="T114" s="291"/>
      <c r="U114" s="281"/>
      <c r="V114" s="281"/>
      <c r="W114" s="281"/>
    </row>
    <row r="115">
      <c r="A115" s="25"/>
      <c r="B115" s="288" t="s">
        <v>1096</v>
      </c>
      <c r="C115" s="280" t="s">
        <v>889</v>
      </c>
      <c r="D115" s="289">
        <f>ROUND((F115*'Pawn Weights'!$H$3)+(G115*'Pawn Weights'!$H$4)+(H115*'Pawn Weights'!$H$5)+(I115*'Pawn Weights'!$H$6)+(J115*'Pawn Weights'!$H$7)+(K115*'Pawn Weights'!$H$8)+(L115*'Pawn Weights'!$H$9)+(M115*'Pawn Weights'!$H$10)+(N115*'Pawn Weights'!$H$11)+(O115*'Pawn Weights'!$H$12)+(P115*'Pawn Weights'!$H$13)+(Q115*'Pawn Weights'!$H$14)-10+9.55+3, 2)</f>
        <v>72.08</v>
      </c>
      <c r="E115" s="280">
        <v>37.0</v>
      </c>
      <c r="F115" s="280">
        <v>34.0</v>
      </c>
      <c r="G115" s="280"/>
      <c r="H115" s="280"/>
      <c r="I115" s="280"/>
      <c r="J115" s="280">
        <v>25.0</v>
      </c>
      <c r="K115" s="280"/>
      <c r="L115" s="280"/>
      <c r="M115" s="281"/>
      <c r="N115" s="280"/>
      <c r="O115" s="280">
        <v>1.0</v>
      </c>
      <c r="P115" s="280">
        <v>1.0</v>
      </c>
      <c r="Q115" s="280"/>
      <c r="R115" s="290" t="s">
        <v>698</v>
      </c>
      <c r="S115" s="281"/>
      <c r="T115" s="291"/>
      <c r="U115" s="281"/>
      <c r="V115" s="281"/>
      <c r="W115" s="281"/>
    </row>
    <row r="116">
      <c r="A116" s="25" t="s">
        <v>647</v>
      </c>
      <c r="B116" s="288" t="s">
        <v>1098</v>
      </c>
      <c r="C116" s="280" t="s">
        <v>957</v>
      </c>
      <c r="D116" s="289">
        <f>ROUND((F116*'Pawn Weights'!$H$3)+(G116*'Pawn Weights'!$H$4)+(H116*'Pawn Weights'!$H$5)+(I116*'Pawn Weights'!$H$6)+(J116*'Pawn Weights'!$H$7)+(K116*'Pawn Weights'!$H$8)+(L116*'Pawn Weights'!$H$9)+(M116*'Pawn Weights'!$H$10)+(N116*'Pawn Weights'!$H$11)+(O116*'Pawn Weights'!$H$12)+(P116*'Pawn Weights'!$H$13)+(Q116*'Pawn Weights'!$H$14), 2)</f>
        <v>71.3</v>
      </c>
      <c r="E116" s="280">
        <v>46.0</v>
      </c>
      <c r="F116" s="280">
        <v>44.0</v>
      </c>
      <c r="G116" s="280"/>
      <c r="H116" s="280"/>
      <c r="I116" s="280">
        <v>30.0</v>
      </c>
      <c r="J116" s="280"/>
      <c r="K116" s="280"/>
      <c r="L116" s="280"/>
      <c r="M116" s="281"/>
      <c r="N116" s="280"/>
      <c r="O116" s="280"/>
      <c r="P116" s="280"/>
      <c r="Q116" s="280"/>
      <c r="R116" s="290"/>
      <c r="S116" s="281"/>
      <c r="T116" s="291"/>
      <c r="U116" s="281"/>
      <c r="V116" s="281"/>
      <c r="W116" s="281"/>
    </row>
    <row r="117">
      <c r="A117" s="25" t="s">
        <v>627</v>
      </c>
      <c r="B117" s="311" t="s">
        <v>1097</v>
      </c>
      <c r="C117" s="280" t="s">
        <v>904</v>
      </c>
      <c r="D117" s="289">
        <f>ROUND((F117*'Pawn Weights'!$H$3)+(G117*'Pawn Weights'!$H$4)+(H117*'Pawn Weights'!$H$5)+(I117*'Pawn Weights'!$H$6)+(J117*'Pawn Weights'!$H$7)+(K117*'Pawn Weights'!$H$8)+(L117*'Pawn Weights'!$H$9)+(M117*'Pawn Weights'!$H$10)+(N117*'Pawn Weights'!$H$11)+(O117*'Pawn Weights'!$H$12)+(P117*'Pawn Weights'!$H$13)+(Q117*'Pawn Weights'!$H$14)-10+9.55+2.727, 2)</f>
        <v>71.04</v>
      </c>
      <c r="E117" s="280"/>
      <c r="F117" s="280"/>
      <c r="G117" s="280"/>
      <c r="H117" s="280">
        <v>36.0</v>
      </c>
      <c r="I117" s="280">
        <v>24.0</v>
      </c>
      <c r="J117" s="280">
        <v>17.0</v>
      </c>
      <c r="K117" s="280"/>
      <c r="L117" s="280"/>
      <c r="M117" s="281"/>
      <c r="N117" s="280"/>
      <c r="O117" s="280">
        <v>1.0</v>
      </c>
      <c r="P117" s="280">
        <v>1.0</v>
      </c>
      <c r="Q117" s="280"/>
      <c r="R117" s="290" t="s">
        <v>809</v>
      </c>
      <c r="S117" s="281"/>
      <c r="T117" s="291"/>
      <c r="U117" s="281"/>
      <c r="V117" s="281"/>
      <c r="W117" s="281"/>
    </row>
    <row r="118">
      <c r="A118" s="25"/>
      <c r="B118" s="288" t="s">
        <v>1405</v>
      </c>
      <c r="C118" s="280" t="s">
        <v>889</v>
      </c>
      <c r="D118" s="289">
        <f>ROUND((F118*'Pawn Weights'!$H$3)+(G118*'Pawn Weights'!$H$4)+(H118*'Pawn Weights'!$H$5)+(I118*'Pawn Weights'!$H$6)+(J118*'Pawn Weights'!$H$7)+(K118*'Pawn Weights'!$H$8)+(L118*'Pawn Weights'!$H$9)+(M118*'Pawn Weights'!$H$10)+(N118*'Pawn Weights'!$H$11)+(O118*'Pawn Weights'!$H$12)+(P118*'Pawn Weights'!$H$13)+(Q118*'Pawn Weights'!$H$14), 2)</f>
        <v>70.42</v>
      </c>
      <c r="E118" s="280">
        <v>28.0</v>
      </c>
      <c r="F118" s="280"/>
      <c r="G118" s="280">
        <v>30.0</v>
      </c>
      <c r="H118" s="280">
        <v>68.0</v>
      </c>
      <c r="I118" s="280"/>
      <c r="J118" s="280"/>
      <c r="K118" s="280">
        <v>25.0</v>
      </c>
      <c r="L118" s="280"/>
      <c r="M118" s="281"/>
      <c r="N118" s="280"/>
      <c r="O118" s="280"/>
      <c r="P118" s="280"/>
      <c r="Q118" s="280"/>
      <c r="R118" s="290"/>
      <c r="S118" s="281"/>
      <c r="T118" s="291"/>
      <c r="U118" s="281"/>
      <c r="V118" s="281"/>
      <c r="W118" s="281"/>
    </row>
    <row r="119">
      <c r="A119" s="25" t="s">
        <v>644</v>
      </c>
      <c r="B119" s="288" t="s">
        <v>1406</v>
      </c>
      <c r="C119" s="280" t="s">
        <v>646</v>
      </c>
      <c r="D119" s="289">
        <f>ROUND((F119*'Pawn Weights'!$H$3)+(G119*'Pawn Weights'!$H$4)+(H119*'Pawn Weights'!$H$5)+(I119*'Pawn Weights'!$H$6)+(J119*'Pawn Weights'!$H$7)+(K119*'Pawn Weights'!$H$8)+(L119*'Pawn Weights'!$H$9)+(M119*'Pawn Weights'!$H$10)+(N119*'Pawn Weights'!$H$11)+(O119*'Pawn Weights'!$H$12)+(P119*'Pawn Weights'!$H$13)+(Q119*'Pawn Weights'!$H$14), 2)</f>
        <v>66.12</v>
      </c>
      <c r="E119" s="280">
        <v>52.0</v>
      </c>
      <c r="F119" s="280">
        <v>37.0</v>
      </c>
      <c r="G119" s="280"/>
      <c r="H119" s="280"/>
      <c r="I119" s="280">
        <v>32.0</v>
      </c>
      <c r="J119" s="280"/>
      <c r="K119" s="280"/>
      <c r="L119" s="280"/>
      <c r="M119" s="281"/>
      <c r="N119" s="280"/>
      <c r="O119" s="280"/>
      <c r="P119" s="280"/>
      <c r="Q119" s="280"/>
      <c r="R119" s="290"/>
      <c r="S119" s="281"/>
      <c r="T119" s="291" t="s">
        <v>827</v>
      </c>
      <c r="U119" s="281"/>
      <c r="V119" s="281"/>
      <c r="W119" s="281"/>
    </row>
    <row r="120">
      <c r="A120" s="272" t="s">
        <v>828</v>
      </c>
      <c r="B120" s="281"/>
      <c r="C120" s="281"/>
      <c r="D120" s="360"/>
      <c r="E120" s="281"/>
      <c r="F120" s="281"/>
      <c r="G120" s="281"/>
      <c r="H120" s="281"/>
      <c r="I120" s="281"/>
      <c r="J120" s="281"/>
      <c r="K120" s="281"/>
      <c r="L120" s="281"/>
      <c r="M120" s="281"/>
      <c r="N120" s="281"/>
      <c r="O120" s="281"/>
      <c r="P120" s="281"/>
      <c r="Q120" s="281"/>
      <c r="R120" s="282"/>
      <c r="S120" s="281"/>
      <c r="T120" s="285"/>
      <c r="U120" s="281"/>
      <c r="V120" s="281"/>
      <c r="W120" s="281"/>
    </row>
    <row r="121">
      <c r="A121" s="292"/>
      <c r="B121" s="288" t="s">
        <v>830</v>
      </c>
      <c r="C121" s="280" t="s">
        <v>649</v>
      </c>
      <c r="D121" s="289">
        <f>ROUND((F121*'Pawn Weights'!$H$3)+(G121*'Pawn Weights'!$H$4)+(H121*'Pawn Weights'!$H$5)+(I121*'Pawn Weights'!$H$6)+(J121*'Pawn Weights'!$H$7)+(K121*'Pawn Weights'!$H$8)+(L121*'Pawn Weights'!$H$9)+(M121*'Pawn Weights'!$H$10)+(N121*'Pawn Weights'!$H$11)+(O121*'Pawn Weights'!$H$12)+(P121*'Pawn Weights'!$H$13)+(Q121*'Pawn Weights'!$H$14), 2)</f>
        <v>104.23</v>
      </c>
      <c r="E121" s="280">
        <v>25.0</v>
      </c>
      <c r="F121" s="280"/>
      <c r="G121" s="280">
        <v>29.0</v>
      </c>
      <c r="H121" s="280">
        <v>74.0</v>
      </c>
      <c r="I121" s="280"/>
      <c r="J121" s="280"/>
      <c r="K121" s="280"/>
      <c r="L121" s="280">
        <v>25.0</v>
      </c>
      <c r="M121" s="281"/>
      <c r="N121" s="280"/>
      <c r="O121" s="280">
        <v>1.0</v>
      </c>
      <c r="P121" s="280"/>
      <c r="Q121" s="280">
        <v>1.0</v>
      </c>
      <c r="R121" s="290" t="s">
        <v>695</v>
      </c>
      <c r="S121" s="281"/>
      <c r="T121" s="291" t="s">
        <v>712</v>
      </c>
      <c r="U121" s="281"/>
      <c r="V121" s="281"/>
      <c r="W121" s="281"/>
    </row>
    <row r="122">
      <c r="A122" s="292"/>
      <c r="B122" s="288" t="s">
        <v>833</v>
      </c>
      <c r="C122" s="280" t="s">
        <v>816</v>
      </c>
      <c r="D122" s="289">
        <f>ROUND((F122*'Pawn Weights'!$H$3)+(G122*'Pawn Weights'!$H$4)+(H122*'Pawn Weights'!$H$5)+(I122*'Pawn Weights'!$H$6)+(J122*'Pawn Weights'!$H$7)+(K122*'Pawn Weights'!$H$8)+(L122*'Pawn Weights'!$H$9)+(M122*'Pawn Weights'!$H$10)+(N122*'Pawn Weights'!$H$11)+(O122*'Pawn Weights'!$H$12)+(P122*'Pawn Weights'!$H$13)+(Q122*'Pawn Weights'!$H$14), 2)</f>
        <v>92.29</v>
      </c>
      <c r="E122" s="280"/>
      <c r="F122" s="280"/>
      <c r="G122" s="280">
        <v>38.0</v>
      </c>
      <c r="H122" s="280">
        <v>76.0</v>
      </c>
      <c r="I122" s="280">
        <v>24.0</v>
      </c>
      <c r="J122" s="280">
        <v>17.0</v>
      </c>
      <c r="K122" s="280"/>
      <c r="L122" s="280"/>
      <c r="M122" s="281"/>
      <c r="N122" s="280"/>
      <c r="O122" s="280"/>
      <c r="P122" s="280"/>
      <c r="Q122" s="280"/>
      <c r="R122" s="290"/>
      <c r="S122" s="281"/>
      <c r="T122" s="291"/>
      <c r="U122" s="281"/>
      <c r="V122" s="281"/>
      <c r="W122" s="281"/>
    </row>
    <row r="123">
      <c r="A123" s="292" t="s">
        <v>627</v>
      </c>
      <c r="B123" s="288" t="s">
        <v>836</v>
      </c>
      <c r="C123" s="280" t="s">
        <v>837</v>
      </c>
      <c r="D123" s="289">
        <f>ROUND((F123*'Pawn Weights'!$H$3)+(G123*'Pawn Weights'!$H$4)+(H123*'Pawn Weights'!$H$5)+(I123*'Pawn Weights'!$H$6)+(J123*'Pawn Weights'!$H$7)+(K123*'Pawn Weights'!$H$8)+(L123*'Pawn Weights'!$H$9)+(M123*'Pawn Weights'!$H$10)+(N123*'Pawn Weights'!$H$11)+(O123*'Pawn Weights'!$H$12)+(P123*'Pawn Weights'!$H$13)+(Q123*'Pawn Weights'!$H$14), 2)</f>
        <v>91.53</v>
      </c>
      <c r="E123" s="280">
        <v>21.0</v>
      </c>
      <c r="F123" s="280">
        <v>41.0</v>
      </c>
      <c r="G123" s="280"/>
      <c r="H123" s="280"/>
      <c r="I123" s="280">
        <v>24.0</v>
      </c>
      <c r="J123" s="280">
        <v>14.0</v>
      </c>
      <c r="K123" s="280"/>
      <c r="L123" s="280"/>
      <c r="M123" s="281"/>
      <c r="N123" s="280"/>
      <c r="O123" s="280"/>
      <c r="P123" s="280">
        <v>1.0</v>
      </c>
      <c r="Q123" s="280">
        <v>1.0</v>
      </c>
      <c r="R123" s="290" t="s">
        <v>702</v>
      </c>
      <c r="S123" s="281"/>
      <c r="T123" s="291"/>
      <c r="U123" s="281"/>
      <c r="V123" s="281"/>
      <c r="W123" s="281"/>
    </row>
    <row r="124">
      <c r="A124" s="292"/>
      <c r="B124" s="288" t="s">
        <v>834</v>
      </c>
      <c r="C124" s="280" t="s">
        <v>835</v>
      </c>
      <c r="D124" s="289">
        <f>ROUND((F124*'Pawn Weights'!$H$3)+(G124*'Pawn Weights'!$H$4)+(H124*'Pawn Weights'!$H$5)+(I124*'Pawn Weights'!$H$6)+(J124*'Pawn Weights'!$H$7)+(K124*'Pawn Weights'!$H$8)+(L124*'Pawn Weights'!$H$9)+(M124*'Pawn Weights'!$H$10)+(N124*'Pawn Weights'!$H$11)+(O124*'Pawn Weights'!$H$12)+(P124*'Pawn Weights'!$H$13)+(Q124*'Pawn Weights'!$H$14), 2)</f>
        <v>91.18</v>
      </c>
      <c r="E124" s="280">
        <v>37.0</v>
      </c>
      <c r="F124" s="280"/>
      <c r="G124" s="280">
        <v>29.0</v>
      </c>
      <c r="H124" s="280">
        <v>76.0</v>
      </c>
      <c r="I124" s="280">
        <v>19.0</v>
      </c>
      <c r="J124" s="280"/>
      <c r="K124" s="280"/>
      <c r="L124" s="280"/>
      <c r="M124" s="281"/>
      <c r="N124" s="280"/>
      <c r="O124" s="280">
        <v>1.0</v>
      </c>
      <c r="P124" s="280">
        <v>1.0</v>
      </c>
      <c r="Q124" s="280"/>
      <c r="R124" s="290" t="s">
        <v>812</v>
      </c>
      <c r="S124" s="281"/>
      <c r="T124" s="291"/>
      <c r="U124" s="281"/>
      <c r="V124" s="281"/>
      <c r="W124" s="281"/>
    </row>
    <row r="125">
      <c r="A125" s="292"/>
      <c r="B125" s="288" t="s">
        <v>831</v>
      </c>
      <c r="C125" s="280" t="s">
        <v>718</v>
      </c>
      <c r="D125" s="289">
        <f>ROUND((F125*'Pawn Weights'!$H$3)+(G125*'Pawn Weights'!$H$4)+(H125*'Pawn Weights'!$H$5)+(I125*'Pawn Weights'!$H$6)+(J125*'Pawn Weights'!$H$7)+(K125*'Pawn Weights'!$H$8)+(L125*'Pawn Weights'!$H$9)+(M125*'Pawn Weights'!$H$10)+(N125*'Pawn Weights'!$H$11)+(O125*'Pawn Weights'!$H$12)+(P125*'Pawn Weights'!$H$13)+(Q125*'Pawn Weights'!$H$14), 2)</f>
        <v>89.95</v>
      </c>
      <c r="E125" s="280">
        <v>37.0</v>
      </c>
      <c r="F125" s="280">
        <v>34.0</v>
      </c>
      <c r="G125" s="280"/>
      <c r="H125" s="280"/>
      <c r="I125" s="280"/>
      <c r="J125" s="280">
        <v>14.0</v>
      </c>
      <c r="K125" s="280"/>
      <c r="L125" s="280"/>
      <c r="M125" s="280">
        <v>154.0</v>
      </c>
      <c r="N125" s="280"/>
      <c r="O125" s="280">
        <v>1.0</v>
      </c>
      <c r="P125" s="280"/>
      <c r="Q125" s="280">
        <v>1.0</v>
      </c>
      <c r="R125" s="290" t="s">
        <v>832</v>
      </c>
      <c r="S125" s="281"/>
      <c r="T125" s="291"/>
      <c r="U125" s="281"/>
      <c r="V125" s="281"/>
      <c r="W125" s="281"/>
    </row>
    <row r="126">
      <c r="A126" s="292"/>
      <c r="B126" s="288" t="s">
        <v>838</v>
      </c>
      <c r="C126" s="280" t="s">
        <v>839</v>
      </c>
      <c r="D126" s="289">
        <f>ROUND((F126*'Pawn Weights'!$H$3)+(G126*'Pawn Weights'!$H$4)+(H126*'Pawn Weights'!$H$5)+(I126*'Pawn Weights'!$H$6)+(J126*'Pawn Weights'!$H$7)+(K126*'Pawn Weights'!$H$8)+(L126*'Pawn Weights'!$H$9)+(M126*'Pawn Weights'!$H$10)+(N126*'Pawn Weights'!$H$11)+(O126*'Pawn Weights'!$H$12)+(P126*'Pawn Weights'!$H$13)+(Q126*'Pawn Weights'!$H$14), 2)</f>
        <v>85.78</v>
      </c>
      <c r="E126" s="280">
        <v>27.0</v>
      </c>
      <c r="F126" s="280"/>
      <c r="G126" s="280">
        <v>25.0</v>
      </c>
      <c r="H126" s="280">
        <v>58.0</v>
      </c>
      <c r="I126" s="280">
        <v>21.0</v>
      </c>
      <c r="J126" s="280"/>
      <c r="K126" s="280"/>
      <c r="L126" s="280"/>
      <c r="M126" s="280">
        <v>77.0</v>
      </c>
      <c r="N126" s="280"/>
      <c r="O126" s="280"/>
      <c r="P126" s="280"/>
      <c r="Q126" s="280">
        <v>1.0</v>
      </c>
      <c r="R126" s="290" t="s">
        <v>660</v>
      </c>
      <c r="S126" s="281"/>
      <c r="T126" s="291"/>
      <c r="U126" s="281"/>
      <c r="V126" s="281"/>
      <c r="W126" s="281"/>
    </row>
    <row r="127">
      <c r="A127" s="295"/>
      <c r="B127" s="296" t="s">
        <v>843</v>
      </c>
      <c r="C127" s="297" t="s">
        <v>844</v>
      </c>
      <c r="D127" s="367">
        <f>ROUND((F127*'Pawn Weights'!$H$3)+(G127*'Pawn Weights'!$H$4)+(H127*'Pawn Weights'!$H$5)+(I127*'Pawn Weights'!$H$6)+(J127*'Pawn Weights'!$H$7)+(K127*'Pawn Weights'!$H$8)+(L127*'Pawn Weights'!$H$9)+(M127*'Pawn Weights'!$H$10)+(N127*'Pawn Weights'!$H$11)+(O127*'Pawn Weights'!$H$12)+(P127*'Pawn Weights'!$H$13)+(Q127*'Pawn Weights'!$H$14)-10+9.55+1.334, 2)</f>
        <v>83.3</v>
      </c>
      <c r="E127" s="298">
        <v>33.0</v>
      </c>
      <c r="F127" s="297"/>
      <c r="G127" s="298">
        <v>34.0</v>
      </c>
      <c r="H127" s="298">
        <v>78.0</v>
      </c>
      <c r="I127" s="297"/>
      <c r="J127" s="298">
        <v>23.0</v>
      </c>
      <c r="K127" s="297"/>
      <c r="L127" s="297"/>
      <c r="M127" s="295"/>
      <c r="N127" s="297"/>
      <c r="O127" s="297"/>
      <c r="P127" s="298">
        <v>1.0</v>
      </c>
      <c r="Q127" s="297"/>
      <c r="R127" s="298" t="s">
        <v>711</v>
      </c>
      <c r="S127" s="137"/>
      <c r="T127" s="295"/>
      <c r="U127" s="137"/>
      <c r="V127" s="137"/>
      <c r="W127" s="137"/>
      <c r="X127" s="137"/>
      <c r="Y127" s="137"/>
      <c r="Z127" s="137"/>
    </row>
    <row r="128">
      <c r="A128" s="292" t="s">
        <v>627</v>
      </c>
      <c r="B128" s="288" t="s">
        <v>845</v>
      </c>
      <c r="C128" s="280" t="s">
        <v>846</v>
      </c>
      <c r="D128" s="289">
        <f>ROUND((F128*'Pawn Weights'!$H$3)+(G128*'Pawn Weights'!$H$4)+(H128*'Pawn Weights'!$H$5)+(I128*'Pawn Weights'!$H$6)+(J128*'Pawn Weights'!$H$7)+(K128*'Pawn Weights'!$H$8)+(L128*'Pawn Weights'!$H$9)+(M128*'Pawn Weights'!$H$10)+(N128*'Pawn Weights'!$H$11)+(O128*'Pawn Weights'!$H$12)+(P128*'Pawn Weights'!$H$13)+(Q128*'Pawn Weights'!$H$14), 2)</f>
        <v>82.52</v>
      </c>
      <c r="E128" s="280">
        <v>14.0</v>
      </c>
      <c r="F128" s="280"/>
      <c r="G128" s="280">
        <v>32.0</v>
      </c>
      <c r="H128" s="280">
        <v>66.0</v>
      </c>
      <c r="I128" s="280"/>
      <c r="J128" s="280">
        <v>18.0</v>
      </c>
      <c r="K128" s="280"/>
      <c r="L128" s="280"/>
      <c r="M128" s="281"/>
      <c r="N128" s="280"/>
      <c r="O128" s="280"/>
      <c r="P128" s="280"/>
      <c r="Q128" s="280">
        <v>2.0</v>
      </c>
      <c r="R128" s="290" t="s">
        <v>1407</v>
      </c>
      <c r="S128" s="281"/>
      <c r="T128" s="291"/>
      <c r="U128" s="281"/>
      <c r="V128" s="281"/>
      <c r="W128" s="281"/>
    </row>
    <row r="129">
      <c r="A129" s="292"/>
      <c r="B129" s="288" t="s">
        <v>840</v>
      </c>
      <c r="C129" s="280" t="s">
        <v>723</v>
      </c>
      <c r="D129" s="289">
        <f>ROUND((F129*'Pawn Weights'!$H$3)+(G129*'Pawn Weights'!$H$4)+(H129*'Pawn Weights'!$H$5)+(I129*'Pawn Weights'!$H$6)+(J129*'Pawn Weights'!$H$7)+(K129*'Pawn Weights'!$H$8)+(L129*'Pawn Weights'!$H$9)+(M129*'Pawn Weights'!$H$10)+(N129*'Pawn Weights'!$H$11)+(O129*'Pawn Weights'!$H$12)+(P129*'Pawn Weights'!$H$13)+(Q129*'Pawn Weights'!$H$14), 2)</f>
        <v>81.41</v>
      </c>
      <c r="E129" s="280">
        <v>38.0</v>
      </c>
      <c r="F129" s="280"/>
      <c r="G129" s="280">
        <v>27.0</v>
      </c>
      <c r="H129" s="280">
        <v>76.0</v>
      </c>
      <c r="I129" s="280"/>
      <c r="J129" s="280"/>
      <c r="K129" s="280">
        <v>37.0</v>
      </c>
      <c r="L129" s="280"/>
      <c r="M129" s="281"/>
      <c r="N129" s="280"/>
      <c r="O129" s="280"/>
      <c r="P129" s="280"/>
      <c r="Q129" s="280"/>
      <c r="R129" s="290"/>
      <c r="S129" s="281"/>
      <c r="T129" s="291"/>
      <c r="U129" s="281"/>
      <c r="V129" s="281"/>
      <c r="W129" s="281"/>
    </row>
    <row r="130">
      <c r="A130" s="292"/>
      <c r="B130" s="288" t="s">
        <v>841</v>
      </c>
      <c r="C130" s="280" t="s">
        <v>842</v>
      </c>
      <c r="D130" s="289">
        <f>ROUND((F130*'Pawn Weights'!$H$3)+(G130*'Pawn Weights'!$H$4)+(H130*'Pawn Weights'!$H$5)+(I130*'Pawn Weights'!$H$6)+(J130*'Pawn Weights'!$H$7)+(K130*'Pawn Weights'!$H$8)+(L130*'Pawn Weights'!$H$9)+(M130*'Pawn Weights'!$H$10)+(N130*'Pawn Weights'!$H$11)+(O130*'Pawn Weights'!$H$12)+(P130*'Pawn Weights'!$H$13)+(Q130*'Pawn Weights'!$H$14), 2)</f>
        <v>80.63</v>
      </c>
      <c r="E130" s="280">
        <v>25.0</v>
      </c>
      <c r="F130" s="280"/>
      <c r="G130" s="280">
        <v>27.0</v>
      </c>
      <c r="H130" s="280">
        <v>76.0</v>
      </c>
      <c r="I130" s="280"/>
      <c r="J130" s="280"/>
      <c r="K130" s="280">
        <v>36.0</v>
      </c>
      <c r="L130" s="280"/>
      <c r="M130" s="281"/>
      <c r="N130" s="280"/>
      <c r="O130" s="280"/>
      <c r="P130" s="280"/>
      <c r="Q130" s="280"/>
      <c r="R130" s="290"/>
      <c r="S130" s="281"/>
      <c r="T130" s="291"/>
      <c r="U130" s="281"/>
      <c r="V130" s="281"/>
      <c r="W130" s="281"/>
    </row>
    <row r="131">
      <c r="A131" s="281"/>
      <c r="B131" s="288" t="s">
        <v>847</v>
      </c>
      <c r="C131" s="280" t="s">
        <v>825</v>
      </c>
      <c r="D131" s="289">
        <f>ROUND((F131*'Pawn Weights'!$H$3)+(G131*'Pawn Weights'!$H$4)+(H131*'Pawn Weights'!$H$5)+(I131*'Pawn Weights'!$H$6)+(J131*'Pawn Weights'!$H$7)+(K131*'Pawn Weights'!$H$8)+(L131*'Pawn Weights'!$H$9)+(M131*'Pawn Weights'!$H$10)+(N131*'Pawn Weights'!$H$11)+(O131*'Pawn Weights'!$H$12)+(P131*'Pawn Weights'!$H$13)+(Q131*'Pawn Weights'!$H$14), 2)</f>
        <v>79.48</v>
      </c>
      <c r="E131" s="280">
        <v>30.0</v>
      </c>
      <c r="F131" s="280">
        <v>34.0</v>
      </c>
      <c r="G131" s="280"/>
      <c r="H131" s="280"/>
      <c r="I131" s="280">
        <v>28.0</v>
      </c>
      <c r="J131" s="280"/>
      <c r="K131" s="280"/>
      <c r="L131" s="280"/>
      <c r="M131" s="281"/>
      <c r="N131" s="280"/>
      <c r="O131" s="280">
        <v>1.0</v>
      </c>
      <c r="P131" s="280"/>
      <c r="Q131" s="280">
        <v>1.0</v>
      </c>
      <c r="R131" s="290" t="s">
        <v>702</v>
      </c>
      <c r="S131" s="281"/>
      <c r="T131" s="291"/>
      <c r="U131" s="281"/>
      <c r="V131" s="281"/>
      <c r="W131" s="281"/>
    </row>
    <row r="132">
      <c r="A132" s="281"/>
      <c r="B132" s="288" t="s">
        <v>1408</v>
      </c>
      <c r="C132" s="280" t="s">
        <v>842</v>
      </c>
      <c r="D132" s="289">
        <f>ROUND((F132*'Pawn Weights'!$H$3)+(G132*'Pawn Weights'!$H$4)+(H132*'Pawn Weights'!$H$5)+(I132*'Pawn Weights'!$H$6)+(J132*'Pawn Weights'!$H$7)+(K132*'Pawn Weights'!$H$8)+(L132*'Pawn Weights'!$H$9)+(M132*'Pawn Weights'!$H$10)+(N132*'Pawn Weights'!$H$11)+(O132*'Pawn Weights'!$H$12)+(P132*'Pawn Weights'!$H$13)+(Q132*'Pawn Weights'!$H$14), 2)</f>
        <v>77.64</v>
      </c>
      <c r="E132" s="280">
        <v>37.0</v>
      </c>
      <c r="F132" s="280">
        <v>48.0</v>
      </c>
      <c r="G132" s="280"/>
      <c r="H132" s="280"/>
      <c r="I132" s="280"/>
      <c r="J132" s="280"/>
      <c r="K132" s="280">
        <v>38.0</v>
      </c>
      <c r="L132" s="280"/>
      <c r="M132" s="281"/>
      <c r="N132" s="280"/>
      <c r="O132" s="280"/>
      <c r="P132" s="280"/>
      <c r="Q132" s="280"/>
      <c r="R132" s="290"/>
      <c r="S132" s="281"/>
      <c r="T132" s="291"/>
      <c r="U132" s="281"/>
      <c r="V132" s="281"/>
      <c r="W132" s="281"/>
    </row>
    <row r="133">
      <c r="A133" s="292" t="s">
        <v>627</v>
      </c>
      <c r="B133" s="288" t="s">
        <v>1099</v>
      </c>
      <c r="C133" s="280" t="s">
        <v>846</v>
      </c>
      <c r="D133" s="289">
        <f>ROUND((F133*'Pawn Weights'!$H$3)+(G133*'Pawn Weights'!$H$4)+(H133*'Pawn Weights'!$H$5)+(I133*'Pawn Weights'!$H$6)+(J133*'Pawn Weights'!$H$7)+(K133*'Pawn Weights'!$H$8)+(L133*'Pawn Weights'!$H$9)+(M133*'Pawn Weights'!$H$10)+(N133*'Pawn Weights'!$H$11)+(O133*'Pawn Weights'!$H$12)+(P133*'Pawn Weights'!$H$13)+(Q133*'Pawn Weights'!$H$14), 2)</f>
        <v>76.81</v>
      </c>
      <c r="E133" s="280">
        <v>20.0</v>
      </c>
      <c r="F133" s="280"/>
      <c r="G133" s="280">
        <v>17.0</v>
      </c>
      <c r="H133" s="280">
        <v>66.0</v>
      </c>
      <c r="I133" s="280">
        <v>17.0</v>
      </c>
      <c r="J133" s="280"/>
      <c r="K133" s="280"/>
      <c r="L133" s="280"/>
      <c r="M133" s="281"/>
      <c r="N133" s="280"/>
      <c r="O133" s="280"/>
      <c r="P133" s="280">
        <v>1.0</v>
      </c>
      <c r="Q133" s="280">
        <v>1.0</v>
      </c>
      <c r="R133" s="290" t="s">
        <v>695</v>
      </c>
      <c r="S133" s="281"/>
      <c r="T133" s="291"/>
      <c r="U133" s="281"/>
      <c r="V133" s="281"/>
      <c r="W133" s="281"/>
    </row>
    <row r="134">
      <c r="A134" s="295" t="s">
        <v>671</v>
      </c>
      <c r="B134" s="296" t="s">
        <v>848</v>
      </c>
      <c r="C134" s="297" t="s">
        <v>849</v>
      </c>
      <c r="D134" s="289">
        <f>ROUND((F134*'Pawn Weights'!$H$3)+(G134*'Pawn Weights'!$H$4)+(H134*'Pawn Weights'!$H$5)+(I134*'Pawn Weights'!$H$6)+(J134*'Pawn Weights'!$H$7)+(K134*'Pawn Weights'!$H$8)+(L134*'Pawn Weights'!$H$9)+(M134*'Pawn Weights'!$H$10)+(N134*'Pawn Weights'!$H$11)+(O134*'Pawn Weights'!$H$12)+(P134*'Pawn Weights'!$H$13)+(Q134*'Pawn Weights'!$H$14), 2)</f>
        <v>76.4</v>
      </c>
      <c r="E134" s="298">
        <v>56.0</v>
      </c>
      <c r="F134" s="298">
        <v>40.0</v>
      </c>
      <c r="G134" s="297"/>
      <c r="H134" s="297"/>
      <c r="I134" s="298">
        <v>40.0</v>
      </c>
      <c r="J134" s="297"/>
      <c r="K134" s="297"/>
      <c r="L134" s="297"/>
      <c r="M134" s="137"/>
      <c r="N134" s="297"/>
      <c r="O134" s="297"/>
      <c r="P134" s="297"/>
      <c r="Q134" s="297"/>
      <c r="R134" s="295"/>
      <c r="S134" s="137"/>
      <c r="T134" s="297" t="s">
        <v>850</v>
      </c>
      <c r="U134" s="137"/>
      <c r="V134" s="137"/>
      <c r="W134" s="137"/>
      <c r="X134" s="137"/>
      <c r="Y134" s="137"/>
      <c r="Z134" s="137"/>
    </row>
    <row r="135">
      <c r="A135" s="295"/>
      <c r="B135" s="296" t="s">
        <v>1100</v>
      </c>
      <c r="C135" s="297" t="s">
        <v>823</v>
      </c>
      <c r="D135" s="367">
        <f>ROUND((F135*'Pawn Weights'!$H$3)+(G135*'Pawn Weights'!$H$4)+(H135*'Pawn Weights'!$H$5)+(I135*'Pawn Weights'!$H$6)+(J135*'Pawn Weights'!$H$7)+(K135*'Pawn Weights'!$H$8)+(L135*'Pawn Weights'!$H$9)+(M135*'Pawn Weights'!$H$10)+(N135*'Pawn Weights'!$H$11)+(O135*'Pawn Weights'!$H$12)+(P135*'Pawn Weights'!$H$13)+(Q135*'Pawn Weights'!$H$14), 2)</f>
        <v>75.47</v>
      </c>
      <c r="E135" s="298">
        <v>27.0</v>
      </c>
      <c r="F135" s="297"/>
      <c r="G135" s="297"/>
      <c r="H135" s="298">
        <v>72.0</v>
      </c>
      <c r="I135" s="298">
        <v>25.0</v>
      </c>
      <c r="J135" s="297"/>
      <c r="K135" s="297"/>
      <c r="L135" s="297"/>
      <c r="M135" s="137"/>
      <c r="N135" s="297"/>
      <c r="O135" s="297"/>
      <c r="P135" s="298">
        <v>1.0</v>
      </c>
      <c r="Q135" s="298">
        <v>1.0</v>
      </c>
      <c r="R135" s="298" t="s">
        <v>702</v>
      </c>
      <c r="S135" s="137"/>
      <c r="T135" s="295"/>
      <c r="U135" s="137"/>
      <c r="V135" s="137"/>
      <c r="W135" s="137"/>
      <c r="X135" s="137"/>
      <c r="Y135" s="137"/>
      <c r="Z135" s="137"/>
    </row>
    <row r="136">
      <c r="A136" s="292"/>
      <c r="B136" s="288" t="s">
        <v>1409</v>
      </c>
      <c r="C136" s="280" t="s">
        <v>821</v>
      </c>
      <c r="D136" s="289">
        <f>ROUND((F136*'Pawn Weights'!$H$3)+(G136*'Pawn Weights'!$H$4)+(H136*'Pawn Weights'!$H$5)+(I136*'Pawn Weights'!$H$6)+(J136*'Pawn Weights'!$H$7)+(K136*'Pawn Weights'!$H$8)+(L136*'Pawn Weights'!$H$9)+(M136*'Pawn Weights'!$H$10)+(N136*'Pawn Weights'!$H$11)+(O136*'Pawn Weights'!$H$12)+(P136*'Pawn Weights'!$H$13)+(Q136*'Pawn Weights'!$H$14), 2)</f>
        <v>73.96</v>
      </c>
      <c r="E136" s="280">
        <v>33.0</v>
      </c>
      <c r="F136" s="280">
        <v>49.0</v>
      </c>
      <c r="G136" s="280"/>
      <c r="H136" s="280"/>
      <c r="I136" s="280"/>
      <c r="J136" s="280"/>
      <c r="K136" s="280">
        <v>32.0</v>
      </c>
      <c r="L136" s="280"/>
      <c r="M136" s="281"/>
      <c r="N136" s="280"/>
      <c r="O136" s="280"/>
      <c r="P136" s="280"/>
      <c r="Q136" s="280"/>
      <c r="R136" s="290"/>
      <c r="S136" s="281"/>
      <c r="T136" s="291"/>
      <c r="U136" s="281"/>
      <c r="V136" s="281"/>
      <c r="W136" s="281"/>
    </row>
    <row r="137">
      <c r="A137" s="295"/>
      <c r="B137" s="296" t="s">
        <v>851</v>
      </c>
      <c r="C137" s="297" t="s">
        <v>844</v>
      </c>
      <c r="D137" s="289">
        <f>ROUND((F137*'Pawn Weights'!$H$3)+(G137*'Pawn Weights'!$H$4)+(H137*'Pawn Weights'!$H$5)+(I137*'Pawn Weights'!$H$6)+(J137*'Pawn Weights'!$H$7)+(K137*'Pawn Weights'!$H$8)+(L137*'Pawn Weights'!$H$9)+(M137*'Pawn Weights'!$H$10)+(N137*'Pawn Weights'!$H$11)+(O137*'Pawn Weights'!$H$12)+(P137*'Pawn Weights'!$H$13)+(Q137*'Pawn Weights'!$H$14), 2)</f>
        <v>73.4</v>
      </c>
      <c r="E137" s="298">
        <v>55.0</v>
      </c>
      <c r="F137" s="298">
        <v>40.0</v>
      </c>
      <c r="G137" s="297"/>
      <c r="H137" s="297"/>
      <c r="I137" s="297"/>
      <c r="J137" s="297"/>
      <c r="K137" s="298">
        <v>30.0</v>
      </c>
      <c r="L137" s="297"/>
      <c r="M137" s="137"/>
      <c r="N137" s="297"/>
      <c r="O137" s="297"/>
      <c r="P137" s="297"/>
      <c r="Q137" s="298">
        <v>1.0</v>
      </c>
      <c r="R137" s="290" t="s">
        <v>784</v>
      </c>
      <c r="S137" s="137"/>
      <c r="T137" s="297"/>
      <c r="U137" s="137"/>
      <c r="V137" s="137"/>
      <c r="W137" s="137"/>
      <c r="X137" s="137"/>
      <c r="Y137" s="137"/>
      <c r="Z137" s="137"/>
    </row>
    <row r="138">
      <c r="A138" s="292" t="s">
        <v>991</v>
      </c>
      <c r="B138" s="288" t="s">
        <v>1101</v>
      </c>
      <c r="C138" s="280" t="s">
        <v>1102</v>
      </c>
      <c r="D138" s="289">
        <f>ROUND((F138*'Pawn Weights'!$H$3)+(G138*'Pawn Weights'!$H$4)+(H138*'Pawn Weights'!$H$5)+(I138*'Pawn Weights'!$H$6)+(J138*'Pawn Weights'!$H$7)+(K138*'Pawn Weights'!$H$8)+(L138*'Pawn Weights'!$H$9)+(M138*'Pawn Weights'!$H$10)+(N138*'Pawn Weights'!$H$11)+(O138*'Pawn Weights'!$H$12)+(P138*'Pawn Weights'!$H$13)+(Q138*'Pawn Weights'!$H$14), 2)</f>
        <v>66.85</v>
      </c>
      <c r="E138" s="280">
        <v>49.0</v>
      </c>
      <c r="F138" s="280">
        <v>35.0</v>
      </c>
      <c r="G138" s="280"/>
      <c r="H138" s="280"/>
      <c r="I138" s="280">
        <v>35.0</v>
      </c>
      <c r="J138" s="280"/>
      <c r="K138" s="280"/>
      <c r="L138" s="280"/>
      <c r="M138" s="281"/>
      <c r="N138" s="280"/>
      <c r="O138" s="280"/>
      <c r="P138" s="280"/>
      <c r="Q138" s="280"/>
      <c r="R138" s="290"/>
      <c r="S138" s="281"/>
      <c r="T138" s="291" t="s">
        <v>850</v>
      </c>
      <c r="U138" s="281"/>
      <c r="V138" s="281"/>
      <c r="W138" s="281"/>
    </row>
    <row r="139">
      <c r="A139" s="272" t="s">
        <v>852</v>
      </c>
      <c r="B139" s="281"/>
      <c r="C139" s="281"/>
      <c r="D139" s="360"/>
      <c r="E139" s="281"/>
      <c r="F139" s="281"/>
      <c r="G139" s="281"/>
      <c r="H139" s="281"/>
      <c r="I139" s="281"/>
      <c r="J139" s="281"/>
      <c r="K139" s="281"/>
      <c r="L139" s="281"/>
      <c r="M139" s="281"/>
      <c r="N139" s="281"/>
      <c r="O139" s="281"/>
      <c r="P139" s="281"/>
      <c r="Q139" s="281"/>
      <c r="R139" s="282"/>
      <c r="S139" s="281"/>
      <c r="T139" s="285"/>
      <c r="U139" s="281"/>
      <c r="V139" s="281"/>
      <c r="W139" s="281"/>
    </row>
    <row r="140">
      <c r="A140" s="301"/>
      <c r="B140" s="288" t="s">
        <v>856</v>
      </c>
      <c r="C140" s="280" t="s">
        <v>857</v>
      </c>
      <c r="D140" s="289">
        <f>ROUND((F140*'Pawn Weights'!$H$3)+(G140*'Pawn Weights'!$H$4)+(H140*'Pawn Weights'!$H$5)+(I140*'Pawn Weights'!$H$6)+(J140*'Pawn Weights'!$H$7)+(K140*'Pawn Weights'!$H$8)+(L140*'Pawn Weights'!$H$9)+(M140*'Pawn Weights'!$H$10)+(N140*'Pawn Weights'!$H$11)+(O140*'Pawn Weights'!$H$12)+(P140*'Pawn Weights'!$H$13)+(Q140*'Pawn Weights'!$H$14), 2)</f>
        <v>144.8</v>
      </c>
      <c r="E140" s="280">
        <v>51.0</v>
      </c>
      <c r="F140" s="280">
        <v>51.0</v>
      </c>
      <c r="G140" s="280"/>
      <c r="H140" s="280"/>
      <c r="I140" s="280">
        <v>35.0</v>
      </c>
      <c r="J140" s="280"/>
      <c r="K140" s="280"/>
      <c r="L140" s="280"/>
      <c r="M140" s="280">
        <v>350.0</v>
      </c>
      <c r="N140" s="280"/>
      <c r="O140" s="280"/>
      <c r="P140" s="280"/>
      <c r="Q140" s="280"/>
      <c r="R140" s="290"/>
      <c r="S140" s="281"/>
      <c r="T140" s="294"/>
      <c r="U140" s="281"/>
      <c r="V140" s="281"/>
      <c r="W140" s="281"/>
      <c r="X140" s="281"/>
    </row>
    <row r="141">
      <c r="A141" s="295" t="s">
        <v>635</v>
      </c>
      <c r="B141" s="296" t="s">
        <v>860</v>
      </c>
      <c r="C141" s="297" t="s">
        <v>637</v>
      </c>
      <c r="D141" s="289">
        <f>ROUND((F141*'Pawn Weights'!$H$3)+(G141*'Pawn Weights'!$H$4)+(H141*'Pawn Weights'!$H$5)+(I141*'Pawn Weights'!$H$6)+(J141*'Pawn Weights'!$H$7)+(K141*'Pawn Weights'!$H$8)+(L141*'Pawn Weights'!$H$9)+(M141*'Pawn Weights'!$H$10)+(N141*'Pawn Weights'!$H$11)+(O141*'Pawn Weights'!$H$12)+(P141*'Pawn Weights'!$H$13)+(Q141*'Pawn Weights'!$H$14), 2)</f>
        <v>131.28</v>
      </c>
      <c r="E141" s="298">
        <v>77.0</v>
      </c>
      <c r="F141" s="298">
        <v>57.0</v>
      </c>
      <c r="G141" s="297"/>
      <c r="H141" s="297"/>
      <c r="I141" s="298">
        <v>53.0</v>
      </c>
      <c r="J141" s="298">
        <v>18.0</v>
      </c>
      <c r="K141" s="297"/>
      <c r="L141" s="297"/>
      <c r="M141" s="298">
        <v>84.0</v>
      </c>
      <c r="N141" s="297"/>
      <c r="O141" s="297"/>
      <c r="P141" s="297"/>
      <c r="Q141" s="297"/>
      <c r="R141" s="295"/>
      <c r="S141" s="137"/>
      <c r="T141" s="297" t="s">
        <v>861</v>
      </c>
      <c r="U141" s="137"/>
      <c r="V141" s="137"/>
      <c r="W141" s="137"/>
      <c r="X141" s="137"/>
      <c r="Y141" s="137"/>
      <c r="Z141" s="137"/>
    </row>
    <row r="142">
      <c r="A142" s="301" t="s">
        <v>640</v>
      </c>
      <c r="B142" s="288" t="s">
        <v>862</v>
      </c>
      <c r="C142" s="280" t="s">
        <v>639</v>
      </c>
      <c r="D142" s="289">
        <f>ROUND((F142*'Pawn Weights'!$H$3)+(G142*'Pawn Weights'!$H$4)+(H142*'Pawn Weights'!$H$5)+(I142*'Pawn Weights'!$H$6)+(J142*'Pawn Weights'!$H$7)+(K142*'Pawn Weights'!$H$8)+(L142*'Pawn Weights'!$H$9)+(M142*'Pawn Weights'!$H$10)+(N142*'Pawn Weights'!$H$11)+(O142*'Pawn Weights'!$H$12)+(P142*'Pawn Weights'!$H$13)+(Q142*'Pawn Weights'!$H$14), 2)</f>
        <v>126.63</v>
      </c>
      <c r="E142" s="280">
        <v>55.0</v>
      </c>
      <c r="F142" s="280">
        <v>62.0</v>
      </c>
      <c r="G142" s="280">
        <v>41.0</v>
      </c>
      <c r="H142" s="280"/>
      <c r="I142" s="280"/>
      <c r="J142" s="280">
        <v>14.0</v>
      </c>
      <c r="K142" s="280"/>
      <c r="L142" s="280"/>
      <c r="M142" s="280">
        <v>105.0</v>
      </c>
      <c r="N142" s="280"/>
      <c r="O142" s="280"/>
      <c r="P142" s="280"/>
      <c r="Q142" s="280">
        <v>1.0</v>
      </c>
      <c r="R142" s="290" t="s">
        <v>784</v>
      </c>
      <c r="S142" s="281"/>
      <c r="T142" s="294"/>
      <c r="U142" s="281"/>
      <c r="V142" s="281"/>
      <c r="W142" s="281"/>
      <c r="X142" s="281"/>
    </row>
    <row r="143">
      <c r="A143" s="301"/>
      <c r="B143" s="288" t="s">
        <v>863</v>
      </c>
      <c r="C143" s="280" t="s">
        <v>642</v>
      </c>
      <c r="D143" s="289">
        <f>ROUND((F143*'Pawn Weights'!$H$3)+(G143*'Pawn Weights'!$H$4)+(H143*'Pawn Weights'!$H$5)+(I143*'Pawn Weights'!$H$6)+(J143*'Pawn Weights'!$H$7)+(K143*'Pawn Weights'!$H$8)+(L143*'Pawn Weights'!$H$9)+(M143*'Pawn Weights'!$H$10)+(N143*'Pawn Weights'!$H$11)+(O143*'Pawn Weights'!$H$12)+(P143*'Pawn Weights'!$H$13)+(Q143*'Pawn Weights'!$H$14), 2)</f>
        <v>123.66</v>
      </c>
      <c r="E143" s="280">
        <v>61.0</v>
      </c>
      <c r="F143" s="280">
        <v>70.0</v>
      </c>
      <c r="G143" s="280"/>
      <c r="H143" s="280"/>
      <c r="I143" s="280">
        <v>46.0</v>
      </c>
      <c r="J143" s="280">
        <v>19.0</v>
      </c>
      <c r="K143" s="280"/>
      <c r="L143" s="280"/>
      <c r="M143" s="280"/>
      <c r="N143" s="280"/>
      <c r="O143" s="280"/>
      <c r="P143" s="280"/>
      <c r="Q143" s="280"/>
      <c r="R143" s="290"/>
      <c r="S143" s="281"/>
      <c r="T143" s="294"/>
      <c r="U143" s="281"/>
      <c r="V143" s="281"/>
      <c r="W143" s="281"/>
      <c r="X143" s="281"/>
    </row>
    <row r="144">
      <c r="A144" s="301"/>
      <c r="B144" s="288" t="s">
        <v>866</v>
      </c>
      <c r="C144" s="280" t="s">
        <v>814</v>
      </c>
      <c r="D144" s="289">
        <f>ROUND((F144*'Pawn Weights'!$H$3)+(G144*'Pawn Weights'!$H$4)+(H144*'Pawn Weights'!$H$5)+(I144*'Pawn Weights'!$H$6)+(J144*'Pawn Weights'!$H$7)+(K144*'Pawn Weights'!$H$8)+(L144*'Pawn Weights'!$H$9)+(M144*'Pawn Weights'!$H$10)+(N144*'Pawn Weights'!$H$11)+(O144*'Pawn Weights'!$H$12)+(P144*'Pawn Weights'!$H$13)+(Q144*'Pawn Weights'!$H$14), 2)</f>
        <v>121.66</v>
      </c>
      <c r="E144" s="280">
        <v>28.0</v>
      </c>
      <c r="F144" s="280"/>
      <c r="G144" s="280">
        <v>42.0</v>
      </c>
      <c r="H144" s="280">
        <v>100.0</v>
      </c>
      <c r="I144" s="280">
        <v>20.0</v>
      </c>
      <c r="J144" s="280"/>
      <c r="K144" s="280"/>
      <c r="L144" s="280"/>
      <c r="M144" s="280"/>
      <c r="N144" s="280"/>
      <c r="O144" s="280">
        <v>1.0</v>
      </c>
      <c r="P144" s="280">
        <v>1.0</v>
      </c>
      <c r="Q144" s="280">
        <v>1.0</v>
      </c>
      <c r="R144" s="290" t="s">
        <v>624</v>
      </c>
      <c r="S144" s="281"/>
      <c r="T144" s="294"/>
      <c r="U144" s="281"/>
      <c r="V144" s="281"/>
      <c r="W144" s="281"/>
      <c r="X144" s="281"/>
    </row>
    <row r="145">
      <c r="A145" s="295"/>
      <c r="B145" s="296" t="s">
        <v>864</v>
      </c>
      <c r="C145" s="297" t="s">
        <v>865</v>
      </c>
      <c r="D145" s="289">
        <f>ROUND((F145*'Pawn Weights'!$H$3)+(G145*'Pawn Weights'!$H$4)+(H145*'Pawn Weights'!$H$5)+(I145*'Pawn Weights'!$H$6)+(J145*'Pawn Weights'!$H$7)+(K145*'Pawn Weights'!$H$8)+(L145*'Pawn Weights'!$H$9)+(M145*'Pawn Weights'!$H$10)+(N145*'Pawn Weights'!$H$11)+(O145*'Pawn Weights'!$H$12)+(P145*'Pawn Weights'!$H$13)+(Q145*'Pawn Weights'!$H$14), 2)</f>
        <v>121.07</v>
      </c>
      <c r="E145" s="298">
        <v>48.0</v>
      </c>
      <c r="F145" s="298">
        <v>52.0</v>
      </c>
      <c r="G145" s="297"/>
      <c r="H145" s="297"/>
      <c r="I145" s="297"/>
      <c r="J145" s="298">
        <v>25.0</v>
      </c>
      <c r="K145" s="298">
        <v>43.0</v>
      </c>
      <c r="L145" s="297"/>
      <c r="M145" s="297"/>
      <c r="N145" s="297"/>
      <c r="O145" s="297"/>
      <c r="P145" s="298">
        <v>1.0</v>
      </c>
      <c r="Q145" s="298">
        <v>1.0</v>
      </c>
      <c r="R145" s="298" t="s">
        <v>698</v>
      </c>
      <c r="S145" s="137"/>
      <c r="T145" s="295"/>
      <c r="U145" s="137"/>
      <c r="V145" s="137"/>
      <c r="W145" s="137"/>
      <c r="X145" s="137"/>
      <c r="Y145" s="137"/>
      <c r="Z145" s="137"/>
    </row>
    <row r="146">
      <c r="A146" s="301" t="s">
        <v>644</v>
      </c>
      <c r="B146" s="288" t="s">
        <v>867</v>
      </c>
      <c r="C146" s="280" t="s">
        <v>646</v>
      </c>
      <c r="D146" s="289">
        <f>ROUND((F146*'Pawn Weights'!$H$3)+(G146*'Pawn Weights'!$H$4)+(H146*'Pawn Weights'!$H$5)+(I146*'Pawn Weights'!$H$6)+(J146*'Pawn Weights'!$H$7)+(K146*'Pawn Weights'!$H$8)+(L146*'Pawn Weights'!$H$9)+(M146*'Pawn Weights'!$H$10)+(N146*'Pawn Weights'!$H$11)+(O146*'Pawn Weights'!$H$12)+(P146*'Pawn Weights'!$H$13)+(Q146*'Pawn Weights'!$H$14), 2)</f>
        <v>116.09</v>
      </c>
      <c r="E146" s="280">
        <v>70.0</v>
      </c>
      <c r="F146" s="280">
        <v>51.0</v>
      </c>
      <c r="G146" s="280"/>
      <c r="H146" s="280"/>
      <c r="I146" s="280">
        <v>47.0</v>
      </c>
      <c r="J146" s="280">
        <v>12.0</v>
      </c>
      <c r="K146" s="280"/>
      <c r="L146" s="280"/>
      <c r="M146" s="280">
        <v>84.0</v>
      </c>
      <c r="N146" s="280"/>
      <c r="O146" s="280"/>
      <c r="P146" s="280"/>
      <c r="Q146" s="280"/>
      <c r="R146" s="290"/>
      <c r="S146" s="281"/>
      <c r="T146" s="294"/>
      <c r="U146" s="281"/>
      <c r="V146" s="281"/>
      <c r="W146" s="281"/>
      <c r="X146" s="281"/>
    </row>
    <row r="147">
      <c r="A147" s="295"/>
      <c r="B147" s="296" t="s">
        <v>869</v>
      </c>
      <c r="C147" s="297" t="s">
        <v>865</v>
      </c>
      <c r="D147" s="289">
        <f>ROUND((F147*'Pawn Weights'!$H$3)+(G147*'Pawn Weights'!$H$4)+(H147*'Pawn Weights'!$H$5)+(I147*'Pawn Weights'!$H$6)+(J147*'Pawn Weights'!$H$7)+(K147*'Pawn Weights'!$H$8)+(L147*'Pawn Weights'!$H$9)+(M147*'Pawn Weights'!$H$10)+(N147*'Pawn Weights'!$H$11)+(O147*'Pawn Weights'!$H$12)+(P147*'Pawn Weights'!$H$13)+(Q147*'Pawn Weights'!$H$14), 2)</f>
        <v>114.58</v>
      </c>
      <c r="E147" s="298">
        <v>45.0</v>
      </c>
      <c r="F147" s="297"/>
      <c r="G147" s="298">
        <v>43.0</v>
      </c>
      <c r="H147" s="298">
        <v>104.0</v>
      </c>
      <c r="I147" s="297"/>
      <c r="J147" s="298">
        <v>30.0</v>
      </c>
      <c r="K147" s="297"/>
      <c r="L147" s="297"/>
      <c r="M147" s="297"/>
      <c r="N147" s="297"/>
      <c r="O147" s="297"/>
      <c r="P147" s="298">
        <v>1.0</v>
      </c>
      <c r="Q147" s="298">
        <v>1.0</v>
      </c>
      <c r="R147" s="298" t="s">
        <v>832</v>
      </c>
      <c r="S147" s="137"/>
      <c r="T147" s="295"/>
      <c r="U147" s="137"/>
      <c r="V147" s="137"/>
      <c r="W147" s="137"/>
      <c r="X147" s="137"/>
      <c r="Y147" s="137"/>
      <c r="Z147" s="137"/>
    </row>
    <row r="148">
      <c r="A148" s="301"/>
      <c r="B148" s="288" t="s">
        <v>868</v>
      </c>
      <c r="C148" s="280" t="s">
        <v>814</v>
      </c>
      <c r="D148" s="289">
        <f>ROUND((F148*'Pawn Weights'!$H$3)+(G148*'Pawn Weights'!$H$4)+(H148*'Pawn Weights'!$H$5)+(I148*'Pawn Weights'!$H$6)+(J148*'Pawn Weights'!$H$7)+(K148*'Pawn Weights'!$H$8)+(L148*'Pawn Weights'!$H$9)+(M148*'Pawn Weights'!$H$10)+(N148*'Pawn Weights'!$H$11)+(O148*'Pawn Weights'!$H$12)+(P148*'Pawn Weights'!$H$13)+(Q148*'Pawn Weights'!$H$14), 2)</f>
        <v>110.68</v>
      </c>
      <c r="E148" s="280">
        <v>61.0</v>
      </c>
      <c r="F148" s="280"/>
      <c r="G148" s="280">
        <v>50.0</v>
      </c>
      <c r="H148" s="280">
        <v>102.0</v>
      </c>
      <c r="I148" s="280"/>
      <c r="J148" s="280"/>
      <c r="K148" s="280"/>
      <c r="L148" s="280"/>
      <c r="M148" s="280">
        <v>175.0</v>
      </c>
      <c r="N148" s="280"/>
      <c r="O148" s="280"/>
      <c r="P148" s="280"/>
      <c r="Q148" s="280"/>
      <c r="R148" s="290"/>
      <c r="S148" s="281"/>
      <c r="T148" s="294"/>
      <c r="U148" s="281"/>
      <c r="V148" s="281"/>
      <c r="W148" s="281"/>
      <c r="X148" s="281"/>
    </row>
    <row r="149">
      <c r="A149" s="301"/>
      <c r="B149" s="288" t="s">
        <v>870</v>
      </c>
      <c r="C149" s="280" t="s">
        <v>871</v>
      </c>
      <c r="D149" s="289">
        <f>ROUND((F149*'Pawn Weights'!$H$3)+(G149*'Pawn Weights'!$H$4)+(H149*'Pawn Weights'!$H$5)+(I149*'Pawn Weights'!$H$6)+(J149*'Pawn Weights'!$H$7)+(K149*'Pawn Weights'!$H$8)+(L149*'Pawn Weights'!$H$9)+(M149*'Pawn Weights'!$H$10)+(N149*'Pawn Weights'!$H$11)+(O149*'Pawn Weights'!$H$12)+(P149*'Pawn Weights'!$H$13)+(Q149*'Pawn Weights'!$H$14), 2)</f>
        <v>107.21</v>
      </c>
      <c r="E149" s="280">
        <v>46.0</v>
      </c>
      <c r="F149" s="280">
        <v>49.0</v>
      </c>
      <c r="G149" s="280"/>
      <c r="H149" s="280"/>
      <c r="I149" s="280">
        <v>31.0</v>
      </c>
      <c r="J149" s="280"/>
      <c r="K149" s="280"/>
      <c r="L149" s="280"/>
      <c r="M149" s="280"/>
      <c r="N149" s="280"/>
      <c r="O149" s="280">
        <v>1.0</v>
      </c>
      <c r="P149" s="280">
        <v>1.0</v>
      </c>
      <c r="Q149" s="280">
        <v>1.0</v>
      </c>
      <c r="R149" s="290" t="s">
        <v>643</v>
      </c>
      <c r="S149" s="281"/>
      <c r="T149" s="294"/>
      <c r="U149" s="281"/>
      <c r="V149" s="281"/>
      <c r="W149" s="281"/>
      <c r="X149" s="281"/>
    </row>
    <row r="150">
      <c r="A150" s="301" t="s">
        <v>647</v>
      </c>
      <c r="B150" s="288" t="s">
        <v>872</v>
      </c>
      <c r="C150" s="280" t="s">
        <v>873</v>
      </c>
      <c r="D150" s="289">
        <f>ROUND((F150*'Pawn Weights'!$H$3)+(G150*'Pawn Weights'!$H$4)+(H150*'Pawn Weights'!$H$5)+(I150*'Pawn Weights'!$H$6)+(J150*'Pawn Weights'!$H$7)+(K150*'Pawn Weights'!$H$8)+(L150*'Pawn Weights'!$H$9)+(M150*'Pawn Weights'!$H$10)+(N150*'Pawn Weights'!$H$11)+(O150*'Pawn Weights'!$H$12)+(P150*'Pawn Weights'!$H$13)+(Q150*'Pawn Weights'!$H$14)+1.82, 2)</f>
        <v>106.6</v>
      </c>
      <c r="E150" s="280">
        <v>57.0</v>
      </c>
      <c r="F150" s="280">
        <v>52.0</v>
      </c>
      <c r="G150" s="280"/>
      <c r="H150" s="280"/>
      <c r="I150" s="280">
        <v>32.0</v>
      </c>
      <c r="J150" s="280">
        <v>22.0</v>
      </c>
      <c r="K150" s="280"/>
      <c r="L150" s="280"/>
      <c r="M150" s="280"/>
      <c r="N150" s="280"/>
      <c r="O150" s="280">
        <v>1.0</v>
      </c>
      <c r="P150" s="280"/>
      <c r="Q150" s="280"/>
      <c r="R150" s="290" t="s">
        <v>736</v>
      </c>
      <c r="S150" s="281"/>
      <c r="T150" s="294"/>
      <c r="U150" s="281"/>
      <c r="V150" s="281"/>
      <c r="W150" s="281"/>
      <c r="X150" s="281"/>
    </row>
    <row r="151">
      <c r="A151" s="295"/>
      <c r="B151" s="296" t="s">
        <v>875</v>
      </c>
      <c r="C151" s="297" t="s">
        <v>865</v>
      </c>
      <c r="D151" s="289">
        <f>ROUND((F151*'Pawn Weights'!$H$3)+(G151*'Pawn Weights'!$H$4)+(H151*'Pawn Weights'!$H$5)+(I151*'Pawn Weights'!$H$6)+(J151*'Pawn Weights'!$H$7)+(K151*'Pawn Weights'!$H$8)+(L151*'Pawn Weights'!$H$9)+(M151*'Pawn Weights'!$H$10)+(N151*'Pawn Weights'!$H$11)+(O151*'Pawn Weights'!$H$12)+(P151*'Pawn Weights'!$H$13)+(Q151*'Pawn Weights'!$H$14), 2)</f>
        <v>105.93</v>
      </c>
      <c r="E151" s="298">
        <v>36.0</v>
      </c>
      <c r="F151" s="297"/>
      <c r="G151" s="298">
        <v>44.0</v>
      </c>
      <c r="H151" s="298">
        <v>104.0</v>
      </c>
      <c r="I151" s="297"/>
      <c r="J151" s="298">
        <v>15.0</v>
      </c>
      <c r="K151" s="297"/>
      <c r="L151" s="297"/>
      <c r="M151" s="297"/>
      <c r="N151" s="297"/>
      <c r="O151" s="297"/>
      <c r="P151" s="298">
        <v>1.0</v>
      </c>
      <c r="Q151" s="298">
        <v>1.0</v>
      </c>
      <c r="R151" s="298" t="s">
        <v>695</v>
      </c>
      <c r="S151" s="137"/>
      <c r="T151" s="295"/>
      <c r="U151" s="137"/>
      <c r="V151" s="137"/>
      <c r="W151" s="137"/>
      <c r="X151" s="137"/>
      <c r="Y151" s="137"/>
      <c r="Z151" s="137"/>
    </row>
    <row r="152">
      <c r="A152" s="301"/>
      <c r="B152" s="288" t="s">
        <v>874</v>
      </c>
      <c r="C152" s="280" t="s">
        <v>741</v>
      </c>
      <c r="D152" s="289">
        <f>ROUND((F152*'Pawn Weights'!$H$3)+(G152*'Pawn Weights'!$H$4)+(H152*'Pawn Weights'!$H$5)+(I152*'Pawn Weights'!$H$6)+(J152*'Pawn Weights'!$H$7)+(K152*'Pawn Weights'!$H$8)+(L152*'Pawn Weights'!$H$9)+(M152*'Pawn Weights'!$H$10)+(N152*'Pawn Weights'!$H$11)+(O152*'Pawn Weights'!$H$12)+(P152*'Pawn Weights'!$H$13)+(Q152*'Pawn Weights'!$H$14), 2)</f>
        <v>105.5</v>
      </c>
      <c r="E152" s="280">
        <v>31.0</v>
      </c>
      <c r="F152" s="280"/>
      <c r="G152" s="280">
        <v>45.0</v>
      </c>
      <c r="H152" s="280">
        <v>92.0</v>
      </c>
      <c r="I152" s="280">
        <v>37.0</v>
      </c>
      <c r="J152" s="280"/>
      <c r="K152" s="280"/>
      <c r="L152" s="280"/>
      <c r="M152" s="280"/>
      <c r="N152" s="280"/>
      <c r="O152" s="280"/>
      <c r="P152" s="280"/>
      <c r="Q152" s="280"/>
      <c r="R152" s="290"/>
      <c r="S152" s="281"/>
      <c r="T152" s="294"/>
      <c r="U152" s="281"/>
      <c r="V152" s="281"/>
      <c r="W152" s="281"/>
      <c r="X152" s="281"/>
    </row>
    <row r="153">
      <c r="A153" s="295"/>
      <c r="B153" s="296" t="s">
        <v>878</v>
      </c>
      <c r="C153" s="297" t="s">
        <v>879</v>
      </c>
      <c r="D153" s="367">
        <f>ROUND((F153*'Pawn Weights'!$H$3)+(G153*'Pawn Weights'!$H$4)+(H153*'Pawn Weights'!$H$5)+(I153*'Pawn Weights'!$H$6)+(J153*'Pawn Weights'!$H$7)+(K153*'Pawn Weights'!$H$8)+(L153*'Pawn Weights'!$H$9)+(M153*'Pawn Weights'!$H$10)+(N153*'Pawn Weights'!$H$11)+(O153*'Pawn Weights'!$H$12)+(P153*'Pawn Weights'!$H$13)+(Q153*'Pawn Weights'!$H$14), 2)</f>
        <v>99.6</v>
      </c>
      <c r="E153" s="298">
        <v>43.0</v>
      </c>
      <c r="F153" s="298">
        <v>46.0</v>
      </c>
      <c r="G153" s="297"/>
      <c r="H153" s="297"/>
      <c r="I153" s="297"/>
      <c r="J153" s="298">
        <v>38.0</v>
      </c>
      <c r="K153" s="297"/>
      <c r="L153" s="297"/>
      <c r="M153" s="297"/>
      <c r="N153" s="297"/>
      <c r="O153" s="298">
        <v>1.0</v>
      </c>
      <c r="P153" s="298">
        <v>1.0</v>
      </c>
      <c r="Q153" s="298">
        <v>1.0</v>
      </c>
      <c r="R153" s="298" t="s">
        <v>643</v>
      </c>
      <c r="S153" s="137"/>
      <c r="T153" s="295"/>
      <c r="U153" s="137"/>
      <c r="V153" s="137"/>
      <c r="W153" s="137"/>
      <c r="X153" s="137"/>
      <c r="Y153" s="137"/>
      <c r="Z153" s="137"/>
    </row>
    <row r="154">
      <c r="A154" s="295"/>
      <c r="B154" s="296" t="s">
        <v>876</v>
      </c>
      <c r="C154" s="297" t="s">
        <v>865</v>
      </c>
      <c r="D154" s="289">
        <f>ROUND((F154*'Pawn Weights'!$H$3)+(G154*'Pawn Weights'!$H$4)+(H154*'Pawn Weights'!$H$5)+(I154*'Pawn Weights'!$H$6)+(J154*'Pawn Weights'!$H$7)+(K154*'Pawn Weights'!$H$8)+(L154*'Pawn Weights'!$H$9)+(M154*'Pawn Weights'!$H$10)+(N154*'Pawn Weights'!$H$11)+(O154*'Pawn Weights'!$H$12)+(P154*'Pawn Weights'!$H$13)+(Q154*'Pawn Weights'!$H$14), 2)</f>
        <v>99.57</v>
      </c>
      <c r="E154" s="298">
        <v>52.0</v>
      </c>
      <c r="F154" s="298">
        <v>39.0</v>
      </c>
      <c r="G154" s="298">
        <v>45.0</v>
      </c>
      <c r="H154" s="297"/>
      <c r="I154" s="297"/>
      <c r="J154" s="298">
        <v>17.0</v>
      </c>
      <c r="K154" s="297"/>
      <c r="L154" s="297"/>
      <c r="M154" s="297"/>
      <c r="N154" s="297"/>
      <c r="O154" s="298">
        <v>1.0</v>
      </c>
      <c r="P154" s="298">
        <v>1.0</v>
      </c>
      <c r="Q154" s="297"/>
      <c r="R154" s="298" t="s">
        <v>812</v>
      </c>
      <c r="S154" s="137"/>
      <c r="T154" s="295"/>
      <c r="U154" s="137"/>
      <c r="V154" s="137"/>
      <c r="W154" s="137"/>
      <c r="X154" s="137"/>
      <c r="Y154" s="137"/>
      <c r="Z154" s="137"/>
    </row>
    <row r="155">
      <c r="A155" s="301"/>
      <c r="B155" s="288" t="s">
        <v>877</v>
      </c>
      <c r="C155" s="280" t="s">
        <v>708</v>
      </c>
      <c r="D155" s="289">
        <f>ROUND((F155*'Pawn Weights'!$H$3)+(G155*'Pawn Weights'!$H$4)+(H155*'Pawn Weights'!$H$5)+(I155*'Pawn Weights'!$H$6)+(J155*'Pawn Weights'!$H$7)+(K155*'Pawn Weights'!$H$8)+(L155*'Pawn Weights'!$H$9)+(M155*'Pawn Weights'!$H$10)+(N155*'Pawn Weights'!$H$11)+(O155*'Pawn Weights'!$H$12)+(P155*'Pawn Weights'!$H$13)+(Q155*'Pawn Weights'!$H$14), 2)</f>
        <v>99.16</v>
      </c>
      <c r="E155" s="280"/>
      <c r="F155" s="280"/>
      <c r="G155" s="280">
        <v>37.0</v>
      </c>
      <c r="H155" s="280">
        <v>76.0</v>
      </c>
      <c r="I155" s="280"/>
      <c r="J155" s="280">
        <v>16.0</v>
      </c>
      <c r="K155" s="280"/>
      <c r="L155" s="280"/>
      <c r="M155" s="280"/>
      <c r="N155" s="280"/>
      <c r="O155" s="280">
        <v>3.0</v>
      </c>
      <c r="P155" s="280"/>
      <c r="Q155" s="280"/>
      <c r="R155" s="290" t="s">
        <v>622</v>
      </c>
      <c r="S155" s="290"/>
      <c r="T155" s="285"/>
      <c r="U155" s="310"/>
      <c r="V155" s="281"/>
      <c r="W155" s="281"/>
      <c r="X155" s="281"/>
      <c r="Y155" s="281"/>
    </row>
    <row r="156">
      <c r="A156" s="301"/>
      <c r="B156" s="288" t="s">
        <v>880</v>
      </c>
      <c r="C156" s="280" t="s">
        <v>881</v>
      </c>
      <c r="D156" s="289">
        <f>ROUND((F156*'Pawn Weights'!$H$3)+(G156*'Pawn Weights'!$H$4)+(H156*'Pawn Weights'!$H$5)+(I156*'Pawn Weights'!$H$6)+(J156*'Pawn Weights'!$H$7)+(K156*'Pawn Weights'!$H$8)+(L156*'Pawn Weights'!$H$9)+(M156*'Pawn Weights'!$H$10)+(N156*'Pawn Weights'!$H$11)+(O156*'Pawn Weights'!$H$12)+(P156*'Pawn Weights'!$H$13)+(Q156*'Pawn Weights'!$H$14), 2)</f>
        <v>97.82</v>
      </c>
      <c r="E156" s="280">
        <v>28.0</v>
      </c>
      <c r="F156" s="280"/>
      <c r="G156" s="280">
        <v>32.0</v>
      </c>
      <c r="H156" s="280">
        <v>64.0</v>
      </c>
      <c r="I156" s="280"/>
      <c r="J156" s="280">
        <v>28.0</v>
      </c>
      <c r="K156" s="280"/>
      <c r="L156" s="280"/>
      <c r="M156" s="280"/>
      <c r="N156" s="280"/>
      <c r="O156" s="280">
        <v>2.0</v>
      </c>
      <c r="P156" s="280"/>
      <c r="Q156" s="280">
        <v>1.0</v>
      </c>
      <c r="R156" s="290" t="s">
        <v>882</v>
      </c>
      <c r="S156" s="281"/>
      <c r="T156" s="294"/>
      <c r="U156" s="281"/>
      <c r="V156" s="281"/>
      <c r="W156" s="281"/>
      <c r="X156" s="281"/>
    </row>
    <row r="157">
      <c r="A157" s="301"/>
      <c r="B157" s="288" t="s">
        <v>1234</v>
      </c>
      <c r="C157" s="280" t="s">
        <v>879</v>
      </c>
      <c r="D157" s="289">
        <f>ROUND((F157*'Pawn Weights'!$H$3)+(G157*'Pawn Weights'!$H$4)+(H157*'Pawn Weights'!$H$5)+(I157*'Pawn Weights'!$H$6)+(J157*'Pawn Weights'!$H$7)+(K157*'Pawn Weights'!$H$8)+(L157*'Pawn Weights'!$H$9)+(M157*'Pawn Weights'!$H$10)+(N157*'Pawn Weights'!$H$11)+(O157*'Pawn Weights'!$H$12)+(P157*'Pawn Weights'!$H$13)+(Q157*'Pawn Weights'!$H$14), 2)</f>
        <v>95.23</v>
      </c>
      <c r="E157" s="280">
        <v>46.0</v>
      </c>
      <c r="F157" s="280"/>
      <c r="G157" s="280">
        <v>45.0</v>
      </c>
      <c r="H157" s="280">
        <v>92.0</v>
      </c>
      <c r="I157" s="280"/>
      <c r="J157" s="280"/>
      <c r="K157" s="280">
        <v>30.0</v>
      </c>
      <c r="L157" s="280"/>
      <c r="M157" s="280"/>
      <c r="N157" s="280"/>
      <c r="O157" s="280"/>
      <c r="P157" s="280"/>
      <c r="Q157" s="280"/>
      <c r="R157" s="290"/>
      <c r="S157" s="281"/>
      <c r="T157" s="294"/>
      <c r="U157" s="281"/>
      <c r="V157" s="281"/>
      <c r="W157" s="281"/>
      <c r="X157" s="281"/>
    </row>
    <row r="158">
      <c r="A158" s="301"/>
      <c r="B158" s="288" t="s">
        <v>1410</v>
      </c>
      <c r="C158" s="280" t="s">
        <v>997</v>
      </c>
      <c r="D158" s="289">
        <f>ROUND((F158*'Pawn Weights'!$H$3)+(G158*'Pawn Weights'!$H$4)+(H158*'Pawn Weights'!$H$5)+(I158*'Pawn Weights'!$H$6)+(J158*'Pawn Weights'!$H$7)+(K158*'Pawn Weights'!$H$8)+(L158*'Pawn Weights'!$H$9)+(M158*'Pawn Weights'!$H$10)+(N158*'Pawn Weights'!$H$11)+(O158*'Pawn Weights'!$H$12)+(P158*'Pawn Weights'!$H$13)+(Q158*'Pawn Weights'!$H$14), 2)</f>
        <v>94.82</v>
      </c>
      <c r="E158" s="280">
        <v>63.0</v>
      </c>
      <c r="F158" s="280">
        <v>47.0</v>
      </c>
      <c r="G158" s="280"/>
      <c r="H158" s="280"/>
      <c r="I158" s="280">
        <v>43.0</v>
      </c>
      <c r="J158" s="280">
        <v>14.0</v>
      </c>
      <c r="K158" s="280"/>
      <c r="L158" s="280"/>
      <c r="M158" s="280"/>
      <c r="N158" s="280"/>
      <c r="O158" s="280"/>
      <c r="P158" s="280"/>
      <c r="Q158" s="280"/>
      <c r="R158" s="290"/>
      <c r="S158" s="281"/>
      <c r="T158" s="294" t="s">
        <v>861</v>
      </c>
      <c r="U158" s="281"/>
      <c r="V158" s="281"/>
      <c r="W158" s="281"/>
      <c r="X158" s="281"/>
    </row>
    <row r="159">
      <c r="A159" s="301" t="s">
        <v>627</v>
      </c>
      <c r="B159" s="311" t="s">
        <v>1235</v>
      </c>
      <c r="C159" s="280" t="s">
        <v>904</v>
      </c>
      <c r="D159" s="289">
        <f>ROUND((F159*'Pawn Weights'!$H$3)+(G159*'Pawn Weights'!$H$4)+(H159*'Pawn Weights'!$H$5)+(I159*'Pawn Weights'!$H$6)+(J159*'Pawn Weights'!$H$7)+(K159*'Pawn Weights'!$H$8)+(L159*'Pawn Weights'!$H$9)+(M159*'Pawn Weights'!$H$10)+(N159*'Pawn Weights'!$H$11)+(O159*'Pawn Weights'!$H$12)+(P159*'Pawn Weights'!$H$13)+(Q159*'Pawn Weights'!$H$14)-20+19.1+3.636, 2)</f>
        <v>94.65</v>
      </c>
      <c r="E159" s="280"/>
      <c r="F159" s="280"/>
      <c r="G159" s="280"/>
      <c r="H159" s="280">
        <v>52.0</v>
      </c>
      <c r="I159" s="280">
        <v>25.0</v>
      </c>
      <c r="J159" s="280">
        <v>25.0</v>
      </c>
      <c r="K159" s="280"/>
      <c r="L159" s="280"/>
      <c r="M159" s="280"/>
      <c r="N159" s="280"/>
      <c r="O159" s="280">
        <v>1.0</v>
      </c>
      <c r="P159" s="280">
        <v>2.0</v>
      </c>
      <c r="Q159" s="280"/>
      <c r="R159" s="290" t="s">
        <v>745</v>
      </c>
      <c r="S159" s="281"/>
      <c r="T159" s="294"/>
      <c r="U159" s="281"/>
      <c r="V159" s="281"/>
      <c r="W159" s="281"/>
      <c r="X159" s="281"/>
    </row>
    <row r="160">
      <c r="A160" s="309"/>
      <c r="B160" s="288" t="s">
        <v>1238</v>
      </c>
      <c r="C160" s="280" t="s">
        <v>1239</v>
      </c>
      <c r="D160" s="289">
        <f>ROUND((F160*'Pawn Weights'!$H$3)+(G160*'Pawn Weights'!$H$4)+(H160*'Pawn Weights'!$H$5)+(I160*'Pawn Weights'!$H$6)+(J160*'Pawn Weights'!$H$7)+(K160*'Pawn Weights'!$H$8)+(L160*'Pawn Weights'!$H$9)+(M160*'Pawn Weights'!$H$10)+(N160*'Pawn Weights'!$H$11)+(O160*'Pawn Weights'!$H$12)+(P160*'Pawn Weights'!$H$13)+(Q160*'Pawn Weights'!$H$14), 2)</f>
        <v>94.22</v>
      </c>
      <c r="E160" s="280">
        <v>30.0</v>
      </c>
      <c r="F160" s="280"/>
      <c r="G160" s="280"/>
      <c r="H160" s="280">
        <v>64.0</v>
      </c>
      <c r="I160" s="280">
        <v>27.0</v>
      </c>
      <c r="J160" s="280">
        <v>17.0</v>
      </c>
      <c r="K160" s="280"/>
      <c r="L160" s="280"/>
      <c r="M160" s="281"/>
      <c r="N160" s="280"/>
      <c r="O160" s="280">
        <v>2.0</v>
      </c>
      <c r="P160" s="280"/>
      <c r="Q160" s="280">
        <v>1.0</v>
      </c>
      <c r="R160" s="290" t="s">
        <v>626</v>
      </c>
      <c r="S160" s="281"/>
      <c r="T160" s="291"/>
      <c r="U160" s="281"/>
      <c r="V160" s="281"/>
      <c r="W160" s="281"/>
    </row>
    <row r="161">
      <c r="A161" s="272" t="s">
        <v>883</v>
      </c>
      <c r="B161" s="281"/>
      <c r="C161" s="281"/>
      <c r="D161" s="360"/>
      <c r="E161" s="281"/>
      <c r="F161" s="281"/>
      <c r="G161" s="281"/>
      <c r="H161" s="281"/>
      <c r="I161" s="281"/>
      <c r="J161" s="281"/>
      <c r="K161" s="281"/>
      <c r="L161" s="281"/>
      <c r="M161" s="281"/>
      <c r="N161" s="281"/>
      <c r="O161" s="281"/>
      <c r="P161" s="281"/>
      <c r="Q161" s="281"/>
      <c r="R161" s="282"/>
      <c r="S161" s="281"/>
      <c r="T161" s="285"/>
      <c r="U161" s="281"/>
      <c r="V161" s="281"/>
      <c r="W161" s="281"/>
    </row>
    <row r="162">
      <c r="A162" s="301"/>
      <c r="B162" s="288" t="s">
        <v>885</v>
      </c>
      <c r="C162" s="280" t="s">
        <v>816</v>
      </c>
      <c r="D162" s="289">
        <f>ROUND((F162*'Pawn Weights'!$H$3)+(G162*'Pawn Weights'!$H$4)+(H162*'Pawn Weights'!$H$5)+(I162*'Pawn Weights'!$H$6)+(J162*'Pawn Weights'!$H$7)+(K162*'Pawn Weights'!$H$8)+(L162*'Pawn Weights'!$H$9)+(M162*'Pawn Weights'!$H$10)+(N162*'Pawn Weights'!$H$11)+(O162*'Pawn Weights'!$H$12)+(P162*'Pawn Weights'!$H$13)+(Q162*'Pawn Weights'!$H$14)-20+19.1+3, 2)</f>
        <v>98.58</v>
      </c>
      <c r="E162" s="280">
        <v>40.0</v>
      </c>
      <c r="F162" s="280">
        <v>38.0</v>
      </c>
      <c r="G162" s="280"/>
      <c r="H162" s="280"/>
      <c r="I162" s="280">
        <v>30.0</v>
      </c>
      <c r="J162" s="280">
        <v>18.0</v>
      </c>
      <c r="K162" s="280"/>
      <c r="L162" s="280"/>
      <c r="M162" s="281"/>
      <c r="N162" s="280"/>
      <c r="O162" s="280"/>
      <c r="P162" s="280">
        <v>2.0</v>
      </c>
      <c r="Q162" s="280"/>
      <c r="R162" s="290" t="s">
        <v>698</v>
      </c>
      <c r="S162" s="281"/>
      <c r="T162" s="291"/>
      <c r="U162" s="281"/>
      <c r="V162" s="281"/>
      <c r="W162" s="281"/>
    </row>
    <row r="163">
      <c r="A163" s="301"/>
      <c r="B163" s="288" t="s">
        <v>886</v>
      </c>
      <c r="C163" s="280" t="s">
        <v>701</v>
      </c>
      <c r="D163" s="289">
        <f>ROUND((F163*'Pawn Weights'!$H$3)+(G163*'Pawn Weights'!$H$4)+(H163*'Pawn Weights'!$H$5)+(I163*'Pawn Weights'!$H$6)+(J163*'Pawn Weights'!$H$7)+(K163*'Pawn Weights'!$H$8)+(L163*'Pawn Weights'!$H$9)+(M163*'Pawn Weights'!$H$10)+(N163*'Pawn Weights'!$H$11)+(O163*'Pawn Weights'!$H$12)+(P163*'Pawn Weights'!$H$13)+(Q163*'Pawn Weights'!$H$14)-10+9.55+2.73, 2)</f>
        <v>92.3</v>
      </c>
      <c r="E163" s="280">
        <v>38.0</v>
      </c>
      <c r="F163" s="280"/>
      <c r="G163" s="280">
        <v>30.0</v>
      </c>
      <c r="H163" s="280">
        <v>76.0</v>
      </c>
      <c r="I163" s="280">
        <v>17.0</v>
      </c>
      <c r="J163" s="280"/>
      <c r="K163" s="280"/>
      <c r="L163" s="280"/>
      <c r="M163" s="281"/>
      <c r="N163" s="280"/>
      <c r="O163" s="280">
        <v>1.0</v>
      </c>
      <c r="P163" s="280">
        <v>1.0</v>
      </c>
      <c r="Q163" s="280"/>
      <c r="R163" s="290" t="s">
        <v>702</v>
      </c>
      <c r="S163" s="281"/>
      <c r="T163" s="291"/>
      <c r="U163" s="281"/>
      <c r="V163" s="281"/>
      <c r="W163" s="281"/>
    </row>
    <row r="164">
      <c r="A164" s="301"/>
      <c r="B164" s="288" t="s">
        <v>887</v>
      </c>
      <c r="C164" s="280" t="s">
        <v>727</v>
      </c>
      <c r="D164" s="289">
        <f>ROUND((F164*'Pawn Weights'!$H$3)+(G164*'Pawn Weights'!$H$4)+(H164*'Pawn Weights'!$H$5)+(I164*'Pawn Weights'!$H$6)+(J164*'Pawn Weights'!$H$7)+(K164*'Pawn Weights'!$H$8)+(L164*'Pawn Weights'!$H$9)+(M164*'Pawn Weights'!$H$10)+(N164*'Pawn Weights'!$H$11)+(O164*'Pawn Weights'!$H$12)+(P164*'Pawn Weights'!$H$13)+(Q164*'Pawn Weights'!$H$14), 2)</f>
        <v>86.77</v>
      </c>
      <c r="E164" s="280"/>
      <c r="F164" s="280"/>
      <c r="G164" s="280">
        <v>27.0</v>
      </c>
      <c r="H164" s="280">
        <v>76.0</v>
      </c>
      <c r="I164" s="280">
        <v>26.0</v>
      </c>
      <c r="J164" s="280">
        <v>17.0</v>
      </c>
      <c r="K164" s="280"/>
      <c r="L164" s="280"/>
      <c r="M164" s="281"/>
      <c r="N164" s="280"/>
      <c r="O164" s="280"/>
      <c r="P164" s="280"/>
      <c r="Q164" s="280"/>
      <c r="R164" s="290"/>
      <c r="S164" s="281"/>
      <c r="T164" s="291"/>
      <c r="U164" s="281"/>
      <c r="V164" s="281"/>
      <c r="W164" s="281"/>
    </row>
    <row r="165">
      <c r="A165" s="301"/>
      <c r="B165" s="288" t="s">
        <v>888</v>
      </c>
      <c r="C165" s="280" t="s">
        <v>889</v>
      </c>
      <c r="D165" s="289">
        <f>ROUND((F165*'Pawn Weights'!$H$3)+(G165*'Pawn Weights'!$H$4)+(H165*'Pawn Weights'!$H$5)+(I165*'Pawn Weights'!$H$6)+(J165*'Pawn Weights'!$H$7)+(K165*'Pawn Weights'!$H$8)+(L165*'Pawn Weights'!$H$9)+(M165*'Pawn Weights'!$H$10)+(N165*'Pawn Weights'!$H$11)+(O165*'Pawn Weights'!$H$12)+(P165*'Pawn Weights'!$H$13)+(Q165*'Pawn Weights'!$H$14), 2)</f>
        <v>80.28</v>
      </c>
      <c r="E165" s="280">
        <v>21.0</v>
      </c>
      <c r="F165" s="280"/>
      <c r="G165" s="280">
        <v>29.0</v>
      </c>
      <c r="H165" s="280">
        <v>60.0</v>
      </c>
      <c r="I165" s="280"/>
      <c r="J165" s="280">
        <v>22.0</v>
      </c>
      <c r="K165" s="280"/>
      <c r="L165" s="280"/>
      <c r="M165" s="281"/>
      <c r="N165" s="280"/>
      <c r="O165" s="280">
        <v>1.0</v>
      </c>
      <c r="P165" s="280"/>
      <c r="Q165" s="280">
        <v>1.0</v>
      </c>
      <c r="R165" s="290" t="s">
        <v>832</v>
      </c>
      <c r="S165" s="281"/>
      <c r="T165" s="291"/>
      <c r="U165" s="281"/>
      <c r="V165" s="281"/>
      <c r="W165" s="281"/>
    </row>
    <row r="166">
      <c r="A166" s="295" t="s">
        <v>671</v>
      </c>
      <c r="B166" s="296" t="s">
        <v>891</v>
      </c>
      <c r="C166" s="297" t="s">
        <v>892</v>
      </c>
      <c r="D166" s="289">
        <f>ROUND((F166*'Pawn Weights'!$H$3)+(G166*'Pawn Weights'!$H$4)+(H166*'Pawn Weights'!$H$5)+(I166*'Pawn Weights'!$H$6)+(J166*'Pawn Weights'!$H$7)+(K166*'Pawn Weights'!$H$8)+(L166*'Pawn Weights'!$H$9)+(M166*'Pawn Weights'!$H$10)+(N166*'Pawn Weights'!$H$11)+(O166*'Pawn Weights'!$H$12)+(P166*'Pawn Weights'!$H$13)+(Q166*'Pawn Weights'!$H$14), 2)</f>
        <v>76.4</v>
      </c>
      <c r="E166" s="298">
        <v>56.0</v>
      </c>
      <c r="F166" s="298">
        <v>40.0</v>
      </c>
      <c r="G166" s="297"/>
      <c r="H166" s="297"/>
      <c r="I166" s="298">
        <v>40.0</v>
      </c>
      <c r="J166" s="297"/>
      <c r="K166" s="297"/>
      <c r="L166" s="297"/>
      <c r="M166" s="137"/>
      <c r="N166" s="297"/>
      <c r="O166" s="297"/>
      <c r="P166" s="297"/>
      <c r="Q166" s="297"/>
      <c r="R166" s="295"/>
      <c r="S166" s="137"/>
      <c r="T166" s="297" t="s">
        <v>850</v>
      </c>
      <c r="U166" s="137"/>
      <c r="V166" s="137"/>
      <c r="W166" s="137"/>
      <c r="X166" s="137"/>
      <c r="Y166" s="137"/>
      <c r="Z166" s="137"/>
    </row>
    <row r="167">
      <c r="A167" s="295"/>
      <c r="B167" s="296" t="s">
        <v>890</v>
      </c>
      <c r="C167" s="297" t="s">
        <v>773</v>
      </c>
      <c r="D167" s="289">
        <f>ROUND((F167*'Pawn Weights'!$H$3)+(G167*'Pawn Weights'!$H$4)+(H167*'Pawn Weights'!$H$5)+(I167*'Pawn Weights'!$H$6)+(J167*'Pawn Weights'!$H$7)+(K167*'Pawn Weights'!$H$8)+(L167*'Pawn Weights'!$H$9)+(M167*'Pawn Weights'!$H$10)+(N167*'Pawn Weights'!$H$11)+(O167*'Pawn Weights'!$H$12)+(P167*'Pawn Weights'!$H$13)+(Q167*'Pawn Weights'!$H$14), 2)</f>
        <v>77.34</v>
      </c>
      <c r="E167" s="298">
        <v>28.0</v>
      </c>
      <c r="F167" s="297"/>
      <c r="G167" s="298">
        <v>28.0</v>
      </c>
      <c r="H167" s="298">
        <v>58.0</v>
      </c>
      <c r="I167" s="297"/>
      <c r="J167" s="297"/>
      <c r="K167" s="297"/>
      <c r="L167" s="297"/>
      <c r="M167" s="359">
        <v>126.0</v>
      </c>
      <c r="N167" s="297"/>
      <c r="O167" s="298">
        <v>1.0</v>
      </c>
      <c r="P167" s="297"/>
      <c r="Q167" s="297"/>
      <c r="R167" s="298" t="s">
        <v>674</v>
      </c>
      <c r="S167" s="137"/>
      <c r="T167" s="295"/>
      <c r="U167" s="137"/>
      <c r="V167" s="137"/>
      <c r="W167" s="137"/>
      <c r="X167" s="137"/>
      <c r="Y167" s="137"/>
      <c r="Z167" s="137"/>
    </row>
    <row r="168">
      <c r="A168" s="301"/>
      <c r="B168" s="288" t="s">
        <v>893</v>
      </c>
      <c r="C168" s="280" t="s">
        <v>894</v>
      </c>
      <c r="D168" s="289">
        <f>ROUND((F168*'Pawn Weights'!$H$3)+(G168*'Pawn Weights'!$H$4)+(H168*'Pawn Weights'!$H$5)+(I168*'Pawn Weights'!$H$6)+(J168*'Pawn Weights'!$H$7)+(K168*'Pawn Weights'!$H$8)+(L168*'Pawn Weights'!$H$9)+(M168*'Pawn Weights'!$H$10)+(N168*'Pawn Weights'!$H$11)+(O168*'Pawn Weights'!$H$12)+(P168*'Pawn Weights'!$H$13)+(Q168*'Pawn Weights'!$H$14), 2)</f>
        <v>76.39</v>
      </c>
      <c r="E168" s="280">
        <v>37.0</v>
      </c>
      <c r="F168" s="280">
        <v>30.0</v>
      </c>
      <c r="G168" s="280"/>
      <c r="H168" s="280"/>
      <c r="I168" s="280">
        <v>29.0</v>
      </c>
      <c r="J168" s="280"/>
      <c r="K168" s="280"/>
      <c r="L168" s="280"/>
      <c r="M168" s="281"/>
      <c r="N168" s="280"/>
      <c r="O168" s="280">
        <v>1.0</v>
      </c>
      <c r="P168" s="280"/>
      <c r="Q168" s="280">
        <v>1.0</v>
      </c>
      <c r="R168" s="290" t="s">
        <v>736</v>
      </c>
      <c r="S168" s="281"/>
      <c r="T168" s="291"/>
      <c r="U168" s="281"/>
      <c r="V168" s="281"/>
      <c r="W168" s="281"/>
    </row>
    <row r="169">
      <c r="A169" s="301"/>
      <c r="B169" s="288" t="s">
        <v>896</v>
      </c>
      <c r="C169" s="280" t="s">
        <v>835</v>
      </c>
      <c r="D169" s="289">
        <f>ROUND((F169*'Pawn Weights'!$H$3)+(G169*'Pawn Weights'!$H$4)+(H169*'Pawn Weights'!$H$5)+(I169*'Pawn Weights'!$H$6)+(J169*'Pawn Weights'!$H$7)+(K169*'Pawn Weights'!$H$8)+(L169*'Pawn Weights'!$H$9)+(M169*'Pawn Weights'!$H$10)+(N169*'Pawn Weights'!$H$11)+(O169*'Pawn Weights'!$H$12)+(P169*'Pawn Weights'!$H$13)+(Q169*'Pawn Weights'!$H$14)-10+9.55+2.001, 2)</f>
        <v>75.9</v>
      </c>
      <c r="E169" s="280">
        <v>30.0</v>
      </c>
      <c r="F169" s="280"/>
      <c r="G169" s="280">
        <v>28.0</v>
      </c>
      <c r="H169" s="280">
        <v>58.0</v>
      </c>
      <c r="I169" s="280"/>
      <c r="J169" s="280">
        <v>15.0</v>
      </c>
      <c r="K169" s="280"/>
      <c r="L169" s="280"/>
      <c r="M169" s="281"/>
      <c r="N169" s="280"/>
      <c r="O169" s="280">
        <v>1.0</v>
      </c>
      <c r="P169" s="280">
        <v>1.0</v>
      </c>
      <c r="Q169" s="280"/>
      <c r="R169" s="290" t="s">
        <v>695</v>
      </c>
      <c r="S169" s="281"/>
      <c r="T169" s="291"/>
      <c r="U169" s="281"/>
      <c r="V169" s="281"/>
      <c r="W169" s="281"/>
    </row>
    <row r="170">
      <c r="A170" s="295"/>
      <c r="B170" s="296" t="s">
        <v>895</v>
      </c>
      <c r="C170" s="297" t="s">
        <v>773</v>
      </c>
      <c r="D170" s="289">
        <f>ROUND((F170*'Pawn Weights'!$H$3)+(G170*'Pawn Weights'!$H$4)+(H170*'Pawn Weights'!$H$5)+(I170*'Pawn Weights'!$H$6)+(J170*'Pawn Weights'!$H$7)+(K170*'Pawn Weights'!$H$8)+(L170*'Pawn Weights'!$H$9)+(M170*'Pawn Weights'!$H$10)+(N170*'Pawn Weights'!$H$11)+(O170*'Pawn Weights'!$H$12)+(P170*'Pawn Weights'!$H$13)+(Q170*'Pawn Weights'!$H$14), 2)</f>
        <v>73.78</v>
      </c>
      <c r="E170" s="298">
        <v>30.0</v>
      </c>
      <c r="F170" s="298">
        <v>29.0</v>
      </c>
      <c r="G170" s="297"/>
      <c r="H170" s="297"/>
      <c r="I170" s="297"/>
      <c r="J170" s="297"/>
      <c r="K170" s="297"/>
      <c r="L170" s="297"/>
      <c r="M170" s="359">
        <v>140.0</v>
      </c>
      <c r="N170" s="297"/>
      <c r="O170" s="298">
        <v>1.0</v>
      </c>
      <c r="P170" s="297"/>
      <c r="Q170" s="298">
        <v>1.0</v>
      </c>
      <c r="R170" s="298" t="s">
        <v>698</v>
      </c>
      <c r="S170" s="137"/>
      <c r="T170" s="295"/>
      <c r="U170" s="137"/>
      <c r="V170" s="137"/>
      <c r="W170" s="137"/>
      <c r="X170" s="137"/>
      <c r="Y170" s="137"/>
      <c r="Z170" s="137"/>
    </row>
    <row r="171">
      <c r="A171" s="301" t="s">
        <v>627</v>
      </c>
      <c r="B171" s="288" t="s">
        <v>897</v>
      </c>
      <c r="C171" s="280" t="s">
        <v>898</v>
      </c>
      <c r="D171" s="289">
        <f>ROUND((F171*'Pawn Weights'!$H$3)+(G171*'Pawn Weights'!$H$4)+(H171*'Pawn Weights'!$H$5)+(I171*'Pawn Weights'!$H$6)+(J171*'Pawn Weights'!$H$7)+(K171*'Pawn Weights'!$H$8)+(L171*'Pawn Weights'!$H$9)+(M171*'Pawn Weights'!$H$10)+(N171*'Pawn Weights'!$H$11)+(O171*'Pawn Weights'!$H$12)+(P171*'Pawn Weights'!$H$13)+(Q171*'Pawn Weights'!$H$14), 2)</f>
        <v>73.4</v>
      </c>
      <c r="E171" s="280">
        <v>34.0</v>
      </c>
      <c r="F171" s="280"/>
      <c r="G171" s="280"/>
      <c r="H171" s="280">
        <v>66.0</v>
      </c>
      <c r="I171" s="280">
        <v>32.0</v>
      </c>
      <c r="J171" s="280">
        <v>23.0</v>
      </c>
      <c r="K171" s="280"/>
      <c r="L171" s="280"/>
      <c r="M171" s="281"/>
      <c r="N171" s="280"/>
      <c r="O171" s="280"/>
      <c r="P171" s="280"/>
      <c r="Q171" s="280"/>
      <c r="R171" s="290"/>
      <c r="S171" s="281"/>
      <c r="T171" s="291"/>
      <c r="U171" s="281"/>
      <c r="V171" s="281"/>
      <c r="W171" s="281"/>
    </row>
    <row r="172">
      <c r="A172" s="301"/>
      <c r="B172" s="288" t="s">
        <v>899</v>
      </c>
      <c r="C172" s="280" t="s">
        <v>900</v>
      </c>
      <c r="D172" s="289">
        <f>ROUND((F172*'Pawn Weights'!$H$3)+(G172*'Pawn Weights'!$H$4)+(H172*'Pawn Weights'!$H$5)+(I172*'Pawn Weights'!$H$6)+(J172*'Pawn Weights'!$H$7)+(K172*'Pawn Weights'!$H$8)+(L172*'Pawn Weights'!$H$9)+(M172*'Pawn Weights'!$H$10)+(N172*'Pawn Weights'!$H$11)+(O172*'Pawn Weights'!$H$12)+(P172*'Pawn Weights'!$H$13)+(Q172*'Pawn Weights'!$H$14), 2)</f>
        <v>72.21</v>
      </c>
      <c r="E172" s="280">
        <v>29.0</v>
      </c>
      <c r="F172" s="280">
        <v>44.0</v>
      </c>
      <c r="G172" s="280"/>
      <c r="H172" s="280"/>
      <c r="I172" s="280">
        <v>31.0</v>
      </c>
      <c r="J172" s="280"/>
      <c r="K172" s="280"/>
      <c r="L172" s="280"/>
      <c r="M172" s="281"/>
      <c r="N172" s="280"/>
      <c r="O172" s="280"/>
      <c r="P172" s="280"/>
      <c r="Q172" s="280"/>
      <c r="R172" s="290"/>
      <c r="S172" s="281"/>
      <c r="T172" s="291"/>
      <c r="U172" s="281"/>
      <c r="V172" s="281"/>
      <c r="W172" s="281"/>
    </row>
    <row r="173">
      <c r="A173" s="301"/>
      <c r="B173" s="288" t="s">
        <v>901</v>
      </c>
      <c r="C173" s="280" t="s">
        <v>649</v>
      </c>
      <c r="D173" s="289">
        <f>ROUND((F173*'Pawn Weights'!$H$3)+(G173*'Pawn Weights'!$H$4)+(H173*'Pawn Weights'!$H$5)+(I173*'Pawn Weights'!$H$6)+(J173*'Pawn Weights'!$H$7)+(K173*'Pawn Weights'!$H$8)+(L173*'Pawn Weights'!$H$9)+(M173*'Pawn Weights'!$H$10)+(N173*'Pawn Weights'!$H$11)+(O173*'Pawn Weights'!$H$12)+(P173*'Pawn Weights'!$H$13)+(Q173*'Pawn Weights'!$H$14), 2)</f>
        <v>72.01</v>
      </c>
      <c r="E173" s="280">
        <v>25.0</v>
      </c>
      <c r="F173" s="280"/>
      <c r="G173" s="280">
        <v>33.0</v>
      </c>
      <c r="H173" s="280">
        <v>66.0</v>
      </c>
      <c r="I173" s="280"/>
      <c r="J173" s="280"/>
      <c r="K173" s="280"/>
      <c r="L173" s="280"/>
      <c r="M173" s="281"/>
      <c r="N173" s="280"/>
      <c r="O173" s="280">
        <v>1.0</v>
      </c>
      <c r="P173" s="280"/>
      <c r="Q173" s="280">
        <v>1.0</v>
      </c>
      <c r="R173" s="290" t="s">
        <v>695</v>
      </c>
      <c r="S173" s="281"/>
      <c r="T173" s="291"/>
      <c r="U173" s="281"/>
      <c r="V173" s="281"/>
      <c r="W173" s="281"/>
    </row>
    <row r="174">
      <c r="A174" s="301"/>
      <c r="B174" s="288" t="s">
        <v>902</v>
      </c>
      <c r="C174" s="280" t="s">
        <v>871</v>
      </c>
      <c r="D174" s="289">
        <f>ROUND((F174*'Pawn Weights'!$H$3)+(G174*'Pawn Weights'!$H$4)+(H174*'Pawn Weights'!$H$5)+(I174*'Pawn Weights'!$H$6)+(J174*'Pawn Weights'!$H$7)+(K174*'Pawn Weights'!$H$8)+(L174*'Pawn Weights'!$H$9)+(M174*'Pawn Weights'!$H$10)+(N174*'Pawn Weights'!$H$11)+(O174*'Pawn Weights'!$H$12)+(P174*'Pawn Weights'!$H$13)+(Q174*'Pawn Weights'!$H$14), 2)</f>
        <v>72.01</v>
      </c>
      <c r="E174" s="280">
        <v>13.0</v>
      </c>
      <c r="F174" s="280"/>
      <c r="G174" s="280">
        <v>33.0</v>
      </c>
      <c r="H174" s="280">
        <v>66.0</v>
      </c>
      <c r="I174" s="280"/>
      <c r="J174" s="280"/>
      <c r="K174" s="280"/>
      <c r="L174" s="280"/>
      <c r="M174" s="281"/>
      <c r="N174" s="280"/>
      <c r="O174" s="280"/>
      <c r="P174" s="280"/>
      <c r="Q174" s="280">
        <v>2.0</v>
      </c>
      <c r="R174" s="290" t="s">
        <v>809</v>
      </c>
      <c r="S174" s="281"/>
      <c r="T174" s="291"/>
      <c r="U174" s="281"/>
      <c r="V174" s="281"/>
      <c r="W174" s="281"/>
    </row>
    <row r="175">
      <c r="A175" s="301" t="s">
        <v>627</v>
      </c>
      <c r="B175" s="311" t="s">
        <v>903</v>
      </c>
      <c r="C175" s="280" t="s">
        <v>904</v>
      </c>
      <c r="D175" s="289">
        <f>ROUND((F175*'Pawn Weights'!$H$3)+(G175*'Pawn Weights'!$H$4)+(H175*'Pawn Weights'!$H$5)+(I175*'Pawn Weights'!$H$6)+(J175*'Pawn Weights'!$H$7)+(K175*'Pawn Weights'!$H$8)+(L175*'Pawn Weights'!$H$9)+(M175*'Pawn Weights'!$H$10)+(N175*'Pawn Weights'!$H$11)+(O175*'Pawn Weights'!$H$12)+(P175*'Pawn Weights'!$H$13)+(Q175*'Pawn Weights'!$H$14)-10+9.55+2.727, 2)</f>
        <v>69.63</v>
      </c>
      <c r="E175" s="280"/>
      <c r="F175" s="280"/>
      <c r="G175" s="280"/>
      <c r="H175" s="280">
        <v>36.0</v>
      </c>
      <c r="I175" s="280">
        <v>17.0</v>
      </c>
      <c r="J175" s="280">
        <v>25.0</v>
      </c>
      <c r="K175" s="280"/>
      <c r="L175" s="280"/>
      <c r="M175" s="281"/>
      <c r="N175" s="280"/>
      <c r="O175" s="280">
        <v>1.0</v>
      </c>
      <c r="P175" s="280">
        <v>1.0</v>
      </c>
      <c r="Q175" s="280"/>
      <c r="R175" s="290" t="s">
        <v>809</v>
      </c>
      <c r="S175" s="281"/>
      <c r="T175" s="291"/>
      <c r="U175" s="281"/>
      <c r="V175" s="281"/>
      <c r="W175" s="281"/>
    </row>
    <row r="176">
      <c r="A176" s="301" t="s">
        <v>991</v>
      </c>
      <c r="B176" s="288" t="s">
        <v>1108</v>
      </c>
      <c r="C176" s="280" t="s">
        <v>892</v>
      </c>
      <c r="D176" s="289">
        <f>ROUND((F176*'Pawn Weights'!$H$3)+(G176*'Pawn Weights'!$H$4)+(H176*'Pawn Weights'!$H$5)+(I176*'Pawn Weights'!$H$6)+(J176*'Pawn Weights'!$H$7)+(K176*'Pawn Weights'!$H$8)+(L176*'Pawn Weights'!$H$9)+(M176*'Pawn Weights'!$H$10)+(N176*'Pawn Weights'!$H$11)+(O176*'Pawn Weights'!$H$12)+(P176*'Pawn Weights'!$H$13)+(Q176*'Pawn Weights'!$H$14), 2)</f>
        <v>66.85</v>
      </c>
      <c r="E176" s="280">
        <v>49.0</v>
      </c>
      <c r="F176" s="280">
        <v>35.0</v>
      </c>
      <c r="G176" s="280"/>
      <c r="H176" s="280"/>
      <c r="I176" s="280">
        <v>35.0</v>
      </c>
      <c r="J176" s="280"/>
      <c r="K176" s="280"/>
      <c r="L176" s="280"/>
      <c r="M176" s="281"/>
      <c r="N176" s="280"/>
      <c r="O176" s="280"/>
      <c r="P176" s="280"/>
      <c r="Q176" s="280"/>
      <c r="R176" s="290"/>
      <c r="S176" s="281"/>
      <c r="T176" s="291" t="s">
        <v>850</v>
      </c>
      <c r="U176" s="281"/>
      <c r="V176" s="281"/>
      <c r="W176" s="281"/>
    </row>
    <row r="177">
      <c r="A177" s="301"/>
      <c r="B177" s="288" t="s">
        <v>1107</v>
      </c>
      <c r="C177" s="280" t="s">
        <v>842</v>
      </c>
      <c r="D177" s="289">
        <f>ROUND((F177*'Pawn Weights'!$H$3)+(G177*'Pawn Weights'!$H$4)+(H177*'Pawn Weights'!$H$5)+(I177*'Pawn Weights'!$H$6)+(J177*'Pawn Weights'!$H$7)+(K177*'Pawn Weights'!$H$8)+(L177*'Pawn Weights'!$H$9)+(M177*'Pawn Weights'!$H$10)+(N177*'Pawn Weights'!$H$11)+(O177*'Pawn Weights'!$H$12)+(P177*'Pawn Weights'!$H$13)+(Q177*'Pawn Weights'!$H$14), 2)</f>
        <v>65.66</v>
      </c>
      <c r="E177" s="280">
        <v>41.0</v>
      </c>
      <c r="F177" s="280"/>
      <c r="G177" s="280"/>
      <c r="H177" s="280">
        <v>98.0</v>
      </c>
      <c r="I177" s="280"/>
      <c r="J177" s="280">
        <v>34.0</v>
      </c>
      <c r="K177" s="280"/>
      <c r="L177" s="280"/>
      <c r="M177" s="281"/>
      <c r="N177" s="280"/>
      <c r="O177" s="280"/>
      <c r="P177" s="280"/>
      <c r="Q177" s="280"/>
      <c r="R177" s="290"/>
      <c r="S177" s="281"/>
      <c r="T177" s="291"/>
      <c r="U177" s="281"/>
      <c r="V177" s="281"/>
      <c r="W177" s="281"/>
    </row>
    <row r="178">
      <c r="A178" s="224" t="s">
        <v>905</v>
      </c>
      <c r="B178" s="281"/>
      <c r="C178" s="281"/>
      <c r="D178" s="360"/>
      <c r="E178" s="281"/>
      <c r="F178" s="281"/>
      <c r="G178" s="281"/>
      <c r="H178" s="281"/>
      <c r="I178" s="281"/>
      <c r="J178" s="281"/>
      <c r="K178" s="281"/>
      <c r="L178" s="281"/>
      <c r="M178" s="281"/>
      <c r="N178" s="281"/>
      <c r="O178" s="281"/>
      <c r="P178" s="281"/>
      <c r="Q178" s="281"/>
      <c r="R178" s="282"/>
      <c r="S178" s="281"/>
      <c r="T178" s="285"/>
      <c r="U178" s="281"/>
      <c r="V178" s="281"/>
      <c r="W178" s="281"/>
    </row>
    <row r="179">
      <c r="A179" s="281"/>
      <c r="B179" s="288" t="s">
        <v>907</v>
      </c>
      <c r="C179" s="280" t="s">
        <v>632</v>
      </c>
      <c r="D179" s="289">
        <f>ROUND((F179*'Pawn Weights'!$H$3)+(G179*'Pawn Weights'!$H$4)+(H179*'Pawn Weights'!$H$5)+(I179*'Pawn Weights'!$H$6)+(J179*'Pawn Weights'!$H$7)+(K179*'Pawn Weights'!$H$8)+(L179*'Pawn Weights'!$H$9)+(M179*'Pawn Weights'!$H$10)+(N179*'Pawn Weights'!$H$11)+(O179*'Pawn Weights'!$H$12)+(P179*'Pawn Weights'!$H$13)+(Q179*'Pawn Weights'!$H$14), 2)</f>
        <v>70.93</v>
      </c>
      <c r="E179" s="280">
        <v>33.0</v>
      </c>
      <c r="F179" s="280"/>
      <c r="G179" s="280"/>
      <c r="H179" s="280">
        <v>66.0</v>
      </c>
      <c r="I179" s="280"/>
      <c r="J179" s="280">
        <v>30.0</v>
      </c>
      <c r="K179" s="280"/>
      <c r="L179" s="280"/>
      <c r="M179" s="280">
        <v>126.0</v>
      </c>
      <c r="N179" s="280"/>
      <c r="O179" s="280"/>
      <c r="P179" s="280"/>
      <c r="Q179" s="280"/>
      <c r="R179" s="290"/>
      <c r="S179" s="281"/>
      <c r="T179" s="291"/>
      <c r="U179" s="281"/>
      <c r="V179" s="281"/>
      <c r="W179" s="281"/>
    </row>
    <row r="180">
      <c r="A180" s="137" t="s">
        <v>627</v>
      </c>
      <c r="B180" s="296" t="s">
        <v>910</v>
      </c>
      <c r="C180" s="297" t="s">
        <v>911</v>
      </c>
      <c r="D180" s="289">
        <f>ROUND((F180*'Pawn Weights'!$H$3)+(G180*'Pawn Weights'!$H$4)+(H180*'Pawn Weights'!$H$5)+(I180*'Pawn Weights'!$H$6)+(J180*'Pawn Weights'!$H$7)+(K180*'Pawn Weights'!$H$8)+(L180*'Pawn Weights'!$H$9)+(M180*'Pawn Weights'!$H$10)+(N180*'Pawn Weights'!$H$11)+(O180*'Pawn Weights'!$H$12)+(P180*'Pawn Weights'!$H$13)+(Q180*'Pawn Weights'!$H$14), 2)</f>
        <v>68.21</v>
      </c>
      <c r="E180" s="298">
        <v>42.0</v>
      </c>
      <c r="F180" s="297"/>
      <c r="G180" s="298">
        <v>30.0</v>
      </c>
      <c r="H180" s="298">
        <v>58.0</v>
      </c>
      <c r="I180" s="297"/>
      <c r="J180" s="297"/>
      <c r="K180" s="298">
        <v>28.0</v>
      </c>
      <c r="L180" s="297"/>
      <c r="M180" s="295"/>
      <c r="N180" s="297"/>
      <c r="O180" s="297"/>
      <c r="P180" s="297"/>
      <c r="Q180" s="297"/>
      <c r="R180" s="295"/>
      <c r="S180" s="137"/>
      <c r="T180" s="295"/>
      <c r="U180" s="137"/>
      <c r="V180" s="137"/>
      <c r="W180" s="137"/>
      <c r="X180" s="137"/>
      <c r="Y180" s="137"/>
      <c r="Z180" s="137"/>
    </row>
    <row r="181">
      <c r="A181" s="137"/>
      <c r="B181" s="296" t="s">
        <v>908</v>
      </c>
      <c r="C181" s="297" t="s">
        <v>909</v>
      </c>
      <c r="D181" s="289">
        <f>ROUND((F181*'Pawn Weights'!$H$3)+(G181*'Pawn Weights'!$H$4)+(H181*'Pawn Weights'!$H$5)+(I181*'Pawn Weights'!$H$6)+(J181*'Pawn Weights'!$H$7)+(K181*'Pawn Weights'!$H$8)+(L181*'Pawn Weights'!$H$9)+(M181*'Pawn Weights'!$H$10)+(N181*'Pawn Weights'!$H$11)+(O181*'Pawn Weights'!$H$12)+(P181*'Pawn Weights'!$H$13)+(Q181*'Pawn Weights'!$H$14), 2)</f>
        <v>68.01</v>
      </c>
      <c r="E181" s="298">
        <v>28.0</v>
      </c>
      <c r="F181" s="297"/>
      <c r="G181" s="298">
        <v>29.0</v>
      </c>
      <c r="H181" s="298">
        <v>58.0</v>
      </c>
      <c r="I181" s="297"/>
      <c r="J181" s="297"/>
      <c r="K181" s="297"/>
      <c r="L181" s="297"/>
      <c r="M181" s="298">
        <v>126.0</v>
      </c>
      <c r="N181" s="297"/>
      <c r="O181" s="297"/>
      <c r="P181" s="297"/>
      <c r="Q181" s="297"/>
      <c r="R181" s="295"/>
      <c r="S181" s="137"/>
      <c r="T181" s="295"/>
      <c r="U181" s="137"/>
      <c r="V181" s="137"/>
      <c r="W181" s="137"/>
      <c r="X181" s="137"/>
      <c r="Y181" s="137"/>
      <c r="Z181" s="137"/>
    </row>
    <row r="182">
      <c r="A182" s="281"/>
      <c r="B182" s="288" t="s">
        <v>912</v>
      </c>
      <c r="C182" s="280" t="s">
        <v>913</v>
      </c>
      <c r="D182" s="289">
        <f>ROUND((F182*'Pawn Weights'!$H$3)+(G182*'Pawn Weights'!$H$4)+(H182*'Pawn Weights'!$H$5)+(I182*'Pawn Weights'!$H$6)+(J182*'Pawn Weights'!$H$7)+(K182*'Pawn Weights'!$H$8)+(L182*'Pawn Weights'!$H$9)+(M182*'Pawn Weights'!$H$10)+(N182*'Pawn Weights'!$H$11)+(O182*'Pawn Weights'!$H$12)+(P182*'Pawn Weights'!$H$13)+(Q182*'Pawn Weights'!$H$14), 2)</f>
        <v>67.34</v>
      </c>
      <c r="E182" s="280">
        <v>30.0</v>
      </c>
      <c r="F182" s="280"/>
      <c r="G182" s="280">
        <v>28.0</v>
      </c>
      <c r="H182" s="280">
        <v>58.0</v>
      </c>
      <c r="I182" s="280"/>
      <c r="J182" s="280"/>
      <c r="K182" s="280"/>
      <c r="L182" s="280"/>
      <c r="M182" s="280">
        <v>126.0</v>
      </c>
      <c r="N182" s="280"/>
      <c r="O182" s="280"/>
      <c r="P182" s="280"/>
      <c r="Q182" s="280"/>
      <c r="R182" s="290"/>
      <c r="S182" s="281"/>
      <c r="T182" s="291"/>
      <c r="U182" s="281"/>
      <c r="V182" s="281"/>
      <c r="W182" s="281"/>
    </row>
    <row r="183">
      <c r="A183" s="281"/>
      <c r="B183" s="288" t="s">
        <v>914</v>
      </c>
      <c r="C183" s="280" t="s">
        <v>857</v>
      </c>
      <c r="D183" s="289">
        <f>ROUND((F183*'Pawn Weights'!$H$3)+(G183*'Pawn Weights'!$H$4)+(H183*'Pawn Weights'!$H$5)+(I183*'Pawn Weights'!$H$6)+(J183*'Pawn Weights'!$H$7)+(K183*'Pawn Weights'!$H$8)+(L183*'Pawn Weights'!$H$9)+(M183*'Pawn Weights'!$H$10)+(N183*'Pawn Weights'!$H$11)+(O183*'Pawn Weights'!$H$12)+(P183*'Pawn Weights'!$H$13)+(Q183*'Pawn Weights'!$H$14), 2)</f>
        <v>63.3</v>
      </c>
      <c r="E183" s="280">
        <v>28.0</v>
      </c>
      <c r="F183" s="280">
        <v>36.0</v>
      </c>
      <c r="G183" s="280"/>
      <c r="H183" s="280"/>
      <c r="I183" s="280">
        <v>30.0</v>
      </c>
      <c r="J183" s="280"/>
      <c r="K183" s="280"/>
      <c r="L183" s="280"/>
      <c r="M183" s="281"/>
      <c r="N183" s="280"/>
      <c r="O183" s="280"/>
      <c r="P183" s="280"/>
      <c r="Q183" s="280"/>
      <c r="R183" s="290"/>
      <c r="S183" s="281"/>
      <c r="T183" s="291"/>
      <c r="U183" s="281"/>
      <c r="V183" s="281"/>
      <c r="W183" s="281"/>
    </row>
    <row r="184">
      <c r="A184" s="281"/>
      <c r="B184" s="288" t="s">
        <v>917</v>
      </c>
      <c r="C184" s="280" t="s">
        <v>741</v>
      </c>
      <c r="D184" s="289">
        <f>ROUND((F184*'Pawn Weights'!$H$3)+(G184*'Pawn Weights'!$H$4)+(H184*'Pawn Weights'!$H$5)+(I184*'Pawn Weights'!$H$6)+(J184*'Pawn Weights'!$H$7)+(K184*'Pawn Weights'!$H$8)+(L184*'Pawn Weights'!$H$9)+(M184*'Pawn Weights'!$H$10)+(N184*'Pawn Weights'!$H$11)+(O184*'Pawn Weights'!$H$12)+(P184*'Pawn Weights'!$H$13)+(Q184*'Pawn Weights'!$H$14), 2)</f>
        <v>62.11</v>
      </c>
      <c r="E184" s="280">
        <v>27.0</v>
      </c>
      <c r="F184" s="280"/>
      <c r="G184" s="280"/>
      <c r="H184" s="280">
        <v>56.0</v>
      </c>
      <c r="I184" s="280">
        <v>28.0</v>
      </c>
      <c r="J184" s="280">
        <v>18.0</v>
      </c>
      <c r="K184" s="280"/>
      <c r="L184" s="280"/>
      <c r="M184" s="281"/>
      <c r="N184" s="280"/>
      <c r="O184" s="280"/>
      <c r="P184" s="280"/>
      <c r="Q184" s="280"/>
      <c r="R184" s="290"/>
      <c r="S184" s="281"/>
      <c r="T184" s="291"/>
      <c r="U184" s="281"/>
      <c r="V184" s="281"/>
      <c r="W184" s="281"/>
    </row>
    <row r="185">
      <c r="A185" s="137" t="s">
        <v>671</v>
      </c>
      <c r="B185" s="296" t="s">
        <v>915</v>
      </c>
      <c r="C185" s="297" t="s">
        <v>916</v>
      </c>
      <c r="D185" s="289">
        <f>ROUND((F185*'Pawn Weights'!$H$3)+(G185*'Pawn Weights'!$H$4)+(H185*'Pawn Weights'!$H$5)+(I185*'Pawn Weights'!$H$6)+(J185*'Pawn Weights'!$H$7)+(K185*'Pawn Weights'!$H$8)+(L185*'Pawn Weights'!$H$9)+(M185*'Pawn Weights'!$H$10)+(N185*'Pawn Weights'!$H$11)+(O185*'Pawn Weights'!$H$12)+(P185*'Pawn Weights'!$H$13)+(Q185*'Pawn Weights'!$H$14), 2)</f>
        <v>60.85</v>
      </c>
      <c r="E185" s="298">
        <v>38.0</v>
      </c>
      <c r="F185" s="297"/>
      <c r="G185" s="297"/>
      <c r="H185" s="298">
        <v>52.0</v>
      </c>
      <c r="I185" s="298">
        <v>30.0</v>
      </c>
      <c r="J185" s="297"/>
      <c r="K185" s="297"/>
      <c r="L185" s="297"/>
      <c r="M185" s="359">
        <v>56.0</v>
      </c>
      <c r="N185" s="297"/>
      <c r="O185" s="297"/>
      <c r="P185" s="297"/>
      <c r="Q185" s="297"/>
      <c r="R185" s="295"/>
      <c r="S185" s="137"/>
      <c r="T185" s="297" t="s">
        <v>861</v>
      </c>
      <c r="U185" s="137"/>
      <c r="V185" s="137"/>
      <c r="W185" s="137"/>
      <c r="X185" s="137"/>
      <c r="Y185" s="137"/>
      <c r="Z185" s="137"/>
    </row>
    <row r="186">
      <c r="A186" s="281"/>
      <c r="B186" s="288" t="s">
        <v>918</v>
      </c>
      <c r="C186" s="280" t="s">
        <v>919</v>
      </c>
      <c r="D186" s="289">
        <f>ROUND((F186*'Pawn Weights'!$H$3)+(G186*'Pawn Weights'!$H$4)+(H186*'Pawn Weights'!$H$5)+(I186*'Pawn Weights'!$H$6)+(J186*'Pawn Weights'!$H$7)+(K186*'Pawn Weights'!$H$8)+(L186*'Pawn Weights'!$H$9)+(M186*'Pawn Weights'!$H$10)+(N186*'Pawn Weights'!$H$11)+(O186*'Pawn Weights'!$H$12)+(P186*'Pawn Weights'!$H$13)+(Q186*'Pawn Weights'!$H$14)+12.0897, 2)</f>
        <v>58.7</v>
      </c>
      <c r="E186" s="280">
        <v>43.0</v>
      </c>
      <c r="F186" s="280"/>
      <c r="G186" s="280">
        <v>29.0</v>
      </c>
      <c r="H186" s="280">
        <v>60.0</v>
      </c>
      <c r="I186" s="280"/>
      <c r="J186" s="280"/>
      <c r="K186" s="280"/>
      <c r="L186" s="280"/>
      <c r="M186" s="281"/>
      <c r="N186" s="280"/>
      <c r="O186" s="280"/>
      <c r="P186" s="280"/>
      <c r="Q186" s="280"/>
      <c r="R186" s="290"/>
      <c r="S186" s="281"/>
      <c r="T186" s="291" t="s">
        <v>920</v>
      </c>
      <c r="U186" s="281"/>
      <c r="V186" s="281"/>
      <c r="W186" s="281"/>
    </row>
    <row r="187">
      <c r="A187" s="281"/>
      <c r="B187" s="288" t="s">
        <v>922</v>
      </c>
      <c r="C187" s="280" t="s">
        <v>708</v>
      </c>
      <c r="D187" s="289">
        <f>ROUND((F187*'Pawn Weights'!$H$3)+(G187*'Pawn Weights'!$H$4)+(H187*'Pawn Weights'!$H$5)+(I187*'Pawn Weights'!$H$6)+(J187*'Pawn Weights'!$H$7)+(K187*'Pawn Weights'!$H$8)+(L187*'Pawn Weights'!$H$9)+(M187*'Pawn Weights'!$H$10)+(N187*'Pawn Weights'!$H$11)+(O187*'Pawn Weights'!$H$12)+(P187*'Pawn Weights'!$H$13)+(Q187*'Pawn Weights'!$H$14), 2)</f>
        <v>54.78</v>
      </c>
      <c r="E187" s="280"/>
      <c r="F187" s="280"/>
      <c r="G187" s="280"/>
      <c r="H187" s="280">
        <v>62.0</v>
      </c>
      <c r="I187" s="280">
        <v>19.0</v>
      </c>
      <c r="J187" s="280">
        <v>15.0</v>
      </c>
      <c r="K187" s="280"/>
      <c r="L187" s="280"/>
      <c r="M187" s="281"/>
      <c r="N187" s="280"/>
      <c r="O187" s="280"/>
      <c r="P187" s="280"/>
      <c r="Q187" s="280"/>
      <c r="R187" s="290"/>
      <c r="S187" s="281"/>
      <c r="T187" s="291"/>
      <c r="U187" s="281"/>
      <c r="V187" s="281"/>
      <c r="W187" s="281"/>
    </row>
    <row r="188">
      <c r="A188" s="281"/>
      <c r="B188" s="288" t="s">
        <v>921</v>
      </c>
      <c r="C188" s="280" t="s">
        <v>821</v>
      </c>
      <c r="D188" s="289">
        <f>ROUND((F188*'Pawn Weights'!$H$3)+(G188*'Pawn Weights'!$H$4)+(H188*'Pawn Weights'!$H$5)+(I188*'Pawn Weights'!$H$6)+(J188*'Pawn Weights'!$H$7)+(K188*'Pawn Weights'!$H$8)+(L188*'Pawn Weights'!$H$9)+(M188*'Pawn Weights'!$H$10)+(N188*'Pawn Weights'!$H$11)+(O188*'Pawn Weights'!$H$12)+(P188*'Pawn Weights'!$H$13)+(Q188*'Pawn Weights'!$H$14), 2)</f>
        <v>54.18</v>
      </c>
      <c r="E188" s="280"/>
      <c r="F188" s="280"/>
      <c r="G188" s="280"/>
      <c r="H188" s="280">
        <v>66.0</v>
      </c>
      <c r="I188" s="280"/>
      <c r="J188" s="280"/>
      <c r="K188" s="280">
        <v>31.0</v>
      </c>
      <c r="L188" s="280"/>
      <c r="M188" s="281"/>
      <c r="N188" s="280"/>
      <c r="O188" s="280"/>
      <c r="P188" s="280"/>
      <c r="Q188" s="280"/>
      <c r="R188" s="290"/>
      <c r="S188" s="281"/>
      <c r="T188" s="291"/>
      <c r="U188" s="281"/>
      <c r="V188" s="281"/>
      <c r="W188" s="281"/>
    </row>
    <row r="189">
      <c r="A189" s="292" t="s">
        <v>991</v>
      </c>
      <c r="B189" s="288" t="s">
        <v>1109</v>
      </c>
      <c r="C189" s="280" t="s">
        <v>1110</v>
      </c>
      <c r="D189" s="289">
        <f>ROUND((F189*'Pawn Weights'!$H$3)+(G189*'Pawn Weights'!$H$4)+(H189*'Pawn Weights'!$H$5)+(I189*'Pawn Weights'!$H$6)+(J189*'Pawn Weights'!$H$7)+(K189*'Pawn Weights'!$H$8)+(L189*'Pawn Weights'!$H$9)+(M189*'Pawn Weights'!$H$10)+(N189*'Pawn Weights'!$H$11)+(O189*'Pawn Weights'!$H$12)+(P189*'Pawn Weights'!$H$13)+(Q189*'Pawn Weights'!$H$14), 2)</f>
        <v>53.57</v>
      </c>
      <c r="E189" s="280">
        <v>34.0</v>
      </c>
      <c r="F189" s="280"/>
      <c r="G189" s="280"/>
      <c r="H189" s="280">
        <v>44.0</v>
      </c>
      <c r="I189" s="280">
        <v>26.0</v>
      </c>
      <c r="J189" s="280"/>
      <c r="K189" s="280"/>
      <c r="L189" s="280"/>
      <c r="M189" s="280">
        <v>56.0</v>
      </c>
      <c r="N189" s="280"/>
      <c r="O189" s="280"/>
      <c r="P189" s="280"/>
      <c r="Q189" s="290"/>
      <c r="R189" s="290"/>
      <c r="S189" s="281"/>
      <c r="T189" s="291" t="s">
        <v>861</v>
      </c>
      <c r="U189" s="281"/>
      <c r="V189" s="281"/>
      <c r="W189" s="281"/>
    </row>
    <row r="190">
      <c r="A190" s="281"/>
      <c r="B190" s="288" t="s">
        <v>923</v>
      </c>
      <c r="C190" s="280" t="s">
        <v>656</v>
      </c>
      <c r="D190" s="289">
        <f>ROUND((F190*'Pawn Weights'!$H$3)+(G190*'Pawn Weights'!$H$4)+(H190*'Pawn Weights'!$H$5)+(I190*'Pawn Weights'!$H$6)+(J190*'Pawn Weights'!$H$7)+(K190*'Pawn Weights'!$H$8)+(L190*'Pawn Weights'!$H$9)+(M190*'Pawn Weights'!$H$10)+(N190*'Pawn Weights'!$H$11)+(O190*'Pawn Weights'!$H$12)+(P190*'Pawn Weights'!$H$13)+(Q190*'Pawn Weights'!$H$14), 2)</f>
        <v>52.73</v>
      </c>
      <c r="E190" s="280">
        <v>21.0</v>
      </c>
      <c r="F190" s="280"/>
      <c r="G190" s="280"/>
      <c r="H190" s="280">
        <v>44.0</v>
      </c>
      <c r="I190" s="280">
        <v>23.0</v>
      </c>
      <c r="J190" s="280">
        <v>19.0</v>
      </c>
      <c r="K190" s="280"/>
      <c r="L190" s="280"/>
      <c r="M190" s="281"/>
      <c r="N190" s="280"/>
      <c r="O190" s="280"/>
      <c r="P190" s="280"/>
      <c r="Q190" s="280"/>
      <c r="R190" s="290"/>
      <c r="S190" s="281"/>
      <c r="T190" s="291"/>
      <c r="U190" s="281"/>
      <c r="V190" s="281"/>
      <c r="W190" s="281"/>
    </row>
    <row r="191">
      <c r="A191" s="281"/>
      <c r="B191" s="288" t="s">
        <v>926</v>
      </c>
      <c r="C191" s="280" t="s">
        <v>723</v>
      </c>
      <c r="D191" s="289">
        <f>ROUND((F191*'Pawn Weights'!$H$3)+(G191*'Pawn Weights'!$H$4)+(H191*'Pawn Weights'!$H$5)+(I191*'Pawn Weights'!$H$6)+(J191*'Pawn Weights'!$H$7)+(K191*'Pawn Weights'!$H$8)+(L191*'Pawn Weights'!$H$9)+(M191*'Pawn Weights'!$H$10)+(N191*'Pawn Weights'!$H$11)+(O191*'Pawn Weights'!$H$12)+(P191*'Pawn Weights'!$H$13)+(Q191*'Pawn Weights'!$H$14), 2)</f>
        <v>52.17</v>
      </c>
      <c r="E191" s="280">
        <v>42.0</v>
      </c>
      <c r="F191" s="280"/>
      <c r="G191" s="280">
        <v>21.0</v>
      </c>
      <c r="H191" s="280">
        <v>58.0</v>
      </c>
      <c r="I191" s="280"/>
      <c r="J191" s="280">
        <v>19.0</v>
      </c>
      <c r="K191" s="280"/>
      <c r="L191" s="280"/>
      <c r="M191" s="281"/>
      <c r="N191" s="280"/>
      <c r="O191" s="280"/>
      <c r="P191" s="280"/>
      <c r="Q191" s="280"/>
      <c r="R191" s="290"/>
      <c r="S191" s="281"/>
      <c r="T191" s="291"/>
      <c r="U191" s="281"/>
      <c r="V191" s="281"/>
      <c r="W191" s="281"/>
    </row>
    <row r="192">
      <c r="A192" s="281"/>
      <c r="B192" s="288" t="s">
        <v>927</v>
      </c>
      <c r="C192" s="280" t="s">
        <v>710</v>
      </c>
      <c r="D192" s="289">
        <f>ROUND((F192*'Pawn Weights'!$H$3)+(G192*'Pawn Weights'!$H$4)+(H192*'Pawn Weights'!$H$5)+(I192*'Pawn Weights'!$H$6)+(J192*'Pawn Weights'!$H$7)+(K192*'Pawn Weights'!$H$8)+(L192*'Pawn Weights'!$H$9)+(M192*'Pawn Weights'!$H$10)+(N192*'Pawn Weights'!$H$11)+(O192*'Pawn Weights'!$H$12)+(P192*'Pawn Weights'!$H$13)+(Q192*'Pawn Weights'!$H$14), 2)</f>
        <v>50.53</v>
      </c>
      <c r="E192" s="280">
        <v>19.0</v>
      </c>
      <c r="F192" s="280"/>
      <c r="G192" s="280">
        <v>24.0</v>
      </c>
      <c r="H192" s="280">
        <v>50.0</v>
      </c>
      <c r="I192" s="280"/>
      <c r="J192" s="280">
        <v>19.0</v>
      </c>
      <c r="K192" s="280"/>
      <c r="L192" s="280"/>
      <c r="M192" s="281"/>
      <c r="N192" s="280"/>
      <c r="O192" s="280"/>
      <c r="P192" s="280"/>
      <c r="Q192" s="280"/>
      <c r="R192" s="290"/>
      <c r="S192" s="281"/>
      <c r="T192" s="291"/>
      <c r="U192" s="281"/>
      <c r="V192" s="281"/>
      <c r="W192" s="281"/>
    </row>
    <row r="193">
      <c r="A193" s="281"/>
      <c r="B193" s="288" t="s">
        <v>1111</v>
      </c>
      <c r="C193" s="280" t="s">
        <v>1112</v>
      </c>
      <c r="D193" s="289">
        <f>ROUND((F193*'Pawn Weights'!$H$3)+(G193*'Pawn Weights'!$H$4)+(H193*'Pawn Weights'!$H$5)+(I193*'Pawn Weights'!$H$6)+(J193*'Pawn Weights'!$H$7)+(K193*'Pawn Weights'!$H$8)+(L193*'Pawn Weights'!$H$9)+(M193*'Pawn Weights'!$H$10)+(N193*'Pawn Weights'!$H$11)+(O193*'Pawn Weights'!$H$12)+(P193*'Pawn Weights'!$H$13)+(Q193*'Pawn Weights'!$H$14), 2)</f>
        <v>48.18</v>
      </c>
      <c r="E193" s="280"/>
      <c r="F193" s="280"/>
      <c r="G193" s="280"/>
      <c r="H193" s="280">
        <v>40.0</v>
      </c>
      <c r="I193" s="280">
        <v>20.0</v>
      </c>
      <c r="J193" s="280">
        <v>19.0</v>
      </c>
      <c r="K193" s="280"/>
      <c r="L193" s="280"/>
      <c r="M193" s="281"/>
      <c r="N193" s="280"/>
      <c r="O193" s="280"/>
      <c r="P193" s="280"/>
      <c r="Q193" s="280"/>
      <c r="R193" s="290"/>
      <c r="S193" s="281"/>
      <c r="T193" s="291"/>
      <c r="U193" s="281"/>
      <c r="V193" s="281"/>
      <c r="W193" s="281"/>
    </row>
    <row r="194">
      <c r="A194" s="281"/>
      <c r="B194" s="288" t="s">
        <v>1113</v>
      </c>
      <c r="C194" s="280" t="s">
        <v>881</v>
      </c>
      <c r="D194" s="289">
        <f>ROUND((F194*'Pawn Weights'!$H$3)+(G194*'Pawn Weights'!$H$4)+(H194*'Pawn Weights'!$H$5)+(I194*'Pawn Weights'!$H$6)+(J194*'Pawn Weights'!$H$7)+(K194*'Pawn Weights'!$H$8)+(L194*'Pawn Weights'!$H$9)+(M194*'Pawn Weights'!$H$10)+(N194*'Pawn Weights'!$H$11)+(O194*'Pawn Weights'!$H$12)+(P194*'Pawn Weights'!$H$13)+(Q194*'Pawn Weights'!$H$14), 2)</f>
        <v>46.02</v>
      </c>
      <c r="E194" s="280">
        <v>24.0</v>
      </c>
      <c r="F194" s="280">
        <v>26.0</v>
      </c>
      <c r="G194" s="280"/>
      <c r="H194" s="280"/>
      <c r="I194" s="280">
        <v>22.0</v>
      </c>
      <c r="J194" s="280"/>
      <c r="K194" s="280"/>
      <c r="L194" s="280"/>
      <c r="M194" s="281"/>
      <c r="N194" s="280"/>
      <c r="O194" s="280"/>
      <c r="P194" s="280"/>
      <c r="Q194" s="280"/>
      <c r="R194" s="290"/>
      <c r="S194" s="281"/>
      <c r="T194" s="291"/>
      <c r="U194" s="281"/>
      <c r="V194" s="281"/>
      <c r="W194" s="281"/>
    </row>
    <row r="195">
      <c r="A195" s="281"/>
      <c r="B195" s="288" t="s">
        <v>1114</v>
      </c>
      <c r="C195" s="280" t="s">
        <v>683</v>
      </c>
      <c r="D195" s="289">
        <f>ROUND((F195*'Pawn Weights'!$H$3)+(G195*'Pawn Weights'!$H$4)+(H195*'Pawn Weights'!$H$5)+(I195*'Pawn Weights'!$H$6)+(J195*'Pawn Weights'!$H$7)+(K195*'Pawn Weights'!$H$8)+(L195*'Pawn Weights'!$H$9)+(M195*'Pawn Weights'!$H$10)+(N195*'Pawn Weights'!$H$11)+(O195*'Pawn Weights'!$H$12)+(P195*'Pawn Weights'!$H$13)+(Q195*'Pawn Weights'!$H$14), 2)</f>
        <v>46.01</v>
      </c>
      <c r="E195" s="280">
        <v>30.0</v>
      </c>
      <c r="F195" s="280">
        <v>32.0</v>
      </c>
      <c r="G195" s="280">
        <v>21.0</v>
      </c>
      <c r="H195" s="280"/>
      <c r="I195" s="280"/>
      <c r="J195" s="280"/>
      <c r="K195" s="280"/>
      <c r="L195" s="280"/>
      <c r="M195" s="281"/>
      <c r="N195" s="280"/>
      <c r="O195" s="280"/>
      <c r="P195" s="280"/>
      <c r="Q195" s="280"/>
      <c r="R195" s="290"/>
      <c r="S195" s="281"/>
      <c r="T195" s="291"/>
      <c r="U195" s="281"/>
      <c r="V195" s="281"/>
      <c r="W195" s="281"/>
    </row>
    <row r="196">
      <c r="A196" s="224" t="s">
        <v>928</v>
      </c>
      <c r="B196" s="312" t="s">
        <v>929</v>
      </c>
      <c r="C196" s="281"/>
      <c r="D196" s="360"/>
      <c r="E196" s="313" t="s">
        <v>607</v>
      </c>
      <c r="F196" s="314" t="s">
        <v>608</v>
      </c>
      <c r="G196" s="314" t="s">
        <v>561</v>
      </c>
      <c r="H196" s="314" t="s">
        <v>930</v>
      </c>
      <c r="I196" s="314" t="s">
        <v>330</v>
      </c>
      <c r="J196" s="314" t="s">
        <v>344</v>
      </c>
      <c r="K196" s="314" t="s">
        <v>356</v>
      </c>
      <c r="L196" s="314" t="s">
        <v>563</v>
      </c>
      <c r="M196" s="314" t="s">
        <v>564</v>
      </c>
      <c r="N196" s="281"/>
      <c r="O196" s="281"/>
      <c r="P196" s="281"/>
      <c r="Q196" s="281"/>
      <c r="R196" s="282"/>
      <c r="S196" s="281"/>
      <c r="T196" s="285"/>
      <c r="U196" s="281"/>
      <c r="V196" s="281"/>
      <c r="W196" s="281"/>
    </row>
    <row r="197">
      <c r="A197" s="292" t="s">
        <v>931</v>
      </c>
      <c r="B197" s="288" t="s">
        <v>932</v>
      </c>
      <c r="C197" s="280" t="s">
        <v>871</v>
      </c>
      <c r="D197" s="301"/>
      <c r="E197" s="280">
        <v>30.0</v>
      </c>
      <c r="F197" s="280"/>
      <c r="G197" s="280"/>
      <c r="H197" s="280"/>
      <c r="I197" s="280"/>
      <c r="J197" s="280"/>
      <c r="K197" s="280"/>
      <c r="L197" s="280"/>
      <c r="M197" s="281"/>
      <c r="N197" s="280"/>
      <c r="O197" s="280"/>
      <c r="P197" s="280"/>
      <c r="Q197" s="280"/>
      <c r="R197" s="290"/>
      <c r="S197" s="281"/>
      <c r="T197" s="291" t="s">
        <v>933</v>
      </c>
      <c r="U197" s="281"/>
      <c r="V197" s="281"/>
      <c r="W197" s="281"/>
    </row>
    <row r="198">
      <c r="A198" s="295"/>
      <c r="B198" s="296" t="s">
        <v>938</v>
      </c>
      <c r="C198" s="297" t="s">
        <v>939</v>
      </c>
      <c r="D198" s="289">
        <f>ROUND((F198*'Pawn Weights'!$H$3)+(G198*'Pawn Weights'!$H$4)+(H198*'Pawn Weights'!$H$5)+(I198*'Pawn Weights'!$H$6)+(J198*'Pawn Weights'!$H$7)+(K198*'Pawn Weights'!$H$8)+(L198*'Pawn Weights'!$H$9)+(M198*'Pawn Weights'!$H$10)+(N198*'Pawn Weights'!$H$11)+(O198*'Pawn Weights'!$H$12)+(P198*'Pawn Weights'!$H$13)+(Q198*'Pawn Weights'!$H$14), 2)</f>
        <v>96.81</v>
      </c>
      <c r="E198" s="297"/>
      <c r="F198" s="297"/>
      <c r="G198" s="297"/>
      <c r="H198" s="298">
        <v>92.0</v>
      </c>
      <c r="I198" s="297"/>
      <c r="J198" s="297"/>
      <c r="K198" s="297"/>
      <c r="L198" s="298">
        <v>44.0</v>
      </c>
      <c r="M198" s="137"/>
      <c r="N198" s="297"/>
      <c r="O198" s="297"/>
      <c r="P198" s="297"/>
      <c r="Q198" s="297"/>
      <c r="R198" s="295"/>
      <c r="S198" s="137"/>
      <c r="T198" s="297" t="s">
        <v>940</v>
      </c>
      <c r="U198" s="137"/>
      <c r="V198" s="137"/>
      <c r="W198" s="137"/>
      <c r="X198" s="137"/>
      <c r="Y198" s="137"/>
      <c r="Z198" s="137"/>
    </row>
    <row r="199">
      <c r="A199" s="281"/>
      <c r="B199" s="288" t="s">
        <v>936</v>
      </c>
      <c r="C199" s="280" t="s">
        <v>823</v>
      </c>
      <c r="D199" s="289">
        <f>ROUND((F199*'Pawn Weights'!$H$3)+(G199*'Pawn Weights'!$H$4)+(H199*'Pawn Weights'!$H$5)+(I199*'Pawn Weights'!$H$6)+(J199*'Pawn Weights'!$H$7)+(K199*'Pawn Weights'!$H$8)+(L199*'Pawn Weights'!$H$9)+(M199*'Pawn Weights'!$H$10)+(N199*'Pawn Weights'!$H$11)+(O199*'Pawn Weights'!$H$12)+(P199*'Pawn Weights'!$H$13)+(Q199*'Pawn Weights'!$H$14), 2)</f>
        <v>96.77</v>
      </c>
      <c r="E199" s="280"/>
      <c r="F199" s="280"/>
      <c r="G199" s="280"/>
      <c r="H199" s="280">
        <v>40.0</v>
      </c>
      <c r="I199" s="280"/>
      <c r="J199" s="280"/>
      <c r="K199" s="280">
        <v>100.75</v>
      </c>
      <c r="L199" s="280"/>
      <c r="M199" s="281"/>
      <c r="N199" s="280"/>
      <c r="O199" s="280"/>
      <c r="P199" s="280"/>
      <c r="Q199" s="280"/>
      <c r="R199" s="290"/>
      <c r="S199" s="281"/>
      <c r="T199" s="291" t="s">
        <v>937</v>
      </c>
      <c r="U199" s="281"/>
      <c r="V199" s="281"/>
      <c r="W199" s="281"/>
    </row>
    <row r="200">
      <c r="A200" s="281"/>
      <c r="B200" s="288" t="s">
        <v>941</v>
      </c>
      <c r="C200" s="280" t="s">
        <v>639</v>
      </c>
      <c r="D200" s="289">
        <f>ROUND((F200*'Pawn Weights'!$H$3)+(G200*'Pawn Weights'!$H$4)+(H200*'Pawn Weights'!$H$5)+(I200*'Pawn Weights'!$H$6)+(J200*'Pawn Weights'!$H$7)+(K200*'Pawn Weights'!$H$8)+(L200*'Pawn Weights'!$H$9)+(M200*'Pawn Weights'!$H$10)+(N200*'Pawn Weights'!$H$11)+(O200*'Pawn Weights'!$H$12)+(P200*'Pawn Weights'!$H$13)+(Q200*'Pawn Weights'!$H$14), 2)</f>
        <v>77.15</v>
      </c>
      <c r="E200" s="280"/>
      <c r="F200" s="280"/>
      <c r="G200" s="280"/>
      <c r="H200" s="280">
        <v>84.0</v>
      </c>
      <c r="I200" s="280"/>
      <c r="J200" s="280">
        <v>20.0</v>
      </c>
      <c r="K200" s="280"/>
      <c r="L200" s="280"/>
      <c r="M200" s="280">
        <v>150.0</v>
      </c>
      <c r="N200" s="280"/>
      <c r="O200" s="280"/>
      <c r="P200" s="280"/>
      <c r="Q200" s="280"/>
      <c r="R200" s="290"/>
      <c r="S200" s="281"/>
      <c r="T200" s="291" t="s">
        <v>942</v>
      </c>
      <c r="U200" s="281"/>
      <c r="V200" s="281"/>
      <c r="W200" s="281"/>
    </row>
    <row r="201">
      <c r="A201" s="281"/>
      <c r="B201" s="288" t="s">
        <v>946</v>
      </c>
      <c r="C201" s="280" t="s">
        <v>947</v>
      </c>
      <c r="D201" s="289">
        <f>ROUND((F201*'Pawn Weights'!$H$3)+(G201*'Pawn Weights'!$H$4)+(H201*'Pawn Weights'!$H$5)+(I201*'Pawn Weights'!$H$6)+(J201*'Pawn Weights'!$H$7)+(K201*'Pawn Weights'!$H$8)+(L201*'Pawn Weights'!$H$9)+(M201*'Pawn Weights'!$H$10)+(N201*'Pawn Weights'!$H$11)+(O201*'Pawn Weights'!$H$12)+(P201*'Pawn Weights'!$H$13)+(Q201*'Pawn Weights'!$H$14), 2)</f>
        <v>68.18</v>
      </c>
      <c r="E201" s="280"/>
      <c r="F201" s="280"/>
      <c r="G201" s="280"/>
      <c r="H201" s="280">
        <v>150.0</v>
      </c>
      <c r="I201" s="280"/>
      <c r="J201" s="280"/>
      <c r="K201" s="280"/>
      <c r="L201" s="280"/>
      <c r="M201" s="281"/>
      <c r="N201" s="280"/>
      <c r="O201" s="280"/>
      <c r="P201" s="280"/>
      <c r="Q201" s="280"/>
      <c r="R201" s="290"/>
      <c r="S201" s="281"/>
      <c r="T201" s="291" t="s">
        <v>948</v>
      </c>
      <c r="U201" s="281"/>
      <c r="V201" s="281"/>
      <c r="W201" s="281"/>
    </row>
    <row r="202">
      <c r="A202" s="292" t="s">
        <v>949</v>
      </c>
      <c r="B202" s="288" t="s">
        <v>950</v>
      </c>
      <c r="C202" s="280" t="s">
        <v>951</v>
      </c>
      <c r="D202" s="289">
        <f>ROUND((F202*'Pawn Weights'!$H$3)+(G202*'Pawn Weights'!$H$4)+(H202*'Pawn Weights'!$H$5)+(I202*'Pawn Weights'!$H$6)+(J202*'Pawn Weights'!$H$7)+(K202*'Pawn Weights'!$H$8)+(L202*'Pawn Weights'!$H$9)+(M202*'Pawn Weights'!$H$10)+(N202*'Pawn Weights'!$H$11)+(O202*'Pawn Weights'!$H$12)+(P202*'Pawn Weights'!$H$13)+(Q202*'Pawn Weights'!$H$14), 2)</f>
        <v>68.18</v>
      </c>
      <c r="E202" s="280"/>
      <c r="F202" s="280"/>
      <c r="G202" s="280"/>
      <c r="H202" s="280">
        <v>150.0</v>
      </c>
      <c r="I202" s="280"/>
      <c r="J202" s="280"/>
      <c r="K202" s="280"/>
      <c r="L202" s="280"/>
      <c r="M202" s="281"/>
      <c r="N202" s="280"/>
      <c r="O202" s="280"/>
      <c r="P202" s="280"/>
      <c r="Q202" s="280"/>
      <c r="R202" s="290"/>
      <c r="S202" s="281"/>
      <c r="T202" s="291" t="s">
        <v>952</v>
      </c>
      <c r="U202" s="281"/>
      <c r="V202" s="281"/>
      <c r="W202" s="281"/>
    </row>
    <row r="203">
      <c r="A203" s="281"/>
      <c r="B203" s="288" t="s">
        <v>956</v>
      </c>
      <c r="C203" s="280" t="s">
        <v>957</v>
      </c>
      <c r="D203" s="289">
        <f>ROUND((F203*'Pawn Weights'!$H$3)+(G203*'Pawn Weights'!$H$4)+(H203*'Pawn Weights'!$H$5)+(I203*'Pawn Weights'!$H$6)+(J203*'Pawn Weights'!$H$7)+(K203*'Pawn Weights'!$H$8)+(L203*'Pawn Weights'!$H$9)+(M203*'Pawn Weights'!$H$10)+(N203*'Pawn Weights'!$H$11)+(O203*'Pawn Weights'!$H$12)+(P203*'Pawn Weights'!$H$13)+(Q203*'Pawn Weights'!$H$14), 2)</f>
        <v>60.79</v>
      </c>
      <c r="E203" s="280"/>
      <c r="F203" s="280"/>
      <c r="G203" s="280"/>
      <c r="H203" s="280">
        <v>44.0</v>
      </c>
      <c r="I203" s="280">
        <v>38.0</v>
      </c>
      <c r="J203" s="280">
        <v>10.0</v>
      </c>
      <c r="K203" s="280"/>
      <c r="L203" s="280"/>
      <c r="M203" s="281"/>
      <c r="N203" s="280"/>
      <c r="O203" s="280"/>
      <c r="P203" s="280"/>
      <c r="Q203" s="280"/>
      <c r="R203" s="290"/>
      <c r="S203" s="281"/>
      <c r="T203" s="291" t="s">
        <v>958</v>
      </c>
      <c r="U203" s="281"/>
      <c r="V203" s="281"/>
      <c r="W203" s="281"/>
    </row>
    <row r="204">
      <c r="A204" s="219" t="s">
        <v>627</v>
      </c>
      <c r="B204" s="296" t="s">
        <v>953</v>
      </c>
      <c r="C204" s="297" t="s">
        <v>954</v>
      </c>
      <c r="D204" s="289">
        <f>ROUND((F204*'Pawn Weights'!$H$3)+(G204*'Pawn Weights'!$H$4)+(H204*'Pawn Weights'!$H$5)+(I204*'Pawn Weights'!$H$6)+(J204*'Pawn Weights'!$H$7)+(K204*'Pawn Weights'!$H$8)+(L204*'Pawn Weights'!$H$9)+(M204*'Pawn Weights'!$H$10)+(N204*'Pawn Weights'!$H$11)+(O204*'Pawn Weights'!$H$12)+(P204*'Pawn Weights'!$H$13)+(Q204*'Pawn Weights'!$H$14), 2)</f>
        <v>60.6</v>
      </c>
      <c r="E204" s="295"/>
      <c r="F204" s="295"/>
      <c r="G204" s="295"/>
      <c r="H204" s="298">
        <v>133.33</v>
      </c>
      <c r="I204" s="295"/>
      <c r="J204" s="295"/>
      <c r="K204" s="295"/>
      <c r="L204" s="295"/>
      <c r="M204" s="137"/>
      <c r="N204" s="295"/>
      <c r="O204" s="295"/>
      <c r="P204" s="295"/>
      <c r="Q204" s="295"/>
      <c r="R204" s="295"/>
      <c r="S204" s="137"/>
      <c r="T204" s="297" t="s">
        <v>955</v>
      </c>
      <c r="U204" s="137"/>
      <c r="V204" s="137"/>
      <c r="W204" s="137"/>
      <c r="X204" s="137"/>
      <c r="Y204" s="137"/>
      <c r="Z204" s="137"/>
    </row>
    <row r="205">
      <c r="A205" s="281"/>
      <c r="B205" s="288" t="s">
        <v>959</v>
      </c>
      <c r="C205" s="154" t="s">
        <v>960</v>
      </c>
      <c r="D205" s="289">
        <f>ROUND((F205*'Pawn Weights'!$H$3)+(G205*'Pawn Weights'!$H$4)+(H205*'Pawn Weights'!$H$5)+(I205*'Pawn Weights'!$H$6)+(J205*'Pawn Weights'!$H$7)+(K205*'Pawn Weights'!$H$8)+(L205*'Pawn Weights'!$H$9)+(M205*'Pawn Weights'!$H$10)+(N205*'Pawn Weights'!$H$11)+(O205*'Pawn Weights'!$H$12)+(P205*'Pawn Weights'!$H$13)+(Q205*'Pawn Weights'!$H$14), 2)</f>
        <v>54.54</v>
      </c>
      <c r="E205" s="280"/>
      <c r="F205" s="280"/>
      <c r="G205" s="280"/>
      <c r="H205" s="280">
        <v>120.0</v>
      </c>
      <c r="I205" s="280"/>
      <c r="J205" s="280"/>
      <c r="K205" s="280"/>
      <c r="L205" s="280"/>
      <c r="M205" s="280"/>
      <c r="N205" s="280"/>
      <c r="O205" s="280"/>
      <c r="P205" s="280"/>
      <c r="Q205" s="280"/>
      <c r="R205" s="290"/>
      <c r="S205" s="281"/>
      <c r="T205" s="291" t="s">
        <v>961</v>
      </c>
      <c r="U205" s="281"/>
      <c r="V205" s="281"/>
      <c r="W205" s="281"/>
      <c r="X205" s="281"/>
    </row>
    <row r="206">
      <c r="A206" s="281"/>
      <c r="B206" s="288" t="s">
        <v>962</v>
      </c>
      <c r="C206" s="280" t="s">
        <v>963</v>
      </c>
      <c r="D206" s="289">
        <f>ROUND((F206*'Pawn Weights'!$H$3)+(G206*'Pawn Weights'!$H$4)+(H206*'Pawn Weights'!$H$5)+(I206*'Pawn Weights'!$H$6)+(J206*'Pawn Weights'!$H$7)+(K206*'Pawn Weights'!$H$8)+(L206*'Pawn Weights'!$H$9)+(M206*'Pawn Weights'!$H$10)+(N206*'Pawn Weights'!$H$11)+(O206*'Pawn Weights'!$H$12)+(P206*'Pawn Weights'!$H$13)+(Q206*'Pawn Weights'!$H$14), 2)</f>
        <v>53.63</v>
      </c>
      <c r="E206" s="280"/>
      <c r="F206" s="280"/>
      <c r="G206" s="280"/>
      <c r="H206" s="280">
        <v>118.0</v>
      </c>
      <c r="I206" s="280"/>
      <c r="J206" s="280"/>
      <c r="K206" s="280"/>
      <c r="L206" s="280"/>
      <c r="M206" s="280"/>
      <c r="N206" s="280"/>
      <c r="O206" s="280"/>
      <c r="P206" s="280"/>
      <c r="Q206" s="280"/>
      <c r="R206" s="290"/>
      <c r="S206" s="281"/>
      <c r="T206" s="291" t="s">
        <v>964</v>
      </c>
      <c r="U206" s="281"/>
      <c r="V206" s="281"/>
      <c r="W206" s="281"/>
      <c r="X206" s="281"/>
    </row>
    <row r="207">
      <c r="A207" s="292" t="s">
        <v>965</v>
      </c>
      <c r="B207" s="288" t="s">
        <v>966</v>
      </c>
      <c r="C207" s="280" t="s">
        <v>967</v>
      </c>
      <c r="D207" s="289">
        <f>ROUND((F207*'Pawn Weights'!$H$3)+(G207*'Pawn Weights'!$H$4)+(H207*'Pawn Weights'!$H$5)+(I207*'Pawn Weights'!$H$6)+(J207*'Pawn Weights'!$H$7)+(K207*'Pawn Weights'!$H$8)+(L207*'Pawn Weights'!$H$9)+(M207*'Pawn Weights'!$H$10)+(N207*'Pawn Weights'!$H$11)+(O207*'Pawn Weights'!$H$12)+(P207*'Pawn Weights'!$H$13)+(Q207*'Pawn Weights'!$H$14), 2)</f>
        <v>48.63</v>
      </c>
      <c r="E207" s="280"/>
      <c r="F207" s="280"/>
      <c r="G207" s="280"/>
      <c r="H207" s="280">
        <v>107.0</v>
      </c>
      <c r="I207" s="280"/>
      <c r="J207" s="280"/>
      <c r="K207" s="280"/>
      <c r="L207" s="280"/>
      <c r="M207" s="281"/>
      <c r="N207" s="280"/>
      <c r="O207" s="280"/>
      <c r="P207" s="280"/>
      <c r="Q207" s="280"/>
      <c r="R207" s="290"/>
      <c r="S207" s="281"/>
      <c r="T207" s="291" t="s">
        <v>968</v>
      </c>
      <c r="U207" s="281"/>
      <c r="V207" s="281"/>
      <c r="W207" s="281"/>
    </row>
    <row r="208">
      <c r="A208" s="281"/>
      <c r="B208" s="311" t="s">
        <v>969</v>
      </c>
      <c r="C208" s="280" t="s">
        <v>970</v>
      </c>
      <c r="D208" s="289">
        <f>ROUND((F208*'Pawn Weights'!$H$3)+(G208*'Pawn Weights'!$H$4)+(H208*'Pawn Weights'!$H$5)+(I208*'Pawn Weights'!$H$6)+(J208*'Pawn Weights'!$H$7)+(K208*'Pawn Weights'!$H$8)+(L208*'Pawn Weights'!$H$9)+(M208*'Pawn Weights'!$H$10)+(N208*'Pawn Weights'!$H$11)+(O208*'Pawn Weights'!$H$12)+(P208*'Pawn Weights'!$H$13)+(Q208*'Pawn Weights'!$H$14), 2)</f>
        <v>46.85</v>
      </c>
      <c r="E208" s="280"/>
      <c r="F208" s="280"/>
      <c r="G208" s="280"/>
      <c r="H208" s="280">
        <v>39.0</v>
      </c>
      <c r="I208" s="280">
        <v>32.0</v>
      </c>
      <c r="J208" s="280"/>
      <c r="K208" s="280"/>
      <c r="L208" s="280"/>
      <c r="M208" s="280"/>
      <c r="N208" s="280"/>
      <c r="O208" s="280"/>
      <c r="P208" s="280"/>
      <c r="Q208" s="280"/>
      <c r="R208" s="290"/>
      <c r="S208" s="281"/>
      <c r="T208" s="291" t="s">
        <v>971</v>
      </c>
      <c r="U208" s="281"/>
      <c r="V208" s="281"/>
      <c r="W208" s="281"/>
      <c r="X208" s="281"/>
    </row>
    <row r="209">
      <c r="A209" s="272" t="s">
        <v>972</v>
      </c>
      <c r="B209" s="281"/>
      <c r="C209" s="281"/>
      <c r="D209" s="301"/>
      <c r="E209" s="281"/>
      <c r="F209" s="281"/>
      <c r="G209" s="281"/>
      <c r="H209" s="281"/>
      <c r="I209" s="281"/>
      <c r="J209" s="281"/>
      <c r="K209" s="281"/>
      <c r="L209" s="281"/>
      <c r="M209" s="281"/>
      <c r="N209" s="281"/>
      <c r="O209" s="281"/>
      <c r="P209" s="281"/>
      <c r="Q209" s="281"/>
      <c r="R209" s="282"/>
      <c r="S209" s="281"/>
      <c r="T209" s="285"/>
      <c r="U209" s="281"/>
      <c r="V209" s="281"/>
      <c r="W209" s="281"/>
    </row>
    <row r="210">
      <c r="A210" s="137"/>
      <c r="B210" s="341" t="s">
        <v>979</v>
      </c>
      <c r="C210" s="361" t="s">
        <v>980</v>
      </c>
      <c r="D210" s="289">
        <f>ROUND((F210*'Pawn Weights'!$H$3)+(G210*'Pawn Weights'!$H$4)+(H210*'Pawn Weights'!$H$5)+(I210*'Pawn Weights'!$H$6)+(J210*'Pawn Weights'!$H$7)+(K210*'Pawn Weights'!$H$8)+(L210*'Pawn Weights'!$H$9)+(M210*'Pawn Weights'!$H$10)+(N210*'Pawn Weights'!$H$11)+(O210*'Pawn Weights'!$H$12)+(P210*'Pawn Weights'!$H$13)+(Q210*'Pawn Weights'!$H$14), 2)</f>
        <v>39.62</v>
      </c>
      <c r="E210" s="137"/>
      <c r="F210" s="137"/>
      <c r="G210" s="137"/>
      <c r="H210" s="359">
        <v>32.0</v>
      </c>
      <c r="I210" s="359">
        <v>18.0</v>
      </c>
      <c r="J210" s="359">
        <v>14.0</v>
      </c>
      <c r="K210" s="137"/>
      <c r="L210" s="137"/>
      <c r="M210" s="137"/>
      <c r="N210" s="137"/>
      <c r="O210" s="137"/>
      <c r="P210" s="137"/>
      <c r="Q210" s="137"/>
      <c r="R210" s="137"/>
      <c r="S210" s="137"/>
      <c r="T210" s="137"/>
      <c r="U210" s="137"/>
      <c r="V210" s="137"/>
      <c r="W210" s="137"/>
      <c r="X210" s="137"/>
      <c r="Y210" s="137"/>
      <c r="Z210" s="137"/>
    </row>
    <row r="211">
      <c r="A211" s="281"/>
      <c r="B211" s="288" t="s">
        <v>976</v>
      </c>
      <c r="C211" s="280" t="s">
        <v>947</v>
      </c>
      <c r="D211" s="289">
        <f>ROUND((F211*'Pawn Weights'!$H$3)+(G211*'Pawn Weights'!$H$4)+(H211*'Pawn Weights'!$H$5)+(I211*'Pawn Weights'!$H$6)+(J211*'Pawn Weights'!$H$7)+(K211*'Pawn Weights'!$H$8)+(L211*'Pawn Weights'!$H$9)+(M211*'Pawn Weights'!$H$10)+(N211*'Pawn Weights'!$H$11)+(O211*'Pawn Weights'!$H$12)+(P211*'Pawn Weights'!$H$13)+(Q211*'Pawn Weights'!$H$14), 2)</f>
        <v>39.57</v>
      </c>
      <c r="E211" s="280"/>
      <c r="F211" s="280"/>
      <c r="G211" s="280"/>
      <c r="H211" s="280">
        <v>38.0</v>
      </c>
      <c r="I211" s="280"/>
      <c r="J211" s="280"/>
      <c r="K211" s="320"/>
      <c r="L211" s="320"/>
      <c r="M211" s="280">
        <v>126.0</v>
      </c>
      <c r="N211" s="320"/>
      <c r="O211" s="280"/>
      <c r="P211" s="320"/>
      <c r="Q211" s="320"/>
      <c r="R211" s="290"/>
      <c r="S211" s="281"/>
      <c r="T211" s="291"/>
      <c r="U211" s="281"/>
      <c r="V211" s="281"/>
      <c r="W211" s="281"/>
    </row>
    <row r="212">
      <c r="A212" s="281"/>
      <c r="B212" s="288" t="s">
        <v>981</v>
      </c>
      <c r="C212" s="280" t="s">
        <v>982</v>
      </c>
      <c r="D212" s="289">
        <f>ROUND((F212*'Pawn Weights'!$H$3)+(G212*'Pawn Weights'!$H$4)+(H212*'Pawn Weights'!$H$5)+(I212*'Pawn Weights'!$H$6)+(J212*'Pawn Weights'!$H$7)+(K212*'Pawn Weights'!$H$8)+(L212*'Pawn Weights'!$H$9)+(M212*'Pawn Weights'!$H$10)+(N212*'Pawn Weights'!$H$11)+(O212*'Pawn Weights'!$H$12)+(P212*'Pawn Weights'!$H$13)+(Q212*'Pawn Weights'!$H$14)+2.73, 2)</f>
        <v>33.4</v>
      </c>
      <c r="E212" s="280"/>
      <c r="F212" s="280"/>
      <c r="G212" s="280">
        <v>16.0</v>
      </c>
      <c r="H212" s="280"/>
      <c r="I212" s="280"/>
      <c r="J212" s="280"/>
      <c r="K212" s="320"/>
      <c r="L212" s="320"/>
      <c r="M212" s="281"/>
      <c r="N212" s="320"/>
      <c r="O212" s="280">
        <v>2.0</v>
      </c>
      <c r="P212" s="320"/>
      <c r="Q212" s="320"/>
      <c r="R212" s="290" t="s">
        <v>702</v>
      </c>
      <c r="S212" s="281"/>
      <c r="T212" s="291"/>
      <c r="U212" s="281"/>
      <c r="V212" s="281"/>
      <c r="W212" s="281"/>
    </row>
    <row r="213">
      <c r="A213" s="219" t="s">
        <v>671</v>
      </c>
      <c r="B213" s="296" t="s">
        <v>985</v>
      </c>
      <c r="C213" s="297" t="s">
        <v>637</v>
      </c>
      <c r="D213" s="289">
        <f>ROUND((F213*'Pawn Weights'!$H$3)+(G213*'Pawn Weights'!$H$4)+(H213*'Pawn Weights'!$H$5)+(I213*'Pawn Weights'!$H$6)+(J213*'Pawn Weights'!$H$7)+(K213*'Pawn Weights'!$H$8)+(L213*'Pawn Weights'!$H$9)+(M213*'Pawn Weights'!$H$10)+(N213*'Pawn Weights'!$H$11)+(O213*'Pawn Weights'!$H$12)+(P213*'Pawn Weights'!$H$13)+(Q213*'Pawn Weights'!$H$14), 2)</f>
        <v>31.83</v>
      </c>
      <c r="E213" s="298">
        <v>27.0</v>
      </c>
      <c r="F213" s="295"/>
      <c r="G213" s="295"/>
      <c r="H213" s="298">
        <v>34.0</v>
      </c>
      <c r="I213" s="298">
        <v>18.0</v>
      </c>
      <c r="J213" s="295"/>
      <c r="K213" s="295"/>
      <c r="L213" s="137"/>
      <c r="M213" s="137"/>
      <c r="N213" s="137"/>
      <c r="O213" s="295"/>
      <c r="P213" s="137"/>
      <c r="Q213" s="137"/>
      <c r="R213" s="295"/>
      <c r="S213" s="137"/>
      <c r="T213" s="297" t="s">
        <v>986</v>
      </c>
      <c r="U213" s="137"/>
      <c r="V213" s="137"/>
      <c r="W213" s="137"/>
      <c r="X213" s="137"/>
      <c r="Y213" s="137"/>
      <c r="Z213" s="137"/>
    </row>
    <row r="214">
      <c r="A214" s="281"/>
      <c r="B214" s="288" t="s">
        <v>987</v>
      </c>
      <c r="C214" s="280" t="s">
        <v>649</v>
      </c>
      <c r="D214" s="289">
        <f>ROUND((F214*'Pawn Weights'!$H$3)+(G214*'Pawn Weights'!$H$4)+(H214*'Pawn Weights'!$H$5)+(I214*'Pawn Weights'!$H$6)+(J214*'Pawn Weights'!$H$7)+(K214*'Pawn Weights'!$H$8)+(L214*'Pawn Weights'!$H$9)+(M214*'Pawn Weights'!$H$10)+(N214*'Pawn Weights'!$H$11)+(O214*'Pawn Weights'!$H$12)+(P214*'Pawn Weights'!$H$13)+(Q214*'Pawn Weights'!$H$14), 2)</f>
        <v>31.83</v>
      </c>
      <c r="E214" s="280">
        <v>17.0</v>
      </c>
      <c r="F214" s="280"/>
      <c r="G214" s="280"/>
      <c r="H214" s="280">
        <v>38.0</v>
      </c>
      <c r="I214" s="280">
        <v>16.0</v>
      </c>
      <c r="J214" s="280"/>
      <c r="K214" s="320"/>
      <c r="L214" s="320"/>
      <c r="M214" s="281"/>
      <c r="N214" s="320"/>
      <c r="O214" s="280"/>
      <c r="P214" s="320"/>
      <c r="Q214" s="320"/>
      <c r="R214" s="290"/>
      <c r="S214" s="281"/>
      <c r="T214" s="291"/>
      <c r="U214" s="281"/>
      <c r="V214" s="281"/>
      <c r="W214" s="281"/>
    </row>
    <row r="215">
      <c r="A215" s="281"/>
      <c r="B215" s="288" t="s">
        <v>983</v>
      </c>
      <c r="C215" s="280" t="s">
        <v>984</v>
      </c>
      <c r="D215" s="289">
        <f>ROUND((F215*'Pawn Weights'!$H$3)+(G215*'Pawn Weights'!$H$4)+(H215*'Pawn Weights'!$H$5)+(I215*'Pawn Weights'!$H$6)+(J215*'Pawn Weights'!$H$7)+(K215*'Pawn Weights'!$H$8)+(L215*'Pawn Weights'!$H$9)+(M215*'Pawn Weights'!$H$10)+(N215*'Pawn Weights'!$H$11)+(O215*'Pawn Weights'!$H$12)+(P215*'Pawn Weights'!$H$13)+(Q215*'Pawn Weights'!$H$14), 2)</f>
        <v>31.31</v>
      </c>
      <c r="E215" s="280"/>
      <c r="F215" s="280"/>
      <c r="G215" s="280"/>
      <c r="H215" s="280">
        <v>38.0</v>
      </c>
      <c r="I215" s="280"/>
      <c r="J215" s="280"/>
      <c r="K215" s="280">
        <v>18.0</v>
      </c>
      <c r="L215" s="320"/>
      <c r="M215" s="281"/>
      <c r="N215" s="320"/>
      <c r="O215" s="280"/>
      <c r="P215" s="320"/>
      <c r="Q215" s="320"/>
      <c r="R215" s="290"/>
      <c r="S215" s="281"/>
      <c r="T215" s="291"/>
      <c r="U215" s="281"/>
      <c r="V215" s="281"/>
      <c r="W215" s="281"/>
    </row>
    <row r="216">
      <c r="A216" s="137"/>
      <c r="B216" s="296" t="s">
        <v>989</v>
      </c>
      <c r="C216" s="297" t="s">
        <v>990</v>
      </c>
      <c r="D216" s="289">
        <f>ROUND((F216*'Pawn Weights'!$H$3)+(G216*'Pawn Weights'!$H$4)+(H216*'Pawn Weights'!$H$5)+(I216*'Pawn Weights'!$H$6)+(J216*'Pawn Weights'!$H$7)+(K216*'Pawn Weights'!$H$8)+(L216*'Pawn Weights'!$H$9)+(M216*'Pawn Weights'!$H$10)+(N216*'Pawn Weights'!$H$11)+(O216*'Pawn Weights'!$H$12)+(P216*'Pawn Weights'!$H$13)+(Q216*'Pawn Weights'!$H$14), 2)</f>
        <v>28.96</v>
      </c>
      <c r="E216" s="295"/>
      <c r="F216" s="295"/>
      <c r="G216" s="298">
        <v>14.0</v>
      </c>
      <c r="H216" s="298">
        <v>26.0</v>
      </c>
      <c r="I216" s="295"/>
      <c r="J216" s="295"/>
      <c r="K216" s="298">
        <v>10.0</v>
      </c>
      <c r="L216" s="137"/>
      <c r="M216" s="137"/>
      <c r="N216" s="137"/>
      <c r="O216" s="295"/>
      <c r="P216" s="137"/>
      <c r="Q216" s="137"/>
      <c r="R216" s="295"/>
      <c r="S216" s="137"/>
      <c r="T216" s="295"/>
      <c r="U216" s="137"/>
      <c r="V216" s="137"/>
      <c r="W216" s="137"/>
      <c r="X216" s="137"/>
      <c r="Y216" s="137"/>
      <c r="Z216" s="137"/>
    </row>
    <row r="217">
      <c r="A217" s="281"/>
      <c r="B217" s="288" t="s">
        <v>988</v>
      </c>
      <c r="C217" s="280" t="s">
        <v>727</v>
      </c>
      <c r="D217" s="289">
        <f>ROUND((F217*'Pawn Weights'!$H$3)+(G217*'Pawn Weights'!$H$4)+(H217*'Pawn Weights'!$H$5)+(I217*'Pawn Weights'!$H$6)+(J217*'Pawn Weights'!$H$7)+(K217*'Pawn Weights'!$H$8)+(L217*'Pawn Weights'!$H$9)+(M217*'Pawn Weights'!$H$10)+(N217*'Pawn Weights'!$H$11)+(O217*'Pawn Weights'!$H$12)+(P217*'Pawn Weights'!$H$13)+(Q217*'Pawn Weights'!$H$14), 2)</f>
        <v>29.9</v>
      </c>
      <c r="E217" s="280"/>
      <c r="F217" s="280"/>
      <c r="G217" s="280">
        <v>23.0</v>
      </c>
      <c r="H217" s="280"/>
      <c r="I217" s="280">
        <v>16.0</v>
      </c>
      <c r="J217" s="280"/>
      <c r="K217" s="320"/>
      <c r="L217" s="320"/>
      <c r="M217" s="281"/>
      <c r="N217" s="320"/>
      <c r="O217" s="280"/>
      <c r="P217" s="320"/>
      <c r="Q217" s="320"/>
      <c r="R217" s="290"/>
      <c r="S217" s="281"/>
      <c r="T217" s="291"/>
      <c r="U217" s="281"/>
      <c r="V217" s="281"/>
      <c r="W217" s="281"/>
    </row>
    <row r="218" ht="14.25" customHeight="1">
      <c r="A218" s="25" t="s">
        <v>991</v>
      </c>
      <c r="B218" s="288" t="s">
        <v>992</v>
      </c>
      <c r="C218" s="154" t="s">
        <v>646</v>
      </c>
      <c r="D218" s="289">
        <f>ROUND((F218*'Pawn Weights'!$H$3)+(G218*'Pawn Weights'!$H$4)+(H218*'Pawn Weights'!$H$5)+(I218*'Pawn Weights'!$H$6)+(J218*'Pawn Weights'!$H$7)+(K218*'Pawn Weights'!$H$8)+(L218*'Pawn Weights'!$H$9)+(M218*'Pawn Weights'!$H$10)+(N218*'Pawn Weights'!$H$11)+(O218*'Pawn Weights'!$H$12)+(P218*'Pawn Weights'!$H$13)+(Q218*'Pawn Weights'!$H$14), 2)</f>
        <v>29.11</v>
      </c>
      <c r="E218" s="280">
        <v>24.0</v>
      </c>
      <c r="F218" s="280"/>
      <c r="G218" s="280"/>
      <c r="H218" s="280">
        <v>30.0</v>
      </c>
      <c r="I218" s="280">
        <v>17.0</v>
      </c>
      <c r="J218" s="280"/>
      <c r="K218" s="280"/>
      <c r="L218" s="280"/>
      <c r="M218" s="281"/>
      <c r="N218" s="280"/>
      <c r="O218" s="280"/>
      <c r="P218" s="280"/>
      <c r="Q218" s="280"/>
      <c r="R218" s="290"/>
      <c r="S218" s="281"/>
      <c r="T218" s="291" t="s">
        <v>986</v>
      </c>
      <c r="U218" s="281"/>
      <c r="V218" s="281"/>
      <c r="W218" s="281"/>
    </row>
    <row r="219">
      <c r="A219" s="281"/>
      <c r="B219" s="288" t="s">
        <v>994</v>
      </c>
      <c r="C219" s="280" t="s">
        <v>656</v>
      </c>
      <c r="D219" s="289">
        <f>ROUND((F219*'Pawn Weights'!$H$3)+(G219*'Pawn Weights'!$H$4)+(H219*'Pawn Weights'!$H$5)+(I219*'Pawn Weights'!$H$6)+(J219*'Pawn Weights'!$H$7)+(K219*'Pawn Weights'!$H$8)+(L219*'Pawn Weights'!$H$9)+(M219*'Pawn Weights'!$H$10)+(N219*'Pawn Weights'!$H$11)+(O219*'Pawn Weights'!$H$12)+(P219*'Pawn Weights'!$H$13)+(Q219*'Pawn Weights'!$H$14), 2)</f>
        <v>28.13</v>
      </c>
      <c r="E219" s="280"/>
      <c r="F219" s="280"/>
      <c r="G219" s="280">
        <v>19.0</v>
      </c>
      <c r="H219" s="280">
        <v>34.0</v>
      </c>
      <c r="I219" s="280"/>
      <c r="J219" s="280"/>
      <c r="K219" s="320"/>
      <c r="L219" s="320"/>
      <c r="M219" s="281"/>
      <c r="N219" s="320"/>
      <c r="O219" s="320"/>
      <c r="P219" s="320"/>
      <c r="Q219" s="320"/>
      <c r="R219" s="321"/>
      <c r="S219" s="281"/>
      <c r="T219" s="291"/>
      <c r="U219" s="281"/>
      <c r="V219" s="281"/>
      <c r="W219" s="281"/>
    </row>
    <row r="220" ht="14.25" customHeight="1">
      <c r="A220" s="25" t="s">
        <v>995</v>
      </c>
      <c r="B220" s="288" t="s">
        <v>996</v>
      </c>
      <c r="C220" s="154" t="s">
        <v>997</v>
      </c>
      <c r="D220" s="289">
        <f>ROUND((F220*'Pawn Weights'!$H$3)+(G220*'Pawn Weights'!$H$4)+(H220*'Pawn Weights'!$H$5)+(I220*'Pawn Weights'!$H$6)+(J220*'Pawn Weights'!$H$7)+(K220*'Pawn Weights'!$H$8)+(L220*'Pawn Weights'!$H$9)+(M220*'Pawn Weights'!$H$10)+(N220*'Pawn Weights'!$H$11)+(O220*'Pawn Weights'!$H$12)+(P220*'Pawn Weights'!$H$13)+(Q220*'Pawn Weights'!$H$14), 2)</f>
        <v>27.29</v>
      </c>
      <c r="E220" s="280">
        <v>21.0</v>
      </c>
      <c r="F220" s="280"/>
      <c r="G220" s="280"/>
      <c r="H220" s="280">
        <v>28.0</v>
      </c>
      <c r="I220" s="280">
        <v>16.0</v>
      </c>
      <c r="J220" s="280"/>
      <c r="K220" s="280"/>
      <c r="L220" s="280"/>
      <c r="M220" s="281"/>
      <c r="N220" s="280"/>
      <c r="O220" s="280"/>
      <c r="P220" s="280"/>
      <c r="Q220" s="280"/>
      <c r="R220" s="290"/>
      <c r="S220" s="281"/>
      <c r="T220" s="291" t="s">
        <v>986</v>
      </c>
      <c r="U220" s="281"/>
      <c r="V220" s="281"/>
      <c r="W220" s="281"/>
    </row>
    <row r="221">
      <c r="B221" s="322" t="s">
        <v>998</v>
      </c>
      <c r="C221" s="154" t="s">
        <v>999</v>
      </c>
      <c r="D221" s="289">
        <f>ROUND((F221*'Pawn Weights'!$H$3)+(G221*'Pawn Weights'!$H$4)+(H221*'Pawn Weights'!$H$5)+(I221*'Pawn Weights'!$H$6)+(J221*'Pawn Weights'!$H$7)+(K221*'Pawn Weights'!$H$8)+(L221*'Pawn Weights'!$H$9)+(M221*'Pawn Weights'!$H$10)+(N221*'Pawn Weights'!$H$11)+(O221*'Pawn Weights'!$H$12)+(P221*'Pawn Weights'!$H$13)+(Q221*'Pawn Weights'!$H$14), 2)</f>
        <v>26.67</v>
      </c>
      <c r="E221" s="280"/>
      <c r="F221" s="280"/>
      <c r="G221" s="280">
        <v>10.0</v>
      </c>
      <c r="H221" s="280">
        <v>32.0</v>
      </c>
      <c r="I221" s="280">
        <v>6.0</v>
      </c>
      <c r="J221" s="280"/>
      <c r="K221" s="280"/>
      <c r="L221" s="280"/>
      <c r="M221" s="281"/>
      <c r="N221" s="280"/>
      <c r="O221" s="280"/>
      <c r="P221" s="280"/>
      <c r="Q221" s="280"/>
      <c r="R221" s="290"/>
      <c r="S221" s="281"/>
      <c r="T221" s="291"/>
      <c r="U221" s="281"/>
      <c r="V221" s="281"/>
      <c r="W221" s="281"/>
    </row>
    <row r="222">
      <c r="A222" s="137"/>
      <c r="B222" s="296" t="s">
        <v>1120</v>
      </c>
      <c r="C222" s="297" t="s">
        <v>681</v>
      </c>
      <c r="D222" s="367">
        <f>ROUND((F222*'Pawn Weights'!$H$3)+(G222*'Pawn Weights'!$H$4)+(H222*'Pawn Weights'!$H$5)+(I222*'Pawn Weights'!$H$6)+(J222*'Pawn Weights'!$H$7)+(K222*'Pawn Weights'!$H$8)+(L222*'Pawn Weights'!$H$9)+(M222*'Pawn Weights'!$H$10)+(N222*'Pawn Weights'!$H$11)+(O222*'Pawn Weights'!$H$12)+(P222*'Pawn Weights'!$H$13)+(Q222*'Pawn Weights'!$H$14), 2)</f>
        <v>25.65</v>
      </c>
      <c r="E222" s="298">
        <v>14.0</v>
      </c>
      <c r="F222" s="297"/>
      <c r="G222" s="297"/>
      <c r="H222" s="297"/>
      <c r="I222" s="298">
        <v>20.0</v>
      </c>
      <c r="J222" s="298">
        <v>12.0</v>
      </c>
      <c r="K222" s="295"/>
      <c r="L222" s="295"/>
      <c r="M222" s="137"/>
      <c r="N222" s="295"/>
      <c r="O222" s="297"/>
      <c r="P222" s="295"/>
      <c r="Q222" s="295"/>
      <c r="R222" s="295"/>
      <c r="S222" s="137"/>
      <c r="T222" s="295"/>
      <c r="U222" s="137"/>
      <c r="V222" s="137"/>
      <c r="W222" s="137"/>
      <c r="X222" s="137"/>
      <c r="Y222" s="137"/>
      <c r="Z222" s="137"/>
    </row>
    <row r="223">
      <c r="A223" s="281"/>
      <c r="B223" s="288" t="s">
        <v>1121</v>
      </c>
      <c r="C223" s="280" t="s">
        <v>1122</v>
      </c>
      <c r="D223" s="289">
        <f>ROUND((F223*'Pawn Weights'!$H$3)+(G223*'Pawn Weights'!$H$4)+(H223*'Pawn Weights'!$H$5)+(I223*'Pawn Weights'!$H$6)+(J223*'Pawn Weights'!$H$7)+(K223*'Pawn Weights'!$H$8)+(L223*'Pawn Weights'!$H$9)+(M223*'Pawn Weights'!$H$10)+(N223*'Pawn Weights'!$H$11)+(O223*'Pawn Weights'!$H$12)+(P223*'Pawn Weights'!$H$13)+(Q223*'Pawn Weights'!$H$14), 2)</f>
        <v>25.65</v>
      </c>
      <c r="E223" s="280"/>
      <c r="F223" s="280"/>
      <c r="G223" s="280"/>
      <c r="H223" s="280"/>
      <c r="I223" s="280">
        <v>20.0</v>
      </c>
      <c r="J223" s="280">
        <v>12.0</v>
      </c>
      <c r="K223" s="280"/>
      <c r="L223" s="280"/>
      <c r="M223" s="281"/>
      <c r="N223" s="280"/>
      <c r="O223" s="280"/>
      <c r="P223" s="280"/>
      <c r="Q223" s="280"/>
      <c r="R223" s="290"/>
      <c r="S223" s="281"/>
      <c r="T223" s="291"/>
      <c r="U223" s="281"/>
      <c r="V223" s="281"/>
      <c r="W223" s="281"/>
    </row>
    <row r="224">
      <c r="A224" s="281"/>
      <c r="B224" s="288" t="s">
        <v>1123</v>
      </c>
      <c r="C224" s="280" t="s">
        <v>1025</v>
      </c>
      <c r="D224" s="289">
        <f>ROUND((F224*'Pawn Weights'!$H$3)+(G224*'Pawn Weights'!$H$4)+(H224*'Pawn Weights'!$H$5)+(I224*'Pawn Weights'!$H$6)+(J224*'Pawn Weights'!$H$7)+(K224*'Pawn Weights'!$H$8)+(L224*'Pawn Weights'!$H$9)+(M224*'Pawn Weights'!$H$10)+(N224*'Pawn Weights'!$H$11)+(O224*'Pawn Weights'!$H$12)+(P224*'Pawn Weights'!$H$13)+(Q224*'Pawn Weights'!$H$14), 2)</f>
        <v>25.14</v>
      </c>
      <c r="E224" s="280"/>
      <c r="F224" s="280"/>
      <c r="G224" s="280">
        <v>20.0</v>
      </c>
      <c r="H224" s="280"/>
      <c r="I224" s="280"/>
      <c r="J224" s="280">
        <v>19.0</v>
      </c>
      <c r="K224" s="320"/>
      <c r="L224" s="320"/>
      <c r="M224" s="281"/>
      <c r="N224" s="320"/>
      <c r="O224" s="280"/>
      <c r="P224" s="320"/>
      <c r="Q224" s="320"/>
      <c r="R224" s="290"/>
      <c r="S224" s="281"/>
      <c r="T224" s="291"/>
      <c r="U224" s="281"/>
      <c r="V224" s="281"/>
      <c r="W224" s="281"/>
    </row>
    <row r="225">
      <c r="A225" s="137"/>
      <c r="B225" s="383" t="s">
        <v>1000</v>
      </c>
      <c r="C225" s="297" t="s">
        <v>1001</v>
      </c>
      <c r="D225" s="289">
        <f>ROUND((F225*'Pawn Weights'!$H$3)+(G225*'Pawn Weights'!$H$4)+(H225*'Pawn Weights'!$H$5)+(I225*'Pawn Weights'!$H$6)+(J225*'Pawn Weights'!$H$7)+(K225*'Pawn Weights'!$H$8)+(L225*'Pawn Weights'!$H$9)+(M225*'Pawn Weights'!$H$10)+(N225*'Pawn Weights'!$H$11)+(O225*'Pawn Weights'!$H$12)+(P225*'Pawn Weights'!$H$13)+(Q225*'Pawn Weights'!$H$14), 2)</f>
        <v>18.71</v>
      </c>
      <c r="E225" s="298">
        <v>16.0</v>
      </c>
      <c r="F225" s="297"/>
      <c r="G225" s="297"/>
      <c r="H225" s="297"/>
      <c r="I225" s="297"/>
      <c r="J225" s="298">
        <v>10.0</v>
      </c>
      <c r="K225" s="361"/>
      <c r="L225" s="359">
        <v>10.0</v>
      </c>
      <c r="M225" s="361"/>
      <c r="N225" s="361"/>
      <c r="O225" s="297"/>
      <c r="P225" s="361"/>
      <c r="Q225" s="361"/>
      <c r="R225" s="295"/>
      <c r="S225" s="137"/>
      <c r="T225" s="297" t="s">
        <v>971</v>
      </c>
      <c r="U225" s="137"/>
      <c r="V225" s="137"/>
      <c r="W225" s="137"/>
      <c r="X225" s="137"/>
      <c r="Y225" s="137"/>
      <c r="Z225" s="137"/>
    </row>
    <row r="226">
      <c r="A226" s="224" t="s">
        <v>1002</v>
      </c>
      <c r="B226" s="323" t="s">
        <v>604</v>
      </c>
      <c r="C226" s="323" t="s">
        <v>605</v>
      </c>
      <c r="D226" s="323" t="s">
        <v>606</v>
      </c>
      <c r="E226" s="224" t="s">
        <v>1003</v>
      </c>
      <c r="F226" s="224" t="s">
        <v>1004</v>
      </c>
      <c r="G226" s="224" t="s">
        <v>561</v>
      </c>
      <c r="H226" s="224" t="s">
        <v>562</v>
      </c>
      <c r="I226" s="224" t="s">
        <v>330</v>
      </c>
      <c r="J226" s="224" t="s">
        <v>1005</v>
      </c>
      <c r="K226" s="272" t="s">
        <v>344</v>
      </c>
      <c r="L226" s="224" t="s">
        <v>607</v>
      </c>
      <c r="M226" s="224" t="s">
        <v>564</v>
      </c>
      <c r="N226" s="224" t="s">
        <v>1006</v>
      </c>
      <c r="O226" s="274" t="s">
        <v>610</v>
      </c>
      <c r="P226" s="275" t="s">
        <v>611</v>
      </c>
      <c r="Q226" s="276" t="s">
        <v>612</v>
      </c>
      <c r="R226" s="277" t="s">
        <v>613</v>
      </c>
      <c r="S226" s="323" t="s">
        <v>356</v>
      </c>
      <c r="T226" s="277" t="s">
        <v>615</v>
      </c>
      <c r="U226" s="324"/>
      <c r="V226" s="324"/>
      <c r="W226" s="324"/>
    </row>
    <row r="227">
      <c r="A227" s="292"/>
      <c r="B227" s="325" t="s">
        <v>1007</v>
      </c>
      <c r="C227" s="326"/>
      <c r="D227" s="25"/>
      <c r="E227" s="326"/>
      <c r="F227" s="326"/>
      <c r="G227" s="154"/>
      <c r="H227" s="326"/>
      <c r="I227" s="326"/>
      <c r="J227" s="326"/>
      <c r="K227" s="326"/>
      <c r="L227" s="326"/>
      <c r="M227" s="326"/>
      <c r="N227" s="326"/>
      <c r="O227" s="326"/>
      <c r="P227" s="326"/>
      <c r="Q227" s="326"/>
      <c r="R227" s="327"/>
      <c r="S227" s="326"/>
      <c r="T227" s="328"/>
      <c r="U227" s="326"/>
      <c r="V227" s="326"/>
      <c r="W227" s="329"/>
    </row>
    <row r="228">
      <c r="A228" s="292" t="s">
        <v>973</v>
      </c>
      <c r="B228" s="319" t="s">
        <v>1009</v>
      </c>
      <c r="C228" s="326" t="s">
        <v>632</v>
      </c>
      <c r="D228" s="25">
        <f>ROUND((E228*'Pawn Weights'!$H$15)+(G228*'Pawn Weights'!$H$4)+(H228*'Pawn Weights'!$H$5)+(I228*'Pawn Weights'!$H$6)+(J228*'Pawn Weights'!$H$9)+(K228*'Pawn Weights'!$H$7)+(M228*'Pawn Weights'!$H$10)+(N228*'Pawn Weights'!$H$3)+(O228*'Pawn Weights'!$H$12)+(P228*'Pawn Weights'!$H$13)+(Q228*'Pawn Weights'!$H$14)+(F228*'Pawn Weights'!$H$16)+(S228*'Pawn Weights'!$H$8), 2)</f>
        <v>570.23</v>
      </c>
      <c r="E228" s="326">
        <v>109.3</v>
      </c>
      <c r="F228" s="326">
        <v>2.8</v>
      </c>
      <c r="G228" s="326">
        <v>22.0</v>
      </c>
      <c r="H228" s="326">
        <v>44.0</v>
      </c>
      <c r="I228" s="326"/>
      <c r="J228" s="326"/>
      <c r="K228" s="326">
        <v>21.0</v>
      </c>
      <c r="L228" s="326">
        <v>29.0</v>
      </c>
      <c r="M228" s="326"/>
      <c r="N228" s="326"/>
      <c r="O228" s="326"/>
      <c r="P228" s="326"/>
      <c r="Q228" s="326"/>
      <c r="R228" s="327"/>
      <c r="S228" s="326"/>
      <c r="T228" s="328" t="s">
        <v>1010</v>
      </c>
      <c r="U228" s="326"/>
      <c r="V228" s="326"/>
      <c r="W228" s="329"/>
    </row>
    <row r="229">
      <c r="A229" s="219" t="s">
        <v>671</v>
      </c>
      <c r="B229" s="296" t="s">
        <v>1011</v>
      </c>
      <c r="C229" s="330" t="s">
        <v>637</v>
      </c>
      <c r="D229" s="25">
        <f>ROUND((E229*'Pawn Weights'!$H$15)+(G229*'Pawn Weights'!$H$4)+(H229*'Pawn Weights'!$H$5)+(I229*'Pawn Weights'!$H$6)+(J229*'Pawn Weights'!$H$9)+(K229*'Pawn Weights'!$H$7)+(M229*'Pawn Weights'!$H$10)+(N229*'Pawn Weights'!$H$3)+(O229*'Pawn Weights'!$H$12)+(P229*'Pawn Weights'!$H$13)+(Q229*'Pawn Weights'!$H$14)+(F229*'Pawn Weights'!$H$16)+(S229*'Pawn Weights'!$H$8), 2)</f>
        <v>565.9</v>
      </c>
      <c r="E229" s="332">
        <v>107.9</v>
      </c>
      <c r="F229" s="332">
        <v>2.6</v>
      </c>
      <c r="G229" s="330"/>
      <c r="H229" s="332">
        <v>38.0</v>
      </c>
      <c r="I229" s="332">
        <v>22.0</v>
      </c>
      <c r="J229" s="330"/>
      <c r="K229" s="332">
        <v>9.0</v>
      </c>
      <c r="L229" s="332">
        <v>31.0</v>
      </c>
      <c r="M229" s="332">
        <v>49.0</v>
      </c>
      <c r="N229" s="330"/>
      <c r="O229" s="330"/>
      <c r="P229" s="330"/>
      <c r="Q229" s="330"/>
      <c r="R229" s="295"/>
      <c r="S229" s="330"/>
      <c r="T229" s="330" t="s">
        <v>986</v>
      </c>
      <c r="U229" s="330"/>
      <c r="V229" s="330"/>
      <c r="W229" s="137"/>
      <c r="X229" s="137"/>
      <c r="Y229" s="137"/>
      <c r="Z229" s="137"/>
    </row>
    <row r="230">
      <c r="A230" s="295"/>
      <c r="B230" s="296" t="s">
        <v>1013</v>
      </c>
      <c r="C230" s="330" t="s">
        <v>1014</v>
      </c>
      <c r="D230" s="25">
        <f>ROUND((E230*'Pawn Weights'!$H$15)+(G230*'Pawn Weights'!$H$4)+(H230*'Pawn Weights'!$H$5)+(I230*'Pawn Weights'!$H$6)+(J230*'Pawn Weights'!$H$9)+(K230*'Pawn Weights'!$H$7)+(M230*'Pawn Weights'!$H$10)+(N230*'Pawn Weights'!$H$3)+(O230*'Pawn Weights'!$H$12)+(P230*'Pawn Weights'!$H$13)+(Q230*'Pawn Weights'!$H$14)+(F230*'Pawn Weights'!$H$16)+(S230*'Pawn Weights'!$H$8), 2)</f>
        <v>542.87</v>
      </c>
      <c r="E230" s="332">
        <v>103.0</v>
      </c>
      <c r="F230" s="332">
        <v>2.5</v>
      </c>
      <c r="G230" s="332">
        <v>23.0</v>
      </c>
      <c r="H230" s="332">
        <v>44.0</v>
      </c>
      <c r="I230" s="330"/>
      <c r="J230" s="330"/>
      <c r="K230" s="330"/>
      <c r="L230" s="330"/>
      <c r="M230" s="330"/>
      <c r="N230" s="330"/>
      <c r="O230" s="330"/>
      <c r="P230" s="330"/>
      <c r="Q230" s="330"/>
      <c r="R230" s="295"/>
      <c r="S230" s="332">
        <v>21.0</v>
      </c>
      <c r="T230" s="295"/>
      <c r="U230" s="330"/>
      <c r="V230" s="330"/>
      <c r="W230" s="137"/>
      <c r="X230" s="137"/>
      <c r="Y230" s="137"/>
      <c r="Z230" s="137"/>
    </row>
    <row r="231">
      <c r="A231" s="292" t="s">
        <v>991</v>
      </c>
      <c r="B231" s="288" t="s">
        <v>1018</v>
      </c>
      <c r="C231" s="326" t="s">
        <v>646</v>
      </c>
      <c r="D231" s="25">
        <f>ROUND((E231*'Pawn Weights'!$H$15)+(G231*'Pawn Weights'!$H$4)+(H231*'Pawn Weights'!$H$5)+(I231*'Pawn Weights'!$H$6)+(J231*'Pawn Weights'!$H$9)+(K231*'Pawn Weights'!$H$7)+(M231*'Pawn Weights'!$H$10)+(N231*'Pawn Weights'!$H$3)+(O231*'Pawn Weights'!$H$12)+(P231*'Pawn Weights'!$H$13)+(Q231*'Pawn Weights'!$H$14)+(F231*'Pawn Weights'!$H$16)+(S231*'Pawn Weights'!$H$8), 2)</f>
        <v>540.71</v>
      </c>
      <c r="E231" s="326">
        <v>103.1</v>
      </c>
      <c r="F231" s="326">
        <v>2.6</v>
      </c>
      <c r="G231" s="326"/>
      <c r="H231" s="326">
        <v>34.0</v>
      </c>
      <c r="I231" s="326">
        <v>21.0</v>
      </c>
      <c r="J231" s="326"/>
      <c r="K231" s="326">
        <v>8.0</v>
      </c>
      <c r="L231" s="326">
        <v>30.0</v>
      </c>
      <c r="M231" s="326">
        <v>49.0</v>
      </c>
      <c r="N231" s="326"/>
      <c r="O231" s="326"/>
      <c r="P231" s="326"/>
      <c r="Q231" s="326"/>
      <c r="R231" s="327"/>
      <c r="S231" s="326"/>
      <c r="T231" s="328" t="s">
        <v>986</v>
      </c>
      <c r="U231" s="326"/>
      <c r="V231" s="326"/>
      <c r="W231" s="329"/>
    </row>
    <row r="232">
      <c r="A232" s="292" t="s">
        <v>627</v>
      </c>
      <c r="B232" s="288" t="s">
        <v>1055</v>
      </c>
      <c r="C232" s="326" t="s">
        <v>1016</v>
      </c>
      <c r="D232" s="25">
        <f>ROUND((E232*'Pawn Weights'!$H$15)+(G232*'Pawn Weights'!$H$4)+(H232*'Pawn Weights'!$H$5)+(I232*'Pawn Weights'!$H$6)+(J232*'Pawn Weights'!$H$9)+(K232*'Pawn Weights'!$H$7)+(M232*'Pawn Weights'!$H$10)+(N232*'Pawn Weights'!$H$3)+(O232*'Pawn Weights'!$H$12)+(P232*'Pawn Weights'!$H$13)+(Q232*'Pawn Weights'!$H$14)+(F232*'Pawn Weights'!$H$16)+(S232*'Pawn Weights'!$H$8)+(84.8*'Pawn Weights'!$H$8), 2)</f>
        <v>534.52</v>
      </c>
      <c r="E232" s="326">
        <v>97.6</v>
      </c>
      <c r="F232" s="326">
        <v>2.7</v>
      </c>
      <c r="G232" s="326"/>
      <c r="H232" s="326"/>
      <c r="I232" s="326"/>
      <c r="J232" s="326"/>
      <c r="K232" s="326"/>
      <c r="L232" s="326">
        <v>19.0</v>
      </c>
      <c r="M232" s="326"/>
      <c r="N232" s="326"/>
      <c r="O232" s="326"/>
      <c r="P232" s="326"/>
      <c r="Q232" s="326"/>
      <c r="R232" s="327"/>
      <c r="S232" s="326"/>
      <c r="T232" s="328" t="s">
        <v>1411</v>
      </c>
      <c r="U232" s="326"/>
      <c r="V232" s="326"/>
      <c r="W232" s="329"/>
    </row>
    <row r="233">
      <c r="A233" s="137"/>
      <c r="B233" s="296" t="s">
        <v>1019</v>
      </c>
      <c r="C233" s="330" t="s">
        <v>835</v>
      </c>
      <c r="D233" s="25">
        <f>ROUND((E233*'Pawn Weights'!$H$15)+(G233*'Pawn Weights'!$H$4)+(H233*'Pawn Weights'!$H$5)+(I233*'Pawn Weights'!$H$6)+(J233*'Pawn Weights'!$H$9)+(K233*'Pawn Weights'!$H$7)+(M233*'Pawn Weights'!$H$10)+(N233*'Pawn Weights'!$H$3)+(O233*'Pawn Weights'!$H$12)+(P233*'Pawn Weights'!$H$13)+(Q233*'Pawn Weights'!$H$14)+(F233*'Pawn Weights'!$H$16)+(S233*'Pawn Weights'!$H$8), 2)</f>
        <v>523.44</v>
      </c>
      <c r="E233" s="332">
        <v>100.2</v>
      </c>
      <c r="F233" s="332">
        <v>2.6</v>
      </c>
      <c r="G233" s="332">
        <v>28.0</v>
      </c>
      <c r="H233" s="332">
        <v>56.0</v>
      </c>
      <c r="I233" s="330"/>
      <c r="J233" s="330"/>
      <c r="K233" s="330"/>
      <c r="L233" s="330"/>
      <c r="M233" s="330"/>
      <c r="N233" s="330"/>
      <c r="O233" s="330"/>
      <c r="P233" s="330"/>
      <c r="Q233" s="330"/>
      <c r="R233" s="295"/>
      <c r="S233" s="330"/>
      <c r="T233" s="299"/>
      <c r="U233" s="330"/>
      <c r="V233" s="330"/>
      <c r="W233" s="137"/>
      <c r="X233" s="137"/>
      <c r="Y233" s="137"/>
      <c r="Z233" s="137"/>
    </row>
    <row r="234">
      <c r="A234" s="281"/>
      <c r="B234" s="288" t="s">
        <v>1020</v>
      </c>
      <c r="C234" s="326" t="s">
        <v>741</v>
      </c>
      <c r="D234" s="25">
        <f>ROUND((E234*'Pawn Weights'!$H$15)+(G234*'Pawn Weights'!$H$4)+(H234*'Pawn Weights'!$H$5)+(I234*'Pawn Weights'!$H$6)+(J234*'Pawn Weights'!$H$9)+(K234*'Pawn Weights'!$H$7)+(M234*'Pawn Weights'!$H$10)+(N234*'Pawn Weights'!$H$3)+(O234*'Pawn Weights'!$H$12)+(P234*'Pawn Weights'!$H$13)+(Q234*'Pawn Weights'!$H$14)+(F234*'Pawn Weights'!$H$16)+(S234*'Pawn Weights'!$H$8)+11, 2)</f>
        <v>514.84</v>
      </c>
      <c r="E234" s="326">
        <v>100.2</v>
      </c>
      <c r="F234" s="326">
        <v>2.7</v>
      </c>
      <c r="G234" s="326"/>
      <c r="H234" s="326">
        <v>52.0</v>
      </c>
      <c r="I234" s="326"/>
      <c r="J234" s="326"/>
      <c r="K234" s="326"/>
      <c r="L234" s="326"/>
      <c r="M234" s="326"/>
      <c r="N234" s="326"/>
      <c r="O234" s="326"/>
      <c r="P234" s="326"/>
      <c r="Q234" s="326"/>
      <c r="R234" s="327"/>
      <c r="S234" s="326"/>
      <c r="T234" s="328" t="s">
        <v>1021</v>
      </c>
      <c r="U234" s="326"/>
      <c r="V234" s="326"/>
      <c r="W234" s="329"/>
    </row>
    <row r="235">
      <c r="A235" s="292" t="s">
        <v>1412</v>
      </c>
      <c r="B235" s="288" t="s">
        <v>1022</v>
      </c>
      <c r="C235" s="326" t="s">
        <v>665</v>
      </c>
      <c r="D235" s="25">
        <f>ROUND((E235*'Pawn Weights'!$H$15)+(G235*'Pawn Weights'!$H$4)+(H235*'Pawn Weights'!$H$5)+(I235*'Pawn Weights'!$H$6)+(J235*'Pawn Weights'!$H$9)+(K235*'Pawn Weights'!$H$7)+(M235*'Pawn Weights'!$H$10)+(N235*'Pawn Weights'!$H$3)+(O235*'Pawn Weights'!$H$12)+(P235*'Pawn Weights'!$H$13)+(Q235*'Pawn Weights'!$H$14)+(F235*'Pawn Weights'!$H$16)+(S235*'Pawn Weights'!$H$8)+10, 2)</f>
        <v>513.84</v>
      </c>
      <c r="E235" s="326">
        <v>100.2</v>
      </c>
      <c r="F235" s="326">
        <v>2.8</v>
      </c>
      <c r="G235" s="326"/>
      <c r="H235" s="326">
        <v>50.0</v>
      </c>
      <c r="I235" s="326"/>
      <c r="J235" s="326"/>
      <c r="K235" s="326"/>
      <c r="L235" s="326"/>
      <c r="M235" s="326"/>
      <c r="N235" s="326"/>
      <c r="O235" s="326"/>
      <c r="P235" s="326"/>
      <c r="Q235" s="326"/>
      <c r="R235" s="327"/>
      <c r="S235" s="326"/>
      <c r="T235" s="328" t="s">
        <v>1023</v>
      </c>
      <c r="U235" s="326"/>
      <c r="V235" s="326"/>
      <c r="W235" s="329"/>
    </row>
    <row r="236">
      <c r="A236" s="281"/>
      <c r="B236" s="288" t="s">
        <v>1024</v>
      </c>
      <c r="C236" s="326" t="s">
        <v>1025</v>
      </c>
      <c r="D236" s="25">
        <f>ROUND((E236*'Pawn Weights'!$H$15)+(G236*'Pawn Weights'!$H$4)+(H236*'Pawn Weights'!$H$5)+(I236*'Pawn Weights'!$H$6)+(J236*'Pawn Weights'!$H$9)+(K236*'Pawn Weights'!$H$7)+(M236*'Pawn Weights'!$H$10)+(N236*'Pawn Weights'!$H$3)+(O236*'Pawn Weights'!$H$12)+(P236*'Pawn Weights'!$H$13)+(Q236*'Pawn Weights'!$H$14)+(F236*'Pawn Weights'!$H$16)+(S236*'Pawn Weights'!$H$8), 2)</f>
        <v>513.61</v>
      </c>
      <c r="E236" s="326">
        <v>96.5</v>
      </c>
      <c r="F236" s="326">
        <v>2.7</v>
      </c>
      <c r="G236" s="326"/>
      <c r="H236" s="326">
        <v>52.0</v>
      </c>
      <c r="I236" s="326">
        <v>19.0</v>
      </c>
      <c r="J236" s="326"/>
      <c r="K236" s="326">
        <v>15.0</v>
      </c>
      <c r="L236" s="326"/>
      <c r="M236" s="326"/>
      <c r="N236" s="326"/>
      <c r="O236" s="326"/>
      <c r="P236" s="326"/>
      <c r="Q236" s="326"/>
      <c r="R236" s="327"/>
      <c r="S236" s="326"/>
      <c r="T236" s="328"/>
      <c r="U236" s="326"/>
      <c r="V236" s="326"/>
      <c r="W236" s="329"/>
    </row>
    <row r="237">
      <c r="A237" s="292"/>
      <c r="B237" s="288" t="s">
        <v>1026</v>
      </c>
      <c r="C237" s="326" t="s">
        <v>716</v>
      </c>
      <c r="D237" s="25">
        <f>ROUND((E237*'Pawn Weights'!$H$15)+(G237*'Pawn Weights'!$H$4)+(H237*'Pawn Weights'!$H$5)+(I237*'Pawn Weights'!$H$6)+(J237*'Pawn Weights'!$H$9)+(K237*'Pawn Weights'!$H$7)+(M237*'Pawn Weights'!$H$10)+(N237*'Pawn Weights'!$H$3)+(O237*'Pawn Weights'!$H$12)+(P237*'Pawn Weights'!$H$13)+(Q237*'Pawn Weights'!$H$14)+(F237*'Pawn Weights'!$H$16)+(S237*'Pawn Weights'!$H$8), 2)</f>
        <v>512.35</v>
      </c>
      <c r="E237" s="326">
        <v>100.2</v>
      </c>
      <c r="F237" s="326">
        <v>2.6</v>
      </c>
      <c r="G237" s="326"/>
      <c r="H237" s="326">
        <v>44.0</v>
      </c>
      <c r="I237" s="326"/>
      <c r="J237" s="326"/>
      <c r="K237" s="326">
        <v>21.0</v>
      </c>
      <c r="L237" s="326">
        <v>33.0</v>
      </c>
      <c r="M237" s="326"/>
      <c r="N237" s="326"/>
      <c r="O237" s="326"/>
      <c r="P237" s="326"/>
      <c r="Q237" s="326"/>
      <c r="R237" s="327"/>
      <c r="S237" s="326"/>
      <c r="T237" s="306" t="s">
        <v>1413</v>
      </c>
      <c r="U237" s="326"/>
      <c r="V237" s="326"/>
      <c r="W237" s="329"/>
    </row>
    <row r="238">
      <c r="A238" s="292" t="s">
        <v>627</v>
      </c>
      <c r="B238" s="288" t="s">
        <v>1031</v>
      </c>
      <c r="C238" s="326" t="s">
        <v>1032</v>
      </c>
      <c r="D238" s="25">
        <f>ROUND((E238*'Pawn Weights'!$H$15)+(G238*'Pawn Weights'!$H$4)+(H238*'Pawn Weights'!$H$5)+(I238*'Pawn Weights'!$H$6)+(J238*'Pawn Weights'!$H$9)+(K238*'Pawn Weights'!$H$7)+(M238*'Pawn Weights'!$H$10)+(N238*'Pawn Weights'!$H$3)+(O238*'Pawn Weights'!$H$12)+(P238*'Pawn Weights'!$H$13)+(Q238*'Pawn Weights'!$H$14)+(F238*'Pawn Weights'!$H$16)+(S238*'Pawn Weights'!$H$8), 2)</f>
        <v>511.13</v>
      </c>
      <c r="E238" s="326">
        <v>97.6</v>
      </c>
      <c r="F238" s="326">
        <v>2.7</v>
      </c>
      <c r="G238" s="326"/>
      <c r="H238" s="326">
        <v>48.0</v>
      </c>
      <c r="I238" s="326">
        <v>23.0</v>
      </c>
      <c r="J238" s="326"/>
      <c r="K238" s="326"/>
      <c r="L238" s="326"/>
      <c r="M238" s="326"/>
      <c r="N238" s="326"/>
      <c r="O238" s="326"/>
      <c r="P238" s="326"/>
      <c r="Q238" s="326"/>
      <c r="R238" s="327"/>
      <c r="S238" s="326"/>
      <c r="T238" s="306" t="s">
        <v>1413</v>
      </c>
      <c r="U238" s="326"/>
      <c r="V238" s="326"/>
      <c r="W238" s="329"/>
    </row>
    <row r="239">
      <c r="A239" s="292"/>
      <c r="B239" s="288" t="s">
        <v>1028</v>
      </c>
      <c r="C239" s="326" t="s">
        <v>1029</v>
      </c>
      <c r="D239" s="25">
        <f>ROUND((E239*'Pawn Weights'!$H$15)+(G239*'Pawn Weights'!$H$4)+(H239*'Pawn Weights'!$H$5)+(I239*'Pawn Weights'!$H$6)+(J239*'Pawn Weights'!$H$9)+(K239*'Pawn Weights'!$H$7)+(M239*'Pawn Weights'!$H$10)+(N239*'Pawn Weights'!$H$3)+(O239*'Pawn Weights'!$H$12)+(P239*'Pawn Weights'!$H$13)+(Q239*'Pawn Weights'!$H$14)+(F239*'Pawn Weights'!$H$16)+(S239*'Pawn Weights'!$H$8), 2)</f>
        <v>510.82</v>
      </c>
      <c r="E239" s="326">
        <v>100.2</v>
      </c>
      <c r="F239" s="326">
        <v>2.7</v>
      </c>
      <c r="G239" s="154">
        <v>20.0</v>
      </c>
      <c r="H239" s="326">
        <v>38.0</v>
      </c>
      <c r="I239" s="326"/>
      <c r="J239" s="326"/>
      <c r="K239" s="326"/>
      <c r="L239" s="326">
        <v>28.0</v>
      </c>
      <c r="M239" s="326"/>
      <c r="N239" s="326"/>
      <c r="O239" s="326"/>
      <c r="P239" s="326"/>
      <c r="Q239" s="326"/>
      <c r="R239" s="327"/>
      <c r="S239" s="326"/>
      <c r="T239" s="328" t="s">
        <v>1030</v>
      </c>
      <c r="U239" s="326"/>
      <c r="V239" s="326"/>
      <c r="W239" s="329"/>
    </row>
    <row r="240">
      <c r="A240" s="301" t="s">
        <v>995</v>
      </c>
      <c r="B240" s="288" t="s">
        <v>1033</v>
      </c>
      <c r="C240" s="326" t="s">
        <v>997</v>
      </c>
      <c r="D240" s="25">
        <f>ROUND((E240*'Pawn Weights'!$H$15)+(G240*'Pawn Weights'!$H$4)+(H240*'Pawn Weights'!$H$5)+(I240*'Pawn Weights'!$H$6)+(J240*'Pawn Weights'!$H$9)+(K240*'Pawn Weights'!$H$7)+(M240*'Pawn Weights'!$H$10)+(N240*'Pawn Weights'!$H$3)+(O240*'Pawn Weights'!$H$12)+(P240*'Pawn Weights'!$H$13)+(Q240*'Pawn Weights'!$H$14)+(F240*'Pawn Weights'!$H$16)+(S240*'Pawn Weights'!$H$8), 2)</f>
        <v>505.07</v>
      </c>
      <c r="E240" s="326">
        <v>97.7</v>
      </c>
      <c r="F240" s="326">
        <v>2.6</v>
      </c>
      <c r="G240" s="326"/>
      <c r="H240" s="326">
        <v>30.0</v>
      </c>
      <c r="I240" s="326">
        <v>19.0</v>
      </c>
      <c r="J240" s="326"/>
      <c r="K240" s="326">
        <v>10.0</v>
      </c>
      <c r="L240" s="326">
        <v>27.0</v>
      </c>
      <c r="M240" s="326"/>
      <c r="N240" s="326"/>
      <c r="O240" s="326"/>
      <c r="P240" s="326"/>
      <c r="Q240" s="326"/>
      <c r="R240" s="327"/>
      <c r="S240" s="326"/>
      <c r="T240" s="328" t="s">
        <v>1034</v>
      </c>
      <c r="U240" s="326"/>
      <c r="V240" s="326"/>
      <c r="W240" s="329"/>
    </row>
    <row r="241">
      <c r="A241" s="292" t="s">
        <v>627</v>
      </c>
      <c r="B241" s="288" t="s">
        <v>1295</v>
      </c>
      <c r="C241" s="326" t="s">
        <v>1296</v>
      </c>
      <c r="D241" s="25">
        <f>ROUND((E241*'Pawn Weights'!$H$15)+(G241*'Pawn Weights'!$H$4)+(H241*'Pawn Weights'!$H$5)+(I241*'Pawn Weights'!$H$6)+(J241*'Pawn Weights'!$H$9)+(K241*'Pawn Weights'!$H$7)+(M241*'Pawn Weights'!$H$10)+(N241*'Pawn Weights'!$H$3)+(O241*'Pawn Weights'!$H$12)+(P241*'Pawn Weights'!$H$13)+(Q241*'Pawn Weights'!$H$14)+(F241*'Pawn Weights'!$H$16)+(S241*'Pawn Weights'!$H$8)+(84.8*'Pawn Weights'!$H$8), 2)</f>
        <v>504.95</v>
      </c>
      <c r="E241" s="326">
        <v>91.1</v>
      </c>
      <c r="F241" s="326">
        <v>2.7</v>
      </c>
      <c r="G241" s="154"/>
      <c r="H241" s="326"/>
      <c r="I241" s="326"/>
      <c r="J241" s="326"/>
      <c r="K241" s="326"/>
      <c r="L241" s="326">
        <v>9.0</v>
      </c>
      <c r="M241" s="326"/>
      <c r="N241" s="326"/>
      <c r="O241" s="326"/>
      <c r="P241" s="326"/>
      <c r="Q241" s="326"/>
      <c r="R241" s="327"/>
      <c r="S241" s="326"/>
      <c r="T241" s="328" t="s">
        <v>1411</v>
      </c>
      <c r="U241" s="326"/>
      <c r="V241" s="326"/>
      <c r="W241" s="329"/>
    </row>
    <row r="242">
      <c r="A242" s="281"/>
      <c r="B242" s="288" t="s">
        <v>1035</v>
      </c>
      <c r="C242" s="326" t="s">
        <v>900</v>
      </c>
      <c r="D242" s="25">
        <f>ROUND((E242*'Pawn Weights'!$H$15)+(G242*'Pawn Weights'!$H$4)+(H242*'Pawn Weights'!$H$5)+(I242*'Pawn Weights'!$H$6)+(J242*'Pawn Weights'!$H$9)+(K242*'Pawn Weights'!$H$7)+(M242*'Pawn Weights'!$H$10)+(N242*'Pawn Weights'!$H$3)+(O242*'Pawn Weights'!$H$12)+(P242*'Pawn Weights'!$H$13)+(Q242*'Pawn Weights'!$H$14)+(F242*'Pawn Weights'!$H$16)+(S242*'Pawn Weights'!$H$8), 2)</f>
        <v>503.98</v>
      </c>
      <c r="E242" s="326">
        <v>96.5</v>
      </c>
      <c r="F242" s="326">
        <v>2.7</v>
      </c>
      <c r="G242" s="326">
        <v>15.0</v>
      </c>
      <c r="H242" s="326">
        <v>40.0</v>
      </c>
      <c r="I242" s="326"/>
      <c r="J242" s="326"/>
      <c r="K242" s="326">
        <v>20.0</v>
      </c>
      <c r="L242" s="326"/>
      <c r="M242" s="326"/>
      <c r="N242" s="326"/>
      <c r="O242" s="326"/>
      <c r="P242" s="326"/>
      <c r="Q242" s="326"/>
      <c r="R242" s="327"/>
      <c r="S242" s="326"/>
      <c r="T242" s="328" t="s">
        <v>1036</v>
      </c>
      <c r="U242" s="326"/>
      <c r="V242" s="326"/>
      <c r="W242" s="329"/>
    </row>
    <row r="243">
      <c r="A243" s="281"/>
      <c r="B243" s="288" t="s">
        <v>1037</v>
      </c>
      <c r="C243" s="326" t="s">
        <v>1025</v>
      </c>
      <c r="D243" s="25">
        <f>ROUND((E243*'Pawn Weights'!$H$15)+(G243*'Pawn Weights'!$H$4)+(H243*'Pawn Weights'!$H$5)+(I243*'Pawn Weights'!$H$6)+(J243*'Pawn Weights'!$H$9)+(K243*'Pawn Weights'!$H$7)+(M243*'Pawn Weights'!$H$10)+(N243*'Pawn Weights'!$H$3)+(O243*'Pawn Weights'!$H$12)+(P243*'Pawn Weights'!$H$13)+(Q243*'Pawn Weights'!$H$14)+(F243*'Pawn Weights'!$H$16)+(S243*'Pawn Weights'!$H$8), 2)</f>
        <v>497.33</v>
      </c>
      <c r="E243" s="326">
        <v>96.5</v>
      </c>
      <c r="F243" s="326">
        <v>2.6</v>
      </c>
      <c r="G243" s="326">
        <v>25.0</v>
      </c>
      <c r="H243" s="326">
        <v>40.0</v>
      </c>
      <c r="I243" s="326"/>
      <c r="J243" s="326"/>
      <c r="K243" s="326"/>
      <c r="L243" s="326">
        <v>21.0</v>
      </c>
      <c r="M243" s="326"/>
      <c r="N243" s="326"/>
      <c r="O243" s="326"/>
      <c r="P243" s="326"/>
      <c r="Q243" s="326"/>
      <c r="R243" s="327"/>
      <c r="S243" s="326"/>
      <c r="T243" s="306" t="s">
        <v>1413</v>
      </c>
      <c r="U243" s="326"/>
      <c r="V243" s="326"/>
      <c r="W243" s="329"/>
    </row>
    <row r="244">
      <c r="A244" s="292"/>
      <c r="B244" s="288" t="s">
        <v>1039</v>
      </c>
      <c r="C244" s="326" t="s">
        <v>984</v>
      </c>
      <c r="D244" s="25">
        <f>ROUND((E244*'Pawn Weights'!$H$15)+(G244*'Pawn Weights'!$H$4)+(H244*'Pawn Weights'!$H$5)+(I244*'Pawn Weights'!$H$6)+(J244*'Pawn Weights'!$H$9)+(K244*'Pawn Weights'!$H$7)+(M244*'Pawn Weights'!$H$10)+(N244*'Pawn Weights'!$H$3)+(O244*'Pawn Weights'!$H$12)+(P244*'Pawn Weights'!$H$13)+(Q244*'Pawn Weights'!$H$14)+(F244*'Pawn Weights'!$H$16)+(S244*'Pawn Weights'!$H$8), 2)</f>
        <v>493.55</v>
      </c>
      <c r="E244" s="326">
        <v>95.6</v>
      </c>
      <c r="F244" s="326">
        <v>2.6</v>
      </c>
      <c r="G244" s="326">
        <v>20.0</v>
      </c>
      <c r="H244" s="326"/>
      <c r="I244" s="326">
        <v>13.0</v>
      </c>
      <c r="J244" s="326"/>
      <c r="K244" s="326"/>
      <c r="L244" s="326">
        <v>18.0</v>
      </c>
      <c r="M244" s="326"/>
      <c r="N244" s="326"/>
      <c r="O244" s="326"/>
      <c r="P244" s="326">
        <v>1.0</v>
      </c>
      <c r="Q244" s="326"/>
      <c r="R244" s="327" t="s">
        <v>660</v>
      </c>
      <c r="S244" s="326"/>
      <c r="T244" s="328"/>
      <c r="U244" s="326"/>
      <c r="V244" s="326"/>
      <c r="W244" s="329"/>
    </row>
    <row r="245">
      <c r="A245" s="292"/>
      <c r="B245" s="288" t="s">
        <v>1258</v>
      </c>
      <c r="C245" s="326" t="s">
        <v>1259</v>
      </c>
      <c r="D245" s="25">
        <f>ROUND((E245*'Pawn Weights'!$H$15)+(G245*'Pawn Weights'!$H$4)+(H245*'Pawn Weights'!$H$5)+(I245*'Pawn Weights'!$H$6)+(J245*'Pawn Weights'!$H$9)+(K245*'Pawn Weights'!$H$7)+(M245*'Pawn Weights'!$H$10)+(N245*'Pawn Weights'!$H$3)+(O245*'Pawn Weights'!$H$12)+(P245*'Pawn Weights'!$H$13)+(Q245*'Pawn Weights'!$H$14)+(F245*'Pawn Weights'!$H$16)+(S245*'Pawn Weights'!$H$8), 2)</f>
        <v>493.07</v>
      </c>
      <c r="E245" s="326">
        <v>95.6</v>
      </c>
      <c r="F245" s="326">
        <v>2.6</v>
      </c>
      <c r="G245" s="326"/>
      <c r="H245" s="326">
        <v>42.0</v>
      </c>
      <c r="I245" s="326"/>
      <c r="J245" s="326"/>
      <c r="K245" s="326"/>
      <c r="L245" s="326">
        <v>30.0</v>
      </c>
      <c r="M245" s="326"/>
      <c r="N245" s="326"/>
      <c r="O245" s="326"/>
      <c r="P245" s="326"/>
      <c r="Q245" s="326"/>
      <c r="R245" s="327"/>
      <c r="S245" s="326">
        <v>20.0</v>
      </c>
      <c r="T245" s="328"/>
      <c r="U245" s="326"/>
      <c r="V245" s="326"/>
      <c r="W245" s="329"/>
    </row>
    <row r="246">
      <c r="A246" s="224" t="s">
        <v>1040</v>
      </c>
      <c r="B246" s="407" t="s">
        <v>604</v>
      </c>
      <c r="C246" s="323" t="s">
        <v>605</v>
      </c>
      <c r="D246" s="323" t="s">
        <v>606</v>
      </c>
      <c r="E246" s="224" t="s">
        <v>1003</v>
      </c>
      <c r="F246" s="224" t="s">
        <v>1004</v>
      </c>
      <c r="G246" s="224" t="s">
        <v>561</v>
      </c>
      <c r="H246" s="224" t="s">
        <v>562</v>
      </c>
      <c r="I246" s="224" t="s">
        <v>330</v>
      </c>
      <c r="J246" s="224" t="s">
        <v>1005</v>
      </c>
      <c r="K246" s="272" t="s">
        <v>344</v>
      </c>
      <c r="L246" s="224" t="s">
        <v>607</v>
      </c>
      <c r="M246" s="224" t="s">
        <v>564</v>
      </c>
      <c r="N246" s="224" t="s">
        <v>1006</v>
      </c>
      <c r="O246" s="274" t="s">
        <v>610</v>
      </c>
      <c r="P246" s="275" t="s">
        <v>611</v>
      </c>
      <c r="Q246" s="276" t="s">
        <v>612</v>
      </c>
      <c r="R246" s="277" t="s">
        <v>613</v>
      </c>
      <c r="S246" s="323" t="s">
        <v>356</v>
      </c>
      <c r="T246" s="277" t="s">
        <v>615</v>
      </c>
      <c r="U246" s="324"/>
      <c r="V246" s="324"/>
      <c r="W246" s="324"/>
    </row>
    <row r="247" ht="14.25" customHeight="1">
      <c r="A247" s="281"/>
      <c r="B247" s="325" t="s">
        <v>1007</v>
      </c>
      <c r="C247" s="326"/>
      <c r="D247" s="25"/>
      <c r="E247" s="326"/>
      <c r="F247" s="326"/>
      <c r="G247" s="326"/>
      <c r="H247" s="326"/>
      <c r="I247" s="326"/>
      <c r="J247" s="326"/>
      <c r="K247" s="326"/>
      <c r="L247" s="326"/>
      <c r="M247" s="326"/>
      <c r="N247" s="326"/>
      <c r="O247" s="326"/>
      <c r="P247" s="326"/>
      <c r="Q247" s="326"/>
      <c r="R247" s="327"/>
      <c r="S247" s="326"/>
      <c r="T247" s="328"/>
      <c r="U247" s="326"/>
      <c r="V247" s="326"/>
      <c r="W247" s="329"/>
    </row>
    <row r="248">
      <c r="A248" s="292" t="s">
        <v>973</v>
      </c>
      <c r="B248" s="319" t="s">
        <v>1009</v>
      </c>
      <c r="C248" s="326" t="s">
        <v>632</v>
      </c>
      <c r="D248" s="25">
        <f>ROUND((E248*'Pawn Weights'!$H$17)+(G248*'Pawn Weights'!$H$4)+(H248*'Pawn Weights'!$H$5)+(I248*'Pawn Weights'!$H$6)+(J248*'Pawn Weights'!$H$9)+(K248*'Pawn Weights'!$H$7)+(M248*'Pawn Weights'!$H$10)+(N248*'Pawn Weights'!$H$3)+(O248*'Pawn Weights'!$H$12)+(P248*'Pawn Weights'!$H$13)+(Q248*'Pawn Weights'!$H$14)+(F248*'Pawn Weights'!$H$18)+(S248*'Pawn Weights'!$H$8), 2)</f>
        <v>400.95</v>
      </c>
      <c r="E248" s="326">
        <v>109.3</v>
      </c>
      <c r="F248" s="326">
        <v>1.4</v>
      </c>
      <c r="G248" s="326">
        <v>21.0</v>
      </c>
      <c r="H248" s="326">
        <v>44.0</v>
      </c>
      <c r="I248" s="326">
        <v>23.0</v>
      </c>
      <c r="J248" s="326"/>
      <c r="K248" s="326"/>
      <c r="L248" s="326">
        <v>28.0</v>
      </c>
      <c r="M248" s="326"/>
      <c r="N248" s="326"/>
      <c r="O248" s="326"/>
      <c r="P248" s="326"/>
      <c r="Q248" s="326"/>
      <c r="R248" s="327"/>
      <c r="S248" s="326"/>
      <c r="T248" s="328" t="s">
        <v>1010</v>
      </c>
      <c r="U248" s="326"/>
      <c r="V248" s="326"/>
      <c r="W248" s="329"/>
    </row>
    <row r="249">
      <c r="A249" s="295"/>
      <c r="B249" s="296" t="s">
        <v>1011</v>
      </c>
      <c r="C249" s="330" t="s">
        <v>637</v>
      </c>
      <c r="D249" s="25">
        <f>ROUND((E249*'Pawn Weights'!$H$17)+(G249*'Pawn Weights'!$H$4)+(H249*'Pawn Weights'!$H$5)+(I249*'Pawn Weights'!$H$6)+(J249*'Pawn Weights'!$H$9)+(K249*'Pawn Weights'!$H$7)+(M249*'Pawn Weights'!$H$10)+(N249*'Pawn Weights'!$H$3)+(O249*'Pawn Weights'!$H$12)+(P249*'Pawn Weights'!$H$13)+(Q249*'Pawn Weights'!$H$14)+(F249*'Pawn Weights'!$H$18)+(S249*'Pawn Weights'!$H$8), 2)</f>
        <v>399.38</v>
      </c>
      <c r="E249" s="332">
        <v>107.9</v>
      </c>
      <c r="F249" s="332">
        <v>2.6</v>
      </c>
      <c r="G249" s="330"/>
      <c r="H249" s="332">
        <v>38.0</v>
      </c>
      <c r="I249" s="332">
        <v>22.0</v>
      </c>
      <c r="J249" s="330"/>
      <c r="K249" s="332">
        <v>9.0</v>
      </c>
      <c r="L249" s="332">
        <v>31.0</v>
      </c>
      <c r="M249" s="332">
        <v>49.0</v>
      </c>
      <c r="N249" s="330"/>
      <c r="O249" s="330"/>
      <c r="P249" s="330"/>
      <c r="Q249" s="330"/>
      <c r="R249" s="295"/>
      <c r="S249" s="330"/>
      <c r="T249" s="330" t="s">
        <v>986</v>
      </c>
      <c r="U249" s="330"/>
      <c r="V249" s="330"/>
      <c r="W249" s="137"/>
      <c r="X249" s="137"/>
      <c r="Y249" s="137"/>
      <c r="Z249" s="137"/>
    </row>
    <row r="250">
      <c r="A250" s="292" t="s">
        <v>671</v>
      </c>
      <c r="B250" s="288" t="s">
        <v>1045</v>
      </c>
      <c r="C250" s="326" t="s">
        <v>637</v>
      </c>
      <c r="D250" s="25">
        <f>ROUND((E250*'Pawn Weights'!$H$17)+(G250*'Pawn Weights'!$H$4)+(H250*'Pawn Weights'!$H$5)+(I250*'Pawn Weights'!$H$6)+(J250*'Pawn Weights'!$H$9)+(K250*'Pawn Weights'!$H$7)+(M250*'Pawn Weights'!$H$10)+(N250*'Pawn Weights'!$H$3)+(O250*'Pawn Weights'!$H$12)+(P250*'Pawn Weights'!$H$13)+(Q250*'Pawn Weights'!$H$14)+(F250*'Pawn Weights'!$H$18)+(S250*'Pawn Weights'!$H$8), 2)</f>
        <v>394.05</v>
      </c>
      <c r="E250" s="326">
        <v>108.0</v>
      </c>
      <c r="F250" s="326">
        <v>1.5</v>
      </c>
      <c r="G250" s="326"/>
      <c r="H250" s="326">
        <v>38.0</v>
      </c>
      <c r="I250" s="326">
        <v>22.0</v>
      </c>
      <c r="J250" s="326"/>
      <c r="K250" s="326">
        <v>9.0</v>
      </c>
      <c r="L250" s="326">
        <v>31.0</v>
      </c>
      <c r="M250" s="326">
        <v>49.0</v>
      </c>
      <c r="N250" s="326"/>
      <c r="O250" s="326"/>
      <c r="P250" s="326"/>
      <c r="Q250" s="326"/>
      <c r="R250" s="327"/>
      <c r="S250" s="326"/>
      <c r="T250" s="328" t="s">
        <v>986</v>
      </c>
      <c r="U250" s="326"/>
      <c r="V250" s="326"/>
      <c r="W250" s="329"/>
    </row>
    <row r="251">
      <c r="A251" s="295"/>
      <c r="B251" s="296" t="s">
        <v>1046</v>
      </c>
      <c r="C251" s="330" t="s">
        <v>1047</v>
      </c>
      <c r="D251" s="25">
        <f>ROUND((E251*'Pawn Weights'!$H$17)+(G251*'Pawn Weights'!$H$4)+(H251*'Pawn Weights'!$H$5)+(I251*'Pawn Weights'!$H$6)+(J251*'Pawn Weights'!$H$9)+(K251*'Pawn Weights'!$H$7)+(M251*'Pawn Weights'!$H$10)+(N251*'Pawn Weights'!$H$3)+(O251*'Pawn Weights'!$H$12)+(P251*'Pawn Weights'!$H$13)+(Q251*'Pawn Weights'!$H$14)+(F251*'Pawn Weights'!$H$18)+(S251*'Pawn Weights'!$H$8), 2)</f>
        <v>383.1</v>
      </c>
      <c r="E251" s="332">
        <v>103.0</v>
      </c>
      <c r="F251" s="332">
        <v>2.5</v>
      </c>
      <c r="G251" s="330"/>
      <c r="H251" s="332">
        <v>44.0</v>
      </c>
      <c r="I251" s="330"/>
      <c r="J251" s="330"/>
      <c r="K251" s="332">
        <v>21.0</v>
      </c>
      <c r="L251" s="330"/>
      <c r="M251" s="330"/>
      <c r="N251" s="330"/>
      <c r="O251" s="330"/>
      <c r="P251" s="330"/>
      <c r="Q251" s="330"/>
      <c r="R251" s="295"/>
      <c r="S251" s="332">
        <v>23.0</v>
      </c>
      <c r="T251" s="295"/>
      <c r="U251" s="330"/>
      <c r="V251" s="330"/>
      <c r="W251" s="137"/>
      <c r="X251" s="137"/>
      <c r="Y251" s="137"/>
      <c r="Z251" s="137"/>
    </row>
    <row r="252">
      <c r="A252" s="295"/>
      <c r="B252" s="296" t="s">
        <v>1018</v>
      </c>
      <c r="C252" s="330" t="s">
        <v>646</v>
      </c>
      <c r="D252" s="25">
        <f>ROUND((E252*'Pawn Weights'!$H$17)+(G252*'Pawn Weights'!$H$4)+(H252*'Pawn Weights'!$H$5)+(I252*'Pawn Weights'!$H$6)+(J252*'Pawn Weights'!$H$9)+(K252*'Pawn Weights'!$H$7)+(M252*'Pawn Weights'!$H$10)+(N252*'Pawn Weights'!$H$3)+(O252*'Pawn Weights'!$H$12)+(P252*'Pawn Weights'!$H$13)+(Q252*'Pawn Weights'!$H$14)+(F252*'Pawn Weights'!$H$18)+(S252*'Pawn Weights'!$H$8), 2)</f>
        <v>381.15</v>
      </c>
      <c r="E252" s="332">
        <v>103.1</v>
      </c>
      <c r="F252" s="332">
        <v>2.6</v>
      </c>
      <c r="G252" s="330"/>
      <c r="H252" s="332">
        <v>34.0</v>
      </c>
      <c r="I252" s="332">
        <v>21.0</v>
      </c>
      <c r="J252" s="330"/>
      <c r="K252" s="332">
        <v>8.0</v>
      </c>
      <c r="L252" s="332">
        <v>30.0</v>
      </c>
      <c r="M252" s="332">
        <v>49.0</v>
      </c>
      <c r="N252" s="330"/>
      <c r="O252" s="330"/>
      <c r="P252" s="330"/>
      <c r="Q252" s="330"/>
      <c r="R252" s="295"/>
      <c r="S252" s="330"/>
      <c r="T252" s="402" t="s">
        <v>986</v>
      </c>
      <c r="U252" s="330"/>
      <c r="V252" s="330"/>
      <c r="W252" s="137"/>
      <c r="X252" s="137"/>
      <c r="Y252" s="137"/>
      <c r="Z252" s="137"/>
    </row>
    <row r="253" ht="14.25" customHeight="1">
      <c r="A253" s="137" t="s">
        <v>991</v>
      </c>
      <c r="B253" s="317" t="s">
        <v>1051</v>
      </c>
      <c r="C253" s="330" t="s">
        <v>646</v>
      </c>
      <c r="D253" s="25">
        <f>ROUND((E253*'Pawn Weights'!$H$17)+(G253*'Pawn Weights'!$H$4)+(H253*'Pawn Weights'!$H$5)+(I253*'Pawn Weights'!$H$6)+(J253*'Pawn Weights'!$H$9)+(K253*'Pawn Weights'!$H$7)+(M253*'Pawn Weights'!$H$10)+(N253*'Pawn Weights'!$H$3)+(O253*'Pawn Weights'!$H$12)+(P253*'Pawn Weights'!$H$13)+(Q253*'Pawn Weights'!$H$14)+(F253*'Pawn Weights'!$H$18)+(S253*'Pawn Weights'!$H$8), 2)</f>
        <v>375.2</v>
      </c>
      <c r="E253" s="331">
        <v>103.0</v>
      </c>
      <c r="F253" s="331">
        <v>1.5</v>
      </c>
      <c r="G253" s="330"/>
      <c r="H253" s="332">
        <v>34.0</v>
      </c>
      <c r="I253" s="332">
        <v>21.0</v>
      </c>
      <c r="J253" s="330"/>
      <c r="K253" s="332">
        <v>8.0</v>
      </c>
      <c r="L253" s="332">
        <v>30.0</v>
      </c>
      <c r="M253" s="332">
        <v>49.0</v>
      </c>
      <c r="N253" s="330"/>
      <c r="O253" s="330"/>
      <c r="P253" s="330"/>
      <c r="Q253" s="330"/>
      <c r="R253" s="295"/>
      <c r="S253" s="330"/>
      <c r="T253" s="330" t="s">
        <v>986</v>
      </c>
      <c r="U253" s="330"/>
      <c r="V253" s="330"/>
      <c r="W253" s="295"/>
      <c r="X253" s="137"/>
      <c r="Y253" s="137"/>
      <c r="Z253" s="137"/>
    </row>
    <row r="254">
      <c r="A254" s="295" t="s">
        <v>627</v>
      </c>
      <c r="B254" s="317" t="s">
        <v>1049</v>
      </c>
      <c r="C254" s="330" t="s">
        <v>1016</v>
      </c>
      <c r="D254" s="25">
        <f>ROUND((E254*'Pawn Weights'!$H$17)+(G254*'Pawn Weights'!$H$4)+(H254*'Pawn Weights'!$H$5)+(I254*'Pawn Weights'!$H$6)+(J254*'Pawn Weights'!$H$9)+(K254*'Pawn Weights'!$H$7)+(M254*'Pawn Weights'!$H$10)+(N254*'Pawn Weights'!$H$3)+(O254*'Pawn Weights'!$H$12)+(P254*'Pawn Weights'!$H$13)+(Q254*'Pawn Weights'!$H$14)+(F254*'Pawn Weights'!$H$18)+(S254*'Pawn Weights'!$H$8)+(72.08*'Pawn Weights'!$H$8), 2)</f>
        <v>372.63</v>
      </c>
      <c r="E254" s="332">
        <v>97.6</v>
      </c>
      <c r="F254" s="332">
        <v>2.7</v>
      </c>
      <c r="G254" s="330"/>
      <c r="H254" s="330"/>
      <c r="I254" s="330"/>
      <c r="J254" s="330"/>
      <c r="K254" s="330"/>
      <c r="L254" s="332">
        <v>19.0</v>
      </c>
      <c r="M254" s="330"/>
      <c r="N254" s="330"/>
      <c r="O254" s="330"/>
      <c r="P254" s="330"/>
      <c r="Q254" s="330"/>
      <c r="R254" s="295"/>
      <c r="S254" s="330"/>
      <c r="T254" s="328" t="s">
        <v>1050</v>
      </c>
      <c r="U254" s="330"/>
      <c r="V254" s="330"/>
      <c r="W254" s="137"/>
      <c r="X254" s="137"/>
      <c r="Y254" s="137"/>
      <c r="Z254" s="137"/>
    </row>
    <row r="255" ht="1.5" customHeight="1">
      <c r="A255" s="333"/>
      <c r="B255" s="334" t="s">
        <v>1052</v>
      </c>
      <c r="C255" s="335" t="s">
        <v>821</v>
      </c>
      <c r="D255" s="25">
        <f>ROUND((E255*'Pawn Weights'!$H$17)+(G255*'Pawn Weights'!$H$4)+(H255*'Pawn Weights'!$H$5)+(I255*'Pawn Weights'!$H$6)+(J255*'Pawn Weights'!$H$9)+(K255*'Pawn Weights'!$H$7)+(M255*'Pawn Weights'!$H$10)+(N255*'Pawn Weights'!$H$3)+(O255*'Pawn Weights'!$H$12)+(P255*'Pawn Weights'!$H$13)+(Q255*'Pawn Weights'!$H$14)+(F255*'Pawn Weights'!$H$18)+(S255*'Pawn Weights'!$H$8), 2)</f>
        <v>369.66</v>
      </c>
      <c r="E255" s="335">
        <v>100.3</v>
      </c>
      <c r="F255" s="335">
        <v>1.5</v>
      </c>
      <c r="G255" s="336"/>
      <c r="H255" s="335">
        <v>40.0</v>
      </c>
      <c r="I255" s="336"/>
      <c r="J255" s="336"/>
      <c r="K255" s="335">
        <v>19.0</v>
      </c>
      <c r="L255" s="336"/>
      <c r="M255" s="336"/>
      <c r="N255" s="336"/>
      <c r="O255" s="336"/>
      <c r="P255" s="336"/>
      <c r="Q255" s="336"/>
      <c r="R255" s="337"/>
      <c r="S255" s="335">
        <v>27.0</v>
      </c>
      <c r="T255" s="338"/>
      <c r="U255" s="336"/>
      <c r="V255" s="339"/>
      <c r="W255" s="339"/>
      <c r="X255" s="340"/>
      <c r="Y255" s="340"/>
      <c r="Z255" s="340"/>
    </row>
    <row r="256">
      <c r="A256" s="137"/>
      <c r="B256" s="296" t="s">
        <v>1019</v>
      </c>
      <c r="C256" s="330" t="s">
        <v>835</v>
      </c>
      <c r="D256" s="25">
        <f>ROUND((E256*'Pawn Weights'!$H$17)+(G256*'Pawn Weights'!$H$4)+(H256*'Pawn Weights'!$H$5)+(I256*'Pawn Weights'!$H$6)+(J256*'Pawn Weights'!$H$9)+(K256*'Pawn Weights'!$H$7)+(M256*'Pawn Weights'!$H$10)+(N256*'Pawn Weights'!$H$3)+(O256*'Pawn Weights'!$H$12)+(P256*'Pawn Weights'!$H$13)+(Q256*'Pawn Weights'!$H$14)+(F256*'Pawn Weights'!$H$18)+(S256*'Pawn Weights'!$H$8), 2)</f>
        <v>368.09</v>
      </c>
      <c r="E256" s="332">
        <v>100.2</v>
      </c>
      <c r="F256" s="332">
        <v>2.6</v>
      </c>
      <c r="G256" s="332">
        <v>28.0</v>
      </c>
      <c r="H256" s="332">
        <v>56.0</v>
      </c>
      <c r="I256" s="330"/>
      <c r="J256" s="330"/>
      <c r="K256" s="330"/>
      <c r="L256" s="330"/>
      <c r="M256" s="330"/>
      <c r="N256" s="330"/>
      <c r="O256" s="330"/>
      <c r="P256" s="330"/>
      <c r="Q256" s="330"/>
      <c r="R256" s="295"/>
      <c r="S256" s="330"/>
      <c r="T256" s="299"/>
      <c r="U256" s="330"/>
      <c r="V256" s="330"/>
      <c r="W256" s="137"/>
      <c r="X256" s="137"/>
      <c r="Y256" s="137"/>
      <c r="Z256" s="137"/>
    </row>
    <row r="257">
      <c r="A257" s="292"/>
      <c r="B257" s="288" t="s">
        <v>1053</v>
      </c>
      <c r="C257" s="326" t="s">
        <v>701</v>
      </c>
      <c r="D257" s="25">
        <f>ROUND((E257*'Pawn Weights'!$H$17)+(G257*'Pawn Weights'!$H$4)+(H257*'Pawn Weights'!$H$5)+(I257*'Pawn Weights'!$H$6)+(J257*'Pawn Weights'!$H$9)+(K257*'Pawn Weights'!$H$7)+(M257*'Pawn Weights'!$H$10)+(N257*'Pawn Weights'!$H$3)+(O257*'Pawn Weights'!$H$12)+(P257*'Pawn Weights'!$H$13)+(Q257*'Pawn Weights'!$H$14)+(F257*'Pawn Weights'!$H$18)+(S257*'Pawn Weights'!$H$8), 2)</f>
        <v>367.76</v>
      </c>
      <c r="E257" s="326">
        <v>100.4</v>
      </c>
      <c r="F257" s="326">
        <v>1.4</v>
      </c>
      <c r="G257" s="326"/>
      <c r="H257" s="326">
        <v>44.0</v>
      </c>
      <c r="I257" s="326">
        <v>22.0</v>
      </c>
      <c r="J257" s="326"/>
      <c r="K257" s="326">
        <v>15.0</v>
      </c>
      <c r="L257" s="326">
        <v>19.0</v>
      </c>
      <c r="M257" s="326"/>
      <c r="N257" s="326"/>
      <c r="O257" s="326"/>
      <c r="P257" s="326"/>
      <c r="Q257" s="326"/>
      <c r="R257" s="327"/>
      <c r="S257" s="326"/>
      <c r="T257" s="328"/>
      <c r="U257" s="326"/>
      <c r="V257" s="326"/>
      <c r="W257" s="329"/>
    </row>
    <row r="258">
      <c r="A258" s="292" t="s">
        <v>627</v>
      </c>
      <c r="B258" s="288" t="s">
        <v>1031</v>
      </c>
      <c r="C258" s="326" t="s">
        <v>1032</v>
      </c>
      <c r="D258" s="25">
        <f>ROUND((E258*'Pawn Weights'!$H$17)+(G258*'Pawn Weights'!$H$4)+(H258*'Pawn Weights'!$H$5)+(I258*'Pawn Weights'!$H$6)+(J258*'Pawn Weights'!$H$9)+(K258*'Pawn Weights'!$H$7)+(M258*'Pawn Weights'!$H$10)+(N258*'Pawn Weights'!$H$3)+(O258*'Pawn Weights'!$H$12)+(P258*'Pawn Weights'!$H$13)+(Q258*'Pawn Weights'!$H$14)+(F258*'Pawn Weights'!$H$18)+(S258*'Pawn Weights'!$H$8), 2)</f>
        <v>359.16</v>
      </c>
      <c r="E258" s="326">
        <v>97.6</v>
      </c>
      <c r="F258" s="326">
        <v>2.7</v>
      </c>
      <c r="G258" s="326"/>
      <c r="H258" s="326">
        <v>48.0</v>
      </c>
      <c r="I258" s="326">
        <v>23.0</v>
      </c>
      <c r="J258" s="326"/>
      <c r="K258" s="326"/>
      <c r="L258" s="326"/>
      <c r="M258" s="326"/>
      <c r="N258" s="326"/>
      <c r="O258" s="326"/>
      <c r="P258" s="326"/>
      <c r="Q258" s="326"/>
      <c r="R258" s="327"/>
      <c r="S258" s="326"/>
      <c r="T258" s="328" t="s">
        <v>1414</v>
      </c>
      <c r="U258" s="326"/>
      <c r="V258" s="326"/>
      <c r="W258" s="329"/>
    </row>
    <row r="259">
      <c r="A259" s="292"/>
      <c r="B259" s="288" t="s">
        <v>1026</v>
      </c>
      <c r="C259" s="326" t="s">
        <v>716</v>
      </c>
      <c r="D259" s="25">
        <f>ROUND((E259*'Pawn Weights'!$H$17)+(G259*'Pawn Weights'!$H$4)+(H259*'Pawn Weights'!$H$5)+(I259*'Pawn Weights'!$H$6)+(J259*'Pawn Weights'!$H$9)+(K259*'Pawn Weights'!$H$7)+(M259*'Pawn Weights'!$H$10)+(N259*'Pawn Weights'!$H$3)+(O259*'Pawn Weights'!$H$12)+(P259*'Pawn Weights'!$H$13)+(Q259*'Pawn Weights'!$H$14)+(F259*'Pawn Weights'!$H$18)+(S259*'Pawn Weights'!$H$8), 2)</f>
        <v>357</v>
      </c>
      <c r="E259" s="326">
        <v>100.2</v>
      </c>
      <c r="F259" s="326">
        <v>2.6</v>
      </c>
      <c r="G259" s="326"/>
      <c r="H259" s="326">
        <v>44.0</v>
      </c>
      <c r="I259" s="326"/>
      <c r="J259" s="326"/>
      <c r="K259" s="326">
        <v>21.0</v>
      </c>
      <c r="L259" s="326">
        <v>33.0</v>
      </c>
      <c r="M259" s="326"/>
      <c r="N259" s="326"/>
      <c r="O259" s="326"/>
      <c r="P259" s="326"/>
      <c r="Q259" s="326"/>
      <c r="R259" s="327"/>
      <c r="S259" s="326"/>
      <c r="T259" s="328" t="s">
        <v>1414</v>
      </c>
      <c r="U259" s="326"/>
      <c r="V259" s="326"/>
      <c r="W259" s="329"/>
    </row>
    <row r="260">
      <c r="A260" s="281"/>
      <c r="B260" s="288" t="s">
        <v>1020</v>
      </c>
      <c r="C260" s="326" t="s">
        <v>741</v>
      </c>
      <c r="D260" s="25">
        <f>ROUND((E260*'Pawn Weights'!$H$17)+(G260*'Pawn Weights'!$H$4)+(H260*'Pawn Weights'!$H$5)+(I260*'Pawn Weights'!$H$6)+(J260*'Pawn Weights'!$H$9)+(K260*'Pawn Weights'!$H$7)+(M260*'Pawn Weights'!$H$10)+(N260*'Pawn Weights'!$H$3)+(O260*'Pawn Weights'!$H$12)+(P260*'Pawn Weights'!$H$13)+(Q260*'Pawn Weights'!$H$14)+(F260*'Pawn Weights'!$H$18)+(S260*'Pawn Weights'!$H$8)+6, 2)</f>
        <v>354.11</v>
      </c>
      <c r="E260" s="326">
        <v>100.2</v>
      </c>
      <c r="F260" s="326">
        <v>2.7</v>
      </c>
      <c r="G260" s="326"/>
      <c r="H260" s="326">
        <v>52.0</v>
      </c>
      <c r="I260" s="326"/>
      <c r="J260" s="326"/>
      <c r="K260" s="326"/>
      <c r="L260" s="326"/>
      <c r="M260" s="326"/>
      <c r="N260" s="326"/>
      <c r="O260" s="326"/>
      <c r="P260" s="326"/>
      <c r="Q260" s="326"/>
      <c r="R260" s="327"/>
      <c r="S260" s="326"/>
      <c r="T260" s="328" t="s">
        <v>1021</v>
      </c>
      <c r="U260" s="326"/>
      <c r="V260" s="326"/>
      <c r="W260" s="329"/>
    </row>
    <row r="261">
      <c r="A261" s="292" t="s">
        <v>1412</v>
      </c>
      <c r="B261" s="288" t="s">
        <v>1022</v>
      </c>
      <c r="C261" s="326" t="s">
        <v>665</v>
      </c>
      <c r="D261" s="25">
        <f>ROUND((E261*'Pawn Weights'!$H$17)+(G261*'Pawn Weights'!$H$4)+(H261*'Pawn Weights'!$H$5)+(I261*'Pawn Weights'!$H$6)+(J261*'Pawn Weights'!$H$9)+(K261*'Pawn Weights'!$H$7)+(M261*'Pawn Weights'!$H$10)+(N261*'Pawn Weights'!$H$3)+(O261*'Pawn Weights'!$H$12)+(P261*'Pawn Weights'!$H$13)+(Q261*'Pawn Weights'!$H$14)+(F261*'Pawn Weights'!$H$18)+(S261*'Pawn Weights'!$H$8)+6.25, 2)</f>
        <v>353.96</v>
      </c>
      <c r="E261" s="326">
        <v>100.2</v>
      </c>
      <c r="F261" s="326">
        <v>2.8</v>
      </c>
      <c r="G261" s="326"/>
      <c r="H261" s="326">
        <v>50.0</v>
      </c>
      <c r="I261" s="326"/>
      <c r="J261" s="326"/>
      <c r="K261" s="326"/>
      <c r="L261" s="326"/>
      <c r="M261" s="326"/>
      <c r="N261" s="326"/>
      <c r="O261" s="326"/>
      <c r="P261" s="326"/>
      <c r="Q261" s="326"/>
      <c r="R261" s="327"/>
      <c r="S261" s="326"/>
      <c r="T261" s="328" t="s">
        <v>1023</v>
      </c>
      <c r="U261" s="326"/>
      <c r="V261" s="326"/>
      <c r="W261" s="329"/>
    </row>
    <row r="262">
      <c r="A262" s="281"/>
      <c r="B262" s="288" t="s">
        <v>1035</v>
      </c>
      <c r="C262" s="326" t="s">
        <v>900</v>
      </c>
      <c r="D262" s="25">
        <f>ROUND((E262*'Pawn Weights'!$H$17)+(G262*'Pawn Weights'!$H$4)+(H262*'Pawn Weights'!$H$5)+(I262*'Pawn Weights'!$H$6)+(J262*'Pawn Weights'!$H$9)+(K262*'Pawn Weights'!$H$7)+(M262*'Pawn Weights'!$H$10)+(N262*'Pawn Weights'!$H$3)+(O262*'Pawn Weights'!$H$12)+(P262*'Pawn Weights'!$H$13)+(Q262*'Pawn Weights'!$H$14)+(F262*'Pawn Weights'!$H$18)+(S262*'Pawn Weights'!$H$8), 2)</f>
        <v>353.61</v>
      </c>
      <c r="E262" s="326">
        <v>96.5</v>
      </c>
      <c r="F262" s="326">
        <v>2.7</v>
      </c>
      <c r="G262" s="326">
        <v>15.0</v>
      </c>
      <c r="H262" s="326">
        <v>40.0</v>
      </c>
      <c r="I262" s="326"/>
      <c r="J262" s="326"/>
      <c r="K262" s="326">
        <v>20.0</v>
      </c>
      <c r="L262" s="326"/>
      <c r="M262" s="326"/>
      <c r="N262" s="326"/>
      <c r="O262" s="326"/>
      <c r="P262" s="326"/>
      <c r="Q262" s="326"/>
      <c r="R262" s="327"/>
      <c r="S262" s="326"/>
      <c r="T262" s="328" t="s">
        <v>1036</v>
      </c>
      <c r="U262" s="326"/>
      <c r="V262" s="326"/>
      <c r="W262" s="329"/>
    </row>
    <row r="263">
      <c r="A263" s="281"/>
      <c r="B263" s="288" t="s">
        <v>1033</v>
      </c>
      <c r="C263" s="326" t="s">
        <v>997</v>
      </c>
      <c r="D263" s="25">
        <f>ROUND((E263*'Pawn Weights'!$H$17)+(G263*'Pawn Weights'!$H$4)+(H263*'Pawn Weights'!$H$5)+(I263*'Pawn Weights'!$H$6)+(J263*'Pawn Weights'!$H$9)+(K263*'Pawn Weights'!$H$7)+(M263*'Pawn Weights'!$H$10)+(N263*'Pawn Weights'!$H$3)+(O263*'Pawn Weights'!$H$12)+(P263*'Pawn Weights'!$H$13)+(Q263*'Pawn Weights'!$H$14)+(F263*'Pawn Weights'!$H$18)+(S263*'Pawn Weights'!$H$8), 2)</f>
        <v>353.34</v>
      </c>
      <c r="E263" s="326">
        <v>97.7</v>
      </c>
      <c r="F263" s="326">
        <v>2.6</v>
      </c>
      <c r="G263" s="326"/>
      <c r="H263" s="326">
        <v>30.0</v>
      </c>
      <c r="I263" s="326">
        <v>19.0</v>
      </c>
      <c r="J263" s="326"/>
      <c r="K263" s="326">
        <v>10.0</v>
      </c>
      <c r="L263" s="326">
        <v>27.0</v>
      </c>
      <c r="M263" s="326"/>
      <c r="N263" s="326"/>
      <c r="O263" s="326"/>
      <c r="P263" s="326"/>
      <c r="Q263" s="326"/>
      <c r="R263" s="327"/>
      <c r="S263" s="326"/>
      <c r="T263" s="328" t="s">
        <v>1034</v>
      </c>
      <c r="U263" s="326"/>
      <c r="V263" s="326"/>
      <c r="W263" s="329"/>
    </row>
    <row r="264">
      <c r="A264" s="295" t="s">
        <v>627</v>
      </c>
      <c r="B264" s="317" t="s">
        <v>1389</v>
      </c>
      <c r="C264" s="330" t="s">
        <v>1296</v>
      </c>
      <c r="D264" s="25">
        <f>ROUND((E264*'Pawn Weights'!$H$17)+(G264*'Pawn Weights'!$H$4)+(H264*'Pawn Weights'!$H$5)+(I264*'Pawn Weights'!$H$6)+(J264*'Pawn Weights'!$H$9)+(K264*'Pawn Weights'!$H$7)+(M264*'Pawn Weights'!$H$10)+(N264*'Pawn Weights'!$H$3)+(O264*'Pawn Weights'!$H$12)+(P264*'Pawn Weights'!$H$13)+(Q264*'Pawn Weights'!$H$14)+(F264*'Pawn Weights'!$H$18)+(S264*'Pawn Weights'!$H$8)+(72.08*'Pawn Weights'!$H$8), 2)</f>
        <v>352.48</v>
      </c>
      <c r="E264" s="332">
        <v>91.1</v>
      </c>
      <c r="F264" s="332">
        <v>2.7</v>
      </c>
      <c r="G264" s="295"/>
      <c r="H264" s="330"/>
      <c r="I264" s="330"/>
      <c r="J264" s="330"/>
      <c r="K264" s="330"/>
      <c r="L264" s="332">
        <v>9.0</v>
      </c>
      <c r="M264" s="330"/>
      <c r="N264" s="330"/>
      <c r="O264" s="330"/>
      <c r="P264" s="330"/>
      <c r="Q264" s="330"/>
      <c r="R264" s="295"/>
      <c r="S264" s="330"/>
      <c r="T264" s="328" t="s">
        <v>1050</v>
      </c>
      <c r="U264" s="368"/>
      <c r="V264" s="330"/>
      <c r="W264" s="137"/>
      <c r="X264" s="137"/>
      <c r="Y264" s="137"/>
      <c r="Z264" s="137"/>
    </row>
    <row r="265">
      <c r="A265" s="295" t="s">
        <v>627</v>
      </c>
      <c r="B265" s="317" t="s">
        <v>1055</v>
      </c>
      <c r="C265" s="330" t="s">
        <v>1016</v>
      </c>
      <c r="D265" s="25">
        <f>ROUND((E265*'Pawn Weights'!$H$17)+(G265*'Pawn Weights'!$H$4)+(H265*'Pawn Weights'!$H$5)+(I265*'Pawn Weights'!$H$6)+(J265*'Pawn Weights'!$H$9)+(K265*'Pawn Weights'!$H$7)+(M265*'Pawn Weights'!$H$10)+(N265*'Pawn Weights'!$H$3)+(O265*'Pawn Weights'!$H$12)+(P265*'Pawn Weights'!$H$13)+(Q265*'Pawn Weights'!$H$14)+(F265*'Pawn Weights'!$H$18)+(S265*'Pawn Weights'!$H$8)+(42.4*'Pawn Weights'!$H$8), 2)</f>
        <v>349.48</v>
      </c>
      <c r="E265" s="332">
        <v>97.6</v>
      </c>
      <c r="F265" s="332">
        <v>2.7</v>
      </c>
      <c r="G265" s="330"/>
      <c r="H265" s="330"/>
      <c r="I265" s="330"/>
      <c r="J265" s="330"/>
      <c r="K265" s="330"/>
      <c r="L265" s="332">
        <v>19.0</v>
      </c>
      <c r="M265" s="330"/>
      <c r="N265" s="330"/>
      <c r="O265" s="330"/>
      <c r="P265" s="330"/>
      <c r="Q265" s="330"/>
      <c r="R265" s="295"/>
      <c r="S265" s="330"/>
      <c r="T265" s="328" t="s">
        <v>1050</v>
      </c>
      <c r="U265" s="330"/>
      <c r="V265" s="330"/>
      <c r="W265" s="137"/>
      <c r="X265" s="137"/>
      <c r="Y265" s="137"/>
      <c r="Z265" s="137"/>
    </row>
    <row r="266" ht="14.25" customHeight="1">
      <c r="A266" s="292"/>
      <c r="B266" s="288" t="s">
        <v>1056</v>
      </c>
      <c r="C266" s="326" t="s">
        <v>1029</v>
      </c>
      <c r="D266" s="25">
        <f>ROUND((E266*'Pawn Weights'!$H$17)+(G266*'Pawn Weights'!$H$4)+(H266*'Pawn Weights'!$H$5)+(I266*'Pawn Weights'!$H$6)+(J266*'Pawn Weights'!$H$9)+(K266*'Pawn Weights'!$H$7)+(M266*'Pawn Weights'!$H$10)+(N266*'Pawn Weights'!$H$3)+(O266*'Pawn Weights'!$H$12)+(P266*'Pawn Weights'!$H$13)+(Q266*'Pawn Weights'!$H$14)+(F266*'Pawn Weights'!$H$18)+(S266*'Pawn Weights'!$H$8), 2)</f>
        <v>349.24</v>
      </c>
      <c r="E266" s="326">
        <v>100.3</v>
      </c>
      <c r="F266" s="326">
        <v>1.5</v>
      </c>
      <c r="G266" s="326">
        <v>20.0</v>
      </c>
      <c r="H266" s="326">
        <v>38.0</v>
      </c>
      <c r="I266" s="326"/>
      <c r="J266" s="326"/>
      <c r="K266" s="326"/>
      <c r="L266" s="326">
        <v>28.0</v>
      </c>
      <c r="M266" s="326"/>
      <c r="N266" s="326"/>
      <c r="O266" s="326"/>
      <c r="P266" s="326"/>
      <c r="Q266" s="326"/>
      <c r="R266" s="327"/>
      <c r="S266" s="326"/>
      <c r="T266" s="328" t="s">
        <v>1030</v>
      </c>
      <c r="U266" s="326"/>
      <c r="V266" s="326"/>
      <c r="W266" s="329"/>
    </row>
    <row r="267" ht="14.25" customHeight="1">
      <c r="A267" s="295" t="s">
        <v>995</v>
      </c>
      <c r="B267" s="296" t="s">
        <v>1058</v>
      </c>
      <c r="C267" s="330" t="s">
        <v>997</v>
      </c>
      <c r="D267" s="25">
        <f>ROUND((E267*'Pawn Weights'!$H$17)+(G267*'Pawn Weights'!$H$4)+(H267*'Pawn Weights'!$H$5)+(I267*'Pawn Weights'!$H$6)+(J267*'Pawn Weights'!$H$9)+(K267*'Pawn Weights'!$H$7)+(M267*'Pawn Weights'!$H$10)+(N267*'Pawn Weights'!$H$3)+(O267*'Pawn Weights'!$H$12)+(P267*'Pawn Weights'!$H$13)+(Q267*'Pawn Weights'!$H$14)+(F267*'Pawn Weights'!$H$18)+(S267*'Pawn Weights'!$H$8), 2)</f>
        <v>347.7</v>
      </c>
      <c r="E267" s="332">
        <v>97.7</v>
      </c>
      <c r="F267" s="332">
        <v>1.5</v>
      </c>
      <c r="G267" s="330"/>
      <c r="H267" s="332">
        <v>30.0</v>
      </c>
      <c r="I267" s="332">
        <v>19.0</v>
      </c>
      <c r="J267" s="330"/>
      <c r="K267" s="332">
        <v>10.0</v>
      </c>
      <c r="L267" s="332">
        <v>27.0</v>
      </c>
      <c r="M267" s="330"/>
      <c r="N267" s="330"/>
      <c r="O267" s="330"/>
      <c r="P267" s="330"/>
      <c r="Q267" s="330"/>
      <c r="R267" s="295"/>
      <c r="S267" s="330"/>
      <c r="T267" s="330" t="s">
        <v>1034</v>
      </c>
      <c r="U267" s="330"/>
      <c r="V267" s="330"/>
      <c r="W267" s="137"/>
      <c r="X267" s="137"/>
      <c r="Y267" s="137"/>
      <c r="Z267" s="137"/>
    </row>
    <row r="268">
      <c r="A268" s="281"/>
      <c r="B268" s="288" t="s">
        <v>1037</v>
      </c>
      <c r="C268" s="326" t="s">
        <v>1025</v>
      </c>
      <c r="D268" s="25">
        <f>ROUND((E268*'Pawn Weights'!$H$17)+(G268*'Pawn Weights'!$H$4)+(H268*'Pawn Weights'!$H$5)+(I268*'Pawn Weights'!$H$6)+(J268*'Pawn Weights'!$H$9)+(K268*'Pawn Weights'!$H$7)+(M268*'Pawn Weights'!$H$10)+(N268*'Pawn Weights'!$H$3)+(O268*'Pawn Weights'!$H$12)+(P268*'Pawn Weights'!$H$13)+(Q268*'Pawn Weights'!$H$14)+(F268*'Pawn Weights'!$H$18)+(S268*'Pawn Weights'!$H$8), 2)</f>
        <v>347.34</v>
      </c>
      <c r="E268" s="326">
        <v>96.5</v>
      </c>
      <c r="F268" s="326">
        <v>2.6</v>
      </c>
      <c r="G268" s="326">
        <v>25.0</v>
      </c>
      <c r="H268" s="326">
        <v>40.0</v>
      </c>
      <c r="I268" s="326"/>
      <c r="J268" s="326"/>
      <c r="K268" s="326"/>
      <c r="L268" s="326">
        <v>21.0</v>
      </c>
      <c r="M268" s="326"/>
      <c r="N268" s="326"/>
      <c r="O268" s="326"/>
      <c r="P268" s="326"/>
      <c r="Q268" s="326"/>
      <c r="R268" s="327"/>
      <c r="S268" s="326"/>
      <c r="T268" s="328" t="s">
        <v>1414</v>
      </c>
      <c r="U268" s="326"/>
      <c r="V268" s="326"/>
      <c r="W268" s="329"/>
    </row>
    <row r="269">
      <c r="A269" s="345"/>
      <c r="B269" s="334" t="s">
        <v>1059</v>
      </c>
      <c r="C269" s="335" t="s">
        <v>839</v>
      </c>
      <c r="D269" s="25">
        <f>ROUND((E269*'Pawn Weights'!$H$17)+(G269*'Pawn Weights'!$H$4)+(H269*'Pawn Weights'!$H$5)+(I269*'Pawn Weights'!$H$6)+(J269*'Pawn Weights'!$H$9)+(K269*'Pawn Weights'!$H$7)+(M269*'Pawn Weights'!$H$10)+(N269*'Pawn Weights'!$H$3)+(O269*'Pawn Weights'!$H$12)+(P269*'Pawn Weights'!$H$13)+(Q269*'Pawn Weights'!$H$14)+(F269*'Pawn Weights'!$H$18)+(S269*'Pawn Weights'!$H$8)+1.818, 2)</f>
        <v>345.75</v>
      </c>
      <c r="E269" s="335">
        <v>95.6</v>
      </c>
      <c r="F269" s="335">
        <v>2.6</v>
      </c>
      <c r="G269" s="336"/>
      <c r="H269" s="335">
        <v>26.0</v>
      </c>
      <c r="I269" s="336"/>
      <c r="J269" s="335"/>
      <c r="K269" s="335">
        <v>20.0</v>
      </c>
      <c r="L269" s="335">
        <v>20.0</v>
      </c>
      <c r="M269" s="336"/>
      <c r="N269" s="336"/>
      <c r="O269" s="335">
        <v>1.0</v>
      </c>
      <c r="P269" s="336"/>
      <c r="Q269" s="336"/>
      <c r="R269" s="346" t="s">
        <v>660</v>
      </c>
      <c r="S269" s="336"/>
      <c r="T269" s="347"/>
      <c r="U269" s="336"/>
      <c r="V269" s="348"/>
      <c r="W269" s="348"/>
      <c r="X269" s="340"/>
      <c r="Y269" s="340"/>
      <c r="Z269" s="340"/>
    </row>
    <row r="270">
      <c r="A270" s="137"/>
      <c r="B270" s="296" t="s">
        <v>1057</v>
      </c>
      <c r="C270" s="330" t="s">
        <v>665</v>
      </c>
      <c r="D270" s="25">
        <f>ROUND((E270*'Pawn Weights'!$H$17)+(G270*'Pawn Weights'!$H$4)+(H270*'Pawn Weights'!$H$5)+(I270*'Pawn Weights'!$H$6)+(J270*'Pawn Weights'!$H$9)+(K270*'Pawn Weights'!$H$7)+(M270*'Pawn Weights'!$H$10)+(N270*'Pawn Weights'!$H$3)+(O270*'Pawn Weights'!$H$12)+(P270*'Pawn Weights'!$H$13)+(Q270*'Pawn Weights'!$H$14)+(F270*'Pawn Weights'!$H$18)+(S270*'Pawn Weights'!$H$8), 2)</f>
        <v>345.39</v>
      </c>
      <c r="E270" s="332">
        <v>100.3</v>
      </c>
      <c r="F270" s="332">
        <v>1.6</v>
      </c>
      <c r="G270" s="342"/>
      <c r="H270" s="330"/>
      <c r="I270" s="342"/>
      <c r="J270" s="332">
        <v>21.0</v>
      </c>
      <c r="K270" s="330"/>
      <c r="L270" s="330"/>
      <c r="M270" s="342"/>
      <c r="N270" s="342"/>
      <c r="O270" s="330"/>
      <c r="P270" s="342"/>
      <c r="Q270" s="342"/>
      <c r="R270" s="295"/>
      <c r="S270" s="342"/>
      <c r="T270" s="299"/>
      <c r="U270" s="342"/>
      <c r="V270" s="342"/>
      <c r="W270" s="137"/>
      <c r="X270" s="137"/>
      <c r="Y270" s="137"/>
      <c r="Z270" s="137"/>
    </row>
    <row r="271">
      <c r="A271" s="295"/>
      <c r="B271" s="296" t="s">
        <v>1258</v>
      </c>
      <c r="C271" s="330" t="s">
        <v>1259</v>
      </c>
      <c r="D271" s="25">
        <f>ROUND((E271*'Pawn Weights'!$H$17)+(G271*'Pawn Weights'!$H$4)+(H271*'Pawn Weights'!$H$5)+(I271*'Pawn Weights'!$H$6)+(J271*'Pawn Weights'!$H$9)+(K271*'Pawn Weights'!$H$7)+(M271*'Pawn Weights'!$H$10)+(N271*'Pawn Weights'!$H$3)+(O271*'Pawn Weights'!$H$12)+(P271*'Pawn Weights'!$H$13)+(Q271*'Pawn Weights'!$H$14)+(F271*'Pawn Weights'!$H$18)+(S271*'Pawn Weights'!$H$8), 2)</f>
        <v>344.39</v>
      </c>
      <c r="E271" s="332">
        <v>95.6</v>
      </c>
      <c r="F271" s="332">
        <v>2.6</v>
      </c>
      <c r="G271" s="330"/>
      <c r="H271" s="332">
        <v>42.0</v>
      </c>
      <c r="I271" s="330"/>
      <c r="J271" s="330"/>
      <c r="K271" s="330"/>
      <c r="L271" s="332">
        <v>30.0</v>
      </c>
      <c r="M271" s="330"/>
      <c r="N271" s="330"/>
      <c r="O271" s="330"/>
      <c r="P271" s="330"/>
      <c r="Q271" s="330"/>
      <c r="R271" s="295"/>
      <c r="S271" s="332">
        <v>20.0</v>
      </c>
      <c r="T271" s="299"/>
      <c r="U271" s="330"/>
      <c r="V271" s="330"/>
      <c r="W271" s="137"/>
      <c r="X271" s="137"/>
      <c r="Y271" s="137"/>
      <c r="Z271" s="137"/>
    </row>
    <row r="272" ht="15.0" customHeight="1">
      <c r="A272" s="345"/>
      <c r="B272" s="334" t="s">
        <v>1060</v>
      </c>
      <c r="C272" s="335" t="s">
        <v>1025</v>
      </c>
      <c r="D272" s="25">
        <f>ROUND((E272*'Pawn Weights'!$H$17)+(G272*'Pawn Weights'!$H$4)+(H272*'Pawn Weights'!$H$5)+(I272*'Pawn Weights'!$H$6)+(J272*'Pawn Weights'!$H$9)+(K272*'Pawn Weights'!$H$7)+(M272*'Pawn Weights'!$H$10)+(N272*'Pawn Weights'!$H$3)+(O272*'Pawn Weights'!$H$12)+(P272*'Pawn Weights'!$H$13)+(Q272*'Pawn Weights'!$H$14)+(F272*'Pawn Weights'!$H$18)+(S272*'Pawn Weights'!$H$8), 2)</f>
        <v>339.65</v>
      </c>
      <c r="E272" s="335">
        <v>96.7</v>
      </c>
      <c r="F272" s="335">
        <v>1.5</v>
      </c>
      <c r="G272" s="335">
        <v>21.0</v>
      </c>
      <c r="H272" s="335">
        <v>40.0</v>
      </c>
      <c r="I272" s="336"/>
      <c r="J272" s="335"/>
      <c r="K272" s="336"/>
      <c r="L272" s="335">
        <v>30.0</v>
      </c>
      <c r="M272" s="336"/>
      <c r="N272" s="336"/>
      <c r="O272" s="336"/>
      <c r="P272" s="336"/>
      <c r="Q272" s="336"/>
      <c r="R272" s="337"/>
      <c r="S272" s="336"/>
      <c r="T272" s="347"/>
      <c r="U272" s="336"/>
      <c r="V272" s="348"/>
      <c r="W272" s="348"/>
      <c r="X272" s="340"/>
      <c r="Y272" s="340"/>
      <c r="Z272" s="340"/>
    </row>
    <row r="273" ht="14.25" customHeight="1">
      <c r="A273" s="292" t="s">
        <v>627</v>
      </c>
      <c r="B273" s="288" t="s">
        <v>1061</v>
      </c>
      <c r="C273" s="326" t="s">
        <v>1062</v>
      </c>
      <c r="D273" s="25">
        <f>ROUND((E273*'Pawn Weights'!$H$17)+(G273*'Pawn Weights'!$H$4)+(H273*'Pawn Weights'!$H$5)+(I273*'Pawn Weights'!$H$6)+(J273*'Pawn Weights'!$H$9)+(K273*'Pawn Weights'!$H$7)+(M273*'Pawn Weights'!$H$10)+(N273*'Pawn Weights'!$H$3)+(O273*'Pawn Weights'!$H$12)+(P273*'Pawn Weights'!$H$13)+(Q273*'Pawn Weights'!$H$14)+(F273*'Pawn Weights'!$H$18)+(S273*'Pawn Weights'!$H$8), 2)</f>
        <v>334.31</v>
      </c>
      <c r="E273" s="326">
        <v>97.5</v>
      </c>
      <c r="F273" s="326">
        <v>1.6</v>
      </c>
      <c r="G273" s="326">
        <v>19.0</v>
      </c>
      <c r="H273" s="326"/>
      <c r="I273" s="326"/>
      <c r="J273" s="326"/>
      <c r="K273" s="326">
        <v>18.0</v>
      </c>
      <c r="L273" s="326">
        <v>28.0</v>
      </c>
      <c r="M273" s="326"/>
      <c r="N273" s="326"/>
      <c r="O273" s="326"/>
      <c r="P273" s="326"/>
      <c r="Q273" s="326"/>
      <c r="R273" s="327"/>
      <c r="S273" s="326"/>
      <c r="T273" s="328" t="s">
        <v>1063</v>
      </c>
      <c r="U273" s="326"/>
      <c r="V273" s="326"/>
      <c r="W273" s="329"/>
    </row>
    <row r="274">
      <c r="A274" s="295" t="s">
        <v>627</v>
      </c>
      <c r="B274" s="296" t="s">
        <v>1295</v>
      </c>
      <c r="C274" s="330" t="s">
        <v>1296</v>
      </c>
      <c r="D274" s="25">
        <f>ROUND((E274*'Pawn Weights'!$H$17)+(G274*'Pawn Weights'!$H$4)+(H274*'Pawn Weights'!$H$5)+(I274*'Pawn Weights'!$H$6)+(J274*'Pawn Weights'!$H$9)+(K274*'Pawn Weights'!$H$7)+(M274*'Pawn Weights'!$H$10)+(N274*'Pawn Weights'!$H$3)+(O274*'Pawn Weights'!$H$12)+(P274*'Pawn Weights'!$H$13)+(Q274*'Pawn Weights'!$H$14)+(F274*'Pawn Weights'!$H$18)+(S274*'Pawn Weights'!$H$8)+(42.4*'Pawn Weights'!$H$8), 2)</f>
        <v>329.33</v>
      </c>
      <c r="E274" s="332">
        <v>91.1</v>
      </c>
      <c r="F274" s="332">
        <v>2.7</v>
      </c>
      <c r="G274" s="295"/>
      <c r="H274" s="330"/>
      <c r="I274" s="330"/>
      <c r="J274" s="330"/>
      <c r="K274" s="330"/>
      <c r="L274" s="332">
        <v>9.0</v>
      </c>
      <c r="M274" s="330"/>
      <c r="N274" s="330"/>
      <c r="O274" s="330"/>
      <c r="P274" s="330"/>
      <c r="Q274" s="330"/>
      <c r="R274" s="295"/>
      <c r="S274" s="330"/>
      <c r="T274" s="328" t="s">
        <v>1050</v>
      </c>
      <c r="U274" s="368"/>
      <c r="V274" s="330"/>
      <c r="W274" s="137"/>
      <c r="X274" s="137"/>
      <c r="Y274" s="137"/>
      <c r="Z274" s="137"/>
    </row>
    <row r="275">
      <c r="A275" s="345"/>
      <c r="B275" s="335"/>
      <c r="C275" s="351"/>
      <c r="D275" s="351"/>
      <c r="E275" s="351"/>
      <c r="F275" s="351"/>
      <c r="G275" s="351"/>
      <c r="H275" s="351"/>
      <c r="I275" s="351"/>
      <c r="J275" s="351"/>
      <c r="K275" s="351"/>
      <c r="L275" s="351"/>
      <c r="M275" s="351"/>
      <c r="N275" s="351"/>
      <c r="O275" s="351"/>
      <c r="P275" s="351"/>
      <c r="Q275" s="351"/>
      <c r="R275" s="352"/>
      <c r="S275" s="351"/>
      <c r="T275" s="353"/>
      <c r="U275" s="351"/>
      <c r="V275" s="348"/>
      <c r="W275" s="348"/>
      <c r="X275" s="340"/>
      <c r="Y275" s="340"/>
      <c r="Z275" s="340"/>
    </row>
    <row r="276">
      <c r="A276" s="408" t="s">
        <v>1415</v>
      </c>
      <c r="B276" s="350" t="s">
        <v>1064</v>
      </c>
      <c r="C276" s="351"/>
      <c r="D276" s="351"/>
      <c r="E276" s="351"/>
      <c r="F276" s="351"/>
      <c r="G276" s="351"/>
      <c r="H276" s="351"/>
      <c r="I276" s="351"/>
      <c r="J276" s="351"/>
      <c r="K276" s="351"/>
      <c r="L276" s="351"/>
      <c r="M276" s="351"/>
      <c r="N276" s="351"/>
      <c r="O276" s="351"/>
      <c r="P276" s="351"/>
      <c r="Q276" s="351"/>
      <c r="R276" s="352"/>
      <c r="S276" s="351"/>
      <c r="T276" s="353"/>
      <c r="U276" s="351"/>
      <c r="V276" s="348"/>
      <c r="W276" s="348"/>
      <c r="X276" s="340"/>
      <c r="Y276" s="340"/>
      <c r="Z276" s="340"/>
    </row>
    <row r="277">
      <c r="A277" s="349"/>
      <c r="B277" s="351"/>
      <c r="C277" s="351"/>
      <c r="D277" s="351"/>
      <c r="E277" s="351"/>
      <c r="F277" s="351"/>
      <c r="G277" s="351"/>
      <c r="H277" s="351"/>
      <c r="I277" s="351"/>
      <c r="J277" s="351"/>
      <c r="K277" s="351"/>
      <c r="L277" s="351"/>
      <c r="M277" s="351"/>
      <c r="N277" s="351"/>
      <c r="O277" s="351"/>
      <c r="P277" s="351"/>
      <c r="Q277" s="351"/>
      <c r="R277" s="352"/>
      <c r="S277" s="351"/>
      <c r="T277" s="353"/>
      <c r="U277" s="351"/>
      <c r="V277" s="348"/>
      <c r="W277" s="348"/>
      <c r="X277" s="340"/>
      <c r="Y277" s="340"/>
      <c r="Z277" s="340"/>
    </row>
    <row r="278">
      <c r="A278" s="281"/>
      <c r="B278" s="354"/>
      <c r="C278" s="354"/>
      <c r="D278" s="354"/>
      <c r="E278" s="354"/>
      <c r="F278" s="354"/>
      <c r="G278" s="354"/>
      <c r="H278" s="354"/>
      <c r="I278" s="354"/>
      <c r="J278" s="354"/>
      <c r="K278" s="354"/>
      <c r="L278" s="354"/>
      <c r="M278" s="354"/>
      <c r="N278" s="354"/>
      <c r="O278" s="354"/>
      <c r="P278" s="354"/>
      <c r="Q278" s="354"/>
      <c r="R278" s="355"/>
      <c r="S278" s="354"/>
      <c r="T278" s="356"/>
      <c r="U278" s="354"/>
      <c r="V278" s="281"/>
      <c r="W278" s="281"/>
      <c r="X278" s="304"/>
      <c r="Y278" s="304"/>
      <c r="Z278" s="304"/>
    </row>
    <row r="279">
      <c r="A279" s="333"/>
      <c r="B279" s="354"/>
      <c r="C279" s="354"/>
      <c r="D279" s="354"/>
      <c r="E279" s="354"/>
      <c r="F279" s="354"/>
      <c r="G279" s="354"/>
      <c r="H279" s="354"/>
      <c r="I279" s="354"/>
      <c r="J279" s="354"/>
      <c r="K279" s="354"/>
      <c r="L279" s="354"/>
      <c r="M279" s="354"/>
      <c r="N279" s="354"/>
      <c r="O279" s="354"/>
      <c r="P279" s="354"/>
      <c r="Q279" s="354"/>
      <c r="R279" s="355"/>
      <c r="S279" s="354"/>
      <c r="T279" s="356"/>
      <c r="U279" s="354"/>
      <c r="V279" s="357"/>
      <c r="W279" s="357"/>
      <c r="X279" s="304"/>
      <c r="Y279" s="304"/>
      <c r="Z279" s="304"/>
    </row>
    <row r="280">
      <c r="A280" s="333"/>
      <c r="B280" s="354"/>
      <c r="C280" s="354"/>
      <c r="D280" s="354"/>
      <c r="E280" s="354"/>
      <c r="F280" s="354"/>
      <c r="G280" s="354"/>
      <c r="H280" s="354"/>
      <c r="I280" s="354"/>
      <c r="J280" s="354"/>
      <c r="K280" s="354"/>
      <c r="L280" s="354"/>
      <c r="M280" s="354"/>
      <c r="N280" s="354"/>
      <c r="O280" s="354"/>
      <c r="P280" s="354"/>
      <c r="Q280" s="354"/>
      <c r="R280" s="355"/>
      <c r="S280" s="354"/>
      <c r="T280" s="356"/>
      <c r="U280" s="354"/>
      <c r="V280" s="357"/>
      <c r="W280" s="357"/>
      <c r="X280" s="304"/>
      <c r="Y280" s="304"/>
      <c r="Z280" s="304"/>
    </row>
    <row r="281">
      <c r="A281" s="345"/>
      <c r="B281" s="354"/>
      <c r="C281" s="354"/>
      <c r="D281" s="354"/>
      <c r="E281" s="354"/>
      <c r="F281" s="354"/>
      <c r="G281" s="354"/>
      <c r="H281" s="354"/>
      <c r="I281" s="354"/>
      <c r="J281" s="354"/>
      <c r="K281" s="354"/>
      <c r="L281" s="354"/>
      <c r="M281" s="354"/>
      <c r="N281" s="354"/>
      <c r="O281" s="354"/>
      <c r="P281" s="354"/>
      <c r="Q281" s="354"/>
      <c r="R281" s="355"/>
      <c r="S281" s="354"/>
      <c r="T281" s="355"/>
      <c r="U281" s="354"/>
      <c r="V281" s="281"/>
      <c r="W281" s="281"/>
      <c r="X281" s="304"/>
      <c r="Y281" s="304"/>
      <c r="Z281" s="304"/>
    </row>
    <row r="282">
      <c r="A282" s="345"/>
      <c r="B282" s="354"/>
      <c r="C282" s="354"/>
      <c r="D282" s="354"/>
      <c r="E282" s="354"/>
      <c r="F282" s="354"/>
      <c r="G282" s="354"/>
      <c r="H282" s="354"/>
      <c r="I282" s="354"/>
      <c r="J282" s="354"/>
      <c r="K282" s="354"/>
      <c r="L282" s="354"/>
      <c r="M282" s="354"/>
      <c r="N282" s="354"/>
      <c r="O282" s="354"/>
      <c r="P282" s="354"/>
      <c r="Q282" s="354"/>
      <c r="R282" s="355"/>
      <c r="S282" s="354"/>
      <c r="T282" s="355"/>
      <c r="U282" s="354"/>
      <c r="V282" s="281"/>
      <c r="W282" s="281"/>
      <c r="X282" s="304"/>
      <c r="Y282" s="304"/>
      <c r="Z282" s="304"/>
    </row>
    <row r="283">
      <c r="A283" s="345"/>
      <c r="B283" s="354"/>
      <c r="C283" s="354"/>
      <c r="D283" s="354"/>
      <c r="E283" s="354"/>
      <c r="F283" s="354"/>
      <c r="G283" s="354"/>
      <c r="H283" s="354"/>
      <c r="I283" s="354"/>
      <c r="J283" s="354"/>
      <c r="K283" s="354"/>
      <c r="L283" s="354"/>
      <c r="M283" s="354"/>
      <c r="N283" s="354"/>
      <c r="O283" s="354"/>
      <c r="P283" s="354"/>
      <c r="Q283" s="354"/>
      <c r="R283" s="355"/>
      <c r="S283" s="354"/>
      <c r="T283" s="355"/>
      <c r="U283" s="354"/>
      <c r="V283" s="281"/>
      <c r="W283" s="281"/>
      <c r="X283" s="304"/>
      <c r="Y283" s="304"/>
      <c r="Z283" s="304"/>
    </row>
    <row r="284">
      <c r="A284" s="345"/>
      <c r="B284" s="281"/>
      <c r="C284" s="281"/>
      <c r="D284" s="281"/>
      <c r="E284" s="281"/>
      <c r="F284" s="281"/>
      <c r="G284" s="354"/>
      <c r="H284" s="281"/>
      <c r="I284" s="281"/>
      <c r="J284" s="281"/>
      <c r="K284" s="281"/>
      <c r="L284" s="281"/>
      <c r="M284" s="281"/>
      <c r="N284" s="281"/>
      <c r="O284" s="281"/>
      <c r="P284" s="281"/>
      <c r="Q284" s="281"/>
      <c r="R284" s="282"/>
      <c r="S284" s="281"/>
      <c r="T284" s="282"/>
      <c r="U284" s="281"/>
      <c r="V284" s="281"/>
      <c r="W284" s="281"/>
      <c r="X284" s="304"/>
      <c r="Y284" s="304"/>
      <c r="Z284" s="304"/>
    </row>
    <row r="285">
      <c r="A285" s="345"/>
      <c r="B285" s="281"/>
      <c r="C285" s="281"/>
      <c r="D285" s="281"/>
      <c r="E285" s="281"/>
      <c r="F285" s="281"/>
      <c r="G285" s="354"/>
      <c r="H285" s="281"/>
      <c r="I285" s="281"/>
      <c r="J285" s="281"/>
      <c r="K285" s="281"/>
      <c r="L285" s="281"/>
      <c r="M285" s="281"/>
      <c r="N285" s="281"/>
      <c r="O285" s="281"/>
      <c r="P285" s="281"/>
      <c r="Q285" s="281"/>
      <c r="R285" s="282"/>
      <c r="S285" s="281"/>
      <c r="T285" s="282"/>
      <c r="U285" s="281"/>
      <c r="V285" s="281"/>
      <c r="W285" s="281"/>
      <c r="X285" s="304"/>
      <c r="Y285" s="304"/>
      <c r="Z285" s="304"/>
    </row>
    <row r="286">
      <c r="A286" s="345"/>
      <c r="B286" s="281"/>
      <c r="C286" s="281"/>
      <c r="D286" s="281"/>
      <c r="E286" s="281"/>
      <c r="F286" s="281"/>
      <c r="G286" s="354"/>
      <c r="H286" s="281"/>
      <c r="I286" s="281"/>
      <c r="J286" s="281"/>
      <c r="K286" s="281"/>
      <c r="L286" s="281"/>
      <c r="M286" s="281"/>
      <c r="N286" s="281"/>
      <c r="O286" s="281"/>
      <c r="P286" s="281"/>
      <c r="Q286" s="281"/>
      <c r="R286" s="282"/>
      <c r="S286" s="281"/>
      <c r="T286" s="282"/>
      <c r="U286" s="281"/>
      <c r="V286" s="281"/>
      <c r="W286" s="281"/>
      <c r="X286" s="304"/>
      <c r="Y286" s="304"/>
      <c r="Z286" s="304"/>
    </row>
    <row r="287">
      <c r="A287" s="345"/>
      <c r="B287" s="281"/>
      <c r="C287" s="281"/>
      <c r="D287" s="281"/>
      <c r="E287" s="281"/>
      <c r="F287" s="281"/>
      <c r="G287" s="354"/>
      <c r="H287" s="281"/>
      <c r="I287" s="281"/>
      <c r="J287" s="281"/>
      <c r="K287" s="281"/>
      <c r="L287" s="281"/>
      <c r="M287" s="281"/>
      <c r="N287" s="281"/>
      <c r="O287" s="281"/>
      <c r="P287" s="281"/>
      <c r="Q287" s="281"/>
      <c r="R287" s="282"/>
      <c r="S287" s="281"/>
      <c r="T287" s="282"/>
      <c r="U287" s="281"/>
      <c r="V287" s="281"/>
      <c r="W287" s="281"/>
      <c r="X287" s="304"/>
      <c r="Y287" s="304"/>
      <c r="Z287" s="304"/>
    </row>
    <row r="288">
      <c r="A288" s="345"/>
      <c r="B288" s="281"/>
      <c r="C288" s="281"/>
      <c r="D288" s="281"/>
      <c r="E288" s="281"/>
      <c r="F288" s="281"/>
      <c r="G288" s="354"/>
      <c r="H288" s="281"/>
      <c r="I288" s="281"/>
      <c r="J288" s="281"/>
      <c r="K288" s="281"/>
      <c r="L288" s="281"/>
      <c r="M288" s="281"/>
      <c r="N288" s="281"/>
      <c r="O288" s="281"/>
      <c r="P288" s="281"/>
      <c r="Q288" s="281"/>
      <c r="R288" s="282"/>
      <c r="S288" s="281"/>
      <c r="T288" s="282"/>
      <c r="U288" s="281"/>
      <c r="V288" s="281"/>
      <c r="W288" s="281"/>
      <c r="X288" s="304"/>
      <c r="Y288" s="304"/>
      <c r="Z288" s="304"/>
    </row>
    <row r="289">
      <c r="A289" s="345"/>
      <c r="B289" s="281"/>
      <c r="C289" s="281"/>
      <c r="D289" s="281"/>
      <c r="E289" s="281"/>
      <c r="F289" s="281"/>
      <c r="G289" s="354"/>
      <c r="H289" s="281"/>
      <c r="I289" s="281"/>
      <c r="J289" s="281"/>
      <c r="K289" s="281"/>
      <c r="L289" s="281"/>
      <c r="M289" s="281"/>
      <c r="N289" s="281"/>
      <c r="O289" s="281"/>
      <c r="P289" s="281"/>
      <c r="Q289" s="281"/>
      <c r="R289" s="282"/>
      <c r="S289" s="281"/>
      <c r="T289" s="282"/>
      <c r="U289" s="281"/>
      <c r="V289" s="281"/>
      <c r="W289" s="281"/>
      <c r="X289" s="304"/>
      <c r="Y289" s="304"/>
      <c r="Z289" s="304"/>
    </row>
    <row r="290">
      <c r="A290" s="345"/>
      <c r="B290" s="281"/>
      <c r="C290" s="281"/>
      <c r="D290" s="281"/>
      <c r="E290" s="281"/>
      <c r="F290" s="281"/>
      <c r="G290" s="354"/>
      <c r="H290" s="281"/>
      <c r="I290" s="281"/>
      <c r="J290" s="281"/>
      <c r="K290" s="281"/>
      <c r="L290" s="281"/>
      <c r="M290" s="281"/>
      <c r="N290" s="281"/>
      <c r="O290" s="281"/>
      <c r="P290" s="281"/>
      <c r="Q290" s="281"/>
      <c r="R290" s="282"/>
      <c r="S290" s="281"/>
      <c r="T290" s="282"/>
      <c r="U290" s="281"/>
      <c r="V290" s="281"/>
      <c r="W290" s="281"/>
      <c r="X290" s="304"/>
      <c r="Y290" s="304"/>
      <c r="Z290" s="304"/>
    </row>
    <row r="291">
      <c r="A291" s="345"/>
      <c r="B291" s="281"/>
      <c r="C291" s="281"/>
      <c r="D291" s="281"/>
      <c r="E291" s="281"/>
      <c r="F291" s="281"/>
      <c r="G291" s="354"/>
      <c r="H291" s="281"/>
      <c r="I291" s="281"/>
      <c r="J291" s="281"/>
      <c r="K291" s="281"/>
      <c r="L291" s="281"/>
      <c r="M291" s="281"/>
      <c r="N291" s="281"/>
      <c r="O291" s="281"/>
      <c r="P291" s="281"/>
      <c r="Q291" s="281"/>
      <c r="R291" s="282"/>
      <c r="S291" s="281"/>
      <c r="T291" s="282"/>
      <c r="U291" s="281"/>
      <c r="V291" s="281"/>
      <c r="W291" s="281"/>
      <c r="X291" s="304"/>
      <c r="Y291" s="304"/>
      <c r="Z291" s="304"/>
    </row>
    <row r="292">
      <c r="A292" s="345"/>
      <c r="B292" s="281"/>
      <c r="C292" s="281"/>
      <c r="D292" s="281"/>
      <c r="E292" s="281"/>
      <c r="F292" s="281"/>
      <c r="G292" s="354"/>
      <c r="H292" s="281"/>
      <c r="I292" s="281"/>
      <c r="J292" s="281"/>
      <c r="K292" s="281"/>
      <c r="L292" s="281"/>
      <c r="M292" s="281"/>
      <c r="N292" s="281"/>
      <c r="O292" s="281"/>
      <c r="P292" s="281"/>
      <c r="Q292" s="281"/>
      <c r="R292" s="282"/>
      <c r="S292" s="281"/>
      <c r="T292" s="282"/>
      <c r="U292" s="281"/>
      <c r="V292" s="281"/>
      <c r="W292" s="281"/>
      <c r="X292" s="304"/>
      <c r="Y292" s="304"/>
      <c r="Z292" s="304"/>
    </row>
    <row r="293">
      <c r="A293" s="345"/>
      <c r="B293" s="281"/>
      <c r="C293" s="281"/>
      <c r="D293" s="281"/>
      <c r="E293" s="281"/>
      <c r="F293" s="281"/>
      <c r="G293" s="329"/>
      <c r="H293" s="281"/>
      <c r="I293" s="281"/>
      <c r="J293" s="281"/>
      <c r="K293" s="281"/>
      <c r="L293" s="281"/>
      <c r="M293" s="281"/>
      <c r="N293" s="281"/>
      <c r="O293" s="281"/>
      <c r="P293" s="281"/>
      <c r="Q293" s="281"/>
      <c r="R293" s="282"/>
      <c r="S293" s="281"/>
      <c r="T293" s="282"/>
      <c r="U293" s="281"/>
      <c r="V293" s="281"/>
      <c r="W293" s="281"/>
      <c r="X293" s="304"/>
      <c r="Y293" s="304"/>
      <c r="Z293" s="304"/>
    </row>
    <row r="294">
      <c r="A294" s="345"/>
      <c r="B294" s="281"/>
      <c r="C294" s="281"/>
      <c r="D294" s="281"/>
      <c r="E294" s="281"/>
      <c r="F294" s="281"/>
      <c r="G294" s="329"/>
      <c r="H294" s="281"/>
      <c r="I294" s="281"/>
      <c r="J294" s="281"/>
      <c r="K294" s="281"/>
      <c r="L294" s="281"/>
      <c r="M294" s="281"/>
      <c r="N294" s="281"/>
      <c r="O294" s="281"/>
      <c r="P294" s="281"/>
      <c r="Q294" s="281"/>
      <c r="R294" s="282"/>
      <c r="S294" s="281"/>
      <c r="T294" s="282"/>
      <c r="U294" s="281"/>
      <c r="V294" s="281"/>
      <c r="W294" s="281"/>
      <c r="X294" s="304"/>
      <c r="Y294" s="304"/>
      <c r="Z294" s="304"/>
    </row>
    <row r="295">
      <c r="A295" s="345"/>
      <c r="B295" s="281"/>
      <c r="C295" s="281"/>
      <c r="D295" s="281"/>
      <c r="E295" s="281"/>
      <c r="F295" s="281"/>
      <c r="G295" s="329"/>
      <c r="H295" s="281"/>
      <c r="I295" s="281"/>
      <c r="J295" s="281"/>
      <c r="K295" s="281"/>
      <c r="L295" s="281"/>
      <c r="M295" s="281"/>
      <c r="N295" s="281"/>
      <c r="O295" s="281"/>
      <c r="P295" s="281"/>
      <c r="Q295" s="281"/>
      <c r="R295" s="282"/>
      <c r="S295" s="281"/>
      <c r="T295" s="282"/>
      <c r="U295" s="281"/>
      <c r="V295" s="281"/>
      <c r="W295" s="281"/>
      <c r="X295" s="304"/>
      <c r="Y295" s="304"/>
      <c r="Z295" s="304"/>
    </row>
    <row r="296">
      <c r="A296" s="345"/>
      <c r="B296" s="281"/>
      <c r="C296" s="281"/>
      <c r="D296" s="281"/>
      <c r="E296" s="281"/>
      <c r="F296" s="281"/>
      <c r="G296" s="326"/>
      <c r="H296" s="281"/>
      <c r="I296" s="281"/>
      <c r="J296" s="281"/>
      <c r="K296" s="281"/>
      <c r="L296" s="281"/>
      <c r="M296" s="281"/>
      <c r="N296" s="281"/>
      <c r="O296" s="281"/>
      <c r="P296" s="281"/>
      <c r="Q296" s="281"/>
      <c r="R296" s="282"/>
      <c r="S296" s="281"/>
      <c r="T296" s="282"/>
      <c r="U296" s="281"/>
      <c r="V296" s="281"/>
      <c r="W296" s="281"/>
      <c r="X296" s="304"/>
      <c r="Y296" s="304"/>
      <c r="Z296" s="304"/>
    </row>
    <row r="297">
      <c r="A297" s="345"/>
      <c r="B297" s="281"/>
      <c r="C297" s="281"/>
      <c r="D297" s="281"/>
      <c r="E297" s="281"/>
      <c r="F297" s="281"/>
      <c r="G297" s="326"/>
      <c r="H297" s="281"/>
      <c r="I297" s="281"/>
      <c r="J297" s="281"/>
      <c r="K297" s="281"/>
      <c r="L297" s="281"/>
      <c r="M297" s="281"/>
      <c r="N297" s="281"/>
      <c r="O297" s="281"/>
      <c r="P297" s="281"/>
      <c r="Q297" s="281"/>
      <c r="R297" s="282"/>
      <c r="S297" s="281"/>
      <c r="T297" s="282"/>
      <c r="U297" s="281"/>
      <c r="V297" s="281"/>
      <c r="W297" s="281"/>
      <c r="X297" s="304"/>
      <c r="Y297" s="304"/>
      <c r="Z297" s="304"/>
    </row>
    <row r="298">
      <c r="A298" s="345"/>
      <c r="B298" s="281"/>
      <c r="C298" s="281"/>
      <c r="D298" s="281"/>
      <c r="E298" s="281"/>
      <c r="F298" s="281"/>
      <c r="G298" s="326"/>
      <c r="H298" s="281"/>
      <c r="I298" s="281"/>
      <c r="J298" s="281"/>
      <c r="K298" s="281"/>
      <c r="L298" s="281"/>
      <c r="M298" s="281"/>
      <c r="N298" s="281"/>
      <c r="O298" s="281"/>
      <c r="P298" s="281"/>
      <c r="Q298" s="281"/>
      <c r="R298" s="282"/>
      <c r="S298" s="281"/>
      <c r="T298" s="282"/>
      <c r="U298" s="281"/>
      <c r="V298" s="281"/>
      <c r="W298" s="281"/>
      <c r="X298" s="304"/>
      <c r="Y298" s="304"/>
      <c r="Z298" s="304"/>
    </row>
    <row r="299">
      <c r="A299" s="345"/>
      <c r="B299" s="281"/>
      <c r="C299" s="281"/>
      <c r="D299" s="281"/>
      <c r="E299" s="281"/>
      <c r="F299" s="281"/>
      <c r="G299" s="326"/>
      <c r="H299" s="281"/>
      <c r="I299" s="281"/>
      <c r="J299" s="281"/>
      <c r="K299" s="281"/>
      <c r="L299" s="281"/>
      <c r="M299" s="281"/>
      <c r="N299" s="281"/>
      <c r="O299" s="281"/>
      <c r="P299" s="281"/>
      <c r="Q299" s="281"/>
      <c r="R299" s="282"/>
      <c r="S299" s="281"/>
      <c r="T299" s="282"/>
      <c r="U299" s="281"/>
      <c r="V299" s="281"/>
      <c r="W299" s="281"/>
      <c r="X299" s="304"/>
      <c r="Y299" s="304"/>
      <c r="Z299" s="304"/>
    </row>
    <row r="300">
      <c r="A300" s="345"/>
      <c r="B300" s="281"/>
      <c r="C300" s="281"/>
      <c r="D300" s="281"/>
      <c r="E300" s="281"/>
      <c r="F300" s="281"/>
      <c r="G300" s="281"/>
      <c r="H300" s="281"/>
      <c r="I300" s="281"/>
      <c r="J300" s="281"/>
      <c r="K300" s="281"/>
      <c r="L300" s="281"/>
      <c r="M300" s="281"/>
      <c r="N300" s="281"/>
      <c r="O300" s="281"/>
      <c r="P300" s="281"/>
      <c r="Q300" s="281"/>
      <c r="R300" s="282"/>
      <c r="S300" s="281"/>
      <c r="T300" s="282"/>
      <c r="U300" s="281"/>
      <c r="V300" s="281"/>
      <c r="W300" s="281"/>
      <c r="X300" s="304"/>
      <c r="Y300" s="304"/>
      <c r="Z300" s="304"/>
    </row>
    <row r="301">
      <c r="A301" s="345"/>
      <c r="B301" s="281"/>
      <c r="C301" s="281"/>
      <c r="D301" s="281"/>
      <c r="E301" s="281"/>
      <c r="F301" s="281"/>
      <c r="G301" s="281"/>
      <c r="H301" s="281"/>
      <c r="I301" s="281"/>
      <c r="J301" s="281"/>
      <c r="K301" s="281"/>
      <c r="L301" s="281"/>
      <c r="M301" s="281"/>
      <c r="N301" s="281"/>
      <c r="O301" s="281"/>
      <c r="P301" s="281"/>
      <c r="Q301" s="281"/>
      <c r="R301" s="282"/>
      <c r="S301" s="281"/>
      <c r="T301" s="282"/>
      <c r="U301" s="281"/>
      <c r="V301" s="281"/>
      <c r="W301" s="281"/>
      <c r="X301" s="304"/>
      <c r="Y301" s="304"/>
      <c r="Z301" s="304"/>
    </row>
    <row r="302">
      <c r="A302" s="345"/>
      <c r="B302" s="281"/>
      <c r="C302" s="281"/>
      <c r="D302" s="281"/>
      <c r="E302" s="281"/>
      <c r="F302" s="281"/>
      <c r="G302" s="281"/>
      <c r="H302" s="281"/>
      <c r="I302" s="281"/>
      <c r="J302" s="281"/>
      <c r="K302" s="281"/>
      <c r="L302" s="281"/>
      <c r="M302" s="281"/>
      <c r="N302" s="281"/>
      <c r="O302" s="281"/>
      <c r="P302" s="281"/>
      <c r="Q302" s="281"/>
      <c r="R302" s="282"/>
      <c r="S302" s="281"/>
      <c r="T302" s="282"/>
      <c r="U302" s="281"/>
      <c r="V302" s="281"/>
      <c r="W302" s="281"/>
      <c r="X302" s="304"/>
      <c r="Y302" s="304"/>
      <c r="Z302" s="304"/>
    </row>
    <row r="303">
      <c r="A303" s="345"/>
      <c r="B303" s="281"/>
      <c r="C303" s="281"/>
      <c r="D303" s="281"/>
      <c r="E303" s="281"/>
      <c r="F303" s="281"/>
      <c r="G303" s="281"/>
      <c r="H303" s="281"/>
      <c r="I303" s="281"/>
      <c r="J303" s="281"/>
      <c r="K303" s="281"/>
      <c r="L303" s="281"/>
      <c r="M303" s="281"/>
      <c r="N303" s="281"/>
      <c r="O303" s="281"/>
      <c r="P303" s="281"/>
      <c r="Q303" s="281"/>
      <c r="R303" s="282"/>
      <c r="S303" s="281"/>
      <c r="T303" s="282"/>
      <c r="U303" s="281"/>
      <c r="V303" s="281"/>
      <c r="W303" s="281"/>
      <c r="X303" s="304"/>
      <c r="Y303" s="304"/>
      <c r="Z303" s="304"/>
    </row>
    <row r="304">
      <c r="A304" s="345"/>
      <c r="B304" s="281"/>
      <c r="C304" s="281"/>
      <c r="D304" s="281"/>
      <c r="E304" s="281"/>
      <c r="F304" s="281"/>
      <c r="G304" s="281"/>
      <c r="H304" s="281"/>
      <c r="I304" s="281"/>
      <c r="J304" s="281"/>
      <c r="K304" s="281"/>
      <c r="L304" s="281"/>
      <c r="M304" s="281"/>
      <c r="N304" s="281"/>
      <c r="O304" s="281"/>
      <c r="P304" s="281"/>
      <c r="Q304" s="281"/>
      <c r="R304" s="282"/>
      <c r="S304" s="281"/>
      <c r="T304" s="282"/>
      <c r="U304" s="281"/>
      <c r="V304" s="281"/>
      <c r="W304" s="281"/>
      <c r="X304" s="304"/>
      <c r="Y304" s="304"/>
      <c r="Z304" s="304"/>
    </row>
    <row r="305">
      <c r="A305" s="345"/>
      <c r="B305" s="281"/>
      <c r="C305" s="281"/>
      <c r="D305" s="281"/>
      <c r="E305" s="281"/>
      <c r="F305" s="281"/>
      <c r="G305" s="281"/>
      <c r="H305" s="281"/>
      <c r="I305" s="281"/>
      <c r="J305" s="281"/>
      <c r="K305" s="281"/>
      <c r="L305" s="281"/>
      <c r="M305" s="281"/>
      <c r="N305" s="281"/>
      <c r="O305" s="281"/>
      <c r="P305" s="281"/>
      <c r="Q305" s="281"/>
      <c r="R305" s="282"/>
      <c r="S305" s="281"/>
      <c r="T305" s="282"/>
      <c r="U305" s="281"/>
      <c r="V305" s="281"/>
      <c r="W305" s="281"/>
      <c r="X305" s="304"/>
      <c r="Y305" s="304"/>
      <c r="Z305" s="304"/>
    </row>
    <row r="306">
      <c r="A306" s="345"/>
      <c r="B306" s="281"/>
      <c r="C306" s="281"/>
      <c r="D306" s="281"/>
      <c r="E306" s="281"/>
      <c r="F306" s="281"/>
      <c r="G306" s="281"/>
      <c r="H306" s="281"/>
      <c r="I306" s="281"/>
      <c r="J306" s="281"/>
      <c r="K306" s="281"/>
      <c r="L306" s="281"/>
      <c r="M306" s="281"/>
      <c r="N306" s="281"/>
      <c r="O306" s="281"/>
      <c r="P306" s="281"/>
      <c r="Q306" s="281"/>
      <c r="R306" s="282"/>
      <c r="S306" s="281"/>
      <c r="T306" s="282"/>
      <c r="U306" s="281"/>
      <c r="V306" s="281"/>
      <c r="W306" s="281"/>
      <c r="X306" s="304"/>
      <c r="Y306" s="304"/>
      <c r="Z306" s="304"/>
    </row>
    <row r="307">
      <c r="A307" s="345"/>
      <c r="B307" s="281"/>
      <c r="C307" s="281"/>
      <c r="D307" s="281"/>
      <c r="E307" s="281"/>
      <c r="F307" s="281"/>
      <c r="G307" s="281"/>
      <c r="H307" s="281"/>
      <c r="I307" s="281"/>
      <c r="J307" s="281"/>
      <c r="K307" s="281"/>
      <c r="L307" s="281"/>
      <c r="M307" s="281"/>
      <c r="N307" s="281"/>
      <c r="O307" s="281"/>
      <c r="P307" s="281"/>
      <c r="Q307" s="281"/>
      <c r="R307" s="282"/>
      <c r="S307" s="281"/>
      <c r="T307" s="282"/>
      <c r="U307" s="281"/>
      <c r="V307" s="281"/>
      <c r="W307" s="281"/>
      <c r="X307" s="304"/>
      <c r="Y307" s="304"/>
      <c r="Z307" s="304"/>
    </row>
    <row r="308">
      <c r="A308" s="345"/>
      <c r="B308" s="281"/>
      <c r="C308" s="281"/>
      <c r="D308" s="281"/>
      <c r="E308" s="281"/>
      <c r="F308" s="281"/>
      <c r="G308" s="281"/>
      <c r="H308" s="281"/>
      <c r="I308" s="281"/>
      <c r="J308" s="281"/>
      <c r="K308" s="281"/>
      <c r="L308" s="281"/>
      <c r="M308" s="281"/>
      <c r="N308" s="281"/>
      <c r="O308" s="281"/>
      <c r="P308" s="281"/>
      <c r="Q308" s="281"/>
      <c r="R308" s="282"/>
      <c r="S308" s="281"/>
      <c r="T308" s="282"/>
      <c r="U308" s="281"/>
      <c r="V308" s="281"/>
      <c r="W308" s="281"/>
      <c r="X308" s="304"/>
      <c r="Y308" s="304"/>
      <c r="Z308" s="304"/>
    </row>
    <row r="309">
      <c r="A309" s="345"/>
      <c r="B309" s="281"/>
      <c r="C309" s="281"/>
      <c r="D309" s="281"/>
      <c r="E309" s="281"/>
      <c r="F309" s="281"/>
      <c r="G309" s="281"/>
      <c r="H309" s="281"/>
      <c r="I309" s="281"/>
      <c r="J309" s="281"/>
      <c r="K309" s="281"/>
      <c r="L309" s="281"/>
      <c r="M309" s="281"/>
      <c r="N309" s="281"/>
      <c r="O309" s="281"/>
      <c r="P309" s="281"/>
      <c r="Q309" s="281"/>
      <c r="R309" s="282"/>
      <c r="S309" s="281"/>
      <c r="T309" s="282"/>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2"/>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2"/>
      <c r="S311" s="281"/>
      <c r="T311" s="282"/>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2"/>
      <c r="S312" s="281"/>
      <c r="T312" s="282"/>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2"/>
      <c r="S313" s="281"/>
      <c r="T313" s="282"/>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2"/>
      <c r="S314" s="281"/>
      <c r="T314" s="282"/>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2"/>
      <c r="S315" s="281"/>
      <c r="T315" s="282"/>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2"/>
      <c r="S316" s="281"/>
      <c r="T316" s="282"/>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2"/>
      <c r="S317" s="281"/>
      <c r="T317" s="282"/>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2"/>
      <c r="S318" s="281"/>
      <c r="T318" s="282"/>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2"/>
      <c r="S319" s="281"/>
      <c r="T319" s="282"/>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2"/>
      <c r="S320" s="281"/>
      <c r="T320" s="282"/>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2"/>
      <c r="S321" s="281"/>
      <c r="T321" s="282"/>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2"/>
      <c r="S322" s="281"/>
      <c r="T322" s="282"/>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1"/>
      <c r="S323" s="281"/>
      <c r="T323" s="282"/>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1"/>
      <c r="S324" s="281"/>
      <c r="T324" s="282"/>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1"/>
      <c r="S325" s="281"/>
      <c r="T325" s="282"/>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1"/>
      <c r="S326" s="281"/>
      <c r="T326" s="282"/>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1"/>
      <c r="S327" s="281"/>
      <c r="T327" s="282"/>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1"/>
      <c r="S328" s="281"/>
      <c r="T328" s="282"/>
      <c r="U328" s="281"/>
      <c r="V328" s="281"/>
      <c r="W328" s="281"/>
      <c r="X328" s="304"/>
      <c r="Y328" s="304"/>
      <c r="Z328" s="304"/>
    </row>
    <row r="329">
      <c r="A329" s="345"/>
      <c r="B329" s="281"/>
      <c r="C329" s="281"/>
      <c r="D329" s="281"/>
      <c r="E329" s="281"/>
      <c r="F329" s="281"/>
      <c r="G329" s="281"/>
      <c r="H329" s="281"/>
      <c r="I329" s="281"/>
      <c r="J329" s="281"/>
      <c r="K329" s="281"/>
      <c r="L329" s="281"/>
      <c r="M329" s="281"/>
      <c r="N329" s="281"/>
      <c r="O329" s="281"/>
      <c r="P329" s="281"/>
      <c r="Q329" s="281"/>
      <c r="R329" s="281"/>
      <c r="S329" s="281"/>
      <c r="T329" s="282"/>
      <c r="U329" s="281"/>
      <c r="V329" s="281"/>
      <c r="W329" s="281"/>
      <c r="X329" s="304"/>
      <c r="Y329" s="304"/>
      <c r="Z329" s="304"/>
    </row>
    <row r="330">
      <c r="A330" s="345"/>
      <c r="B330" s="281"/>
      <c r="C330" s="281"/>
      <c r="D330" s="281"/>
      <c r="E330" s="281"/>
      <c r="F330" s="281"/>
      <c r="G330" s="281"/>
      <c r="H330" s="281"/>
      <c r="I330" s="281"/>
      <c r="J330" s="281"/>
      <c r="K330" s="281"/>
      <c r="L330" s="281"/>
      <c r="M330" s="281"/>
      <c r="N330" s="281"/>
      <c r="O330" s="281"/>
      <c r="P330" s="281"/>
      <c r="Q330" s="281"/>
      <c r="R330" s="281"/>
      <c r="S330" s="281"/>
      <c r="T330" s="282"/>
      <c r="U330" s="281"/>
      <c r="V330" s="281"/>
      <c r="W330" s="281"/>
      <c r="X330" s="304"/>
      <c r="Y330" s="304"/>
      <c r="Z330" s="304"/>
    </row>
    <row r="331">
      <c r="A331" s="345"/>
      <c r="B331" s="281"/>
      <c r="C331" s="281"/>
      <c r="D331" s="281"/>
      <c r="E331" s="281"/>
      <c r="F331" s="281"/>
      <c r="G331" s="281"/>
      <c r="H331" s="281"/>
      <c r="I331" s="281"/>
      <c r="J331" s="281"/>
      <c r="K331" s="281"/>
      <c r="L331" s="281"/>
      <c r="M331" s="281"/>
      <c r="N331" s="281"/>
      <c r="O331" s="281"/>
      <c r="P331" s="281"/>
      <c r="Q331" s="281"/>
      <c r="R331" s="281"/>
      <c r="S331" s="281"/>
      <c r="T331" s="282"/>
      <c r="U331" s="281"/>
      <c r="V331" s="281"/>
      <c r="W331" s="281"/>
      <c r="X331" s="304"/>
      <c r="Y331" s="304"/>
      <c r="Z331" s="304"/>
    </row>
    <row r="332">
      <c r="A332" s="345"/>
      <c r="B332" s="281"/>
      <c r="C332" s="281"/>
      <c r="D332" s="281"/>
      <c r="E332" s="281"/>
      <c r="F332" s="281"/>
      <c r="G332" s="281"/>
      <c r="H332" s="281"/>
      <c r="I332" s="281"/>
      <c r="J332" s="281"/>
      <c r="K332" s="281"/>
      <c r="L332" s="281"/>
      <c r="M332" s="281"/>
      <c r="N332" s="281"/>
      <c r="O332" s="281"/>
      <c r="P332" s="281"/>
      <c r="Q332" s="281"/>
      <c r="R332" s="281"/>
      <c r="S332" s="281"/>
      <c r="T332" s="282"/>
      <c r="U332" s="281"/>
      <c r="V332" s="281"/>
      <c r="W332" s="281"/>
      <c r="X332" s="304"/>
      <c r="Y332" s="304"/>
      <c r="Z332" s="304"/>
    </row>
    <row r="333">
      <c r="A333" s="345"/>
      <c r="B333" s="281"/>
      <c r="C333" s="281"/>
      <c r="D333" s="281"/>
      <c r="E333" s="281"/>
      <c r="F333" s="281"/>
      <c r="G333" s="281"/>
      <c r="H333" s="281"/>
      <c r="I333" s="281"/>
      <c r="J333" s="281"/>
      <c r="K333" s="281"/>
      <c r="L333" s="281"/>
      <c r="M333" s="281"/>
      <c r="N333" s="281"/>
      <c r="O333" s="281"/>
      <c r="P333" s="281"/>
      <c r="Q333" s="281"/>
      <c r="R333" s="281"/>
      <c r="S333" s="281"/>
      <c r="T333" s="282"/>
      <c r="U333" s="281"/>
      <c r="V333" s="281"/>
      <c r="W333" s="281"/>
      <c r="X333" s="304"/>
      <c r="Y333" s="304"/>
      <c r="Z333" s="304"/>
    </row>
    <row r="334">
      <c r="A334" s="345"/>
      <c r="B334" s="281"/>
      <c r="C334" s="281"/>
      <c r="D334" s="281"/>
      <c r="E334" s="281"/>
      <c r="F334" s="281"/>
      <c r="G334" s="281"/>
      <c r="H334" s="281"/>
      <c r="I334" s="281"/>
      <c r="J334" s="281"/>
      <c r="K334" s="281"/>
      <c r="L334" s="281"/>
      <c r="M334" s="281"/>
      <c r="N334" s="281"/>
      <c r="O334" s="281"/>
      <c r="P334" s="281"/>
      <c r="Q334" s="281"/>
      <c r="R334" s="281"/>
      <c r="S334" s="281"/>
      <c r="T334" s="282"/>
      <c r="U334" s="281"/>
      <c r="V334" s="281"/>
      <c r="W334" s="281"/>
      <c r="X334" s="304"/>
      <c r="Y334" s="304"/>
      <c r="Z334" s="304"/>
    </row>
    <row r="335">
      <c r="A335" s="345"/>
      <c r="B335" s="281"/>
      <c r="C335" s="281"/>
      <c r="D335" s="281"/>
      <c r="E335" s="281"/>
      <c r="F335" s="281"/>
      <c r="G335" s="281"/>
      <c r="H335" s="281"/>
      <c r="I335" s="281"/>
      <c r="J335" s="281"/>
      <c r="K335" s="281"/>
      <c r="L335" s="281"/>
      <c r="M335" s="281"/>
      <c r="N335" s="281"/>
      <c r="O335" s="281"/>
      <c r="P335" s="281"/>
      <c r="Q335" s="281"/>
      <c r="R335" s="281"/>
      <c r="S335" s="281"/>
      <c r="T335" s="282"/>
      <c r="U335" s="281"/>
      <c r="V335" s="281"/>
      <c r="W335" s="281"/>
      <c r="X335" s="304"/>
      <c r="Y335" s="304"/>
      <c r="Z335" s="304"/>
    </row>
    <row r="336">
      <c r="A336" s="345"/>
      <c r="B336" s="281"/>
      <c r="C336" s="281"/>
      <c r="D336" s="281"/>
      <c r="E336" s="281"/>
      <c r="F336" s="281"/>
      <c r="G336" s="281"/>
      <c r="H336" s="281"/>
      <c r="I336" s="281"/>
      <c r="J336" s="281"/>
      <c r="K336" s="281"/>
      <c r="L336" s="281"/>
      <c r="M336" s="281"/>
      <c r="N336" s="281"/>
      <c r="O336" s="281"/>
      <c r="P336" s="281"/>
      <c r="Q336" s="281"/>
      <c r="R336" s="281"/>
      <c r="S336" s="281"/>
      <c r="T336" s="282"/>
      <c r="U336" s="281"/>
      <c r="V336" s="281"/>
      <c r="W336" s="281"/>
      <c r="X336" s="304"/>
      <c r="Y336" s="304"/>
      <c r="Z336" s="304"/>
    </row>
    <row r="337">
      <c r="A337" s="345"/>
      <c r="B337" s="281"/>
      <c r="C337" s="281"/>
      <c r="D337" s="281"/>
      <c r="E337" s="281"/>
      <c r="F337" s="281"/>
      <c r="G337" s="281"/>
      <c r="H337" s="281"/>
      <c r="I337" s="281"/>
      <c r="J337" s="281"/>
      <c r="K337" s="281"/>
      <c r="L337" s="281"/>
      <c r="M337" s="281"/>
      <c r="N337" s="281"/>
      <c r="O337" s="281"/>
      <c r="P337" s="281"/>
      <c r="Q337" s="281"/>
      <c r="R337" s="281"/>
      <c r="S337" s="281"/>
      <c r="T337" s="282"/>
      <c r="U337" s="281"/>
      <c r="V337" s="281"/>
      <c r="W337" s="281"/>
      <c r="X337" s="304"/>
      <c r="Y337" s="304"/>
      <c r="Z337" s="304"/>
    </row>
    <row r="338">
      <c r="A338" s="345"/>
      <c r="B338" s="281"/>
      <c r="C338" s="281"/>
      <c r="D338" s="281"/>
      <c r="E338" s="281"/>
      <c r="F338" s="281"/>
      <c r="G338" s="281"/>
      <c r="H338" s="281"/>
      <c r="I338" s="281"/>
      <c r="J338" s="281"/>
      <c r="K338" s="281"/>
      <c r="L338" s="281"/>
      <c r="M338" s="281"/>
      <c r="N338" s="281"/>
      <c r="O338" s="281"/>
      <c r="P338" s="281"/>
      <c r="Q338" s="281"/>
      <c r="R338" s="281"/>
      <c r="S338" s="281"/>
      <c r="T338" s="282"/>
      <c r="U338" s="281"/>
      <c r="V338" s="281"/>
      <c r="W338" s="281"/>
      <c r="X338" s="304"/>
      <c r="Y338" s="304"/>
      <c r="Z338" s="304"/>
    </row>
    <row r="339">
      <c r="A339" s="345"/>
      <c r="B339" s="281"/>
      <c r="C339" s="281"/>
      <c r="D339" s="281"/>
      <c r="E339" s="281"/>
      <c r="F339" s="281"/>
      <c r="G339" s="281"/>
      <c r="H339" s="281"/>
      <c r="I339" s="281"/>
      <c r="J339" s="281"/>
      <c r="K339" s="281"/>
      <c r="L339" s="281"/>
      <c r="M339" s="281"/>
      <c r="N339" s="281"/>
      <c r="O339" s="281"/>
      <c r="P339" s="281"/>
      <c r="Q339" s="281"/>
      <c r="R339" s="281"/>
      <c r="S339" s="281"/>
      <c r="T339" s="282"/>
      <c r="U339" s="281"/>
      <c r="V339" s="281"/>
      <c r="W339" s="281"/>
      <c r="X339" s="304"/>
      <c r="Y339" s="304"/>
      <c r="Z339" s="304"/>
    </row>
    <row r="340">
      <c r="A340" s="345"/>
      <c r="B340" s="281"/>
      <c r="C340" s="281"/>
      <c r="D340" s="281"/>
      <c r="E340" s="281"/>
      <c r="F340" s="281"/>
      <c r="G340" s="281"/>
      <c r="H340" s="281"/>
      <c r="I340" s="281"/>
      <c r="J340" s="281"/>
      <c r="K340" s="281"/>
      <c r="L340" s="281"/>
      <c r="M340" s="281"/>
      <c r="N340" s="281"/>
      <c r="O340" s="281"/>
      <c r="P340" s="281"/>
      <c r="Q340" s="281"/>
      <c r="R340" s="281"/>
      <c r="S340" s="281"/>
      <c r="T340" s="282"/>
      <c r="U340" s="281"/>
      <c r="V340" s="281"/>
      <c r="W340" s="281"/>
      <c r="X340" s="304"/>
      <c r="Y340" s="304"/>
      <c r="Z340" s="304"/>
    </row>
  </sheetData>
  <conditionalFormatting sqref="D1">
    <cfRule type="notContainsBlanks" dxfId="0" priority="1">
      <formula>LEN(TRIM(D1))&gt;0</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A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0.57"/>
    <col customWidth="1" min="21" max="21" width="14.86"/>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24" t="s">
        <v>615</v>
      </c>
    </row>
    <row r="2" ht="20.25" customHeight="1">
      <c r="A2" s="278"/>
      <c r="B2" s="279" t="s">
        <v>1065</v>
      </c>
      <c r="C2" s="280"/>
      <c r="D2" s="280"/>
      <c r="E2" s="281"/>
      <c r="F2" s="281"/>
      <c r="G2" s="281"/>
      <c r="H2" s="281"/>
      <c r="I2" s="281"/>
      <c r="J2" s="281"/>
      <c r="K2" s="281"/>
      <c r="L2" s="281"/>
      <c r="M2" s="281"/>
      <c r="N2" s="280"/>
      <c r="O2" s="280"/>
      <c r="P2" s="280"/>
      <c r="Q2" s="280"/>
      <c r="R2" s="282"/>
      <c r="S2" s="281"/>
      <c r="T2" s="285"/>
    </row>
    <row r="3">
      <c r="A3" s="272"/>
      <c r="B3" s="284" t="s">
        <v>1416</v>
      </c>
      <c r="C3" s="280"/>
      <c r="D3" s="280"/>
      <c r="E3" s="281"/>
      <c r="F3" s="281"/>
      <c r="G3" s="281"/>
      <c r="H3" s="281"/>
      <c r="I3" s="281"/>
      <c r="J3" s="281"/>
      <c r="K3" s="281"/>
      <c r="L3" s="281"/>
      <c r="M3" s="281"/>
      <c r="N3" s="281"/>
      <c r="O3" s="281"/>
      <c r="P3" s="281"/>
      <c r="Q3" s="281"/>
      <c r="R3" s="282"/>
      <c r="S3" s="281"/>
      <c r="T3" s="285"/>
    </row>
    <row r="4">
      <c r="A4" s="286" t="s">
        <v>619</v>
      </c>
      <c r="B4" s="358" t="s">
        <v>1067</v>
      </c>
      <c r="C4" s="280"/>
      <c r="D4" s="280"/>
      <c r="E4" s="281"/>
      <c r="F4" s="281"/>
      <c r="G4" s="281"/>
      <c r="H4" s="281"/>
      <c r="I4" s="281"/>
      <c r="J4" s="281"/>
      <c r="K4" s="281"/>
      <c r="L4" s="281"/>
      <c r="M4" s="281"/>
      <c r="N4" s="281"/>
      <c r="O4" s="281"/>
      <c r="P4" s="281"/>
      <c r="Q4" s="281"/>
      <c r="R4" s="282"/>
      <c r="S4" s="281"/>
      <c r="T4" s="285"/>
    </row>
    <row r="5">
      <c r="A5" s="137" t="s">
        <v>627</v>
      </c>
      <c r="B5" s="296" t="s">
        <v>628</v>
      </c>
      <c r="C5" s="297" t="s">
        <v>629</v>
      </c>
      <c r="D5" s="289">
        <f>ROUND((F5*'Pawn Weights'!$H$22)+(G5*'Pawn Weights'!$H$23)+(H5*'Pawn Weights'!$H$24)+(I5*'Pawn Weights'!$H$25)+(J5*'Pawn Weights'!$H$26)+(K5*'Pawn Weights'!$H$27)+(L5*'Pawn Weights'!$H$28)+(M5*'Pawn Weights'!$H$29)+(N5*'Pawn Weights'!$H$30)+(O5*'Pawn Weights'!$H$31)+(P5*'Pawn Weights'!$H$32)+(Q5*'Pawn Weights'!$H$33), 2)</f>
        <v>177.6</v>
      </c>
      <c r="E5" s="359">
        <v>47.0</v>
      </c>
      <c r="F5" s="359">
        <v>62.0</v>
      </c>
      <c r="G5" s="137"/>
      <c r="H5" s="137"/>
      <c r="I5" s="359">
        <v>51.0</v>
      </c>
      <c r="J5" s="359">
        <v>26.0</v>
      </c>
      <c r="K5" s="137"/>
      <c r="L5" s="137"/>
      <c r="M5" s="137"/>
      <c r="N5" s="359">
        <v>1.0</v>
      </c>
      <c r="O5" s="137"/>
      <c r="P5" s="137"/>
      <c r="Q5" s="359">
        <v>1.0</v>
      </c>
      <c r="R5" s="359" t="s">
        <v>624</v>
      </c>
      <c r="S5" s="137"/>
      <c r="T5" s="137" t="s">
        <v>630</v>
      </c>
      <c r="U5" s="137"/>
      <c r="V5" s="137"/>
      <c r="W5" s="137"/>
      <c r="X5" s="137"/>
      <c r="Y5" s="137"/>
      <c r="Z5" s="137"/>
    </row>
    <row r="6">
      <c r="A6" s="25"/>
      <c r="B6" s="288" t="s">
        <v>631</v>
      </c>
      <c r="C6" s="280" t="s">
        <v>632</v>
      </c>
      <c r="D6" s="289">
        <f>ROUND((F6*'Pawn Weights'!$H$22)+(G6*'Pawn Weights'!$H$23)+(H6*'Pawn Weights'!$H$24)+(I6*'Pawn Weights'!$H$25)+(J6*'Pawn Weights'!$H$26)+(K6*'Pawn Weights'!$H$27)+(L6*'Pawn Weights'!$H$28)+(M6*'Pawn Weights'!$H$29)+(N6*'Pawn Weights'!$H$30)+(O6*'Pawn Weights'!$H$31)+(P6*'Pawn Weights'!$H$32)+(Q6*'Pawn Weights'!$H$33), 2)</f>
        <v>175.73</v>
      </c>
      <c r="E6" s="280">
        <v>46.0</v>
      </c>
      <c r="F6" s="280"/>
      <c r="G6" s="280">
        <v>39.0</v>
      </c>
      <c r="H6" s="280">
        <v>108.0</v>
      </c>
      <c r="I6" s="280">
        <v>38.0</v>
      </c>
      <c r="J6" s="280">
        <v>21.0</v>
      </c>
      <c r="K6" s="280"/>
      <c r="L6" s="280"/>
      <c r="M6" s="281"/>
      <c r="N6" s="280">
        <v>1.0</v>
      </c>
      <c r="O6" s="280"/>
      <c r="P6" s="280">
        <v>1.0</v>
      </c>
      <c r="Q6" s="280"/>
      <c r="R6" s="290" t="s">
        <v>633</v>
      </c>
      <c r="S6" s="281"/>
      <c r="T6" s="291" t="s">
        <v>634</v>
      </c>
    </row>
    <row r="7">
      <c r="A7" s="295" t="s">
        <v>635</v>
      </c>
      <c r="B7" s="296" t="s">
        <v>636</v>
      </c>
      <c r="C7" s="297" t="s">
        <v>637</v>
      </c>
      <c r="D7" s="289">
        <f>ROUND((F7*'Pawn Weights'!$H$22)+(G7*'Pawn Weights'!$H$23)+(H7*'Pawn Weights'!$H$24)+(I7*'Pawn Weights'!$H$25)+(J7*'Pawn Weights'!$H$26)+(K7*'Pawn Weights'!$H$27)+(L7*'Pawn Weights'!$H$28)+(M7*'Pawn Weights'!$H$29)+(N7*'Pawn Weights'!$H$30)+(O7*'Pawn Weights'!$H$31)+(P7*'Pawn Weights'!$H$32)+(Q7*'Pawn Weights'!$H$33)-10+9.6+3.68, 2)</f>
        <v>164.86</v>
      </c>
      <c r="E7" s="298">
        <v>68.0</v>
      </c>
      <c r="F7" s="298">
        <v>45.0</v>
      </c>
      <c r="G7" s="297"/>
      <c r="H7" s="297"/>
      <c r="I7" s="298">
        <v>41.0</v>
      </c>
      <c r="J7" s="298">
        <v>18.0</v>
      </c>
      <c r="K7" s="297"/>
      <c r="L7" s="297"/>
      <c r="M7" s="359">
        <v>84.0</v>
      </c>
      <c r="N7" s="298">
        <v>1.0</v>
      </c>
      <c r="O7" s="297"/>
      <c r="P7" s="298">
        <v>1.0</v>
      </c>
      <c r="Q7" s="297"/>
      <c r="R7" s="298" t="s">
        <v>624</v>
      </c>
      <c r="S7" s="137"/>
      <c r="T7" s="295"/>
      <c r="U7" s="137"/>
      <c r="V7" s="137"/>
      <c r="W7" s="137"/>
      <c r="X7" s="137"/>
      <c r="Y7" s="137"/>
      <c r="Z7" s="137"/>
    </row>
    <row r="8">
      <c r="A8" s="25"/>
      <c r="B8" s="288" t="s">
        <v>638</v>
      </c>
      <c r="C8" s="280" t="s">
        <v>639</v>
      </c>
      <c r="D8" s="289">
        <f>ROUND((F8*'Pawn Weights'!$H$22)+(G8*'Pawn Weights'!$H$23)+(H8*'Pawn Weights'!$H$24)+(I8*'Pawn Weights'!$H$25)+(J8*'Pawn Weights'!$H$26)+(K8*'Pawn Weights'!$H$27)+(L8*'Pawn Weights'!$H$28)+(M8*'Pawn Weights'!$H$29)+(N8*'Pawn Weights'!$H$30)+(O8*'Pawn Weights'!$H$31)+(P8*'Pawn Weights'!$H$32)+(Q8*'Pawn Weights'!$H$33), 2)</f>
        <v>163.76</v>
      </c>
      <c r="E8" s="280">
        <v>29.0</v>
      </c>
      <c r="F8" s="280">
        <v>51.0</v>
      </c>
      <c r="G8" s="280"/>
      <c r="H8" s="280"/>
      <c r="I8" s="280">
        <v>42.0</v>
      </c>
      <c r="J8" s="280">
        <v>34.0</v>
      </c>
      <c r="K8" s="280"/>
      <c r="L8" s="280"/>
      <c r="M8" s="281"/>
      <c r="N8" s="280">
        <v>1.0</v>
      </c>
      <c r="O8" s="280"/>
      <c r="P8" s="280">
        <v>1.0</v>
      </c>
      <c r="Q8" s="280"/>
      <c r="R8" s="290" t="s">
        <v>633</v>
      </c>
      <c r="S8" s="281"/>
      <c r="T8" s="291"/>
    </row>
    <row r="9">
      <c r="A9" s="25" t="s">
        <v>640</v>
      </c>
      <c r="B9" s="288" t="s">
        <v>641</v>
      </c>
      <c r="C9" s="280" t="s">
        <v>642</v>
      </c>
      <c r="D9" s="289">
        <f>ROUND((F9*'Pawn Weights'!$H$22)+(G9*'Pawn Weights'!$H$23)+(H9*'Pawn Weights'!$H$24)+(I9*'Pawn Weights'!$H$25)+(J9*'Pawn Weights'!$H$26)+(K9*'Pawn Weights'!$H$27)+(L9*'Pawn Weights'!$H$28)+(M9*'Pawn Weights'!$H$29)+(N9*'Pawn Weights'!$H$30)+(O9*'Pawn Weights'!$H$31)+(P9*'Pawn Weights'!$H$32)+(Q9*'Pawn Weights'!$H$33)+4, 2)</f>
        <v>156.29</v>
      </c>
      <c r="E9" s="280">
        <v>54.0</v>
      </c>
      <c r="F9" s="280">
        <v>54.0</v>
      </c>
      <c r="G9" s="280">
        <v>41.0</v>
      </c>
      <c r="H9" s="280"/>
      <c r="I9" s="280"/>
      <c r="J9" s="280"/>
      <c r="K9" s="280"/>
      <c r="L9" s="280"/>
      <c r="M9" s="280">
        <v>105.0</v>
      </c>
      <c r="N9" s="280">
        <v>1.0</v>
      </c>
      <c r="O9" s="280">
        <v>1.0</v>
      </c>
      <c r="P9" s="280"/>
      <c r="Q9" s="280"/>
      <c r="R9" s="290" t="s">
        <v>643</v>
      </c>
      <c r="S9" s="281"/>
      <c r="T9" s="291"/>
    </row>
    <row r="10">
      <c r="A10" s="25" t="s">
        <v>644</v>
      </c>
      <c r="B10" s="288" t="s">
        <v>645</v>
      </c>
      <c r="C10" s="280" t="s">
        <v>646</v>
      </c>
      <c r="D10" s="289">
        <f>ROUND((F10*'Pawn Weights'!$H$22)+(G10*'Pawn Weights'!$H$23)+(H10*'Pawn Weights'!$H$24)+(I10*'Pawn Weights'!$H$25)+(J10*'Pawn Weights'!$H$26)+(K10*'Pawn Weights'!$H$27)+(L10*'Pawn Weights'!$H$28)+(M10*'Pawn Weights'!$H$29)+(N10*'Pawn Weights'!$H$30)+(O10*'Pawn Weights'!$H$31)+(P10*'Pawn Weights'!$H$32)+(Q10*'Pawn Weights'!$H$33)-10+9.6+3.68, 2)</f>
        <v>149.26</v>
      </c>
      <c r="E10" s="280">
        <v>61.0</v>
      </c>
      <c r="F10" s="280">
        <v>39.0</v>
      </c>
      <c r="G10" s="280"/>
      <c r="H10" s="280"/>
      <c r="I10" s="280">
        <v>35.0</v>
      </c>
      <c r="J10" s="280">
        <v>12.0</v>
      </c>
      <c r="K10" s="280"/>
      <c r="L10" s="280"/>
      <c r="M10" s="280">
        <v>84.0</v>
      </c>
      <c r="N10" s="280">
        <v>1.0</v>
      </c>
      <c r="O10" s="280"/>
      <c r="P10" s="280">
        <v>1.0</v>
      </c>
      <c r="Q10" s="280"/>
      <c r="R10" s="290" t="s">
        <v>624</v>
      </c>
      <c r="S10" s="281"/>
      <c r="T10" s="291"/>
    </row>
    <row r="11">
      <c r="A11" s="25" t="s">
        <v>647</v>
      </c>
      <c r="B11" s="288" t="s">
        <v>648</v>
      </c>
      <c r="C11" s="280" t="s">
        <v>649</v>
      </c>
      <c r="D11" s="289">
        <f>ROUND((F11*'Pawn Weights'!$H$22)+(G11*'Pawn Weights'!$H$23)+(H11*'Pawn Weights'!$H$24)+(I11*'Pawn Weights'!$H$25)+(J11*'Pawn Weights'!$H$26)+(K11*'Pawn Weights'!$H$27)+(L11*'Pawn Weights'!$H$28)+(M11*'Pawn Weights'!$H$29)+(N11*'Pawn Weights'!$H$30)+(O11*'Pawn Weights'!$H$31)+(P11*'Pawn Weights'!$H$32)+(Q11*'Pawn Weights'!$H$33), 2)</f>
        <v>145.4</v>
      </c>
      <c r="E11" s="280">
        <v>45.0</v>
      </c>
      <c r="F11" s="280">
        <v>47.0</v>
      </c>
      <c r="G11" s="280"/>
      <c r="H11" s="280"/>
      <c r="I11" s="280">
        <v>36.0</v>
      </c>
      <c r="J11" s="280">
        <v>21.0</v>
      </c>
      <c r="K11" s="280"/>
      <c r="L11" s="280"/>
      <c r="M11" s="281"/>
      <c r="N11" s="280">
        <v>1.0</v>
      </c>
      <c r="O11" s="280"/>
      <c r="P11" s="280"/>
      <c r="Q11" s="280">
        <v>1.0</v>
      </c>
      <c r="R11" s="290" t="s">
        <v>643</v>
      </c>
      <c r="S11" s="281"/>
      <c r="T11" s="291"/>
    </row>
    <row r="12">
      <c r="A12" s="292" t="s">
        <v>627</v>
      </c>
      <c r="B12" s="288" t="s">
        <v>652</v>
      </c>
      <c r="C12" s="154" t="s">
        <v>653</v>
      </c>
      <c r="D12" s="289">
        <f>ROUND((F12*'Pawn Weights'!$H$22)+(G12*'Pawn Weights'!$H$23)+(H12*'Pawn Weights'!$H$24)+(I12*'Pawn Weights'!$H$25)+(J12*'Pawn Weights'!$H$26)+(K12*'Pawn Weights'!$H$27)+(L12*'Pawn Weights'!$H$28)+(M12*'Pawn Weights'!$H$29)+(N12*'Pawn Weights'!$H$30)+(O12*'Pawn Weights'!$H$31)+(P12*'Pawn Weights'!$H$32)+(Q12*'Pawn Weights'!$H$33), 2)</f>
        <v>142.8</v>
      </c>
      <c r="E12" s="280">
        <v>28.0</v>
      </c>
      <c r="F12" s="280">
        <v>48.0</v>
      </c>
      <c r="G12" s="280"/>
      <c r="H12" s="280"/>
      <c r="I12" s="280">
        <v>38.0</v>
      </c>
      <c r="J12" s="280">
        <v>13.0</v>
      </c>
      <c r="K12" s="280"/>
      <c r="L12" s="280"/>
      <c r="M12" s="281"/>
      <c r="N12" s="280">
        <v>1.0</v>
      </c>
      <c r="O12" s="280"/>
      <c r="P12" s="280"/>
      <c r="Q12" s="280">
        <v>1.0</v>
      </c>
      <c r="R12" s="290" t="s">
        <v>624</v>
      </c>
      <c r="S12" s="281"/>
      <c r="T12" s="291"/>
    </row>
    <row r="13">
      <c r="A13" s="292"/>
      <c r="B13" s="288" t="s">
        <v>650</v>
      </c>
      <c r="C13" s="154" t="s">
        <v>639</v>
      </c>
      <c r="D13" s="289">
        <f>ROUND((F13*'Pawn Weights'!$H$22)+(G13*'Pawn Weights'!$H$23)+(H13*'Pawn Weights'!$H$24)+(I13*'Pawn Weights'!$H$25)+(J13*'Pawn Weights'!$H$26)+(K13*'Pawn Weights'!$H$27)+(L13*'Pawn Weights'!$H$28)+(M13*'Pawn Weights'!$H$29)+(N13*'Pawn Weights'!$H$30)+(O13*'Pawn Weights'!$H$31)+(P13*'Pawn Weights'!$H$32)+(Q13*'Pawn Weights'!$H$33), 2)</f>
        <v>143.28</v>
      </c>
      <c r="E13" s="280">
        <v>29.0</v>
      </c>
      <c r="F13" s="280"/>
      <c r="G13" s="280">
        <v>42.0</v>
      </c>
      <c r="H13" s="280">
        <v>100.0</v>
      </c>
      <c r="I13" s="280">
        <v>20.0</v>
      </c>
      <c r="J13" s="280"/>
      <c r="K13" s="280"/>
      <c r="L13" s="280"/>
      <c r="M13" s="281"/>
      <c r="N13" s="280">
        <v>1.0</v>
      </c>
      <c r="O13" s="280">
        <v>1.0</v>
      </c>
      <c r="P13" s="280"/>
      <c r="Q13" s="280"/>
      <c r="R13" s="290" t="s">
        <v>651</v>
      </c>
      <c r="S13" s="281"/>
      <c r="T13" s="291"/>
    </row>
    <row r="14">
      <c r="A14" s="25" t="s">
        <v>654</v>
      </c>
      <c r="B14" s="288" t="s">
        <v>655</v>
      </c>
      <c r="C14" s="280" t="s">
        <v>656</v>
      </c>
      <c r="D14" s="289">
        <f>ROUND((F14*'Pawn Weights'!$H$22)+(G14*'Pawn Weights'!$H$23)+(H14*'Pawn Weights'!$H$24)+(I14*'Pawn Weights'!$H$25)+(J14*'Pawn Weights'!$H$26)+(K14*'Pawn Weights'!$H$27)+(L14*'Pawn Weights'!$H$28)+(M14*'Pawn Weights'!$H$29)+(N14*'Pawn Weights'!$H$30)+(O14*'Pawn Weights'!$H$31)+(P14*'Pawn Weights'!$H$32)+(Q14*'Pawn Weights'!$H$33)-10+9.6+2.72, 2)</f>
        <v>129.92</v>
      </c>
      <c r="E14" s="280">
        <v>45.0</v>
      </c>
      <c r="F14" s="280">
        <v>45.0</v>
      </c>
      <c r="G14" s="280"/>
      <c r="H14" s="280"/>
      <c r="I14" s="280">
        <v>24.0</v>
      </c>
      <c r="J14" s="280">
        <v>14.0</v>
      </c>
      <c r="K14" s="280"/>
      <c r="L14" s="280"/>
      <c r="M14" s="281"/>
      <c r="N14" s="280">
        <v>1.0</v>
      </c>
      <c r="O14" s="280"/>
      <c r="P14" s="280">
        <v>1.0</v>
      </c>
      <c r="Q14" s="280"/>
      <c r="R14" s="290" t="s">
        <v>626</v>
      </c>
      <c r="S14" s="281"/>
      <c r="T14" s="291"/>
    </row>
    <row r="15">
      <c r="A15" s="25" t="s">
        <v>1068</v>
      </c>
      <c r="B15" s="288" t="s">
        <v>1069</v>
      </c>
      <c r="C15" s="280" t="s">
        <v>1070</v>
      </c>
      <c r="D15" s="289">
        <f>ROUND((F15*'Pawn Weights'!$H$22)+(G15*'Pawn Weights'!$H$23)+(H15*'Pawn Weights'!$H$24)+(I15*'Pawn Weights'!$H$25)+(J15*'Pawn Weights'!$H$26)+(K15*'Pawn Weights'!$H$27)+(L15*'Pawn Weights'!$H$28)+(M15*'Pawn Weights'!$H$29)+(N15*'Pawn Weights'!$H$30)+(O15*'Pawn Weights'!$H$31)+(P15*'Pawn Weights'!$H$32)+(Q15*'Pawn Weights'!$H$33)-10+9.6+4, 2)</f>
        <v>127.64</v>
      </c>
      <c r="E15" s="280">
        <v>54.0</v>
      </c>
      <c r="F15" s="280">
        <v>35.0</v>
      </c>
      <c r="G15" s="280"/>
      <c r="H15" s="280"/>
      <c r="I15" s="280">
        <v>31.0</v>
      </c>
      <c r="J15" s="280">
        <v>14.0</v>
      </c>
      <c r="K15" s="280"/>
      <c r="L15" s="280"/>
      <c r="M15" s="281"/>
      <c r="N15" s="280">
        <v>1.0</v>
      </c>
      <c r="O15" s="280"/>
      <c r="P15" s="280">
        <v>1.0</v>
      </c>
      <c r="Q15" s="280"/>
      <c r="R15" s="290" t="s">
        <v>643</v>
      </c>
      <c r="S15" s="281"/>
      <c r="T15" s="291" t="s">
        <v>1071</v>
      </c>
    </row>
    <row r="16">
      <c r="A16" s="295"/>
      <c r="B16" s="296" t="s">
        <v>1072</v>
      </c>
      <c r="C16" s="297" t="s">
        <v>1073</v>
      </c>
      <c r="D16" s="289">
        <f>ROUND((F16*'Pawn Weights'!$H$22)+(G16*'Pawn Weights'!$H$23)+(H16*'Pawn Weights'!$H$24)+(I16*'Pawn Weights'!$H$25)+(J16*'Pawn Weights'!$H$26)+(K16*'Pawn Weights'!$H$27)+(L16*'Pawn Weights'!$H$28)+(M16*'Pawn Weights'!$H$29)+(N16*'Pawn Weights'!$H$30)+(O16*'Pawn Weights'!$H$31)+(P16*'Pawn Weights'!$H$32)+(Q16*'Pawn Weights'!$H$33), 2)</f>
        <v>113.14</v>
      </c>
      <c r="E16" s="298">
        <v>40.0</v>
      </c>
      <c r="F16" s="297"/>
      <c r="G16" s="298">
        <v>36.0</v>
      </c>
      <c r="H16" s="298">
        <v>72.0</v>
      </c>
      <c r="I16" s="297"/>
      <c r="J16" s="297"/>
      <c r="K16" s="297"/>
      <c r="L16" s="297"/>
      <c r="M16" s="359">
        <v>140.0</v>
      </c>
      <c r="N16" s="297"/>
      <c r="O16" s="298">
        <v>1.0</v>
      </c>
      <c r="P16" s="298">
        <v>1.0</v>
      </c>
      <c r="Q16" s="298">
        <v>1.0</v>
      </c>
      <c r="R16" s="298" t="s">
        <v>745</v>
      </c>
      <c r="S16" s="137"/>
      <c r="T16" s="295"/>
      <c r="U16" s="137"/>
      <c r="V16" s="137"/>
      <c r="W16" s="137"/>
      <c r="X16" s="137"/>
      <c r="Y16" s="137"/>
      <c r="Z16" s="137"/>
    </row>
    <row r="17">
      <c r="A17" s="295"/>
      <c r="B17" s="296" t="s">
        <v>1074</v>
      </c>
      <c r="C17" s="297" t="s">
        <v>947</v>
      </c>
      <c r="D17" s="289">
        <f>ROUND((F17*'Pawn Weights'!$H$22)+(G17*'Pawn Weights'!$H$23)+(H17*'Pawn Weights'!$H$24)+(I17*'Pawn Weights'!$H$25)+(J17*'Pawn Weights'!$H$26)+(K17*'Pawn Weights'!$H$27)+(L17*'Pawn Weights'!$H$28)+(M17*'Pawn Weights'!$H$29)+(N17*'Pawn Weights'!$H$30)+(O17*'Pawn Weights'!$H$31)+(P17*'Pawn Weights'!$H$32)+(Q17*'Pawn Weights'!$H$33), 2)</f>
        <v>110.67</v>
      </c>
      <c r="E17" s="298">
        <v>48.0</v>
      </c>
      <c r="F17" s="297"/>
      <c r="G17" s="298">
        <v>40.0</v>
      </c>
      <c r="H17" s="298">
        <v>82.0</v>
      </c>
      <c r="I17" s="297"/>
      <c r="J17" s="298">
        <v>24.0</v>
      </c>
      <c r="K17" s="297"/>
      <c r="L17" s="297"/>
      <c r="M17" s="137"/>
      <c r="N17" s="297"/>
      <c r="O17" s="298">
        <v>1.0</v>
      </c>
      <c r="P17" s="298">
        <v>1.0</v>
      </c>
      <c r="Q17" s="298">
        <v>1.0</v>
      </c>
      <c r="R17" s="298" t="s">
        <v>745</v>
      </c>
      <c r="S17" s="137"/>
      <c r="T17" s="295"/>
      <c r="U17" s="137"/>
      <c r="V17" s="137"/>
      <c r="W17" s="137"/>
      <c r="X17" s="137"/>
      <c r="Y17" s="137"/>
      <c r="Z17" s="137"/>
    </row>
    <row r="18">
      <c r="A18" s="25"/>
      <c r="B18" s="288" t="s">
        <v>1397</v>
      </c>
      <c r="C18" s="280" t="s">
        <v>1195</v>
      </c>
      <c r="D18" s="289">
        <f>ROUND((F18*'Pawn Weights'!$H$22)+(G18*'Pawn Weights'!$H$23)+(H18*'Pawn Weights'!$H$24)+(I18*'Pawn Weights'!$H$25)+(J18*'Pawn Weights'!$H$26)+(K18*'Pawn Weights'!$H$27)+(L18*'Pawn Weights'!$H$28)+(M18*'Pawn Weights'!$H$29)+(N18*'Pawn Weights'!$H$30)+(O18*'Pawn Weights'!$H$31)+(P18*'Pawn Weights'!$H$32)+(Q18*'Pawn Weights'!$H$33), 2)</f>
        <v>106.88</v>
      </c>
      <c r="E18" s="280">
        <v>46.0</v>
      </c>
      <c r="F18" s="280">
        <v>46.0</v>
      </c>
      <c r="G18" s="280"/>
      <c r="H18" s="280"/>
      <c r="I18" s="280">
        <v>44.0</v>
      </c>
      <c r="J18" s="280">
        <v>30.0</v>
      </c>
      <c r="K18" s="280"/>
      <c r="L18" s="280"/>
      <c r="M18" s="281"/>
      <c r="N18" s="280"/>
      <c r="O18" s="280"/>
      <c r="P18" s="280"/>
      <c r="Q18" s="280"/>
      <c r="R18" s="290"/>
      <c r="S18" s="281"/>
      <c r="T18" s="291"/>
    </row>
    <row r="19">
      <c r="A19" s="295"/>
      <c r="B19" s="296" t="s">
        <v>1398</v>
      </c>
      <c r="C19" s="318" t="s">
        <v>1399</v>
      </c>
      <c r="D19" s="289">
        <f>ROUND((F19*'Pawn Weights'!$H$22)+(G19*'Pawn Weights'!$H$23)+(H19*'Pawn Weights'!$H$24)+(I19*'Pawn Weights'!$H$25)+(J19*'Pawn Weights'!$H$26)+(K19*'Pawn Weights'!$H$27)+(L19*'Pawn Weights'!$H$28)+(M19*'Pawn Weights'!$H$29)+(N19*'Pawn Weights'!$H$30)+(O19*'Pawn Weights'!$H$31)+(P19*'Pawn Weights'!$H$32)+(Q19*'Pawn Weights'!$H$33), 2)</f>
        <v>98.44</v>
      </c>
      <c r="E19" s="298">
        <v>51.0</v>
      </c>
      <c r="F19" s="298">
        <v>46.0</v>
      </c>
      <c r="G19" s="297"/>
      <c r="H19" s="297"/>
      <c r="I19" s="297"/>
      <c r="J19" s="298">
        <v>33.0</v>
      </c>
      <c r="K19" s="297"/>
      <c r="L19" s="297"/>
      <c r="M19" s="137"/>
      <c r="N19" s="297"/>
      <c r="O19" s="298">
        <v>1.0</v>
      </c>
      <c r="P19" s="298">
        <v>1.0</v>
      </c>
      <c r="Q19" s="298">
        <v>1.0</v>
      </c>
      <c r="R19" s="298" t="s">
        <v>1417</v>
      </c>
      <c r="S19" s="137"/>
      <c r="T19" s="295" t="s">
        <v>1400</v>
      </c>
      <c r="U19" s="137"/>
      <c r="V19" s="137"/>
      <c r="W19" s="137"/>
      <c r="X19" s="137"/>
      <c r="Y19" s="137"/>
      <c r="Z19" s="137"/>
    </row>
    <row r="20">
      <c r="A20" s="272" t="s">
        <v>657</v>
      </c>
      <c r="B20" s="281"/>
      <c r="C20" s="281"/>
      <c r="D20" s="360"/>
      <c r="E20" s="281"/>
      <c r="F20" s="281"/>
      <c r="G20" s="281"/>
      <c r="H20" s="281"/>
      <c r="I20" s="281"/>
      <c r="J20" s="281"/>
      <c r="K20" s="281"/>
      <c r="L20" s="281"/>
      <c r="M20" s="281"/>
      <c r="N20" s="281"/>
      <c r="O20" s="281"/>
      <c r="P20" s="281"/>
      <c r="Q20" s="281"/>
      <c r="R20" s="282"/>
      <c r="S20" s="281"/>
      <c r="T20" s="285"/>
    </row>
    <row r="21">
      <c r="A21" s="137" t="s">
        <v>627</v>
      </c>
      <c r="B21" s="341" t="s">
        <v>658</v>
      </c>
      <c r="C21" s="361" t="s">
        <v>659</v>
      </c>
      <c r="D21" s="289">
        <f>ROUND((F21*'Pawn Weights'!$H$22)+(G21*'Pawn Weights'!$H$23)+(H21*'Pawn Weights'!$H$24)+(I21*'Pawn Weights'!$H$25)+(J21*'Pawn Weights'!$H$26)+(K21*'Pawn Weights'!$H$27)+(L21*'Pawn Weights'!$H$28)+(M21*'Pawn Weights'!$H$29)+(N21*'Pawn Weights'!$H$30)+(O21*'Pawn Weights'!$H$31)+(P21*'Pawn Weights'!$H$32)+(Q21*'Pawn Weights'!$H$33)-10+9.6+1.818, 2)</f>
        <v>81.34</v>
      </c>
      <c r="E21" s="359">
        <v>42.0</v>
      </c>
      <c r="F21" s="137"/>
      <c r="G21" s="137"/>
      <c r="H21" s="359">
        <v>58.0</v>
      </c>
      <c r="I21" s="137"/>
      <c r="J21" s="137"/>
      <c r="K21" s="359">
        <v>29.0</v>
      </c>
      <c r="L21" s="137"/>
      <c r="M21" s="359">
        <v>150.0</v>
      </c>
      <c r="N21" s="137"/>
      <c r="O21" s="137"/>
      <c r="P21" s="359">
        <v>1.0</v>
      </c>
      <c r="Q21" s="137"/>
      <c r="R21" s="359" t="s">
        <v>660</v>
      </c>
      <c r="S21" s="137"/>
      <c r="T21" s="137" t="s">
        <v>661</v>
      </c>
      <c r="U21" s="137"/>
      <c r="V21" s="137"/>
      <c r="W21" s="137"/>
      <c r="X21" s="137"/>
      <c r="Y21" s="137"/>
      <c r="Z21" s="137"/>
    </row>
    <row r="22">
      <c r="A22" s="281"/>
      <c r="B22" s="288" t="s">
        <v>664</v>
      </c>
      <c r="C22" s="280" t="s">
        <v>665</v>
      </c>
      <c r="D22" s="289">
        <f>ROUND((F22*'Pawn Weights'!$H$22)+(G22*'Pawn Weights'!$H$23)+(H22*'Pawn Weights'!$H$24)+(I22*'Pawn Weights'!$H$25)+(J22*'Pawn Weights'!$H$26)+(K22*'Pawn Weights'!$H$27)+(L22*'Pawn Weights'!$H$28)+(M22*'Pawn Weights'!$H$29)+(N22*'Pawn Weights'!$H$30)+(O22*'Pawn Weights'!$H$31)+(P22*'Pawn Weights'!$H$32)+(Q22*'Pawn Weights'!$H$33), 2)</f>
        <v>71.84</v>
      </c>
      <c r="E22" s="280"/>
      <c r="F22" s="280"/>
      <c r="G22" s="280"/>
      <c r="H22" s="280">
        <v>72.0</v>
      </c>
      <c r="I22" s="280">
        <v>27.0</v>
      </c>
      <c r="J22" s="280">
        <v>21.0</v>
      </c>
      <c r="K22" s="280"/>
      <c r="L22" s="280"/>
      <c r="M22" s="280"/>
      <c r="N22" s="280"/>
      <c r="O22" s="280"/>
      <c r="P22" s="280"/>
      <c r="Q22" s="280"/>
      <c r="R22" s="290"/>
      <c r="S22" s="281"/>
      <c r="T22" s="222"/>
      <c r="U22" s="281"/>
      <c r="X22" s="281"/>
    </row>
    <row r="23">
      <c r="A23" s="281"/>
      <c r="B23" s="288" t="s">
        <v>666</v>
      </c>
      <c r="C23" s="280" t="s">
        <v>667</v>
      </c>
      <c r="D23" s="289">
        <f>ROUND((F23*'Pawn Weights'!$H$22)+(G23*'Pawn Weights'!$H$23)+(H23*'Pawn Weights'!$H$24)+(I23*'Pawn Weights'!$H$25)+(J23*'Pawn Weights'!$H$26)+(K23*'Pawn Weights'!$H$27)+(L23*'Pawn Weights'!$H$28)+(M23*'Pawn Weights'!$H$29)+(N23*'Pawn Weights'!$H$30)+(O23*'Pawn Weights'!$H$31)+(P23*'Pawn Weights'!$H$32)+(Q23*'Pawn Weights'!$H$33), 2)</f>
        <v>64.37</v>
      </c>
      <c r="E23" s="280">
        <v>37.0</v>
      </c>
      <c r="F23" s="280"/>
      <c r="G23" s="280"/>
      <c r="H23" s="280">
        <v>70.0</v>
      </c>
      <c r="I23" s="280"/>
      <c r="J23" s="280"/>
      <c r="K23" s="280"/>
      <c r="L23" s="280"/>
      <c r="M23" s="280">
        <v>175.0</v>
      </c>
      <c r="N23" s="280"/>
      <c r="O23" s="280"/>
      <c r="P23" s="280"/>
      <c r="Q23" s="280"/>
      <c r="R23" s="290"/>
      <c r="S23" s="281"/>
      <c r="T23" s="222"/>
      <c r="U23" s="281"/>
      <c r="X23" s="281"/>
    </row>
    <row r="24">
      <c r="A24" s="137" t="s">
        <v>671</v>
      </c>
      <c r="B24" s="296" t="s">
        <v>672</v>
      </c>
      <c r="C24" s="297" t="s">
        <v>673</v>
      </c>
      <c r="D24" s="289">
        <f>ROUND((F24*'Pawn Weights'!$H$22)+(G24*'Pawn Weights'!$H$23)+(H24*'Pawn Weights'!$H$24)+(I24*'Pawn Weights'!$H$25)+(J24*'Pawn Weights'!$H$26)+(K24*'Pawn Weights'!$H$27)+(L24*'Pawn Weights'!$H$28)+(M24*'Pawn Weights'!$H$29)+(N24*'Pawn Weights'!$H$30)+(O24*'Pawn Weights'!$H$31)+(P24*'Pawn Weights'!$H$32)+(Q24*'Pawn Weights'!$H$33), 2)</f>
        <v>60.28</v>
      </c>
      <c r="E24" s="298">
        <v>39.0</v>
      </c>
      <c r="F24" s="297"/>
      <c r="G24" s="297"/>
      <c r="H24" s="298">
        <v>58.0</v>
      </c>
      <c r="I24" s="298">
        <v>26.0</v>
      </c>
      <c r="J24" s="297"/>
      <c r="K24" s="297"/>
      <c r="L24" s="297"/>
      <c r="M24" s="295"/>
      <c r="N24" s="297"/>
      <c r="O24" s="297"/>
      <c r="P24" s="298">
        <v>1.0</v>
      </c>
      <c r="Q24" s="297"/>
      <c r="R24" s="298" t="s">
        <v>674</v>
      </c>
      <c r="S24" s="137"/>
      <c r="T24" s="361" t="s">
        <v>675</v>
      </c>
      <c r="U24" s="137"/>
      <c r="V24" s="137"/>
      <c r="W24" s="137"/>
      <c r="X24" s="137"/>
      <c r="Y24" s="137"/>
      <c r="Z24" s="137"/>
    </row>
    <row r="25">
      <c r="A25" s="137" t="s">
        <v>676</v>
      </c>
      <c r="B25" s="296" t="s">
        <v>677</v>
      </c>
      <c r="C25" s="297" t="s">
        <v>678</v>
      </c>
      <c r="D25" s="289">
        <f>ROUND((F25*'Pawn Weights'!$H$22)+(G25*'Pawn Weights'!$H$23)+(H25*'Pawn Weights'!$H$24)+(I25*'Pawn Weights'!$H$25)+(J25*'Pawn Weights'!$H$26)+(K25*'Pawn Weights'!$H$27)+(L25*'Pawn Weights'!$H$28)+(M25*'Pawn Weights'!$H$29)+(N25*'Pawn Weights'!$H$30)+(O25*'Pawn Weights'!$H$31)+(P25*'Pawn Weights'!$H$32)+(Q25*'Pawn Weights'!$H$33)+17.82, 2)</f>
        <v>59.09</v>
      </c>
      <c r="E25" s="298">
        <v>19.0</v>
      </c>
      <c r="F25" s="297"/>
      <c r="G25" s="298">
        <v>18.0</v>
      </c>
      <c r="H25" s="298">
        <v>64.0</v>
      </c>
      <c r="I25" s="297"/>
      <c r="J25" s="297"/>
      <c r="K25" s="297"/>
      <c r="L25" s="297"/>
      <c r="M25" s="295"/>
      <c r="N25" s="297"/>
      <c r="O25" s="297"/>
      <c r="P25" s="297"/>
      <c r="Q25" s="297"/>
      <c r="R25" s="295"/>
      <c r="S25" s="137"/>
      <c r="T25" s="362" t="s">
        <v>679</v>
      </c>
      <c r="U25" s="194"/>
      <c r="V25" s="194"/>
      <c r="W25" s="137"/>
      <c r="X25" s="137"/>
      <c r="Y25" s="137"/>
      <c r="Z25" s="137"/>
    </row>
    <row r="26">
      <c r="A26" s="281"/>
      <c r="B26" s="288" t="s">
        <v>680</v>
      </c>
      <c r="C26" s="280" t="s">
        <v>681</v>
      </c>
      <c r="D26" s="289">
        <f>ROUND((F26*'Pawn Weights'!$H$22)+(G26*'Pawn Weights'!$H$23)+(H26*'Pawn Weights'!$H$24)+(I26*'Pawn Weights'!$H$25)+(J26*'Pawn Weights'!$H$26)+(K26*'Pawn Weights'!$H$27)+(L26*'Pawn Weights'!$H$28)+(M26*'Pawn Weights'!$H$29)+(N26*'Pawn Weights'!$H$30)+(O26*'Pawn Weights'!$H$31)+(P26*'Pawn Weights'!$H$32)+(Q26*'Pawn Weights'!$H$33), 2)</f>
        <v>53.16</v>
      </c>
      <c r="E26" s="280">
        <v>24.0</v>
      </c>
      <c r="F26" s="280">
        <v>32.0</v>
      </c>
      <c r="G26" s="280"/>
      <c r="H26" s="280"/>
      <c r="I26" s="280">
        <v>23.0</v>
      </c>
      <c r="J26" s="280"/>
      <c r="K26" s="280"/>
      <c r="L26" s="280"/>
      <c r="M26" s="280"/>
      <c r="N26" s="280"/>
      <c r="O26" s="280"/>
      <c r="P26" s="280"/>
      <c r="Q26" s="280"/>
      <c r="R26" s="290"/>
      <c r="S26" s="281"/>
      <c r="T26" s="222"/>
      <c r="U26" s="281"/>
      <c r="X26" s="281"/>
    </row>
    <row r="27">
      <c r="A27" s="292" t="s">
        <v>991</v>
      </c>
      <c r="B27" s="288" t="s">
        <v>1075</v>
      </c>
      <c r="C27" s="280" t="s">
        <v>673</v>
      </c>
      <c r="D27" s="289">
        <f>ROUND((F27*'Pawn Weights'!$H$22)+(G27*'Pawn Weights'!$H$23)+(H27*'Pawn Weights'!$H$24)+(I27*'Pawn Weights'!$H$25)+(J27*'Pawn Weights'!$H$26)+(K27*'Pawn Weights'!$H$27)+(L27*'Pawn Weights'!$H$28)+(M27*'Pawn Weights'!$H$29)+(N27*'Pawn Weights'!$H$30)+(O27*'Pawn Weights'!$H$31)+(P27*'Pawn Weights'!$H$32)+(Q27*'Pawn Weights'!$H$33), 2)</f>
        <v>52.97</v>
      </c>
      <c r="E27" s="280">
        <v>35.0</v>
      </c>
      <c r="F27" s="280"/>
      <c r="G27" s="280"/>
      <c r="H27" s="280">
        <v>50.0</v>
      </c>
      <c r="I27" s="280">
        <v>22.0</v>
      </c>
      <c r="J27" s="280"/>
      <c r="K27" s="280"/>
      <c r="L27" s="280"/>
      <c r="M27" s="280"/>
      <c r="N27" s="280"/>
      <c r="O27" s="280"/>
      <c r="P27" s="280">
        <v>1.0</v>
      </c>
      <c r="Q27" s="280"/>
      <c r="R27" s="290" t="s">
        <v>1076</v>
      </c>
      <c r="S27" s="281"/>
      <c r="T27" s="294" t="s">
        <v>675</v>
      </c>
      <c r="U27" s="281"/>
      <c r="X27" s="281"/>
    </row>
    <row r="28">
      <c r="A28" s="281"/>
      <c r="B28" s="288" t="s">
        <v>682</v>
      </c>
      <c r="C28" s="280" t="s">
        <v>683</v>
      </c>
      <c r="D28" s="289">
        <f>ROUND((F28*'Pawn Weights'!$H$22)+(G28*'Pawn Weights'!$H$23)+(H28*'Pawn Weights'!$H$24)+(I28*'Pawn Weights'!$H$25)+(J28*'Pawn Weights'!$H$26)+(K28*'Pawn Weights'!$H$27)+(L28*'Pawn Weights'!$H$28)+(M28*'Pawn Weights'!$H$29)+(N28*'Pawn Weights'!$H$30)+(O28*'Pawn Weights'!$H$31)+(P28*'Pawn Weights'!$H$32)+(Q28*'Pawn Weights'!$H$33), 2)</f>
        <v>50.25</v>
      </c>
      <c r="E28" s="280">
        <v>24.0</v>
      </c>
      <c r="F28" s="280"/>
      <c r="G28" s="280"/>
      <c r="H28" s="280">
        <v>64.0</v>
      </c>
      <c r="I28" s="280">
        <v>23.0</v>
      </c>
      <c r="J28" s="280"/>
      <c r="K28" s="280"/>
      <c r="L28" s="280"/>
      <c r="M28" s="281"/>
      <c r="N28" s="280"/>
      <c r="O28" s="280"/>
      <c r="P28" s="280"/>
      <c r="Q28" s="280"/>
      <c r="R28" s="290"/>
      <c r="S28" s="281"/>
      <c r="T28" s="294"/>
      <c r="U28" s="281"/>
      <c r="X28" s="281"/>
    </row>
    <row r="29">
      <c r="A29" s="281"/>
      <c r="B29" s="288" t="s">
        <v>684</v>
      </c>
      <c r="C29" s="280" t="s">
        <v>685</v>
      </c>
      <c r="D29" s="289">
        <f>ROUND((F29*'Pawn Weights'!$H$22)+(G29*'Pawn Weights'!$H$23)+(H29*'Pawn Weights'!$H$24)+(I29*'Pawn Weights'!$H$25)+(J29*'Pawn Weights'!$H$26)+(K29*'Pawn Weights'!$H$27)+(L29*'Pawn Weights'!$H$28)+(M29*'Pawn Weights'!$H$29)+(N29*'Pawn Weights'!$H$30)+(O29*'Pawn Weights'!$H$31)+(P29*'Pawn Weights'!$H$32)+(Q29*'Pawn Weights'!$H$33), 2)</f>
        <v>50.09</v>
      </c>
      <c r="E29" s="280">
        <v>26.0</v>
      </c>
      <c r="F29" s="280"/>
      <c r="G29" s="280">
        <v>27.0</v>
      </c>
      <c r="H29" s="280">
        <v>70.0</v>
      </c>
      <c r="I29" s="280"/>
      <c r="J29" s="280"/>
      <c r="K29" s="280"/>
      <c r="L29" s="280"/>
      <c r="M29" s="281"/>
      <c r="N29" s="280"/>
      <c r="O29" s="280"/>
      <c r="P29" s="280"/>
      <c r="Q29" s="280"/>
      <c r="R29" s="290"/>
      <c r="S29" s="281"/>
      <c r="T29" s="222"/>
      <c r="U29" s="281"/>
      <c r="X29" s="281"/>
    </row>
    <row r="30">
      <c r="A30" s="281"/>
      <c r="B30" s="288" t="s">
        <v>686</v>
      </c>
      <c r="C30" s="280" t="s">
        <v>687</v>
      </c>
      <c r="D30" s="289">
        <f>ROUND((F30*'Pawn Weights'!$H$22)+(G30*'Pawn Weights'!$H$23)+(H30*'Pawn Weights'!$H$24)+(I30*'Pawn Weights'!$H$25)+(J30*'Pawn Weights'!$H$26)+(K30*'Pawn Weights'!$H$27)+(L30*'Pawn Weights'!$H$28)+(M30*'Pawn Weights'!$H$29)+(N30*'Pawn Weights'!$H$30)+(O30*'Pawn Weights'!$H$31)+(P30*'Pawn Weights'!$H$32)+(Q30*'Pawn Weights'!$H$33), 2)</f>
        <v>44.87</v>
      </c>
      <c r="E30" s="280">
        <v>18.0</v>
      </c>
      <c r="F30" s="280"/>
      <c r="G30" s="280">
        <v>20.0</v>
      </c>
      <c r="H30" s="280">
        <v>42.0</v>
      </c>
      <c r="I30" s="280"/>
      <c r="J30" s="280">
        <v>18.0</v>
      </c>
      <c r="K30" s="280"/>
      <c r="L30" s="280"/>
      <c r="M30" s="280"/>
      <c r="N30" s="280"/>
      <c r="O30" s="280"/>
      <c r="P30" s="280"/>
      <c r="Q30" s="280"/>
      <c r="R30" s="290"/>
      <c r="S30" s="281"/>
      <c r="T30" s="294"/>
      <c r="U30" s="281"/>
      <c r="X30" s="281"/>
    </row>
    <row r="31">
      <c r="A31" s="281"/>
      <c r="B31" s="288" t="s">
        <v>1077</v>
      </c>
      <c r="C31" s="280" t="s">
        <v>1078</v>
      </c>
      <c r="D31" s="289">
        <f>ROUND((F31*'Pawn Weights'!$H$22)+(G31*'Pawn Weights'!$H$23)+(H31*'Pawn Weights'!$H$24)+(I31*'Pawn Weights'!$H$25)+(J31*'Pawn Weights'!$H$26)+(K31*'Pawn Weights'!$H$27)+(L31*'Pawn Weights'!$H$28)+(M31*'Pawn Weights'!$H$29)+(N31*'Pawn Weights'!$H$30)+(O31*'Pawn Weights'!$H$31)+(P31*'Pawn Weights'!$H$32)+(Q31*'Pawn Weights'!$H$33), 2)</f>
        <v>44.19</v>
      </c>
      <c r="E31" s="280">
        <v>21.0</v>
      </c>
      <c r="F31" s="280"/>
      <c r="G31" s="280">
        <v>20.0</v>
      </c>
      <c r="H31" s="280">
        <v>42.0</v>
      </c>
      <c r="I31" s="280"/>
      <c r="J31" s="280">
        <v>17.0</v>
      </c>
      <c r="K31" s="280"/>
      <c r="L31" s="280"/>
      <c r="M31" s="280"/>
      <c r="N31" s="280"/>
      <c r="O31" s="280"/>
      <c r="P31" s="280"/>
      <c r="Q31" s="280"/>
      <c r="R31" s="290"/>
      <c r="S31" s="281"/>
      <c r="T31" s="222"/>
      <c r="U31" s="281"/>
      <c r="V31" s="281"/>
      <c r="W31" s="281"/>
      <c r="X31" s="281"/>
    </row>
    <row r="32">
      <c r="A32" s="281"/>
      <c r="B32" s="288" t="s">
        <v>690</v>
      </c>
      <c r="C32" s="280" t="s">
        <v>691</v>
      </c>
      <c r="D32" s="289">
        <f>ROUND((F32*'Pawn Weights'!$H$22)+(G32*'Pawn Weights'!$H$23)+(H32*'Pawn Weights'!$H$24)+(I32*'Pawn Weights'!$H$25)+(J32*'Pawn Weights'!$H$26)+(K32*'Pawn Weights'!$H$27)+(L32*'Pawn Weights'!$H$28)+(M32*'Pawn Weights'!$H$29)+(N32*'Pawn Weights'!$H$30)+(O32*'Pawn Weights'!$H$31)+(P32*'Pawn Weights'!$H$32)+(Q32*'Pawn Weights'!$H$33), 2)</f>
        <v>42.05</v>
      </c>
      <c r="E32" s="280"/>
      <c r="F32" s="280"/>
      <c r="G32" s="280"/>
      <c r="H32" s="280"/>
      <c r="I32" s="280"/>
      <c r="J32" s="280">
        <v>22.0</v>
      </c>
      <c r="K32" s="280"/>
      <c r="L32" s="280">
        <v>21.0</v>
      </c>
      <c r="M32" s="281"/>
      <c r="N32" s="280"/>
      <c r="O32" s="280"/>
      <c r="P32" s="280"/>
      <c r="Q32" s="280"/>
      <c r="R32" s="290"/>
      <c r="S32" s="281"/>
      <c r="T32" s="294"/>
      <c r="U32" s="281"/>
      <c r="X32" s="281"/>
    </row>
    <row r="33">
      <c r="A33" s="137" t="s">
        <v>676</v>
      </c>
      <c r="B33" s="296" t="s">
        <v>688</v>
      </c>
      <c r="C33" s="297" t="s">
        <v>678</v>
      </c>
      <c r="D33" s="289">
        <f>ROUND((F33*'Pawn Weights'!$H$22)+(G33*'Pawn Weights'!$H$23)+(H33*'Pawn Weights'!$H$24)+(I33*'Pawn Weights'!$H$25)+(J33*'Pawn Weights'!$H$26)+(K33*'Pawn Weights'!$H$27)+(L33*'Pawn Weights'!$H$28)+(M33*'Pawn Weights'!$H$29)+(N33*'Pawn Weights'!$H$30)+(O33*'Pawn Weights'!$H$31)+(P33*'Pawn Weights'!$H$32)+(Q33*'Pawn Weights'!$H$33), 2)</f>
        <v>41.27</v>
      </c>
      <c r="E33" s="298">
        <v>19.0</v>
      </c>
      <c r="F33" s="297"/>
      <c r="G33" s="298">
        <v>18.0</v>
      </c>
      <c r="H33" s="298">
        <v>64.0</v>
      </c>
      <c r="I33" s="297"/>
      <c r="J33" s="297"/>
      <c r="K33" s="297"/>
      <c r="L33" s="297"/>
      <c r="M33" s="137"/>
      <c r="N33" s="297"/>
      <c r="O33" s="297"/>
      <c r="P33" s="297"/>
      <c r="Q33" s="297"/>
      <c r="R33" s="295"/>
      <c r="S33" s="137"/>
      <c r="T33" s="297" t="s">
        <v>689</v>
      </c>
      <c r="U33" s="137"/>
      <c r="V33" s="137"/>
      <c r="W33" s="137"/>
      <c r="X33" s="137"/>
      <c r="Y33" s="137"/>
      <c r="Z33" s="137"/>
    </row>
    <row r="34">
      <c r="A34" s="272" t="s">
        <v>692</v>
      </c>
      <c r="B34" s="281"/>
      <c r="C34" s="281"/>
      <c r="D34" s="360"/>
      <c r="E34" s="281"/>
      <c r="F34" s="281"/>
      <c r="G34" s="281"/>
      <c r="H34" s="281"/>
      <c r="I34" s="281"/>
      <c r="J34" s="281"/>
      <c r="K34" s="281"/>
      <c r="L34" s="281"/>
      <c r="M34" s="281"/>
      <c r="N34" s="281"/>
      <c r="O34" s="281"/>
      <c r="P34" s="281"/>
      <c r="Q34" s="281"/>
      <c r="R34" s="282"/>
      <c r="S34" s="281"/>
      <c r="T34" s="285"/>
      <c r="U34" s="281"/>
      <c r="V34" s="281"/>
      <c r="W34" s="281"/>
    </row>
    <row r="35">
      <c r="A35" s="301" t="s">
        <v>640</v>
      </c>
      <c r="B35" s="288" t="s">
        <v>700</v>
      </c>
      <c r="C35" s="280" t="s">
        <v>701</v>
      </c>
      <c r="D35" s="289">
        <f>ROUND((F35*'Pawn Weights'!$H$22)+(G35*'Pawn Weights'!$H$23)+(H35*'Pawn Weights'!$H$24)+(I35*'Pawn Weights'!$H$25)+(J35*'Pawn Weights'!$H$26)+(K35*'Pawn Weights'!$H$27)+(L35*'Pawn Weights'!$H$28)+(M35*'Pawn Weights'!$H$29)+(N35*'Pawn Weights'!$H$30)+(O35*'Pawn Weights'!$H$31)+(P35*'Pawn Weights'!$H$32)+(Q35*'Pawn Weights'!$H$33), 2)</f>
        <v>102.33</v>
      </c>
      <c r="E35" s="280">
        <v>34.0</v>
      </c>
      <c r="F35" s="280">
        <v>39.0</v>
      </c>
      <c r="G35" s="280">
        <v>39.0</v>
      </c>
      <c r="H35" s="280"/>
      <c r="I35" s="280"/>
      <c r="J35" s="280"/>
      <c r="K35" s="280"/>
      <c r="L35" s="280"/>
      <c r="M35" s="280">
        <v>91.0</v>
      </c>
      <c r="N35" s="280"/>
      <c r="O35" s="280"/>
      <c r="P35" s="280">
        <v>1.0</v>
      </c>
      <c r="Q35" s="280">
        <v>1.0</v>
      </c>
      <c r="R35" s="290" t="s">
        <v>702</v>
      </c>
      <c r="S35" s="281"/>
      <c r="T35" s="291"/>
      <c r="U35" s="281"/>
      <c r="V35" s="281"/>
      <c r="W35" s="281"/>
    </row>
    <row r="36">
      <c r="A36" s="295" t="s">
        <v>635</v>
      </c>
      <c r="B36" s="296" t="s">
        <v>703</v>
      </c>
      <c r="C36" s="297" t="s">
        <v>637</v>
      </c>
      <c r="D36" s="289">
        <f>ROUND((F36*'Pawn Weights'!$H$22)+(G36*'Pawn Weights'!$H$23)+(H36*'Pawn Weights'!$H$24)+(I36*'Pawn Weights'!$H$25)+(J36*'Pawn Weights'!$H$26)+(K36*'Pawn Weights'!$H$27)+(L36*'Pawn Weights'!$H$28)+(M36*'Pawn Weights'!$H$29)+(N36*'Pawn Weights'!$H$30)+(O36*'Pawn Weights'!$H$31)+(P36*'Pawn Weights'!$H$32)+(Q36*'Pawn Weights'!$H$33)-10+9.6+2.76, 2)</f>
        <v>92.56</v>
      </c>
      <c r="E36" s="298">
        <v>64.0</v>
      </c>
      <c r="F36" s="298">
        <v>38.0</v>
      </c>
      <c r="G36" s="297"/>
      <c r="H36" s="297"/>
      <c r="I36" s="298">
        <v>35.0</v>
      </c>
      <c r="J36" s="297"/>
      <c r="K36" s="297"/>
      <c r="L36" s="297"/>
      <c r="M36" s="295"/>
      <c r="N36" s="297"/>
      <c r="O36" s="298">
        <v>1.0</v>
      </c>
      <c r="P36" s="298">
        <v>1.0</v>
      </c>
      <c r="Q36" s="297"/>
      <c r="R36" s="298" t="s">
        <v>702</v>
      </c>
      <c r="S36" s="137"/>
      <c r="T36" s="297" t="s">
        <v>704</v>
      </c>
      <c r="U36" s="137"/>
      <c r="V36" s="137"/>
      <c r="W36" s="137"/>
      <c r="X36" s="137"/>
      <c r="Y36" s="137"/>
      <c r="Z36" s="137"/>
    </row>
    <row r="37">
      <c r="A37" s="301"/>
      <c r="B37" s="288" t="s">
        <v>705</v>
      </c>
      <c r="C37" s="280" t="s">
        <v>706</v>
      </c>
      <c r="D37" s="289">
        <f>ROUND((F37*'Pawn Weights'!$H$22)+(G37*'Pawn Weights'!$H$23)+(H37*'Pawn Weights'!$H$24)+(I37*'Pawn Weights'!$H$25)+(J37*'Pawn Weights'!$H$26)+(K37*'Pawn Weights'!$H$27)+(L37*'Pawn Weights'!$H$28)+(M37*'Pawn Weights'!$H$29)+(N37*'Pawn Weights'!$H$30)+(O37*'Pawn Weights'!$H$31)+(P37*'Pawn Weights'!$H$32)+(Q37*'Pawn Weights'!$H$33), 2)</f>
        <v>92.08</v>
      </c>
      <c r="E37" s="280">
        <v>34.0</v>
      </c>
      <c r="F37" s="280">
        <v>47.0</v>
      </c>
      <c r="G37" s="280"/>
      <c r="H37" s="280"/>
      <c r="I37" s="280">
        <v>32.0</v>
      </c>
      <c r="J37" s="280">
        <v>23.0</v>
      </c>
      <c r="K37" s="280"/>
      <c r="L37" s="280"/>
      <c r="M37" s="281"/>
      <c r="N37" s="280"/>
      <c r="O37" s="280"/>
      <c r="P37" s="280"/>
      <c r="Q37" s="280"/>
      <c r="R37" s="290"/>
      <c r="S37" s="281"/>
      <c r="T37" s="291"/>
      <c r="U37" s="281"/>
      <c r="V37" s="281"/>
      <c r="W37" s="281"/>
    </row>
    <row r="38">
      <c r="A38" s="301"/>
      <c r="B38" s="288" t="s">
        <v>707</v>
      </c>
      <c r="C38" s="280" t="s">
        <v>708</v>
      </c>
      <c r="D38" s="289">
        <f>ROUND((F38*'Pawn Weights'!$H$22)+(G38*'Pawn Weights'!$H$23)+(H38*'Pawn Weights'!$H$24)+(I38*'Pawn Weights'!$H$25)+(J38*'Pawn Weights'!$H$26)+(K38*'Pawn Weights'!$H$27)+(L38*'Pawn Weights'!$H$28)+(M38*'Pawn Weights'!$H$29)+(N38*'Pawn Weights'!$H$30)+(O38*'Pawn Weights'!$H$31)+(P38*'Pawn Weights'!$H$32)+(Q38*'Pawn Weights'!$H$33)-20+19.2+3, 2)</f>
        <v>90.28</v>
      </c>
      <c r="E38" s="280"/>
      <c r="F38" s="280">
        <v>39.0</v>
      </c>
      <c r="G38" s="280"/>
      <c r="H38" s="280"/>
      <c r="I38" s="280">
        <v>22.0</v>
      </c>
      <c r="J38" s="280">
        <v>13.0</v>
      </c>
      <c r="K38" s="280"/>
      <c r="L38" s="280"/>
      <c r="M38" s="281"/>
      <c r="N38" s="280"/>
      <c r="O38" s="280"/>
      <c r="P38" s="280">
        <v>2.0</v>
      </c>
      <c r="Q38" s="280"/>
      <c r="R38" s="290" t="s">
        <v>698</v>
      </c>
      <c r="S38" s="281"/>
      <c r="T38" s="291"/>
      <c r="U38" s="281"/>
      <c r="V38" s="281"/>
      <c r="W38" s="281"/>
    </row>
    <row r="39">
      <c r="A39" s="301"/>
      <c r="B39" s="288" t="s">
        <v>709</v>
      </c>
      <c r="C39" s="280" t="s">
        <v>710</v>
      </c>
      <c r="D39" s="289">
        <f>ROUND((F39*'Pawn Weights'!$H$22)+(G39*'Pawn Weights'!$H$23)+(H39*'Pawn Weights'!$H$24)+(I39*'Pawn Weights'!$H$25)+(J39*'Pawn Weights'!$H$26)+(K39*'Pawn Weights'!$H$27)+(L39*'Pawn Weights'!$H$28)+(M39*'Pawn Weights'!$H$29)+(N39*'Pawn Weights'!$H$30)+(O39*'Pawn Weights'!$H$31)+(P39*'Pawn Weights'!$H$32)+(Q39*'Pawn Weights'!$H$33)+1.354, 2)</f>
        <v>88.59</v>
      </c>
      <c r="E39" s="280">
        <v>28.0</v>
      </c>
      <c r="F39" s="280"/>
      <c r="G39" s="280">
        <v>33.0</v>
      </c>
      <c r="H39" s="280">
        <v>60.0</v>
      </c>
      <c r="I39" s="280">
        <v>16.0</v>
      </c>
      <c r="J39" s="280"/>
      <c r="K39" s="280"/>
      <c r="L39" s="280">
        <v>10.0</v>
      </c>
      <c r="M39" s="281"/>
      <c r="N39" s="280"/>
      <c r="O39" s="280">
        <v>1.0</v>
      </c>
      <c r="P39" s="280"/>
      <c r="Q39" s="280"/>
      <c r="R39" s="290" t="s">
        <v>711</v>
      </c>
      <c r="S39" s="281"/>
      <c r="T39" s="291" t="s">
        <v>1079</v>
      </c>
      <c r="U39" s="281"/>
      <c r="V39" s="281"/>
      <c r="W39" s="281"/>
    </row>
    <row r="40">
      <c r="A40" s="301"/>
      <c r="B40" s="288" t="s">
        <v>715</v>
      </c>
      <c r="C40" s="280" t="s">
        <v>716</v>
      </c>
      <c r="D40" s="289">
        <f>ROUND((F40*'Pawn Weights'!$H$22)+(G40*'Pawn Weights'!$H$23)+(H40*'Pawn Weights'!$H$24)+(I40*'Pawn Weights'!$H$25)+(J40*'Pawn Weights'!$H$26)+(K40*'Pawn Weights'!$H$27)+(L40*'Pawn Weights'!$H$28)+(M40*'Pawn Weights'!$H$29)+(N40*'Pawn Weights'!$H$30)+(O40*'Pawn Weights'!$H$31)+(P40*'Pawn Weights'!$H$32)+(Q40*'Pawn Weights'!$H$33), 2)</f>
        <v>88.04</v>
      </c>
      <c r="E40" s="280">
        <v>34.0</v>
      </c>
      <c r="F40" s="280"/>
      <c r="G40" s="280"/>
      <c r="H40" s="280">
        <v>94.0</v>
      </c>
      <c r="I40" s="280">
        <v>33.0</v>
      </c>
      <c r="J40" s="280">
        <v>22.0</v>
      </c>
      <c r="K40" s="280"/>
      <c r="L40" s="280"/>
      <c r="M40" s="281"/>
      <c r="N40" s="280"/>
      <c r="O40" s="280"/>
      <c r="P40" s="280"/>
      <c r="Q40" s="280"/>
      <c r="R40" s="290"/>
      <c r="S40" s="281"/>
      <c r="T40" s="291"/>
      <c r="U40" s="281"/>
      <c r="V40" s="281"/>
      <c r="W40" s="281"/>
    </row>
    <row r="41">
      <c r="A41" s="301" t="s">
        <v>647</v>
      </c>
      <c r="B41" s="288" t="s">
        <v>719</v>
      </c>
      <c r="C41" s="280" t="s">
        <v>720</v>
      </c>
      <c r="D41" s="289">
        <f>ROUND((F41*'Pawn Weights'!$H$22)+(G41*'Pawn Weights'!$H$23)+(H41*'Pawn Weights'!$H$24)+(I41*'Pawn Weights'!$H$25)+(J41*'Pawn Weights'!$H$26)+(K41*'Pawn Weights'!$H$27)+(L41*'Pawn Weights'!$H$28)+(M41*'Pawn Weights'!$H$29)+(N41*'Pawn Weights'!$H$30)+(O41*'Pawn Weights'!$H$31)+(P41*'Pawn Weights'!$H$32)+(Q41*'Pawn Weights'!$H$33), 2)</f>
        <v>86.64</v>
      </c>
      <c r="E41" s="280">
        <v>38.0</v>
      </c>
      <c r="F41" s="280">
        <v>36.0</v>
      </c>
      <c r="G41" s="280"/>
      <c r="H41" s="280"/>
      <c r="I41" s="280">
        <v>20.0</v>
      </c>
      <c r="J41" s="280">
        <v>18.0</v>
      </c>
      <c r="K41" s="280"/>
      <c r="L41" s="280"/>
      <c r="M41" s="281"/>
      <c r="N41" s="280"/>
      <c r="O41" s="280"/>
      <c r="P41" s="280">
        <v>1.0</v>
      </c>
      <c r="Q41" s="280">
        <v>1.0</v>
      </c>
      <c r="R41" s="290" t="s">
        <v>698</v>
      </c>
      <c r="S41" s="281"/>
      <c r="T41" s="291"/>
      <c r="U41" s="281"/>
      <c r="V41" s="281"/>
      <c r="W41" s="281"/>
      <c r="X41" s="281"/>
    </row>
    <row r="42">
      <c r="A42" s="295"/>
      <c r="B42" s="296" t="s">
        <v>717</v>
      </c>
      <c r="C42" s="297" t="s">
        <v>718</v>
      </c>
      <c r="D42" s="289">
        <f>ROUND((F42*'Pawn Weights'!$H$22)+(G42*'Pawn Weights'!$H$23)+(H42*'Pawn Weights'!$H$24)+(I42*'Pawn Weights'!$H$25)+(J42*'Pawn Weights'!$H$26)+(K42*'Pawn Weights'!$H$27)+(L42*'Pawn Weights'!$H$28)+(M42*'Pawn Weights'!$H$29)+(N42*'Pawn Weights'!$H$30)+(O42*'Pawn Weights'!$H$31)+(P42*'Pawn Weights'!$H$32)+(Q42*'Pawn Weights'!$H$33), 2)</f>
        <v>86.28</v>
      </c>
      <c r="E42" s="298">
        <v>33.0</v>
      </c>
      <c r="F42" s="298">
        <v>42.0</v>
      </c>
      <c r="G42" s="297"/>
      <c r="H42" s="297"/>
      <c r="I42" s="297"/>
      <c r="J42" s="298">
        <v>23.0</v>
      </c>
      <c r="K42" s="297"/>
      <c r="L42" s="297"/>
      <c r="M42" s="359">
        <v>154.0</v>
      </c>
      <c r="N42" s="297"/>
      <c r="O42" s="297"/>
      <c r="P42" s="297"/>
      <c r="Q42" s="297"/>
      <c r="R42" s="295"/>
      <c r="S42" s="137"/>
      <c r="T42" s="295"/>
      <c r="U42" s="137"/>
      <c r="V42" s="137"/>
      <c r="W42" s="137"/>
      <c r="X42" s="137"/>
      <c r="Y42" s="137"/>
      <c r="Z42" s="137"/>
    </row>
    <row r="43">
      <c r="A43" s="301"/>
      <c r="B43" s="288" t="s">
        <v>721</v>
      </c>
      <c r="C43" s="280" t="s">
        <v>710</v>
      </c>
      <c r="D43" s="289">
        <f>ROUND((F43*'Pawn Weights'!$H$22)+(G43*'Pawn Weights'!$H$23)+(H43*'Pawn Weights'!$H$24)+(I43*'Pawn Weights'!$H$25)+(J43*'Pawn Weights'!$H$26)+(K43*'Pawn Weights'!$H$27)+(L43*'Pawn Weights'!$H$28)+(M43*'Pawn Weights'!$H$29)+(N43*'Pawn Weights'!$H$30)+(O43*'Pawn Weights'!$H$31)+(P43*'Pawn Weights'!$H$32)+(Q43*'Pawn Weights'!$H$33), 2)</f>
        <v>84.68</v>
      </c>
      <c r="E43" s="280">
        <v>21.0</v>
      </c>
      <c r="F43" s="280">
        <v>38.0</v>
      </c>
      <c r="G43" s="280"/>
      <c r="H43" s="280"/>
      <c r="I43" s="280">
        <v>29.0</v>
      </c>
      <c r="J43" s="280"/>
      <c r="K43" s="280"/>
      <c r="L43" s="280"/>
      <c r="M43" s="281"/>
      <c r="N43" s="280"/>
      <c r="O43" s="280">
        <v>1.0</v>
      </c>
      <c r="P43" s="280"/>
      <c r="Q43" s="280">
        <v>1.0</v>
      </c>
      <c r="R43" s="290" t="s">
        <v>702</v>
      </c>
      <c r="S43" s="281"/>
      <c r="T43" s="291"/>
      <c r="U43" s="281"/>
      <c r="V43" s="281"/>
      <c r="W43" s="281"/>
    </row>
    <row r="44">
      <c r="A44" s="301"/>
      <c r="B44" s="288" t="s">
        <v>722</v>
      </c>
      <c r="C44" s="280" t="s">
        <v>723</v>
      </c>
      <c r="D44" s="289">
        <f>ROUND((F44*'Pawn Weights'!$H$22)+(G44*'Pawn Weights'!$H$23)+(H44*'Pawn Weights'!$H$24)+(I44*'Pawn Weights'!$H$25)+(J44*'Pawn Weights'!$H$26)+(K44*'Pawn Weights'!$H$27)+(L44*'Pawn Weights'!$H$28)+(M44*'Pawn Weights'!$H$29)+(N44*'Pawn Weights'!$H$30)+(O44*'Pawn Weights'!$H$31)+(P44*'Pawn Weights'!$H$32)+(Q44*'Pawn Weights'!$H$33), 2)</f>
        <v>84.19</v>
      </c>
      <c r="E44" s="280">
        <v>37.0</v>
      </c>
      <c r="F44" s="280"/>
      <c r="G44" s="280">
        <v>38.0</v>
      </c>
      <c r="H44" s="280">
        <v>76.0</v>
      </c>
      <c r="I44" s="280">
        <v>26.0</v>
      </c>
      <c r="J44" s="280"/>
      <c r="K44" s="280"/>
      <c r="L44" s="280"/>
      <c r="M44" s="281"/>
      <c r="N44" s="280"/>
      <c r="O44" s="280"/>
      <c r="P44" s="280"/>
      <c r="Q44" s="280"/>
      <c r="R44" s="290"/>
      <c r="S44" s="281"/>
      <c r="T44" s="291"/>
      <c r="U44" s="281"/>
      <c r="V44" s="281"/>
      <c r="W44" s="281"/>
      <c r="X44" s="281"/>
    </row>
    <row r="45">
      <c r="A45" s="301" t="s">
        <v>644</v>
      </c>
      <c r="B45" s="288" t="s">
        <v>1080</v>
      </c>
      <c r="C45" s="280" t="s">
        <v>646</v>
      </c>
      <c r="D45" s="289">
        <f>ROUND((F45*'Pawn Weights'!$H$22)+(G45*'Pawn Weights'!$H$23)+(H45*'Pawn Weights'!$H$24)+(I45*'Pawn Weights'!$H$25)+(J45*'Pawn Weights'!$H$26)+(K45*'Pawn Weights'!$H$27)+(L45*'Pawn Weights'!$H$28)+(M45*'Pawn Weights'!$H$29)+(N45*'Pawn Weights'!$H$30)+(O45*'Pawn Weights'!$H$31)+(P45*'Pawn Weights'!$H$32)+(Q45*'Pawn Weights'!$H$33)-10+9.6+2.76, 2)</f>
        <v>82.96</v>
      </c>
      <c r="E45" s="280">
        <v>57.0</v>
      </c>
      <c r="F45" s="280">
        <v>33.0</v>
      </c>
      <c r="G45" s="280"/>
      <c r="H45" s="280"/>
      <c r="I45" s="280">
        <v>30.0</v>
      </c>
      <c r="J45" s="280"/>
      <c r="K45" s="280"/>
      <c r="L45" s="280"/>
      <c r="M45" s="281"/>
      <c r="N45" s="280"/>
      <c r="O45" s="280">
        <v>1.0</v>
      </c>
      <c r="P45" s="280">
        <v>1.0</v>
      </c>
      <c r="Q45" s="280"/>
      <c r="R45" s="290" t="s">
        <v>702</v>
      </c>
      <c r="S45" s="281"/>
      <c r="T45" s="291" t="s">
        <v>704</v>
      </c>
      <c r="U45" s="281"/>
      <c r="V45" s="281"/>
      <c r="W45" s="281"/>
    </row>
    <row r="46">
      <c r="A46" s="301" t="s">
        <v>627</v>
      </c>
      <c r="B46" s="288" t="s">
        <v>713</v>
      </c>
      <c r="C46" s="280" t="s">
        <v>714</v>
      </c>
      <c r="D46" s="289">
        <f>ROUND((F46*'Pawn Weights'!$H$22)+(G46*'Pawn Weights'!$H$23)+(H46*'Pawn Weights'!$H$24)+(I46*'Pawn Weights'!$H$25)+(J46*'Pawn Weights'!$H$26)+(K46*'Pawn Weights'!$H$27)+(L46*'Pawn Weights'!$H$28)+(M46*'Pawn Weights'!$H$29)+(N46*'Pawn Weights'!$H$30)+(O46*'Pawn Weights'!$H$31)+(P46*'Pawn Weights'!$H$32)+(Q46*'Pawn Weights'!$H$33), 2)</f>
        <v>78.82</v>
      </c>
      <c r="E46" s="280">
        <v>29.0</v>
      </c>
      <c r="F46" s="280">
        <v>47.0</v>
      </c>
      <c r="G46" s="280"/>
      <c r="H46" s="280"/>
      <c r="I46" s="280"/>
      <c r="J46" s="280">
        <v>19.0</v>
      </c>
      <c r="K46" s="280">
        <v>35.0</v>
      </c>
      <c r="L46" s="280"/>
      <c r="M46" s="281"/>
      <c r="N46" s="280"/>
      <c r="O46" s="280"/>
      <c r="P46" s="280"/>
      <c r="Q46" s="280"/>
      <c r="R46" s="290"/>
      <c r="S46" s="281"/>
      <c r="T46" s="291"/>
      <c r="U46" s="281"/>
      <c r="V46" s="281"/>
      <c r="W46" s="281"/>
    </row>
    <row r="47">
      <c r="A47" s="301" t="s">
        <v>1068</v>
      </c>
      <c r="B47" s="288" t="s">
        <v>1081</v>
      </c>
      <c r="C47" s="280" t="s">
        <v>997</v>
      </c>
      <c r="D47" s="289">
        <f>ROUND((F47*'Pawn Weights'!$H$22)+(G47*'Pawn Weights'!$H$23)+(H47*'Pawn Weights'!$H$24)+(I47*'Pawn Weights'!$H$25)+(J47*'Pawn Weights'!$H$26)+(K47*'Pawn Weights'!$H$27)+(L47*'Pawn Weights'!$H$28)+(M47*'Pawn Weights'!$H$29)+(N47*'Pawn Weights'!$H$30)+(O47*'Pawn Weights'!$H$31)+(P47*'Pawn Weights'!$H$32)+(Q47*'Pawn Weights'!$H$33)-10+9.6+3, 2)</f>
        <v>76.44</v>
      </c>
      <c r="E47" s="280">
        <v>51.0</v>
      </c>
      <c r="F47" s="280">
        <v>29.0</v>
      </c>
      <c r="G47" s="280"/>
      <c r="H47" s="280"/>
      <c r="I47" s="280">
        <v>27.0</v>
      </c>
      <c r="J47" s="280"/>
      <c r="K47" s="280"/>
      <c r="L47" s="280"/>
      <c r="M47" s="281"/>
      <c r="N47" s="280"/>
      <c r="O47" s="280">
        <v>1.0</v>
      </c>
      <c r="P47" s="280">
        <v>1.0</v>
      </c>
      <c r="Q47" s="280"/>
      <c r="R47" s="290" t="s">
        <v>698</v>
      </c>
      <c r="S47" s="281"/>
      <c r="T47" s="291" t="s">
        <v>704</v>
      </c>
      <c r="U47" s="281"/>
      <c r="V47" s="281"/>
      <c r="W47" s="281"/>
    </row>
    <row r="48">
      <c r="A48" s="301"/>
      <c r="B48" s="288" t="s">
        <v>1199</v>
      </c>
      <c r="C48" s="280" t="s">
        <v>842</v>
      </c>
      <c r="D48" s="289">
        <f>ROUND((F48*'Pawn Weights'!$H$22)+(G48*'Pawn Weights'!$H$23)+(H48*'Pawn Weights'!$H$24)+(I48*'Pawn Weights'!$H$25)+(J48*'Pawn Weights'!$H$26)+(K48*'Pawn Weights'!$H$27)+(L48*'Pawn Weights'!$H$28)+(M48*'Pawn Weights'!$H$29)+(N48*'Pawn Weights'!$H$30)+(O48*'Pawn Weights'!$H$31)+(P48*'Pawn Weights'!$H$32)+(Q48*'Pawn Weights'!$H$33), 2)</f>
        <v>74.66</v>
      </c>
      <c r="E48" s="280">
        <v>55.0</v>
      </c>
      <c r="F48" s="280"/>
      <c r="G48" s="280">
        <v>28.0</v>
      </c>
      <c r="H48" s="280">
        <v>76.0</v>
      </c>
      <c r="I48" s="280">
        <v>23.0</v>
      </c>
      <c r="J48" s="280"/>
      <c r="K48" s="280"/>
      <c r="L48" s="280"/>
      <c r="M48" s="281"/>
      <c r="N48" s="280"/>
      <c r="O48" s="280"/>
      <c r="P48" s="280"/>
      <c r="Q48" s="280"/>
      <c r="R48" s="290"/>
      <c r="S48" s="281"/>
      <c r="T48" s="291"/>
      <c r="U48" s="281"/>
      <c r="V48" s="281"/>
      <c r="W48" s="281"/>
    </row>
    <row r="49">
      <c r="A49" s="301" t="s">
        <v>627</v>
      </c>
      <c r="B49" s="288" t="s">
        <v>1190</v>
      </c>
      <c r="C49" s="280" t="s">
        <v>1191</v>
      </c>
      <c r="D49" s="289">
        <f>ROUND((F49*'Pawn Weights'!$H$22)+(G49*'Pawn Weights'!$H$23)+(H49*'Pawn Weights'!$H$24)+(I49*'Pawn Weights'!$H$25)+(J49*'Pawn Weights'!$H$26)+(K49*'Pawn Weights'!$H$27)+(L49*'Pawn Weights'!$H$28)+(M49*'Pawn Weights'!$H$29)+(N49*'Pawn Weights'!$H$30)+(O49*'Pawn Weights'!$H$31)+(P49*'Pawn Weights'!$H$32)+(Q49*'Pawn Weights'!$H$33), 2)</f>
        <v>73.79</v>
      </c>
      <c r="E49" s="280">
        <v>34.0</v>
      </c>
      <c r="F49" s="280"/>
      <c r="G49" s="280">
        <v>29.0</v>
      </c>
      <c r="H49" s="280">
        <v>74.0</v>
      </c>
      <c r="I49" s="280"/>
      <c r="J49" s="280"/>
      <c r="K49" s="280">
        <v>38.0</v>
      </c>
      <c r="L49" s="280"/>
      <c r="M49" s="281"/>
      <c r="N49" s="280"/>
      <c r="O49" s="280"/>
      <c r="P49" s="280"/>
      <c r="Q49" s="280"/>
      <c r="R49" s="290"/>
      <c r="S49" s="281"/>
      <c r="T49" s="291"/>
      <c r="U49" s="281"/>
      <c r="V49" s="281"/>
      <c r="W49" s="281"/>
    </row>
    <row r="50">
      <c r="A50" s="301" t="s">
        <v>627</v>
      </c>
      <c r="B50" s="288" t="s">
        <v>1322</v>
      </c>
      <c r="C50" s="280" t="s">
        <v>1191</v>
      </c>
      <c r="D50" s="289">
        <f>ROUND((F50*'Pawn Weights'!$H$22)+(G50*'Pawn Weights'!$H$23)+(H50*'Pawn Weights'!$H$24)+(I50*'Pawn Weights'!$H$25)+(J50*'Pawn Weights'!$H$26)+(K50*'Pawn Weights'!$H$27)+(L50*'Pawn Weights'!$H$28)+(M50*'Pawn Weights'!$H$29)+(N50*'Pawn Weights'!$H$30)+(O50*'Pawn Weights'!$H$31)+(P50*'Pawn Weights'!$H$32)+(Q50*'Pawn Weights'!$H$33), 2)</f>
        <v>71.89</v>
      </c>
      <c r="E50" s="280">
        <v>19.0</v>
      </c>
      <c r="F50" s="280"/>
      <c r="G50" s="280">
        <v>27.0</v>
      </c>
      <c r="H50" s="280">
        <v>74.0</v>
      </c>
      <c r="I50" s="280"/>
      <c r="J50" s="280"/>
      <c r="K50" s="280">
        <v>37.0</v>
      </c>
      <c r="L50" s="280"/>
      <c r="M50" s="281"/>
      <c r="N50" s="280"/>
      <c r="O50" s="280"/>
      <c r="P50" s="280"/>
      <c r="Q50" s="280"/>
      <c r="R50" s="290"/>
      <c r="S50" s="281"/>
      <c r="T50" s="291"/>
      <c r="U50" s="281"/>
      <c r="V50" s="281"/>
      <c r="W50" s="281"/>
    </row>
    <row r="51">
      <c r="A51" s="272" t="s">
        <v>724</v>
      </c>
      <c r="B51" s="281"/>
      <c r="C51" s="281"/>
      <c r="D51" s="360"/>
      <c r="E51" s="281"/>
      <c r="F51" s="281"/>
      <c r="G51" s="281"/>
      <c r="H51" s="281"/>
      <c r="I51" s="281"/>
      <c r="J51" s="281"/>
      <c r="K51" s="281"/>
      <c r="L51" s="281"/>
      <c r="M51" s="281"/>
      <c r="N51" s="281"/>
      <c r="O51" s="281"/>
      <c r="P51" s="281"/>
      <c r="Q51" s="281"/>
      <c r="R51" s="282"/>
      <c r="S51" s="281"/>
      <c r="T51" s="285"/>
      <c r="U51" s="281"/>
      <c r="V51" s="281"/>
      <c r="W51" s="281"/>
    </row>
    <row r="52">
      <c r="A52" s="281"/>
      <c r="B52" s="302" t="s">
        <v>726</v>
      </c>
      <c r="C52" s="280" t="s">
        <v>727</v>
      </c>
      <c r="D52" s="289">
        <f>ROUND((F52*'Pawn Weights'!$H$22)+(G52*'Pawn Weights'!$H$23)+(H52*'Pawn Weights'!$H$24)+(I52*'Pawn Weights'!$H$25)+(J52*'Pawn Weights'!$H$26)+(K52*'Pawn Weights'!$H$27)+(L52*'Pawn Weights'!$H$28)+(M52*'Pawn Weights'!$H$29)+(N52*'Pawn Weights'!$H$30)+(O52*'Pawn Weights'!$H$31)+(P52*'Pawn Weights'!$H$32)+(Q52*'Pawn Weights'!$H$33), 2)</f>
        <v>66.36</v>
      </c>
      <c r="E52" s="280">
        <v>24.0</v>
      </c>
      <c r="F52" s="280"/>
      <c r="G52" s="280"/>
      <c r="H52" s="280">
        <v>72.0</v>
      </c>
      <c r="I52" s="280">
        <v>24.0</v>
      </c>
      <c r="J52" s="280">
        <v>17.0</v>
      </c>
      <c r="K52" s="280"/>
      <c r="L52" s="280"/>
      <c r="M52" s="280"/>
      <c r="N52" s="280"/>
      <c r="O52" s="280"/>
      <c r="P52" s="280"/>
      <c r="Q52" s="280"/>
      <c r="R52" s="290"/>
      <c r="S52" s="281"/>
      <c r="T52" s="222"/>
      <c r="U52" s="281"/>
      <c r="V52" s="281"/>
      <c r="W52" s="281"/>
      <c r="X52" s="281"/>
    </row>
    <row r="53" ht="14.25" customHeight="1">
      <c r="A53" s="137"/>
      <c r="B53" s="296" t="s">
        <v>728</v>
      </c>
      <c r="C53" s="297" t="s">
        <v>1082</v>
      </c>
      <c r="D53" s="289">
        <f>ROUND((F53*'Pawn Weights'!$H$22)+(G53*'Pawn Weights'!$H$23)+(H53*'Pawn Weights'!$H$24)+(I53*'Pawn Weights'!$H$25)+(J53*'Pawn Weights'!$H$26)+(K53*'Pawn Weights'!$H$27)+(L53*'Pawn Weights'!$H$28)+(M53*'Pawn Weights'!$H$29)+(N53*'Pawn Weights'!$H$30)+(O53*'Pawn Weights'!$H$31)+(P53*'Pawn Weights'!$H$32)+(Q53*'Pawn Weights'!$H$33), 2)</f>
        <v>60.14</v>
      </c>
      <c r="E53" s="298">
        <v>34.0</v>
      </c>
      <c r="F53" s="297"/>
      <c r="G53" s="297"/>
      <c r="H53" s="298">
        <v>46.0</v>
      </c>
      <c r="I53" s="298">
        <v>20.0</v>
      </c>
      <c r="J53" s="297"/>
      <c r="K53" s="297"/>
      <c r="L53" s="297"/>
      <c r="M53" s="298">
        <v>112.0</v>
      </c>
      <c r="N53" s="297"/>
      <c r="O53" s="297"/>
      <c r="P53" s="297"/>
      <c r="Q53" s="297"/>
      <c r="R53" s="295"/>
      <c r="S53" s="137"/>
      <c r="T53" s="361" t="s">
        <v>704</v>
      </c>
      <c r="U53" s="137"/>
      <c r="V53" s="137"/>
      <c r="W53" s="137"/>
      <c r="X53" s="137"/>
      <c r="Y53" s="137"/>
      <c r="Z53" s="137"/>
    </row>
    <row r="54">
      <c r="A54" s="292" t="s">
        <v>627</v>
      </c>
      <c r="B54" s="288" t="s">
        <v>729</v>
      </c>
      <c r="C54" s="280" t="s">
        <v>730</v>
      </c>
      <c r="D54" s="289">
        <f>ROUND((F54*'Pawn Weights'!$H$22)+(G54*'Pawn Weights'!$H$23)+(H54*'Pawn Weights'!$H$24)+(I54*'Pawn Weights'!$H$25)+(J54*'Pawn Weights'!$H$26)+(K54*'Pawn Weights'!$H$27)+(L54*'Pawn Weights'!$H$28)+(M54*'Pawn Weights'!$H$29)+(N54*'Pawn Weights'!$H$30)+(O54*'Pawn Weights'!$H$31)+(P54*'Pawn Weights'!$H$32)+(Q54*'Pawn Weights'!$H$33)+1.36, 2)</f>
        <v>56.15</v>
      </c>
      <c r="E54" s="280"/>
      <c r="F54" s="280"/>
      <c r="G54" s="280"/>
      <c r="H54" s="280">
        <v>52.0</v>
      </c>
      <c r="I54" s="280">
        <v>23.0</v>
      </c>
      <c r="J54" s="280"/>
      <c r="K54" s="280"/>
      <c r="L54" s="280"/>
      <c r="M54" s="281"/>
      <c r="N54" s="280"/>
      <c r="O54" s="280">
        <v>1.0</v>
      </c>
      <c r="P54" s="280"/>
      <c r="Q54" s="280"/>
      <c r="R54" s="290" t="s">
        <v>731</v>
      </c>
      <c r="S54" s="281"/>
      <c r="T54" s="291" t="s">
        <v>1083</v>
      </c>
      <c r="U54" s="281"/>
      <c r="V54" s="281"/>
      <c r="W54" s="281"/>
      <c r="X54" s="281"/>
    </row>
    <row r="55">
      <c r="A55" s="303" t="s">
        <v>627</v>
      </c>
      <c r="B55" s="302" t="s">
        <v>734</v>
      </c>
      <c r="C55" s="154" t="s">
        <v>735</v>
      </c>
      <c r="D55" s="289">
        <f>ROUND((F55*'Pawn Weights'!$H$22)+(G55*'Pawn Weights'!$H$23)+(H55*'Pawn Weights'!$H$24)+(I55*'Pawn Weights'!$H$25)+(J55*'Pawn Weights'!$H$26)+(K55*'Pawn Weights'!$H$27)+(L55*'Pawn Weights'!$H$28)+(M55*'Pawn Weights'!$H$29)+(N55*'Pawn Weights'!$H$30)+(O55*'Pawn Weights'!$H$31)+(P55*'Pawn Weights'!$H$32)+(Q55*'Pawn Weights'!$H$33), 2)</f>
        <v>55.08</v>
      </c>
      <c r="E55" s="280">
        <v>25.0</v>
      </c>
      <c r="F55" s="280">
        <v>23.0</v>
      </c>
      <c r="G55" s="280"/>
      <c r="H55" s="280"/>
      <c r="I55" s="280">
        <v>24.0</v>
      </c>
      <c r="J55" s="280"/>
      <c r="K55" s="280"/>
      <c r="L55" s="280"/>
      <c r="M55" s="281"/>
      <c r="N55" s="280"/>
      <c r="O55" s="280"/>
      <c r="P55" s="280"/>
      <c r="Q55" s="280">
        <v>1.0</v>
      </c>
      <c r="R55" s="290" t="s">
        <v>736</v>
      </c>
      <c r="S55" s="281"/>
      <c r="T55" s="291" t="s">
        <v>737</v>
      </c>
      <c r="U55" s="281"/>
      <c r="V55" s="281"/>
      <c r="W55" s="281"/>
      <c r="X55" s="304"/>
      <c r="Y55" s="304"/>
      <c r="Z55" s="304"/>
    </row>
    <row r="56">
      <c r="A56" s="281"/>
      <c r="B56" s="302" t="s">
        <v>738</v>
      </c>
      <c r="C56" s="280" t="s">
        <v>739</v>
      </c>
      <c r="D56" s="289">
        <f>ROUND((F56*'Pawn Weights'!$H$22)+(G56*'Pawn Weights'!$H$23)+(H56*'Pawn Weights'!$H$24)+(I56*'Pawn Weights'!$H$25)+(J56*'Pawn Weights'!$H$26)+(K56*'Pawn Weights'!$H$27)+(L56*'Pawn Weights'!$H$28)+(M56*'Pawn Weights'!$H$29)+(N56*'Pawn Weights'!$H$30)+(O56*'Pawn Weights'!$H$31)+(P56*'Pawn Weights'!$H$32)+(Q56*'Pawn Weights'!$H$33), 2)</f>
        <v>54.87</v>
      </c>
      <c r="E56" s="280"/>
      <c r="F56" s="280"/>
      <c r="G56" s="280"/>
      <c r="H56" s="280">
        <v>60.0</v>
      </c>
      <c r="I56" s="280">
        <v>30.0</v>
      </c>
      <c r="J56" s="280"/>
      <c r="K56" s="280"/>
      <c r="L56" s="280"/>
      <c r="M56" s="280"/>
      <c r="N56" s="280"/>
      <c r="O56" s="280"/>
      <c r="P56" s="280"/>
      <c r="Q56" s="280"/>
      <c r="R56" s="290"/>
      <c r="S56" s="281"/>
      <c r="T56" s="222"/>
      <c r="U56" s="281"/>
      <c r="V56" s="281"/>
      <c r="W56" s="281"/>
      <c r="X56" s="281"/>
    </row>
    <row r="57" ht="1.5" customHeight="1">
      <c r="A57" s="281"/>
      <c r="B57" s="302" t="s">
        <v>740</v>
      </c>
      <c r="C57" s="280" t="s">
        <v>741</v>
      </c>
      <c r="D57" s="289">
        <f>ROUND((F57*'Pawn Weights'!$H$22)+(G57*'Pawn Weights'!$H$23)+(H57*'Pawn Weights'!$H$24)+(I57*'Pawn Weights'!$H$25)+(J57*'Pawn Weights'!$H$26)+(K57*'Pawn Weights'!$H$27)+(L57*'Pawn Weights'!$H$28)+(M57*'Pawn Weights'!$H$29)+(N57*'Pawn Weights'!$H$30)+(O57*'Pawn Weights'!$H$31)+(P57*'Pawn Weights'!$H$32)+(Q57*'Pawn Weights'!$H$33), 2)</f>
        <v>49.86</v>
      </c>
      <c r="E57" s="280">
        <v>28.0</v>
      </c>
      <c r="F57" s="280"/>
      <c r="G57" s="280">
        <v>28.0</v>
      </c>
      <c r="H57" s="280">
        <v>68.0</v>
      </c>
      <c r="I57" s="280"/>
      <c r="J57" s="280"/>
      <c r="K57" s="280"/>
      <c r="L57" s="280"/>
      <c r="M57" s="280"/>
      <c r="N57" s="280"/>
      <c r="O57" s="280"/>
      <c r="P57" s="280"/>
      <c r="Q57" s="280"/>
      <c r="R57" s="290"/>
      <c r="S57" s="281"/>
      <c r="T57" s="222"/>
      <c r="U57" s="281"/>
      <c r="V57" s="281"/>
      <c r="W57" s="281"/>
      <c r="X57" s="281"/>
    </row>
    <row r="58">
      <c r="A58" s="281"/>
      <c r="B58" s="302" t="s">
        <v>1084</v>
      </c>
      <c r="C58" s="280" t="s">
        <v>900</v>
      </c>
      <c r="D58" s="289">
        <f>ROUND((F58*'Pawn Weights'!$H$22)+(G58*'Pawn Weights'!$H$23)+(H58*'Pawn Weights'!$H$24)+(I58*'Pawn Weights'!$H$25)+(J58*'Pawn Weights'!$H$26)+(K58*'Pawn Weights'!$H$27)+(L58*'Pawn Weights'!$H$28)+(M58*'Pawn Weights'!$H$29)+(N58*'Pawn Weights'!$H$30)+(O58*'Pawn Weights'!$H$31)+(P58*'Pawn Weights'!$H$32)+(Q58*'Pawn Weights'!$H$33), 2)</f>
        <v>48.57</v>
      </c>
      <c r="E58" s="280">
        <v>22.0</v>
      </c>
      <c r="F58" s="280">
        <v>33.0</v>
      </c>
      <c r="G58" s="280">
        <v>23.0</v>
      </c>
      <c r="H58" s="280"/>
      <c r="I58" s="280"/>
      <c r="J58" s="280"/>
      <c r="K58" s="280"/>
      <c r="L58" s="280"/>
      <c r="M58" s="280"/>
      <c r="N58" s="280"/>
      <c r="O58" s="280"/>
      <c r="P58" s="280"/>
      <c r="Q58" s="280"/>
      <c r="R58" s="290"/>
      <c r="S58" s="281"/>
      <c r="T58" s="222"/>
      <c r="U58" s="281"/>
      <c r="V58" s="281"/>
      <c r="W58" s="281"/>
      <c r="X58" s="281"/>
    </row>
    <row r="59" ht="14.25" customHeight="1">
      <c r="A59" s="137"/>
      <c r="B59" s="296" t="s">
        <v>732</v>
      </c>
      <c r="C59" s="297" t="s">
        <v>733</v>
      </c>
      <c r="D59" s="289">
        <f>ROUND((F59*'Pawn Weights'!$H$22)+(G59*'Pawn Weights'!$H$23)+(H59*'Pawn Weights'!$H$24)+(I59*'Pawn Weights'!$H$25)+(J59*'Pawn Weights'!$H$26)+(K59*'Pawn Weights'!$H$27)+(L59*'Pawn Weights'!$H$28)+(M59*'Pawn Weights'!$H$29)+(N59*'Pawn Weights'!$H$30)+(O59*'Pawn Weights'!$H$31)+(P59*'Pawn Weights'!$H$32)+(Q59*'Pawn Weights'!$H$33), 2)</f>
        <v>47.95</v>
      </c>
      <c r="E59" s="298">
        <v>22.0</v>
      </c>
      <c r="F59" s="295"/>
      <c r="G59" s="298">
        <v>20.0</v>
      </c>
      <c r="H59" s="298">
        <v>46.0</v>
      </c>
      <c r="I59" s="295"/>
      <c r="J59" s="295"/>
      <c r="K59" s="298">
        <v>25.0</v>
      </c>
      <c r="L59" s="295"/>
      <c r="M59" s="295"/>
      <c r="N59" s="295"/>
      <c r="O59" s="295"/>
      <c r="P59" s="295"/>
      <c r="Q59" s="295"/>
      <c r="R59" s="295"/>
      <c r="S59" s="137"/>
      <c r="T59" s="137"/>
      <c r="U59" s="137"/>
      <c r="V59" s="137"/>
      <c r="W59" s="137"/>
      <c r="X59" s="137"/>
      <c r="Y59" s="137"/>
      <c r="Z59" s="137"/>
    </row>
    <row r="60">
      <c r="A60" s="272" t="s">
        <v>742</v>
      </c>
      <c r="B60" s="281"/>
      <c r="C60" s="281"/>
      <c r="D60" s="360"/>
      <c r="E60" s="281"/>
      <c r="F60" s="281"/>
      <c r="G60" s="281"/>
      <c r="H60" s="281"/>
      <c r="I60" s="281"/>
      <c r="J60" s="281"/>
      <c r="K60" s="281"/>
      <c r="L60" s="281"/>
      <c r="M60" s="281"/>
      <c r="N60" s="281"/>
      <c r="O60" s="281"/>
      <c r="P60" s="281"/>
      <c r="Q60" s="281"/>
      <c r="R60" s="282"/>
      <c r="S60" s="281"/>
      <c r="T60" s="222"/>
      <c r="U60" s="281"/>
      <c r="V60" s="281"/>
      <c r="W60" s="281"/>
    </row>
    <row r="61">
      <c r="A61" s="137" t="s">
        <v>627</v>
      </c>
      <c r="B61" s="381" t="s">
        <v>746</v>
      </c>
      <c r="C61" s="361" t="s">
        <v>747</v>
      </c>
      <c r="D61" s="289">
        <f>ROUND((F61*'Pawn Weights'!$H$22)+(G61*'Pawn Weights'!$H$23)+(H61*'Pawn Weights'!$H$24)+(I61*'Pawn Weights'!$H$25)+(J61*'Pawn Weights'!$H$26)+(K61*'Pawn Weights'!$H$27)+(L61*'Pawn Weights'!$H$28)+(M61*'Pawn Weights'!$H$29)+(N61*'Pawn Weights'!$H$30)+(O61*'Pawn Weights'!$H$31)+(P61*'Pawn Weights'!$H$32)+(Q61*'Pawn Weights'!$H$33)+3.68, 2)</f>
        <v>184.48</v>
      </c>
      <c r="E61" s="359">
        <v>55.0</v>
      </c>
      <c r="F61" s="359">
        <v>61.0</v>
      </c>
      <c r="G61" s="361"/>
      <c r="H61" s="361"/>
      <c r="I61" s="359">
        <v>41.0</v>
      </c>
      <c r="J61" s="361"/>
      <c r="K61" s="361"/>
      <c r="L61" s="361"/>
      <c r="M61" s="359">
        <v>280.0</v>
      </c>
      <c r="N61" s="361"/>
      <c r="O61" s="359">
        <v>3.0</v>
      </c>
      <c r="P61" s="361"/>
      <c r="Q61" s="361"/>
      <c r="R61" s="359" t="s">
        <v>624</v>
      </c>
      <c r="S61" s="137"/>
      <c r="T61" s="361" t="s">
        <v>748</v>
      </c>
      <c r="U61" s="137"/>
      <c r="V61" s="137"/>
      <c r="W61" s="137"/>
      <c r="X61" s="137"/>
      <c r="Y61" s="137"/>
      <c r="Z61" s="137"/>
    </row>
    <row r="62">
      <c r="A62" s="137"/>
      <c r="B62" s="381" t="s">
        <v>749</v>
      </c>
      <c r="C62" s="361" t="s">
        <v>750</v>
      </c>
      <c r="D62" s="289">
        <f>ROUND((F62*'Pawn Weights'!$H$22)+(G62*'Pawn Weights'!$H$23)+(H62*'Pawn Weights'!$H$24)+(I62*'Pawn Weights'!$H$25)+(J62*'Pawn Weights'!$H$26)+(K62*'Pawn Weights'!$H$27)+(L62*'Pawn Weights'!$H$28)+(M62*'Pawn Weights'!$H$29)+(N62*'Pawn Weights'!$H$30)+(O62*'Pawn Weights'!$H$31)+(P62*'Pawn Weights'!$H$32)+(Q62*'Pawn Weights'!$H$33)-10+9.6+3.636, 2)</f>
        <v>157.13</v>
      </c>
      <c r="E62" s="359">
        <v>45.0</v>
      </c>
      <c r="F62" s="361"/>
      <c r="G62" s="359">
        <v>42.0</v>
      </c>
      <c r="H62" s="359">
        <v>120.0</v>
      </c>
      <c r="I62" s="361"/>
      <c r="J62" s="359">
        <v>30.0</v>
      </c>
      <c r="K62" s="359">
        <v>38.0</v>
      </c>
      <c r="L62" s="361"/>
      <c r="M62" s="137"/>
      <c r="N62" s="361"/>
      <c r="O62" s="359">
        <v>2.0</v>
      </c>
      <c r="P62" s="359">
        <v>1.0</v>
      </c>
      <c r="Q62" s="361"/>
      <c r="R62" s="359" t="s">
        <v>745</v>
      </c>
      <c r="S62" s="137"/>
      <c r="T62" s="406" t="s">
        <v>748</v>
      </c>
      <c r="U62" s="137"/>
      <c r="V62" s="137"/>
      <c r="W62" s="137"/>
      <c r="X62" s="137"/>
      <c r="Y62" s="137"/>
      <c r="Z62" s="137"/>
    </row>
    <row r="63">
      <c r="A63" s="137" t="s">
        <v>635</v>
      </c>
      <c r="B63" s="381" t="s">
        <v>754</v>
      </c>
      <c r="C63" s="361" t="s">
        <v>637</v>
      </c>
      <c r="D63" s="289">
        <f>ROUND((F63*'Pawn Weights'!$H$22)+(G63*'Pawn Weights'!$H$23)+(H63*'Pawn Weights'!$H$24)+(I63*'Pawn Weights'!$H$25)+(J63*'Pawn Weights'!$H$26)+(K63*'Pawn Weights'!$H$27)+(L63*'Pawn Weights'!$H$28)+(M63*'Pawn Weights'!$H$29)+(N63*'Pawn Weights'!$H$30)+(O63*'Pawn Weights'!$H$31)+(P63*'Pawn Weights'!$H$32)+(Q63*'Pawn Weights'!$H$33)-10+9.6+3.68, 2)</f>
        <v>147.54</v>
      </c>
      <c r="E63" s="359">
        <v>76.0</v>
      </c>
      <c r="F63" s="359">
        <v>45.0</v>
      </c>
      <c r="G63" s="361"/>
      <c r="H63" s="361"/>
      <c r="I63" s="359">
        <v>45.0</v>
      </c>
      <c r="J63" s="359">
        <v>18.0</v>
      </c>
      <c r="K63" s="361"/>
      <c r="L63" s="361"/>
      <c r="M63" s="359">
        <v>84.0</v>
      </c>
      <c r="N63" s="361"/>
      <c r="O63" s="359">
        <v>2.0</v>
      </c>
      <c r="P63" s="359">
        <v>1.0</v>
      </c>
      <c r="Q63" s="361"/>
      <c r="R63" s="359" t="s">
        <v>624</v>
      </c>
      <c r="S63" s="137"/>
      <c r="T63" s="361" t="s">
        <v>755</v>
      </c>
      <c r="U63" s="137"/>
      <c r="V63" s="137"/>
      <c r="W63" s="137"/>
      <c r="X63" s="137"/>
      <c r="Y63" s="137"/>
      <c r="Z63" s="137"/>
    </row>
    <row r="64">
      <c r="A64" s="292" t="s">
        <v>640</v>
      </c>
      <c r="B64" s="305" t="s">
        <v>757</v>
      </c>
      <c r="C64" s="280" t="s">
        <v>632</v>
      </c>
      <c r="D64" s="289">
        <f>ROUND((F64*'Pawn Weights'!$H$22)+(G64*'Pawn Weights'!$H$23)+(H64*'Pawn Weights'!$H$24)+(I64*'Pawn Weights'!$H$25)+(J64*'Pawn Weights'!$H$26)+(K64*'Pawn Weights'!$H$27)+(L64*'Pawn Weights'!$H$28)+(M64*'Pawn Weights'!$H$29)+(N64*'Pawn Weights'!$H$30)+(O64*'Pawn Weights'!$H$31)+(P64*'Pawn Weights'!$H$32)+(Q64*'Pawn Weights'!$H$33), 2)</f>
        <v>140.33</v>
      </c>
      <c r="E64" s="280">
        <v>54.0</v>
      </c>
      <c r="F64" s="280">
        <v>53.0</v>
      </c>
      <c r="G64" s="280">
        <v>34.0</v>
      </c>
      <c r="H64" s="280"/>
      <c r="I64" s="280"/>
      <c r="J64" s="280">
        <v>16.0</v>
      </c>
      <c r="K64" s="280"/>
      <c r="L64" s="280"/>
      <c r="M64" s="280">
        <v>126.0</v>
      </c>
      <c r="N64" s="280"/>
      <c r="O64" s="280">
        <v>1.0</v>
      </c>
      <c r="P64" s="280"/>
      <c r="Q64" s="280">
        <v>2.0</v>
      </c>
      <c r="R64" s="290" t="s">
        <v>624</v>
      </c>
      <c r="S64" s="281"/>
      <c r="T64" s="291"/>
      <c r="U64" s="281"/>
      <c r="V64" s="281"/>
      <c r="W64" s="281"/>
    </row>
    <row r="65">
      <c r="A65" s="292"/>
      <c r="B65" s="305" t="s">
        <v>758</v>
      </c>
      <c r="C65" s="280" t="s">
        <v>642</v>
      </c>
      <c r="D65" s="289">
        <f>ROUND((F65*'Pawn Weights'!$H$22)+(G65*'Pawn Weights'!$H$23)+(H65*'Pawn Weights'!$H$24)+(I65*'Pawn Weights'!$H$25)+(J65*'Pawn Weights'!$H$26)+(K65*'Pawn Weights'!$H$27)+(L65*'Pawn Weights'!$H$28)+(M65*'Pawn Weights'!$H$29)+(N65*'Pawn Weights'!$H$30)+(O65*'Pawn Weights'!$H$31)+(P65*'Pawn Weights'!$H$32)+(Q65*'Pawn Weights'!$H$33), 2)</f>
        <v>140.22</v>
      </c>
      <c r="E65" s="280">
        <v>64.0</v>
      </c>
      <c r="F65" s="280"/>
      <c r="G65" s="280"/>
      <c r="H65" s="280">
        <v>106.0</v>
      </c>
      <c r="I65" s="280">
        <v>46.0</v>
      </c>
      <c r="J65" s="280">
        <v>29.0</v>
      </c>
      <c r="K65" s="280"/>
      <c r="L65" s="280"/>
      <c r="M65" s="281"/>
      <c r="N65" s="280"/>
      <c r="O65" s="280">
        <v>1.0</v>
      </c>
      <c r="P65" s="280">
        <v>1.0</v>
      </c>
      <c r="Q65" s="280">
        <v>1.0</v>
      </c>
      <c r="R65" s="290" t="s">
        <v>745</v>
      </c>
      <c r="S65" s="281"/>
      <c r="T65" s="291"/>
      <c r="U65" s="281"/>
      <c r="V65" s="281"/>
      <c r="W65" s="281"/>
    </row>
    <row r="66">
      <c r="A66" s="137" t="s">
        <v>627</v>
      </c>
      <c r="B66" s="381" t="s">
        <v>753</v>
      </c>
      <c r="C66" s="361" t="s">
        <v>750</v>
      </c>
      <c r="D66" s="289">
        <f>ROUND((F66*'Pawn Weights'!$H$22)+(G66*'Pawn Weights'!$H$23)+(H66*'Pawn Weights'!$H$24)+(I66*'Pawn Weights'!$H$25)+(J66*'Pawn Weights'!$H$26)+(K66*'Pawn Weights'!$H$27)+(L66*'Pawn Weights'!$H$28)+(M66*'Pawn Weights'!$H$29)+(N66*'Pawn Weights'!$H$30)+(O66*'Pawn Weights'!$H$31)+(P66*'Pawn Weights'!$H$32)+(Q66*'Pawn Weights'!$H$33)+3.636, 2)</f>
        <v>134.45</v>
      </c>
      <c r="E66" s="359">
        <v>43.0</v>
      </c>
      <c r="F66" s="361"/>
      <c r="G66" s="359">
        <v>44.0</v>
      </c>
      <c r="H66" s="359">
        <v>104.0</v>
      </c>
      <c r="I66" s="361"/>
      <c r="J66" s="361"/>
      <c r="K66" s="359">
        <v>44.0</v>
      </c>
      <c r="L66" s="361"/>
      <c r="M66" s="137"/>
      <c r="N66" s="361"/>
      <c r="O66" s="359">
        <v>3.0</v>
      </c>
      <c r="P66" s="361"/>
      <c r="Q66" s="361"/>
      <c r="R66" s="359" t="s">
        <v>745</v>
      </c>
      <c r="S66" s="137"/>
      <c r="T66" s="406" t="s">
        <v>748</v>
      </c>
      <c r="U66" s="137"/>
      <c r="V66" s="137"/>
      <c r="W66" s="137"/>
      <c r="X66" s="137"/>
      <c r="Y66" s="137"/>
      <c r="Z66" s="137"/>
    </row>
    <row r="67">
      <c r="A67" s="292" t="s">
        <v>644</v>
      </c>
      <c r="B67" s="305" t="s">
        <v>759</v>
      </c>
      <c r="C67" s="280" t="s">
        <v>646</v>
      </c>
      <c r="D67" s="289">
        <f>ROUND((F67*'Pawn Weights'!$H$22)+(G67*'Pawn Weights'!$H$23)+(H67*'Pawn Weights'!$H$24)+(I67*'Pawn Weights'!$H$25)+(J67*'Pawn Weights'!$H$26)+(K67*'Pawn Weights'!$H$27)+(L67*'Pawn Weights'!$H$28)+(M67*'Pawn Weights'!$H$29)+(N67*'Pawn Weights'!$H$30)+(O67*'Pawn Weights'!$H$31)+(P67*'Pawn Weights'!$H$32)+(Q67*'Pawn Weights'!$H$33)-10+9.6+2.72, 2)</f>
        <v>130.98</v>
      </c>
      <c r="E67" s="280">
        <v>67.0</v>
      </c>
      <c r="F67" s="280">
        <v>39.0</v>
      </c>
      <c r="G67" s="280"/>
      <c r="H67" s="280"/>
      <c r="I67" s="280">
        <v>39.0</v>
      </c>
      <c r="J67" s="280">
        <v>12.0</v>
      </c>
      <c r="K67" s="280"/>
      <c r="L67" s="280"/>
      <c r="M67" s="280">
        <v>84.0</v>
      </c>
      <c r="N67" s="280"/>
      <c r="O67" s="280">
        <v>2.0</v>
      </c>
      <c r="P67" s="280">
        <v>1.0</v>
      </c>
      <c r="Q67" s="280"/>
      <c r="R67" s="290" t="s">
        <v>624</v>
      </c>
      <c r="S67" s="281"/>
      <c r="T67" s="291" t="s">
        <v>755</v>
      </c>
      <c r="U67" s="281"/>
      <c r="V67" s="281"/>
      <c r="W67" s="281"/>
    </row>
    <row r="68">
      <c r="A68" s="292" t="s">
        <v>627</v>
      </c>
      <c r="B68" s="305" t="s">
        <v>760</v>
      </c>
      <c r="C68" s="280" t="s">
        <v>761</v>
      </c>
      <c r="D68" s="289">
        <f>ROUND((F68*'Pawn Weights'!$H$22)+(G68*'Pawn Weights'!$H$23)+(H68*'Pawn Weights'!$H$24)+(I68*'Pawn Weights'!$H$25)+(J68*'Pawn Weights'!$H$26)+(K68*'Pawn Weights'!$H$27)+(L68*'Pawn Weights'!$H$28)+(M68*'Pawn Weights'!$H$29)+(N68*'Pawn Weights'!$H$30)+(O68*'Pawn Weights'!$H$31)+(P68*'Pawn Weights'!$H$32)+(Q68*'Pawn Weights'!$H$33), 2)</f>
        <v>124.72</v>
      </c>
      <c r="E68" s="280">
        <v>56.0</v>
      </c>
      <c r="F68" s="280">
        <v>40.0</v>
      </c>
      <c r="G68" s="280"/>
      <c r="H68" s="280"/>
      <c r="I68" s="280">
        <v>41.0</v>
      </c>
      <c r="J68" s="280">
        <v>25.0</v>
      </c>
      <c r="K68" s="280"/>
      <c r="L68" s="280"/>
      <c r="M68" s="281"/>
      <c r="N68" s="280"/>
      <c r="O68" s="280"/>
      <c r="P68" s="280">
        <v>2.0</v>
      </c>
      <c r="Q68" s="280">
        <v>1.0</v>
      </c>
      <c r="R68" s="290" t="s">
        <v>624</v>
      </c>
      <c r="S68" s="281"/>
      <c r="T68" s="291" t="s">
        <v>762</v>
      </c>
      <c r="U68" s="281"/>
      <c r="V68" s="281"/>
      <c r="W68" s="281"/>
    </row>
    <row r="69">
      <c r="A69" s="292"/>
      <c r="B69" s="305" t="s">
        <v>763</v>
      </c>
      <c r="C69" s="280" t="s">
        <v>701</v>
      </c>
      <c r="D69" s="289">
        <f>ROUND((F69*'Pawn Weights'!$H$22)+(G69*'Pawn Weights'!$H$23)+(H69*'Pawn Weights'!$H$24)+(I69*'Pawn Weights'!$H$25)+(J69*'Pawn Weights'!$H$26)+(K69*'Pawn Weights'!$H$27)+(L69*'Pawn Weights'!$H$28)+(M69*'Pawn Weights'!$H$29)+(N69*'Pawn Weights'!$H$30)+(O69*'Pawn Weights'!$H$31)+(P69*'Pawn Weights'!$H$32)+(Q69*'Pawn Weights'!$H$33), 2)</f>
        <v>123.88</v>
      </c>
      <c r="E69" s="280">
        <v>45.0</v>
      </c>
      <c r="F69" s="280">
        <v>63.0</v>
      </c>
      <c r="G69" s="280"/>
      <c r="H69" s="280"/>
      <c r="I69" s="280">
        <v>44.0</v>
      </c>
      <c r="J69" s="280">
        <v>30.0</v>
      </c>
      <c r="K69" s="280"/>
      <c r="L69" s="280"/>
      <c r="M69" s="281"/>
      <c r="N69" s="280"/>
      <c r="O69" s="280"/>
      <c r="P69" s="280"/>
      <c r="Q69" s="280"/>
      <c r="R69" s="290"/>
      <c r="S69" s="281"/>
      <c r="T69" s="291"/>
      <c r="U69" s="281"/>
      <c r="V69" s="281"/>
      <c r="W69" s="281"/>
    </row>
    <row r="70">
      <c r="A70" s="281"/>
      <c r="B70" s="305" t="s">
        <v>764</v>
      </c>
      <c r="C70" s="307" t="s">
        <v>765</v>
      </c>
      <c r="D70" s="289">
        <f>ROUND((F70*'Pawn Weights'!$H$22)+(G70*'Pawn Weights'!$H$23)+(H70*'Pawn Weights'!$H$24)+(I70*'Pawn Weights'!$H$25)+(J70*'Pawn Weights'!$H$26)+(K70*'Pawn Weights'!$H$27)+(L70*'Pawn Weights'!$H$28)+(M70*'Pawn Weights'!$H$29)+(N70*'Pawn Weights'!$H$30)+(O70*'Pawn Weights'!$H$31)+(P70*'Pawn Weights'!$H$32)+(Q70*'Pawn Weights'!$H$33), 2)</f>
        <v>123.29</v>
      </c>
      <c r="E70" s="280">
        <v>24.0</v>
      </c>
      <c r="F70" s="280"/>
      <c r="G70" s="280"/>
      <c r="H70" s="280">
        <v>92.0</v>
      </c>
      <c r="I70" s="280">
        <v>36.0</v>
      </c>
      <c r="J70" s="280">
        <v>27.0</v>
      </c>
      <c r="K70" s="280"/>
      <c r="L70" s="280"/>
      <c r="M70" s="281"/>
      <c r="N70" s="280"/>
      <c r="O70" s="280"/>
      <c r="P70" s="280">
        <v>2.0</v>
      </c>
      <c r="Q70" s="280">
        <v>1.0</v>
      </c>
      <c r="R70" s="290" t="s">
        <v>1085</v>
      </c>
      <c r="S70" s="281"/>
      <c r="T70" s="291"/>
      <c r="U70" s="281"/>
      <c r="V70" s="281"/>
      <c r="W70" s="281"/>
    </row>
    <row r="71">
      <c r="A71" s="292" t="s">
        <v>647</v>
      </c>
      <c r="B71" s="305" t="s">
        <v>766</v>
      </c>
      <c r="C71" s="280" t="s">
        <v>741</v>
      </c>
      <c r="D71" s="289">
        <f>ROUND((F71*'Pawn Weights'!$H$22)+(G71*'Pawn Weights'!$H$23)+(H71*'Pawn Weights'!$H$24)+(I71*'Pawn Weights'!$H$25)+(J71*'Pawn Weights'!$H$26)+(K71*'Pawn Weights'!$H$27)+(L71*'Pawn Weights'!$H$28)+(M71*'Pawn Weights'!$H$29)+(N71*'Pawn Weights'!$H$30)+(O71*'Pawn Weights'!$H$31)+(P71*'Pawn Weights'!$H$32)+(Q71*'Pawn Weights'!$H$33), 2)</f>
        <v>120.56</v>
      </c>
      <c r="E71" s="280">
        <v>48.0</v>
      </c>
      <c r="F71" s="280">
        <v>50.0</v>
      </c>
      <c r="G71" s="280"/>
      <c r="H71" s="280"/>
      <c r="I71" s="280">
        <v>33.0</v>
      </c>
      <c r="J71" s="280">
        <v>15.0</v>
      </c>
      <c r="K71" s="280"/>
      <c r="L71" s="280"/>
      <c r="M71" s="281"/>
      <c r="N71" s="280"/>
      <c r="O71" s="280">
        <v>1.0</v>
      </c>
      <c r="P71" s="280">
        <v>1.0</v>
      </c>
      <c r="Q71" s="280">
        <v>1.0</v>
      </c>
      <c r="R71" s="290" t="s">
        <v>643</v>
      </c>
      <c r="S71" s="281"/>
      <c r="T71" s="291"/>
      <c r="U71" s="281"/>
      <c r="V71" s="281"/>
      <c r="W71" s="281"/>
    </row>
    <row r="72">
      <c r="A72" s="292"/>
      <c r="B72" s="305" t="s">
        <v>767</v>
      </c>
      <c r="C72" s="280" t="s">
        <v>665</v>
      </c>
      <c r="D72" s="289">
        <f>ROUND((F72*'Pawn Weights'!$H$22)+(G72*'Pawn Weights'!$H$23)+(H72*'Pawn Weights'!$H$24)+(I72*'Pawn Weights'!$H$25)+(J72*'Pawn Weights'!$H$26)+(K72*'Pawn Weights'!$H$27)+(L72*'Pawn Weights'!$H$28)+(M72*'Pawn Weights'!$H$29)+(N72*'Pawn Weights'!$H$30)+(O72*'Pawn Weights'!$H$31)+(P72*'Pawn Weights'!$H$32)+(Q72*'Pawn Weights'!$H$33), 2)</f>
        <v>117.26</v>
      </c>
      <c r="E72" s="280">
        <v>52.0</v>
      </c>
      <c r="F72" s="280"/>
      <c r="G72" s="280">
        <v>36.0</v>
      </c>
      <c r="H72" s="280">
        <v>86.0</v>
      </c>
      <c r="I72" s="280"/>
      <c r="J72" s="280">
        <v>35.0</v>
      </c>
      <c r="K72" s="280"/>
      <c r="L72" s="280"/>
      <c r="M72" s="281"/>
      <c r="N72" s="280"/>
      <c r="O72" s="280">
        <v>1.0</v>
      </c>
      <c r="P72" s="280">
        <v>1.0</v>
      </c>
      <c r="Q72" s="280">
        <v>1.0</v>
      </c>
      <c r="R72" s="290" t="s">
        <v>745</v>
      </c>
      <c r="S72" s="281"/>
      <c r="T72" s="291"/>
      <c r="U72" s="281"/>
      <c r="V72" s="281"/>
      <c r="W72" s="281"/>
    </row>
    <row r="73">
      <c r="A73" s="292" t="s">
        <v>627</v>
      </c>
      <c r="B73" s="305" t="s">
        <v>770</v>
      </c>
      <c r="C73" s="280" t="s">
        <v>771</v>
      </c>
      <c r="D73" s="289">
        <f>ROUND((F73*'Pawn Weights'!$H$22)+(G73*'Pawn Weights'!$H$23)+(H73*'Pawn Weights'!$H$24)+(I73*'Pawn Weights'!$H$25)+(J73*'Pawn Weights'!$H$26)+(K73*'Pawn Weights'!$H$27)+(L73*'Pawn Weights'!$H$28)+(M73*'Pawn Weights'!$H$29)+(N73*'Pawn Weights'!$H$30)+(O73*'Pawn Weights'!$H$31)+(P73*'Pawn Weights'!$H$32)+(Q73*'Pawn Weights'!$H$33), 2)</f>
        <v>114.68</v>
      </c>
      <c r="E73" s="280">
        <v>55.0</v>
      </c>
      <c r="F73" s="280">
        <v>35.0</v>
      </c>
      <c r="G73" s="280"/>
      <c r="H73" s="280"/>
      <c r="I73" s="280">
        <v>37.0</v>
      </c>
      <c r="J73" s="280">
        <v>23.0</v>
      </c>
      <c r="K73" s="280"/>
      <c r="L73" s="280"/>
      <c r="M73" s="281"/>
      <c r="N73" s="280"/>
      <c r="O73" s="280"/>
      <c r="P73" s="280">
        <v>2.0</v>
      </c>
      <c r="Q73" s="280">
        <v>1.0</v>
      </c>
      <c r="R73" s="290" t="s">
        <v>624</v>
      </c>
      <c r="S73" s="281"/>
      <c r="T73" s="291" t="s">
        <v>762</v>
      </c>
      <c r="U73" s="281"/>
      <c r="V73" s="281"/>
      <c r="W73" s="281"/>
    </row>
    <row r="74">
      <c r="A74" s="295"/>
      <c r="B74" s="308" t="s">
        <v>772</v>
      </c>
      <c r="C74" s="297" t="s">
        <v>773</v>
      </c>
      <c r="D74" s="289">
        <f>ROUND((F74*'Pawn Weights'!$H$22)+(G74*'Pawn Weights'!$H$23)+(H74*'Pawn Weights'!$H$24)+(I74*'Pawn Weights'!$H$25)+(J74*'Pawn Weights'!$H$26)+(K74*'Pawn Weights'!$H$27)+(L74*'Pawn Weights'!$H$28)+(M74*'Pawn Weights'!$H$29)+(N74*'Pawn Weights'!$H$30)+(O74*'Pawn Weights'!$H$31)+(P74*'Pawn Weights'!$H$32)+(Q74*'Pawn Weights'!$H$33), 2)</f>
        <v>113.84</v>
      </c>
      <c r="E74" s="298">
        <v>42.0</v>
      </c>
      <c r="F74" s="298">
        <v>44.0</v>
      </c>
      <c r="G74" s="297"/>
      <c r="H74" s="297"/>
      <c r="I74" s="298">
        <v>30.0</v>
      </c>
      <c r="J74" s="298">
        <v>18.0</v>
      </c>
      <c r="K74" s="297"/>
      <c r="L74" s="297"/>
      <c r="M74" s="137"/>
      <c r="N74" s="297"/>
      <c r="O74" s="298">
        <v>1.0</v>
      </c>
      <c r="P74" s="298">
        <v>1.0</v>
      </c>
      <c r="Q74" s="298">
        <v>1.0</v>
      </c>
      <c r="R74" s="298" t="s">
        <v>643</v>
      </c>
      <c r="S74" s="137"/>
      <c r="T74" s="295"/>
      <c r="U74" s="137"/>
      <c r="V74" s="137"/>
      <c r="W74" s="137"/>
      <c r="X74" s="137"/>
      <c r="Y74" s="137"/>
      <c r="Z74" s="137"/>
    </row>
    <row r="75">
      <c r="A75" s="292"/>
      <c r="B75" s="305" t="s">
        <v>776</v>
      </c>
      <c r="C75" s="280" t="s">
        <v>739</v>
      </c>
      <c r="D75" s="289">
        <f>ROUND((F75*'Pawn Weights'!$H$22)+(G75*'Pawn Weights'!$H$23)+(H75*'Pawn Weights'!$H$24)+(I75*'Pawn Weights'!$H$25)+(J75*'Pawn Weights'!$H$26)+(K75*'Pawn Weights'!$H$27)+(L75*'Pawn Weights'!$H$28)+(M75*'Pawn Weights'!$H$29)+(N75*'Pawn Weights'!$H$30)+(O75*'Pawn Weights'!$H$31)+(P75*'Pawn Weights'!$H$32)+(Q75*'Pawn Weights'!$H$33)-20+19.2+3.68, 2)</f>
        <v>113.79</v>
      </c>
      <c r="E75" s="280"/>
      <c r="F75" s="280"/>
      <c r="G75" s="280"/>
      <c r="H75" s="280">
        <v>96.0</v>
      </c>
      <c r="I75" s="280">
        <v>25.0</v>
      </c>
      <c r="J75" s="280">
        <v>21.0</v>
      </c>
      <c r="K75" s="280"/>
      <c r="L75" s="280"/>
      <c r="M75" s="281"/>
      <c r="N75" s="280"/>
      <c r="O75" s="280">
        <v>1.0</v>
      </c>
      <c r="P75" s="280">
        <v>2.0</v>
      </c>
      <c r="Q75" s="280"/>
      <c r="R75" s="290" t="s">
        <v>624</v>
      </c>
      <c r="S75" s="281"/>
      <c r="T75" s="291"/>
      <c r="U75" s="281"/>
      <c r="V75" s="281"/>
      <c r="W75" s="281"/>
    </row>
    <row r="76">
      <c r="A76" s="295"/>
      <c r="B76" s="308" t="s">
        <v>768</v>
      </c>
      <c r="C76" s="297" t="s">
        <v>769</v>
      </c>
      <c r="D76" s="289">
        <f>ROUND((F76*'Pawn Weights'!$H$22)+(G76*'Pawn Weights'!$H$23)+(H76*'Pawn Weights'!$H$24)+(I76*'Pawn Weights'!$H$25)+(J76*'Pawn Weights'!$H$26)+(K76*'Pawn Weights'!$H$27)+(L76*'Pawn Weights'!$H$28)+(M76*'Pawn Weights'!$H$29)+(N76*'Pawn Weights'!$H$30)+(O76*'Pawn Weights'!$H$31)+(P76*'Pawn Weights'!$H$32)+(Q76*'Pawn Weights'!$H$33), 2)</f>
        <v>111.34</v>
      </c>
      <c r="E76" s="298">
        <v>46.0</v>
      </c>
      <c r="F76" s="297"/>
      <c r="G76" s="298">
        <v>45.0</v>
      </c>
      <c r="H76" s="298">
        <v>92.0</v>
      </c>
      <c r="I76" s="297"/>
      <c r="J76" s="297"/>
      <c r="K76" s="297"/>
      <c r="L76" s="297"/>
      <c r="M76" s="359">
        <v>210.0</v>
      </c>
      <c r="N76" s="297"/>
      <c r="O76" s="297"/>
      <c r="P76" s="297"/>
      <c r="Q76" s="297"/>
      <c r="R76" s="295"/>
      <c r="S76" s="137"/>
      <c r="T76" s="295"/>
      <c r="U76" s="137"/>
      <c r="V76" s="137"/>
      <c r="W76" s="137"/>
      <c r="X76" s="137"/>
      <c r="Y76" s="137"/>
      <c r="Z76" s="137"/>
    </row>
    <row r="77">
      <c r="A77" s="281"/>
      <c r="B77" s="305" t="s">
        <v>1086</v>
      </c>
      <c r="C77" s="307" t="s">
        <v>649</v>
      </c>
      <c r="D77" s="289">
        <f>ROUND((F77*'Pawn Weights'!$H$22)+(G77*'Pawn Weights'!$H$23)+(H77*'Pawn Weights'!$H$24)+(I77*'Pawn Weights'!$H$25)+(J77*'Pawn Weights'!$H$26)+(K77*'Pawn Weights'!$H$27)+(L77*'Pawn Weights'!$H$28)+(M77*'Pawn Weights'!$H$29)+(N77*'Pawn Weights'!$H$30)+(O77*'Pawn Weights'!$H$31)+(P77*'Pawn Weights'!$H$32)+(Q77*'Pawn Weights'!$H$33), 2)</f>
        <v>110.51</v>
      </c>
      <c r="E77" s="280">
        <v>42.0</v>
      </c>
      <c r="F77" s="280">
        <v>61.0</v>
      </c>
      <c r="G77" s="280">
        <v>43.0</v>
      </c>
      <c r="H77" s="280"/>
      <c r="I77" s="280"/>
      <c r="J77" s="280">
        <v>30.0</v>
      </c>
      <c r="K77" s="280"/>
      <c r="L77" s="280"/>
      <c r="M77" s="281"/>
      <c r="N77" s="280"/>
      <c r="O77" s="280"/>
      <c r="P77" s="280"/>
      <c r="Q77" s="280"/>
      <c r="R77" s="290"/>
      <c r="S77" s="281"/>
      <c r="T77" s="291"/>
      <c r="U77" s="281"/>
      <c r="V77" s="281"/>
      <c r="W77" s="281"/>
    </row>
    <row r="78">
      <c r="A78" s="295"/>
      <c r="B78" s="308" t="s">
        <v>777</v>
      </c>
      <c r="C78" s="297" t="s">
        <v>775</v>
      </c>
      <c r="D78" s="289">
        <f>ROUND((F78*'Pawn Weights'!$H$22)+(G78*'Pawn Weights'!$H$23)+(H78*'Pawn Weights'!$H$24)+(I78*'Pawn Weights'!$H$25)+(J78*'Pawn Weights'!$H$26)+(K78*'Pawn Weights'!$H$27)+(L78*'Pawn Weights'!$H$28)+(M78*'Pawn Weights'!$H$29)+(N78*'Pawn Weights'!$H$30)+(O78*'Pawn Weights'!$H$31)+(P78*'Pawn Weights'!$H$32)+(Q78*'Pawn Weights'!$H$33), 2)</f>
        <v>109.27</v>
      </c>
      <c r="E78" s="298">
        <v>51.0</v>
      </c>
      <c r="F78" s="297"/>
      <c r="G78" s="298">
        <v>44.0</v>
      </c>
      <c r="H78" s="298">
        <v>102.0</v>
      </c>
      <c r="I78" s="297"/>
      <c r="J78" s="298">
        <v>34.0</v>
      </c>
      <c r="K78" s="297"/>
      <c r="L78" s="297"/>
      <c r="M78" s="137"/>
      <c r="N78" s="297"/>
      <c r="O78" s="298">
        <v>1.0</v>
      </c>
      <c r="P78" s="297"/>
      <c r="Q78" s="297"/>
      <c r="R78" s="298" t="s">
        <v>674</v>
      </c>
      <c r="S78" s="137"/>
      <c r="T78" s="295"/>
      <c r="U78" s="137"/>
      <c r="V78" s="137"/>
      <c r="W78" s="137"/>
      <c r="X78" s="137"/>
      <c r="Y78" s="137"/>
      <c r="Z78" s="137"/>
    </row>
    <row r="79">
      <c r="A79" s="292" t="s">
        <v>1068</v>
      </c>
      <c r="B79" s="305" t="s">
        <v>1087</v>
      </c>
      <c r="C79" s="280" t="s">
        <v>997</v>
      </c>
      <c r="D79" s="289">
        <f>ROUND((F79*'Pawn Weights'!$H$22)+(G79*'Pawn Weights'!$H$23)+(H79*'Pawn Weights'!$H$24)+(I79*'Pawn Weights'!$H$25)+(J79*'Pawn Weights'!$H$26)+(K79*'Pawn Weights'!$H$27)+(L79*'Pawn Weights'!$H$28)+(M79*'Pawn Weights'!$H$29)+(N79*'Pawn Weights'!$H$30)+(O79*'Pawn Weights'!$H$31)+(P79*'Pawn Weights'!$H$32)+(Q79*'Pawn Weights'!$H$33)-10+9.6+2.72, 2)</f>
        <v>109.04</v>
      </c>
      <c r="E79" s="280">
        <v>60.0</v>
      </c>
      <c r="F79" s="280">
        <v>35.0</v>
      </c>
      <c r="G79" s="280"/>
      <c r="H79" s="280"/>
      <c r="I79" s="280">
        <v>35.0</v>
      </c>
      <c r="J79" s="280">
        <v>14.0</v>
      </c>
      <c r="K79" s="280"/>
      <c r="L79" s="280"/>
      <c r="M79" s="281"/>
      <c r="N79" s="280"/>
      <c r="O79" s="280">
        <v>2.0</v>
      </c>
      <c r="P79" s="280">
        <v>1.0</v>
      </c>
      <c r="Q79" s="280"/>
      <c r="R79" s="290" t="s">
        <v>624</v>
      </c>
      <c r="S79" s="281"/>
      <c r="T79" s="291" t="s">
        <v>755</v>
      </c>
      <c r="U79" s="281"/>
      <c r="V79" s="281"/>
      <c r="W79" s="281"/>
    </row>
    <row r="80" ht="1.5" customHeight="1">
      <c r="A80" s="292"/>
      <c r="B80" s="305" t="s">
        <v>1401</v>
      </c>
      <c r="C80" s="280" t="s">
        <v>642</v>
      </c>
      <c r="D80" s="289">
        <f>ROUND((F80*'Pawn Weights'!$H$22)+(G80*'Pawn Weights'!$H$23)+(H80*'Pawn Weights'!$H$24)+(I80*'Pawn Weights'!$H$25)+(J80*'Pawn Weights'!$H$26)+(K80*'Pawn Weights'!$H$27)+(L80*'Pawn Weights'!$H$28)+(M80*'Pawn Weights'!$H$29)+(N80*'Pawn Weights'!$H$30)+(O80*'Pawn Weights'!$H$31)+(P80*'Pawn Weights'!$H$32)+(Q80*'Pawn Weights'!$H$33), 2)</f>
        <v>108.94</v>
      </c>
      <c r="E80" s="280">
        <v>66.0</v>
      </c>
      <c r="F80" s="280"/>
      <c r="G80" s="280">
        <v>49.0</v>
      </c>
      <c r="H80" s="280">
        <v>108.0</v>
      </c>
      <c r="I80" s="280">
        <v>29.0</v>
      </c>
      <c r="J80" s="280"/>
      <c r="K80" s="280"/>
      <c r="L80" s="280"/>
      <c r="M80" s="281"/>
      <c r="N80" s="280"/>
      <c r="O80" s="280"/>
      <c r="P80" s="280"/>
      <c r="Q80" s="280"/>
      <c r="R80" s="290"/>
      <c r="S80" s="281"/>
      <c r="T80" s="291"/>
      <c r="U80" s="281"/>
      <c r="V80" s="281"/>
      <c r="W80" s="281"/>
    </row>
    <row r="81">
      <c r="A81" s="295"/>
      <c r="B81" s="308" t="s">
        <v>1402</v>
      </c>
      <c r="C81" s="297" t="s">
        <v>1403</v>
      </c>
      <c r="D81" s="289">
        <f>ROUND((F81*'Pawn Weights'!$H$22)+(G81*'Pawn Weights'!$H$23)+(H81*'Pawn Weights'!$H$24)+(I81*'Pawn Weights'!$H$25)+(J81*'Pawn Weights'!$H$26)+(K81*'Pawn Weights'!$H$27)+(L81*'Pawn Weights'!$H$28)+(M81*'Pawn Weights'!$H$29)+(N81*'Pawn Weights'!$H$30)+(O81*'Pawn Weights'!$H$31)+(P81*'Pawn Weights'!$H$32)+(Q81*'Pawn Weights'!$H$33), 2)</f>
        <v>108.15</v>
      </c>
      <c r="E81" s="298">
        <v>69.0</v>
      </c>
      <c r="F81" s="298">
        <v>46.0</v>
      </c>
      <c r="G81" s="297"/>
      <c r="H81" s="297"/>
      <c r="I81" s="298">
        <v>35.0</v>
      </c>
      <c r="J81" s="297"/>
      <c r="K81" s="297"/>
      <c r="L81" s="297"/>
      <c r="M81" s="359">
        <v>161.0</v>
      </c>
      <c r="N81" s="297"/>
      <c r="O81" s="297"/>
      <c r="P81" s="297"/>
      <c r="Q81" s="297"/>
      <c r="R81" s="295"/>
      <c r="S81" s="137"/>
      <c r="T81" s="295"/>
      <c r="U81" s="137"/>
      <c r="V81" s="137"/>
      <c r="W81" s="137"/>
      <c r="X81" s="137"/>
      <c r="Y81" s="137"/>
      <c r="Z81" s="137"/>
    </row>
    <row r="82">
      <c r="A82" s="301"/>
      <c r="B82" s="305" t="s">
        <v>1333</v>
      </c>
      <c r="C82" s="280" t="s">
        <v>710</v>
      </c>
      <c r="D82" s="289">
        <f>ROUND((F82*'Pawn Weights'!$H$22)+(G82*'Pawn Weights'!$H$23)+(H82*'Pawn Weights'!$H$24)+(I82*'Pawn Weights'!$H$25)+(J82*'Pawn Weights'!$H$26)+(K82*'Pawn Weights'!$H$27)+(L82*'Pawn Weights'!$H$28)+(M82*'Pawn Weights'!$H$29)+(N82*'Pawn Weights'!$H$30)+(O82*'Pawn Weights'!$H$31)+(P82*'Pawn Weights'!$H$32)+(Q82*'Pawn Weights'!$H$33), 2)</f>
        <v>107.25</v>
      </c>
      <c r="E82" s="280">
        <v>19.0</v>
      </c>
      <c r="F82" s="280"/>
      <c r="G82" s="280">
        <v>36.0</v>
      </c>
      <c r="H82" s="280">
        <v>88.0</v>
      </c>
      <c r="I82" s="280">
        <v>14.0</v>
      </c>
      <c r="J82" s="280"/>
      <c r="K82" s="280"/>
      <c r="L82" s="280"/>
      <c r="M82" s="281"/>
      <c r="N82" s="280"/>
      <c r="O82" s="280">
        <v>1.0</v>
      </c>
      <c r="P82" s="280">
        <v>1.0</v>
      </c>
      <c r="Q82" s="280">
        <v>1.0</v>
      </c>
      <c r="R82" s="290" t="s">
        <v>622</v>
      </c>
      <c r="S82" s="281"/>
      <c r="T82" s="291"/>
      <c r="U82" s="281"/>
      <c r="V82" s="281"/>
      <c r="W82" s="281"/>
    </row>
    <row r="83">
      <c r="A83" s="295"/>
      <c r="B83" s="308" t="s">
        <v>1404</v>
      </c>
      <c r="C83" s="297" t="s">
        <v>1399</v>
      </c>
      <c r="D83" s="289">
        <f>ROUND((F83*'Pawn Weights'!$H$22)+(G83*'Pawn Weights'!$H$23)+(H83*'Pawn Weights'!$H$24)+(I83*'Pawn Weights'!$H$25)+(J83*'Pawn Weights'!$H$26)+(K83*'Pawn Weights'!$H$27)+(L83*'Pawn Weights'!$H$28)+(M83*'Pawn Weights'!$H$29)+(N83*'Pawn Weights'!$H$30)+(O83*'Pawn Weights'!$H$31)+(P83*'Pawn Weights'!$H$32)+(Q83*'Pawn Weights'!$H$33), 2)</f>
        <v>104.37</v>
      </c>
      <c r="E83" s="298">
        <v>36.0</v>
      </c>
      <c r="F83" s="298">
        <v>46.0</v>
      </c>
      <c r="G83" s="298">
        <v>45.0</v>
      </c>
      <c r="H83" s="297"/>
      <c r="I83" s="297"/>
      <c r="J83" s="297"/>
      <c r="K83" s="297"/>
      <c r="L83" s="297"/>
      <c r="M83" s="359">
        <v>150.0</v>
      </c>
      <c r="N83" s="297"/>
      <c r="O83" s="297"/>
      <c r="P83" s="297"/>
      <c r="Q83" s="297"/>
      <c r="R83" s="295"/>
      <c r="S83" s="137"/>
      <c r="T83" s="295"/>
      <c r="U83" s="137"/>
      <c r="V83" s="137"/>
      <c r="W83" s="137"/>
      <c r="X83" s="137"/>
      <c r="Y83" s="137"/>
      <c r="Z83" s="137"/>
    </row>
    <row r="84">
      <c r="A84" s="292" t="s">
        <v>627</v>
      </c>
      <c r="B84" s="305" t="s">
        <v>1418</v>
      </c>
      <c r="C84" s="280" t="s">
        <v>1419</v>
      </c>
      <c r="D84" s="289">
        <f>ROUND((F84*'Pawn Weights'!$H$22)+(G84*'Pawn Weights'!$H$23)+(H84*'Pawn Weights'!$H$24)+(I84*'Pawn Weights'!$H$25)+(J84*'Pawn Weights'!$H$26)+(K84*'Pawn Weights'!$H$27)+(L84*'Pawn Weights'!$H$28)+(M84*'Pawn Weights'!$H$29)+(N84*'Pawn Weights'!$H$30)+(O84*'Pawn Weights'!$H$31)+(P84*'Pawn Weights'!$H$32)+(Q84*'Pawn Weights'!$H$33), 2)</f>
        <v>103.12</v>
      </c>
      <c r="E84" s="280">
        <v>46.0</v>
      </c>
      <c r="F84" s="280">
        <v>31.0</v>
      </c>
      <c r="G84" s="280"/>
      <c r="H84" s="280"/>
      <c r="I84" s="280">
        <v>31.0</v>
      </c>
      <c r="J84" s="280">
        <v>20.0</v>
      </c>
      <c r="K84" s="280"/>
      <c r="L84" s="280"/>
      <c r="M84" s="281"/>
      <c r="N84" s="280"/>
      <c r="O84" s="280"/>
      <c r="P84" s="280">
        <v>2.0</v>
      </c>
      <c r="Q84" s="280">
        <v>1.0</v>
      </c>
      <c r="R84" s="290" t="s">
        <v>624</v>
      </c>
      <c r="S84" s="281"/>
      <c r="T84" s="291"/>
      <c r="U84" s="281"/>
      <c r="V84" s="281"/>
      <c r="W84" s="281"/>
    </row>
    <row r="85">
      <c r="A85" s="295"/>
      <c r="B85" s="308" t="s">
        <v>774</v>
      </c>
      <c r="C85" s="297" t="s">
        <v>775</v>
      </c>
      <c r="D85" s="289">
        <f>ROUND((F85*'Pawn Weights'!$H$22)+(G85*'Pawn Weights'!$H$23)+(H85*'Pawn Weights'!$H$24)+(I85*'Pawn Weights'!$H$25)+(J85*'Pawn Weights'!$H$26)+(K85*'Pawn Weights'!$H$27)+(L85*'Pawn Weights'!$H$28)+(M85*'Pawn Weights'!$H$29)+(N85*'Pawn Weights'!$H$30)+(O85*'Pawn Weights'!$H$31)+(P85*'Pawn Weights'!$H$32)+(Q85*'Pawn Weights'!$H$33)-10+9.6+1.818, 2)</f>
        <v>103.1</v>
      </c>
      <c r="E85" s="298">
        <v>39.0</v>
      </c>
      <c r="F85" s="297"/>
      <c r="G85" s="298">
        <v>47.0</v>
      </c>
      <c r="H85" s="298">
        <v>102.0</v>
      </c>
      <c r="I85" s="297"/>
      <c r="J85" s="297"/>
      <c r="K85" s="298">
        <v>25.0</v>
      </c>
      <c r="L85" s="297"/>
      <c r="M85" s="137"/>
      <c r="N85" s="297"/>
      <c r="O85" s="297"/>
      <c r="P85" s="298">
        <v>1.0</v>
      </c>
      <c r="Q85" s="297"/>
      <c r="R85" s="298" t="s">
        <v>660</v>
      </c>
      <c r="S85" s="137"/>
      <c r="T85" s="295"/>
      <c r="U85" s="137"/>
      <c r="V85" s="137"/>
      <c r="W85" s="137"/>
      <c r="X85" s="137"/>
      <c r="Y85" s="137"/>
      <c r="Z85" s="137"/>
    </row>
    <row r="86">
      <c r="A86" s="292" t="s">
        <v>654</v>
      </c>
      <c r="B86" s="305" t="s">
        <v>1420</v>
      </c>
      <c r="C86" s="280" t="s">
        <v>1163</v>
      </c>
      <c r="D86" s="289">
        <f>ROUND((F86*'Pawn Weights'!$H$22)+(G86*'Pawn Weights'!$H$23)+(H86*'Pawn Weights'!$H$24)+(I86*'Pawn Weights'!$H$25)+(J86*'Pawn Weights'!$H$26)+(K86*'Pawn Weights'!$H$27)+(L86*'Pawn Weights'!$H$28)+(M86*'Pawn Weights'!$H$29)+(N86*'Pawn Weights'!$H$30)+(O86*'Pawn Weights'!$H$31)+(P86*'Pawn Weights'!$H$32)+(Q86*'Pawn Weights'!$H$33), 2)</f>
        <v>97.92</v>
      </c>
      <c r="E86" s="280">
        <v>39.0</v>
      </c>
      <c r="F86" s="280">
        <v>44.0</v>
      </c>
      <c r="G86" s="280"/>
      <c r="H86" s="280"/>
      <c r="I86" s="280">
        <v>26.0</v>
      </c>
      <c r="J86" s="280"/>
      <c r="K86" s="280"/>
      <c r="L86" s="280"/>
      <c r="M86" s="281"/>
      <c r="N86" s="280"/>
      <c r="O86" s="280"/>
      <c r="P86" s="280">
        <v>1.0</v>
      </c>
      <c r="Q86" s="280">
        <v>2.0</v>
      </c>
      <c r="R86" s="290" t="s">
        <v>624</v>
      </c>
      <c r="S86" s="281"/>
      <c r="T86" s="291" t="s">
        <v>1421</v>
      </c>
      <c r="U86" s="281"/>
      <c r="V86" s="281"/>
      <c r="W86" s="281"/>
    </row>
    <row r="87">
      <c r="A87" s="301" t="s">
        <v>627</v>
      </c>
      <c r="B87" s="305" t="s">
        <v>1422</v>
      </c>
      <c r="C87" s="280" t="s">
        <v>1423</v>
      </c>
      <c r="D87" s="289">
        <f>ROUND((F87*'Pawn Weights'!$H$22)+(G87*'Pawn Weights'!$H$23)+(H87*'Pawn Weights'!$H$24)+(I87*'Pawn Weights'!$H$25)+(J87*'Pawn Weights'!$H$26)+(K87*'Pawn Weights'!$H$27)+(L87*'Pawn Weights'!$H$28)+(M87*'Pawn Weights'!$H$29)+(N87*'Pawn Weights'!$H$30)+(O87*'Pawn Weights'!$H$31)+(P87*'Pawn Weights'!$H$32)+(Q87*'Pawn Weights'!$H$33), 2)</f>
        <v>94.52</v>
      </c>
      <c r="E87" s="280">
        <v>12.0</v>
      </c>
      <c r="F87" s="280">
        <v>32.0</v>
      </c>
      <c r="G87" s="280">
        <v>40.0</v>
      </c>
      <c r="H87" s="280"/>
      <c r="I87" s="280"/>
      <c r="J87" s="280">
        <v>8.0</v>
      </c>
      <c r="K87" s="280"/>
      <c r="L87" s="280"/>
      <c r="M87" s="281"/>
      <c r="N87" s="280"/>
      <c r="O87" s="280">
        <v>1.0</v>
      </c>
      <c r="P87" s="280">
        <v>1.0</v>
      </c>
      <c r="Q87" s="280">
        <v>1.0</v>
      </c>
      <c r="R87" s="290" t="s">
        <v>622</v>
      </c>
      <c r="S87" s="281"/>
      <c r="T87" s="291"/>
      <c r="U87" s="281"/>
      <c r="V87" s="281"/>
      <c r="W87" s="281"/>
    </row>
    <row r="88">
      <c r="A88" s="292"/>
      <c r="B88" s="305" t="s">
        <v>1424</v>
      </c>
      <c r="C88" s="280" t="s">
        <v>857</v>
      </c>
      <c r="D88" s="289">
        <f>ROUND((F88*'Pawn Weights'!$H$22)+(G88*'Pawn Weights'!$H$23)+(H88*'Pawn Weights'!$H$24)+(I88*'Pawn Weights'!$H$25)+(J88*'Pawn Weights'!$H$26)+(K88*'Pawn Weights'!$H$27)+(L88*'Pawn Weights'!$H$28)+(M88*'Pawn Weights'!$H$29)+(N88*'Pawn Weights'!$H$30)+(O88*'Pawn Weights'!$H$31)+(P88*'Pawn Weights'!$H$32)+(Q88*'Pawn Weights'!$H$33), 2)</f>
        <v>91.99</v>
      </c>
      <c r="E88" s="280">
        <v>27.0</v>
      </c>
      <c r="F88" s="280"/>
      <c r="G88" s="280">
        <v>58.0</v>
      </c>
      <c r="H88" s="280">
        <v>116.0</v>
      </c>
      <c r="I88" s="280"/>
      <c r="J88" s="280"/>
      <c r="K88" s="280"/>
      <c r="L88" s="280"/>
      <c r="M88" s="281"/>
      <c r="N88" s="280"/>
      <c r="O88" s="280"/>
      <c r="P88" s="280"/>
      <c r="Q88" s="280"/>
      <c r="R88" s="290"/>
      <c r="S88" s="281"/>
      <c r="T88" s="291"/>
      <c r="U88" s="281"/>
      <c r="V88" s="281"/>
      <c r="W88" s="281"/>
    </row>
    <row r="89">
      <c r="A89" s="295"/>
      <c r="B89" s="308" t="s">
        <v>778</v>
      </c>
      <c r="C89" s="297" t="s">
        <v>775</v>
      </c>
      <c r="D89" s="289">
        <f>ROUND((F89*'Pawn Weights'!$H$22)+(G89*'Pawn Weights'!$H$23)+(H89*'Pawn Weights'!$H$24)+(I89*'Pawn Weights'!$H$25)+(J89*'Pawn Weights'!$H$26)+(K89*'Pawn Weights'!$H$27)+(L89*'Pawn Weights'!$H$28)+(M89*'Pawn Weights'!$H$29)+(N89*'Pawn Weights'!$H$30)+(O89*'Pawn Weights'!$H$31)+(P89*'Pawn Weights'!$H$32)+(Q89*'Pawn Weights'!$H$33), 2)</f>
        <v>89.54</v>
      </c>
      <c r="E89" s="298">
        <v>65.0</v>
      </c>
      <c r="F89" s="298">
        <v>52.0</v>
      </c>
      <c r="G89" s="297"/>
      <c r="H89" s="297"/>
      <c r="I89" s="297"/>
      <c r="J89" s="297"/>
      <c r="K89" s="298">
        <v>51.0</v>
      </c>
      <c r="L89" s="297"/>
      <c r="M89" s="361"/>
      <c r="N89" s="297"/>
      <c r="O89" s="298">
        <v>1.0</v>
      </c>
      <c r="P89" s="297"/>
      <c r="Q89" s="297"/>
      <c r="R89" s="298" t="s">
        <v>674</v>
      </c>
      <c r="S89" s="137"/>
      <c r="T89" s="295"/>
      <c r="U89" s="137"/>
      <c r="V89" s="137"/>
      <c r="W89" s="137"/>
      <c r="X89" s="137"/>
      <c r="Y89" s="137"/>
      <c r="Z89" s="137"/>
    </row>
    <row r="90">
      <c r="A90" s="272" t="s">
        <v>779</v>
      </c>
      <c r="B90" s="281"/>
      <c r="C90" s="281"/>
      <c r="D90" s="360"/>
      <c r="E90" s="281"/>
      <c r="F90" s="281"/>
      <c r="G90" s="281"/>
      <c r="H90" s="281"/>
      <c r="I90" s="281"/>
      <c r="J90" s="281"/>
      <c r="K90" s="281"/>
      <c r="L90" s="281"/>
      <c r="M90" s="281"/>
      <c r="N90" s="281"/>
      <c r="O90" s="281"/>
      <c r="P90" s="281"/>
      <c r="Q90" s="281"/>
      <c r="R90" s="282"/>
      <c r="S90" s="281"/>
      <c r="T90" s="285"/>
      <c r="U90" s="281"/>
      <c r="V90" s="281"/>
      <c r="W90" s="281"/>
    </row>
    <row r="91">
      <c r="A91" s="281"/>
      <c r="B91" s="288" t="s">
        <v>782</v>
      </c>
      <c r="C91" s="280" t="s">
        <v>706</v>
      </c>
      <c r="D91" s="289">
        <f>ROUND((F91*'Pawn Weights'!$H$22)+(G91*'Pawn Weights'!$H$23)+(H91*'Pawn Weights'!$H$24)+(I91*'Pawn Weights'!$H$25)+(J91*'Pawn Weights'!$H$26)+(K91*'Pawn Weights'!$H$27)+(L91*'Pawn Weights'!$H$28)+(M91*'Pawn Weights'!$H$29)+(N91*'Pawn Weights'!$H$30)+(O91*'Pawn Weights'!$H$31)+(P91*'Pawn Weights'!$H$32)+(Q91*'Pawn Weights'!$H$33), 2)</f>
        <v>70.28</v>
      </c>
      <c r="E91" s="280">
        <v>28.0</v>
      </c>
      <c r="F91" s="280"/>
      <c r="G91" s="280"/>
      <c r="H91" s="280">
        <v>58.0</v>
      </c>
      <c r="I91" s="280">
        <v>28.0</v>
      </c>
      <c r="J91" s="280">
        <v>12.0</v>
      </c>
      <c r="K91" s="280"/>
      <c r="L91" s="280"/>
      <c r="M91" s="280"/>
      <c r="N91" s="280"/>
      <c r="O91" s="280"/>
      <c r="P91" s="280">
        <v>1.0</v>
      </c>
      <c r="Q91" s="280"/>
      <c r="R91" s="290" t="s">
        <v>674</v>
      </c>
      <c r="S91" s="281"/>
      <c r="T91" s="222"/>
      <c r="U91" s="281"/>
      <c r="V91" s="281"/>
      <c r="W91" s="281"/>
      <c r="X91" s="281"/>
    </row>
    <row r="92">
      <c r="A92" s="281"/>
      <c r="B92" s="288" t="s">
        <v>783</v>
      </c>
      <c r="C92" s="280" t="s">
        <v>683</v>
      </c>
      <c r="D92" s="289">
        <f>ROUND((F92*'Pawn Weights'!$H$22)+(G92*'Pawn Weights'!$H$23)+(H92*'Pawn Weights'!$H$24)+(I92*'Pawn Weights'!$H$25)+(J92*'Pawn Weights'!$H$26)+(K92*'Pawn Weights'!$H$27)+(L92*'Pawn Weights'!$H$28)+(M92*'Pawn Weights'!$H$29)+(N92*'Pawn Weights'!$H$30)+(O92*'Pawn Weights'!$H$31)+(P92*'Pawn Weights'!$H$32)+(Q92*'Pawn Weights'!$H$33), 2)</f>
        <v>68.64</v>
      </c>
      <c r="E92" s="280">
        <v>12.0</v>
      </c>
      <c r="F92" s="280">
        <v>25.0</v>
      </c>
      <c r="G92" s="280"/>
      <c r="H92" s="280"/>
      <c r="I92" s="280">
        <v>24.0</v>
      </c>
      <c r="J92" s="280">
        <v>17.0</v>
      </c>
      <c r="K92" s="280"/>
      <c r="L92" s="280"/>
      <c r="M92" s="280"/>
      <c r="N92" s="280"/>
      <c r="O92" s="280"/>
      <c r="P92" s="280"/>
      <c r="Q92" s="280">
        <v>1.0</v>
      </c>
      <c r="R92" s="290" t="s">
        <v>784</v>
      </c>
      <c r="S92" s="281"/>
      <c r="T92" s="222"/>
      <c r="U92" s="281"/>
      <c r="V92" s="281"/>
      <c r="W92" s="281"/>
      <c r="X92" s="281"/>
    </row>
    <row r="93">
      <c r="A93" s="281"/>
      <c r="B93" s="288" t="s">
        <v>785</v>
      </c>
      <c r="C93" s="280" t="s">
        <v>727</v>
      </c>
      <c r="D93" s="289">
        <f>ROUND((F93*'Pawn Weights'!$H$22)+(G93*'Pawn Weights'!$H$23)+(H93*'Pawn Weights'!$H$24)+(I93*'Pawn Weights'!$H$25)+(J93*'Pawn Weights'!$H$26)+(K93*'Pawn Weights'!$H$27)+(L93*'Pawn Weights'!$H$28)+(M93*'Pawn Weights'!$H$29)+(N93*'Pawn Weights'!$H$30)+(O93*'Pawn Weights'!$H$31)+(P93*'Pawn Weights'!$H$32)+(Q93*'Pawn Weights'!$H$33)-10+9.6+1.354, 2)</f>
        <v>64.43</v>
      </c>
      <c r="E93" s="280">
        <v>28.0</v>
      </c>
      <c r="F93" s="280"/>
      <c r="G93" s="280">
        <v>28.0</v>
      </c>
      <c r="H93" s="280">
        <v>58.0</v>
      </c>
      <c r="I93" s="280"/>
      <c r="J93" s="280">
        <v>12.0</v>
      </c>
      <c r="K93" s="280"/>
      <c r="L93" s="280"/>
      <c r="M93" s="280"/>
      <c r="N93" s="280"/>
      <c r="O93" s="280"/>
      <c r="P93" s="280">
        <v>1.0</v>
      </c>
      <c r="Q93" s="280"/>
      <c r="R93" s="290" t="s">
        <v>1088</v>
      </c>
      <c r="S93" s="281"/>
      <c r="T93" s="222"/>
      <c r="U93" s="281"/>
      <c r="V93" s="281"/>
      <c r="W93" s="281"/>
      <c r="X93" s="281"/>
    </row>
    <row r="94">
      <c r="A94" s="281"/>
      <c r="B94" s="288" t="s">
        <v>786</v>
      </c>
      <c r="C94" s="280" t="s">
        <v>706</v>
      </c>
      <c r="D94" s="289">
        <f>ROUND((F94*'Pawn Weights'!$H$22)+(G94*'Pawn Weights'!$H$23)+(H94*'Pawn Weights'!$H$24)+(I94*'Pawn Weights'!$H$25)+(J94*'Pawn Weights'!$H$26)+(K94*'Pawn Weights'!$H$27)+(L94*'Pawn Weights'!$H$28)+(M94*'Pawn Weights'!$H$29)+(N94*'Pawn Weights'!$H$30)+(O94*'Pawn Weights'!$H$31)+(P94*'Pawn Weights'!$H$32)+(Q94*'Pawn Weights'!$H$33), 2)</f>
        <v>62.48</v>
      </c>
      <c r="E94" s="280">
        <v>28.0</v>
      </c>
      <c r="F94" s="280">
        <v>35.0</v>
      </c>
      <c r="G94" s="280"/>
      <c r="H94" s="280"/>
      <c r="I94" s="280">
        <v>19.0</v>
      </c>
      <c r="J94" s="280"/>
      <c r="K94" s="280"/>
      <c r="L94" s="280"/>
      <c r="M94" s="280"/>
      <c r="N94" s="280"/>
      <c r="O94" s="280"/>
      <c r="P94" s="280">
        <v>1.0</v>
      </c>
      <c r="Q94" s="280"/>
      <c r="R94" s="290" t="s">
        <v>674</v>
      </c>
      <c r="S94" s="281"/>
      <c r="T94" s="222"/>
      <c r="U94" s="281"/>
      <c r="V94" s="281"/>
      <c r="W94" s="281"/>
      <c r="X94" s="281"/>
    </row>
    <row r="95">
      <c r="A95" s="137"/>
      <c r="B95" s="296" t="s">
        <v>795</v>
      </c>
      <c r="C95" s="297" t="s">
        <v>691</v>
      </c>
      <c r="D95" s="289">
        <f>ROUND((F95*'Pawn Weights'!$H$22)+(G95*'Pawn Weights'!$H$23)+(H95*'Pawn Weights'!$H$24)+(I95*'Pawn Weights'!$H$25)+(J95*'Pawn Weights'!$H$26)+(K95*'Pawn Weights'!$H$27)+(L95*'Pawn Weights'!$H$28)+(M95*'Pawn Weights'!$H$29)+(N95*'Pawn Weights'!$H$30)+(O95*'Pawn Weights'!$H$31)+(P95*'Pawn Weights'!$H$32)+(Q95*'Pawn Weights'!$H$33)-10+9.6+1.84, 2)</f>
        <v>62.23</v>
      </c>
      <c r="E95" s="298">
        <v>22.0</v>
      </c>
      <c r="F95" s="297"/>
      <c r="G95" s="298">
        <v>17.0</v>
      </c>
      <c r="H95" s="298">
        <v>50.0</v>
      </c>
      <c r="I95" s="298">
        <v>18.0</v>
      </c>
      <c r="J95" s="297"/>
      <c r="K95" s="297"/>
      <c r="L95" s="297"/>
      <c r="M95" s="297"/>
      <c r="N95" s="297"/>
      <c r="O95" s="297"/>
      <c r="P95" s="298">
        <v>1.0</v>
      </c>
      <c r="Q95" s="297"/>
      <c r="R95" s="298" t="s">
        <v>736</v>
      </c>
      <c r="S95" s="137"/>
      <c r="T95" s="295"/>
      <c r="U95" s="137"/>
      <c r="V95" s="137"/>
      <c r="W95" s="137"/>
      <c r="X95" s="137"/>
      <c r="Y95" s="137"/>
      <c r="Z95" s="137"/>
    </row>
    <row r="96">
      <c r="A96" s="281"/>
      <c r="B96" s="288" t="s">
        <v>789</v>
      </c>
      <c r="C96" s="280" t="s">
        <v>790</v>
      </c>
      <c r="D96" s="289">
        <f>ROUND((F96*'Pawn Weights'!$H$22)+(G96*'Pawn Weights'!$H$23)+(H96*'Pawn Weights'!$H$24)+(I96*'Pawn Weights'!$H$25)+(J96*'Pawn Weights'!$H$26)+(K96*'Pawn Weights'!$H$27)+(L96*'Pawn Weights'!$H$28)+(M96*'Pawn Weights'!$H$29)+(N96*'Pawn Weights'!$H$30)+(O96*'Pawn Weights'!$H$31)+(P96*'Pawn Weights'!$H$32)+(Q96*'Pawn Weights'!$H$33), 2)</f>
        <v>62.08</v>
      </c>
      <c r="E96" s="280">
        <v>16.0</v>
      </c>
      <c r="F96" s="280">
        <v>20.0</v>
      </c>
      <c r="G96" s="280"/>
      <c r="H96" s="280"/>
      <c r="I96" s="280">
        <v>24.0</v>
      </c>
      <c r="J96" s="280"/>
      <c r="K96" s="280"/>
      <c r="L96" s="280"/>
      <c r="M96" s="280"/>
      <c r="N96" s="280"/>
      <c r="O96" s="280">
        <v>1.0</v>
      </c>
      <c r="P96" s="280"/>
      <c r="Q96" s="280">
        <v>1.0</v>
      </c>
      <c r="R96" s="290" t="s">
        <v>698</v>
      </c>
      <c r="S96" s="281"/>
      <c r="T96" s="222"/>
      <c r="U96" s="281"/>
      <c r="V96" s="281"/>
      <c r="W96" s="281"/>
      <c r="X96" s="281"/>
    </row>
    <row r="97">
      <c r="A97" s="137" t="s">
        <v>671</v>
      </c>
      <c r="B97" s="296" t="s">
        <v>791</v>
      </c>
      <c r="C97" s="297" t="s">
        <v>792</v>
      </c>
      <c r="D97" s="289">
        <f>ROUND((F97*'Pawn Weights'!$H$22)+(G97*'Pawn Weights'!$H$23)+(H97*'Pawn Weights'!$H$24)+(I97*'Pawn Weights'!$H$25)+(J97*'Pawn Weights'!$H$26)+(K97*'Pawn Weights'!$H$27)+(L97*'Pawn Weights'!$H$28)+(M97*'Pawn Weights'!$H$29)+(N97*'Pawn Weights'!$H$30)+(O97*'Pawn Weights'!$H$31)+(P97*'Pawn Weights'!$H$32)+(Q97*'Pawn Weights'!$H$33)-10+9.6+2, 2)</f>
        <v>61.68</v>
      </c>
      <c r="E97" s="298">
        <v>40.0</v>
      </c>
      <c r="F97" s="298">
        <v>28.0</v>
      </c>
      <c r="G97" s="297"/>
      <c r="H97" s="297"/>
      <c r="I97" s="298">
        <v>24.0</v>
      </c>
      <c r="J97" s="297"/>
      <c r="K97" s="297"/>
      <c r="L97" s="297"/>
      <c r="M97" s="297"/>
      <c r="N97" s="297"/>
      <c r="O97" s="297"/>
      <c r="P97" s="298">
        <v>1.0</v>
      </c>
      <c r="Q97" s="297"/>
      <c r="R97" s="298" t="s">
        <v>784</v>
      </c>
      <c r="S97" s="137"/>
      <c r="T97" s="294" t="s">
        <v>793</v>
      </c>
      <c r="U97" s="137"/>
      <c r="V97" s="137"/>
      <c r="W97" s="137"/>
      <c r="X97" s="137"/>
      <c r="Y97" s="137"/>
      <c r="Z97" s="137"/>
    </row>
    <row r="98">
      <c r="A98" s="137"/>
      <c r="B98" s="296" t="s">
        <v>794</v>
      </c>
      <c r="C98" s="297" t="s">
        <v>691</v>
      </c>
      <c r="D98" s="289">
        <f>ROUND((F98*'Pawn Weights'!$H$22)+(G98*'Pawn Weights'!$H$23)+(H98*'Pawn Weights'!$H$24)+(I98*'Pawn Weights'!$H$25)+(J98*'Pawn Weights'!$H$26)+(K98*'Pawn Weights'!$H$27)+(L98*'Pawn Weights'!$H$28)+(M98*'Pawn Weights'!$H$29)+(N98*'Pawn Weights'!$H$30)+(O98*'Pawn Weights'!$H$31)+(P98*'Pawn Weights'!$H$32)+(Q98*'Pawn Weights'!$H$33), 2)</f>
        <v>59.9</v>
      </c>
      <c r="E98" s="298">
        <v>32.0</v>
      </c>
      <c r="F98" s="298">
        <v>32.0</v>
      </c>
      <c r="G98" s="297"/>
      <c r="H98" s="297"/>
      <c r="I98" s="297"/>
      <c r="J98" s="297"/>
      <c r="K98" s="297"/>
      <c r="L98" s="297"/>
      <c r="M98" s="298">
        <v>150.0</v>
      </c>
      <c r="N98" s="297"/>
      <c r="O98" s="297"/>
      <c r="P98" s="297"/>
      <c r="Q98" s="297"/>
      <c r="R98" s="298"/>
      <c r="S98" s="137"/>
      <c r="T98" s="295"/>
      <c r="U98" s="137"/>
      <c r="V98" s="137"/>
      <c r="W98" s="137"/>
      <c r="X98" s="137"/>
      <c r="Y98" s="137"/>
      <c r="Z98" s="137"/>
    </row>
    <row r="99">
      <c r="A99" s="281"/>
      <c r="B99" s="288" t="s">
        <v>1091</v>
      </c>
      <c r="C99" s="280" t="s">
        <v>665</v>
      </c>
      <c r="D99" s="289">
        <f>ROUND((F99*'Pawn Weights'!$H$22)+(G99*'Pawn Weights'!$H$23)+(H99*'Pawn Weights'!$H$24)+(I99*'Pawn Weights'!$H$25)+(J99*'Pawn Weights'!$H$26)+(K99*'Pawn Weights'!$H$27)+(L99*'Pawn Weights'!$H$28)+(M99*'Pawn Weights'!$H$29)+(N99*'Pawn Weights'!$H$30)+(O99*'Pawn Weights'!$H$31)+(P99*'Pawn Weights'!$H$32)+(Q99*'Pawn Weights'!$H$33), 2)</f>
        <v>56.03</v>
      </c>
      <c r="E99" s="280">
        <v>28.0</v>
      </c>
      <c r="F99" s="280"/>
      <c r="G99" s="280">
        <v>18.0</v>
      </c>
      <c r="H99" s="280">
        <v>58.0</v>
      </c>
      <c r="I99" s="280">
        <v>19.0</v>
      </c>
      <c r="J99" s="280"/>
      <c r="K99" s="280"/>
      <c r="L99" s="280"/>
      <c r="M99" s="280"/>
      <c r="N99" s="280"/>
      <c r="O99" s="280"/>
      <c r="P99" s="280"/>
      <c r="Q99" s="280"/>
      <c r="R99" s="290"/>
      <c r="S99" s="281"/>
      <c r="T99" s="294"/>
      <c r="U99" s="281"/>
      <c r="V99" s="281"/>
      <c r="W99" s="281"/>
      <c r="X99" s="281"/>
    </row>
    <row r="100">
      <c r="A100" s="292" t="s">
        <v>991</v>
      </c>
      <c r="B100" s="288" t="s">
        <v>1089</v>
      </c>
      <c r="C100" s="307" t="s">
        <v>1090</v>
      </c>
      <c r="D100" s="289">
        <f>ROUND((F100*'Pawn Weights'!$H$22)+(G100*'Pawn Weights'!$H$23)+(H100*'Pawn Weights'!$H$24)+(I100*'Pawn Weights'!$H$25)+(J100*'Pawn Weights'!$H$26)+(K100*'Pawn Weights'!$H$27)+(L100*'Pawn Weights'!$H$28)+(M100*'Pawn Weights'!$H$29)+(N100*'Pawn Weights'!$H$30)+(O100*'Pawn Weights'!$H$31)+(P100*'Pawn Weights'!$H$32)+(Q100*'Pawn Weights'!$H$33)-10+9.6+2, 2)</f>
        <v>55.92</v>
      </c>
      <c r="E100" s="280">
        <v>36.0</v>
      </c>
      <c r="F100" s="280">
        <v>25.0</v>
      </c>
      <c r="G100" s="280"/>
      <c r="H100" s="280"/>
      <c r="I100" s="280">
        <v>21.0</v>
      </c>
      <c r="J100" s="280"/>
      <c r="K100" s="280"/>
      <c r="L100" s="280"/>
      <c r="M100" s="280"/>
      <c r="N100" s="280"/>
      <c r="O100" s="280"/>
      <c r="P100" s="280">
        <v>1.0</v>
      </c>
      <c r="Q100" s="280"/>
      <c r="R100" s="290" t="s">
        <v>784</v>
      </c>
      <c r="S100" s="281"/>
      <c r="T100" s="294" t="s">
        <v>793</v>
      </c>
      <c r="U100" s="281"/>
      <c r="V100" s="281"/>
      <c r="W100" s="281"/>
      <c r="X100" s="281"/>
    </row>
    <row r="101">
      <c r="A101" s="281"/>
      <c r="B101" s="288" t="s">
        <v>1092</v>
      </c>
      <c r="C101" s="280" t="s">
        <v>957</v>
      </c>
      <c r="D101" s="289">
        <f>ROUND((F101*'Pawn Weights'!$H$22)+(G101*'Pawn Weights'!$H$23)+(H101*'Pawn Weights'!$H$24)+(I101*'Pawn Weights'!$H$25)+(J101*'Pawn Weights'!$H$26)+(K101*'Pawn Weights'!$H$27)+(L101*'Pawn Weights'!$H$28)+(M101*'Pawn Weights'!$H$29)+(N101*'Pawn Weights'!$H$30)+(O101*'Pawn Weights'!$H$31)+(P101*'Pawn Weights'!$H$32)+(Q101*'Pawn Weights'!$H$33)-10+9.6+2, 2)</f>
        <v>56.41</v>
      </c>
      <c r="E101" s="280">
        <v>18.0</v>
      </c>
      <c r="F101" s="280"/>
      <c r="G101" s="280"/>
      <c r="H101" s="280">
        <v>50.0</v>
      </c>
      <c r="I101" s="280">
        <v>24.0</v>
      </c>
      <c r="J101" s="280"/>
      <c r="K101" s="280"/>
      <c r="L101" s="280"/>
      <c r="M101" s="280"/>
      <c r="N101" s="280"/>
      <c r="O101" s="280"/>
      <c r="P101" s="280">
        <v>1.0</v>
      </c>
      <c r="Q101" s="280"/>
      <c r="R101" s="290" t="s">
        <v>674</v>
      </c>
      <c r="S101" s="281"/>
      <c r="T101" s="294"/>
      <c r="U101" s="281"/>
      <c r="V101" s="281"/>
      <c r="W101" s="281"/>
      <c r="X101" s="281"/>
    </row>
    <row r="102">
      <c r="A102" s="281"/>
      <c r="B102" s="288" t="s">
        <v>799</v>
      </c>
      <c r="C102" s="280" t="s">
        <v>691</v>
      </c>
      <c r="D102" s="289">
        <f>ROUND((F102*'Pawn Weights'!$H$22)+(G102*'Pawn Weights'!$H$23)+(H102*'Pawn Weights'!$H$24)+(I102*'Pawn Weights'!$H$25)+(J102*'Pawn Weights'!$H$26)+(K102*'Pawn Weights'!$H$27)+(L102*'Pawn Weights'!$H$28)+(M102*'Pawn Weights'!$H$29)+(N102*'Pawn Weights'!$H$30)+(O102*'Pawn Weights'!$H$31)+(P102*'Pawn Weights'!$H$32)+(Q102*'Pawn Weights'!$H$33)-10+9.6+2, 2)</f>
        <v>56.04</v>
      </c>
      <c r="E102" s="280">
        <v>21.0</v>
      </c>
      <c r="F102" s="280"/>
      <c r="G102" s="280">
        <v>18.0</v>
      </c>
      <c r="H102" s="280">
        <v>50.0</v>
      </c>
      <c r="I102" s="280"/>
      <c r="J102" s="280"/>
      <c r="K102" s="280"/>
      <c r="L102" s="280"/>
      <c r="M102" s="280">
        <v>105.0</v>
      </c>
      <c r="N102" s="280"/>
      <c r="O102" s="280"/>
      <c r="P102" s="280"/>
      <c r="Q102" s="280"/>
      <c r="R102" s="290"/>
      <c r="S102" s="281"/>
      <c r="T102" s="294"/>
      <c r="U102" s="281"/>
      <c r="V102" s="281"/>
      <c r="W102" s="281"/>
      <c r="X102" s="281"/>
    </row>
    <row r="103">
      <c r="A103" s="292" t="s">
        <v>627</v>
      </c>
      <c r="B103" s="288" t="s">
        <v>787</v>
      </c>
      <c r="C103" s="280" t="s">
        <v>788</v>
      </c>
      <c r="D103" s="289">
        <f>ROUND((F103*'Pawn Weights'!$H$22)+(G103*'Pawn Weights'!$H$23)+(H103*'Pawn Weights'!$H$24)+(I103*'Pawn Weights'!$H$25)+(J103*'Pawn Weights'!$H$26)+(K103*'Pawn Weights'!$H$27)+(L103*'Pawn Weights'!$H$28)+(M103*'Pawn Weights'!$H$29)+(N103*'Pawn Weights'!$H$30)+(O103*'Pawn Weights'!$H$31)+(P103*'Pawn Weights'!$H$32)+(Q103*'Pawn Weights'!$H$33), 2)</f>
        <v>54.25</v>
      </c>
      <c r="E103" s="280">
        <v>15.0</v>
      </c>
      <c r="F103" s="280"/>
      <c r="G103" s="280">
        <v>21.0</v>
      </c>
      <c r="H103" s="280">
        <v>56.0</v>
      </c>
      <c r="I103" s="280"/>
      <c r="J103" s="280"/>
      <c r="K103" s="280">
        <v>27.0</v>
      </c>
      <c r="L103" s="280"/>
      <c r="M103" s="280"/>
      <c r="N103" s="280"/>
      <c r="O103" s="280"/>
      <c r="P103" s="280"/>
      <c r="Q103" s="280"/>
      <c r="R103" s="290"/>
      <c r="S103" s="281"/>
      <c r="T103" s="294"/>
      <c r="U103" s="281"/>
      <c r="V103" s="281"/>
      <c r="W103" s="281"/>
      <c r="X103" s="281"/>
    </row>
    <row r="104">
      <c r="A104" s="292" t="s">
        <v>627</v>
      </c>
      <c r="B104" s="288" t="s">
        <v>796</v>
      </c>
      <c r="C104" s="280" t="s">
        <v>788</v>
      </c>
      <c r="D104" s="289">
        <f>ROUND((F104*'Pawn Weights'!$H$22)+(G104*'Pawn Weights'!$H$23)+(H104*'Pawn Weights'!$H$24)+(I104*'Pawn Weights'!$H$25)+(J104*'Pawn Weights'!$H$26)+(K104*'Pawn Weights'!$H$27)+(L104*'Pawn Weights'!$H$28)+(M104*'Pawn Weights'!$H$29)+(N104*'Pawn Weights'!$H$30)+(O104*'Pawn Weights'!$H$31)+(P104*'Pawn Weights'!$H$32)+(Q104*'Pawn Weights'!$H$33), 2)</f>
        <v>50.85</v>
      </c>
      <c r="E104" s="280">
        <v>34.0</v>
      </c>
      <c r="F104" s="280"/>
      <c r="G104" s="280">
        <v>20.0</v>
      </c>
      <c r="H104" s="280">
        <v>50.0</v>
      </c>
      <c r="I104" s="280"/>
      <c r="J104" s="280"/>
      <c r="K104" s="280">
        <v>27.0</v>
      </c>
      <c r="L104" s="280"/>
      <c r="M104" s="280"/>
      <c r="N104" s="280"/>
      <c r="O104" s="280"/>
      <c r="P104" s="280"/>
      <c r="Q104" s="280"/>
      <c r="R104" s="290"/>
      <c r="S104" s="281"/>
      <c r="T104" s="222"/>
      <c r="U104" s="281"/>
      <c r="V104" s="281"/>
      <c r="W104" s="281"/>
      <c r="X104" s="281"/>
    </row>
    <row r="105">
      <c r="A105" s="281"/>
      <c r="B105" s="288" t="s">
        <v>1207</v>
      </c>
      <c r="C105" s="307" t="s">
        <v>871</v>
      </c>
      <c r="D105" s="289">
        <f>ROUND((F105*'Pawn Weights'!$H$22)+(G105*'Pawn Weights'!$H$23)+(H105*'Pawn Weights'!$H$24)+(I105*'Pawn Weights'!$H$25)+(J105*'Pawn Weights'!$H$26)+(K105*'Pawn Weights'!$H$27)+(L105*'Pawn Weights'!$H$28)+(M105*'Pawn Weights'!$H$29)+(N105*'Pawn Weights'!$H$30)+(O105*'Pawn Weights'!$H$31)+(P105*'Pawn Weights'!$H$32)+(Q105*'Pawn Weights'!$H$33), 2)</f>
        <v>49.88</v>
      </c>
      <c r="E105" s="280">
        <v>24.0</v>
      </c>
      <c r="F105" s="280"/>
      <c r="G105" s="280">
        <v>24.0</v>
      </c>
      <c r="H105" s="280">
        <v>52.0</v>
      </c>
      <c r="I105" s="280"/>
      <c r="J105" s="280"/>
      <c r="K105" s="280"/>
      <c r="L105" s="280"/>
      <c r="M105" s="280"/>
      <c r="N105" s="280"/>
      <c r="O105" s="280"/>
      <c r="P105" s="280"/>
      <c r="Q105" s="280">
        <v>1.0</v>
      </c>
      <c r="R105" s="290" t="s">
        <v>660</v>
      </c>
      <c r="S105" s="281"/>
      <c r="T105" s="294"/>
      <c r="U105" s="281"/>
      <c r="V105" s="281"/>
      <c r="W105" s="281"/>
      <c r="X105" s="281"/>
    </row>
    <row r="106">
      <c r="A106" s="292" t="s">
        <v>627</v>
      </c>
      <c r="B106" s="288" t="s">
        <v>797</v>
      </c>
      <c r="C106" s="280" t="s">
        <v>798</v>
      </c>
      <c r="D106" s="289">
        <f>ROUND((F106*'Pawn Weights'!$H$22)+(G106*'Pawn Weights'!$H$23)+(H106*'Pawn Weights'!$H$24)+(I106*'Pawn Weights'!$H$25)+(J106*'Pawn Weights'!$H$26)+(K106*'Pawn Weights'!$H$27)+(L106*'Pawn Weights'!$H$28)+(M106*'Pawn Weights'!$H$29)+(N106*'Pawn Weights'!$H$30)+(O106*'Pawn Weights'!$H$31)+(P106*'Pawn Weights'!$H$32)+(Q106*'Pawn Weights'!$H$33), 2)</f>
        <v>49.58</v>
      </c>
      <c r="E106" s="280">
        <v>32.0</v>
      </c>
      <c r="F106" s="280">
        <v>35.0</v>
      </c>
      <c r="G106" s="280"/>
      <c r="H106" s="280"/>
      <c r="I106" s="280"/>
      <c r="J106" s="280"/>
      <c r="K106" s="280">
        <v>27.0</v>
      </c>
      <c r="L106" s="280"/>
      <c r="M106" s="280"/>
      <c r="N106" s="280"/>
      <c r="O106" s="280"/>
      <c r="P106" s="280"/>
      <c r="Q106" s="280"/>
      <c r="R106" s="290"/>
      <c r="S106" s="281"/>
      <c r="T106" s="294"/>
      <c r="U106" s="281"/>
      <c r="V106" s="281"/>
      <c r="W106" s="281"/>
      <c r="X106" s="281"/>
    </row>
    <row r="107">
      <c r="A107" s="281"/>
      <c r="B107" s="288" t="s">
        <v>1337</v>
      </c>
      <c r="C107" s="307" t="s">
        <v>1338</v>
      </c>
      <c r="D107" s="289">
        <f>ROUND((F107*'Pawn Weights'!$H$22)+(G107*'Pawn Weights'!$H$23)+(H107*'Pawn Weights'!$H$24)+(I107*'Pawn Weights'!$H$25)+(J107*'Pawn Weights'!$H$26)+(K107*'Pawn Weights'!$H$27)+(L107*'Pawn Weights'!$H$28)+(M107*'Pawn Weights'!$H$29)+(N107*'Pawn Weights'!$H$30)+(O107*'Pawn Weights'!$H$31)+(P107*'Pawn Weights'!$H$32)+(Q107*'Pawn Weights'!$H$33), 2)</f>
        <v>48.97</v>
      </c>
      <c r="E107" s="280"/>
      <c r="F107" s="280"/>
      <c r="G107" s="280">
        <v>17.0</v>
      </c>
      <c r="H107" s="280">
        <v>48.0</v>
      </c>
      <c r="I107" s="280">
        <v>17.0</v>
      </c>
      <c r="J107" s="280"/>
      <c r="K107" s="280"/>
      <c r="L107" s="280"/>
      <c r="M107" s="280"/>
      <c r="N107" s="280"/>
      <c r="O107" s="280"/>
      <c r="P107" s="280"/>
      <c r="Q107" s="280"/>
      <c r="R107" s="290"/>
      <c r="S107" s="281"/>
      <c r="T107" s="294"/>
      <c r="U107" s="281"/>
      <c r="V107" s="281"/>
      <c r="W107" s="281"/>
      <c r="X107" s="281"/>
    </row>
    <row r="108">
      <c r="A108" s="281"/>
      <c r="B108" s="288" t="s">
        <v>1425</v>
      </c>
      <c r="C108" s="307" t="s">
        <v>706</v>
      </c>
      <c r="D108" s="289">
        <f>ROUND((F108*'Pawn Weights'!$H$22)+(G108*'Pawn Weights'!$H$23)+(H108*'Pawn Weights'!$H$24)+(I108*'Pawn Weights'!$H$25)+(J108*'Pawn Weights'!$H$26)+(K108*'Pawn Weights'!$H$27)+(L108*'Pawn Weights'!$H$28)+(M108*'Pawn Weights'!$H$29)+(N108*'Pawn Weights'!$H$30)+(O108*'Pawn Weights'!$H$31)+(P108*'Pawn Weights'!$H$32)+(Q108*'Pawn Weights'!$H$33), 2)</f>
        <v>48.74</v>
      </c>
      <c r="E108" s="280">
        <v>24.0</v>
      </c>
      <c r="F108" s="280"/>
      <c r="G108" s="280">
        <v>25.0</v>
      </c>
      <c r="H108" s="280">
        <v>48.0</v>
      </c>
      <c r="I108" s="280"/>
      <c r="J108" s="280"/>
      <c r="K108" s="280"/>
      <c r="L108" s="280"/>
      <c r="M108" s="280"/>
      <c r="N108" s="280"/>
      <c r="O108" s="280"/>
      <c r="P108" s="280"/>
      <c r="Q108" s="280">
        <v>1.0</v>
      </c>
      <c r="R108" s="290" t="s">
        <v>736</v>
      </c>
      <c r="S108" s="281"/>
      <c r="T108" s="294"/>
      <c r="U108" s="281"/>
      <c r="V108" s="281"/>
      <c r="W108" s="281"/>
      <c r="X108" s="281"/>
    </row>
    <row r="109">
      <c r="A109" s="272" t="s">
        <v>800</v>
      </c>
      <c r="B109" s="281"/>
      <c r="C109" s="281"/>
      <c r="D109" s="360"/>
      <c r="E109" s="281"/>
      <c r="F109" s="281"/>
      <c r="G109" s="281"/>
      <c r="H109" s="281"/>
      <c r="I109" s="281"/>
      <c r="J109" s="281"/>
      <c r="K109" s="281"/>
      <c r="L109" s="281"/>
      <c r="M109" s="281"/>
      <c r="N109" s="281"/>
      <c r="O109" s="281"/>
      <c r="P109" s="281"/>
      <c r="Q109" s="281"/>
      <c r="R109" s="282"/>
      <c r="S109" s="281"/>
      <c r="T109" s="285"/>
      <c r="U109" s="281"/>
      <c r="V109" s="281"/>
      <c r="W109" s="281"/>
    </row>
    <row r="110">
      <c r="A110" s="137" t="s">
        <v>627</v>
      </c>
      <c r="B110" s="341" t="s">
        <v>801</v>
      </c>
      <c r="C110" s="361" t="s">
        <v>802</v>
      </c>
      <c r="D110" s="289">
        <f>ROUND((F110*'Pawn Weights'!$H$22)+(G110*'Pawn Weights'!$H$23)+(H110*'Pawn Weights'!$H$24)+(I110*'Pawn Weights'!$H$25)+(J110*'Pawn Weights'!$H$26)+(K110*'Pawn Weights'!$H$27)+(L110*'Pawn Weights'!$H$28)+(M110*'Pawn Weights'!$H$29)+(N110*'Pawn Weights'!$H$30)+(O110*'Pawn Weights'!$H$31)+(P110*'Pawn Weights'!$H$32)+(Q110*'Pawn Weights'!$H$33)+2.76, 2)</f>
        <v>140.22</v>
      </c>
      <c r="E110" s="359">
        <v>33.0</v>
      </c>
      <c r="F110" s="361"/>
      <c r="G110" s="359">
        <v>30.0</v>
      </c>
      <c r="H110" s="359">
        <v>90.0</v>
      </c>
      <c r="I110" s="359">
        <v>30.0</v>
      </c>
      <c r="J110" s="361"/>
      <c r="K110" s="361"/>
      <c r="L110" s="361"/>
      <c r="M110" s="359">
        <v>154.0</v>
      </c>
      <c r="N110" s="361"/>
      <c r="O110" s="359">
        <v>2.0</v>
      </c>
      <c r="P110" s="361"/>
      <c r="Q110" s="361"/>
      <c r="R110" s="359" t="s">
        <v>702</v>
      </c>
      <c r="S110" s="137"/>
      <c r="T110" s="137"/>
      <c r="U110" s="137"/>
      <c r="V110" s="137"/>
      <c r="W110" s="137"/>
      <c r="X110" s="137"/>
      <c r="Y110" s="137"/>
      <c r="Z110" s="137"/>
    </row>
    <row r="111">
      <c r="A111" s="137"/>
      <c r="B111" s="341" t="s">
        <v>811</v>
      </c>
      <c r="C111" s="361" t="s">
        <v>723</v>
      </c>
      <c r="D111" s="367">
        <f>ROUND((F111*'Pawn Weights'!$H$22)+(G111*'Pawn Weights'!$H$23)+(H111*'Pawn Weights'!$H$24)+(I111*'Pawn Weights'!$H$25)+(J111*'Pawn Weights'!$H$26)+(K111*'Pawn Weights'!$H$27)+(L111*'Pawn Weights'!$H$28)+(M111*'Pawn Weights'!$H$29)+(N111*'Pawn Weights'!$H$30)+(O111*'Pawn Weights'!$H$31)+(P111*'Pawn Weights'!$H$32)+(Q111*'Pawn Weights'!$H$33), 2)</f>
        <v>102.75</v>
      </c>
      <c r="E111" s="359">
        <v>37.0</v>
      </c>
      <c r="F111" s="359">
        <v>40.0</v>
      </c>
      <c r="G111" s="361"/>
      <c r="H111" s="361"/>
      <c r="I111" s="361"/>
      <c r="J111" s="359">
        <v>15.0</v>
      </c>
      <c r="K111" s="361"/>
      <c r="L111" s="361"/>
      <c r="M111" s="359">
        <v>175.0</v>
      </c>
      <c r="N111" s="361"/>
      <c r="O111" s="359">
        <v>2.0</v>
      </c>
      <c r="P111" s="361"/>
      <c r="Q111" s="361"/>
      <c r="R111" s="359" t="s">
        <v>1093</v>
      </c>
      <c r="S111" s="137"/>
      <c r="T111" s="137"/>
      <c r="U111" s="137"/>
      <c r="V111" s="137"/>
      <c r="W111" s="137"/>
      <c r="X111" s="137"/>
      <c r="Y111" s="137"/>
      <c r="Z111" s="137"/>
    </row>
    <row r="112">
      <c r="A112" s="137" t="s">
        <v>627</v>
      </c>
      <c r="B112" s="341" t="s">
        <v>805</v>
      </c>
      <c r="C112" s="361" t="s">
        <v>806</v>
      </c>
      <c r="D112" s="289">
        <f>ROUND((F112*'Pawn Weights'!$H$22)+(G112*'Pawn Weights'!$H$23)+(H112*'Pawn Weights'!$H$24)+(I112*'Pawn Weights'!$H$25)+(J112*'Pawn Weights'!$H$26)+(K112*'Pawn Weights'!$H$27)+(L112*'Pawn Weights'!$H$28)+(M112*'Pawn Weights'!$H$29)+(N112*'Pawn Weights'!$H$30)+(O112*'Pawn Weights'!$H$31)+(P112*'Pawn Weights'!$H$32)+(Q112*'Pawn Weights'!$H$33)-10+9.6+3, 2)</f>
        <v>102.68</v>
      </c>
      <c r="E112" s="359">
        <v>45.0</v>
      </c>
      <c r="F112" s="359">
        <v>45.0</v>
      </c>
      <c r="G112" s="361"/>
      <c r="H112" s="361"/>
      <c r="I112" s="361"/>
      <c r="J112" s="359">
        <v>23.0</v>
      </c>
      <c r="K112" s="359">
        <v>36.0</v>
      </c>
      <c r="L112" s="361"/>
      <c r="M112" s="137"/>
      <c r="N112" s="361"/>
      <c r="O112" s="359">
        <v>1.0</v>
      </c>
      <c r="P112" s="359">
        <v>1.0</v>
      </c>
      <c r="Q112" s="361"/>
      <c r="R112" s="359" t="s">
        <v>698</v>
      </c>
      <c r="S112" s="137"/>
      <c r="T112" s="137"/>
      <c r="U112" s="137"/>
      <c r="V112" s="137"/>
      <c r="W112" s="137"/>
      <c r="X112" s="137"/>
      <c r="Y112" s="137"/>
      <c r="Z112" s="137"/>
    </row>
    <row r="113">
      <c r="A113" s="137" t="s">
        <v>627</v>
      </c>
      <c r="B113" s="341" t="s">
        <v>808</v>
      </c>
      <c r="C113" s="361" t="s">
        <v>802</v>
      </c>
      <c r="D113" s="289">
        <f>ROUND((F113*'Pawn Weights'!$H$22)+(G113*'Pawn Weights'!$H$23)+(H113*'Pawn Weights'!$H$24)+(I113*'Pawn Weights'!$H$25)+(J113*'Pawn Weights'!$H$26)+(K113*'Pawn Weights'!$H$27)+(L113*'Pawn Weights'!$H$28)+(M113*'Pawn Weights'!$H$29)+(N113*'Pawn Weights'!$H$30)+(O113*'Pawn Weights'!$H$31)+(P113*'Pawn Weights'!$H$32)+(Q113*'Pawn Weights'!$H$33)-20+19.2+2.727, 2)</f>
        <v>95.14</v>
      </c>
      <c r="E113" s="359">
        <v>33.0</v>
      </c>
      <c r="F113" s="361"/>
      <c r="G113" s="359">
        <v>30.0</v>
      </c>
      <c r="H113" s="359">
        <v>76.0</v>
      </c>
      <c r="I113" s="361"/>
      <c r="J113" s="361"/>
      <c r="K113" s="359">
        <v>34.0</v>
      </c>
      <c r="L113" s="361"/>
      <c r="M113" s="137"/>
      <c r="N113" s="361"/>
      <c r="O113" s="361"/>
      <c r="P113" s="359">
        <v>2.0</v>
      </c>
      <c r="Q113" s="361"/>
      <c r="R113" s="359" t="s">
        <v>809</v>
      </c>
      <c r="S113" s="137"/>
      <c r="T113" s="137"/>
      <c r="U113" s="137"/>
      <c r="V113" s="137"/>
      <c r="W113" s="137"/>
      <c r="X113" s="137"/>
      <c r="Y113" s="137"/>
      <c r="Z113" s="137"/>
    </row>
    <row r="114">
      <c r="A114" s="25" t="s">
        <v>640</v>
      </c>
      <c r="B114" s="288" t="s">
        <v>813</v>
      </c>
      <c r="C114" s="280" t="s">
        <v>814</v>
      </c>
      <c r="D114" s="289">
        <f>ROUND((F114*'Pawn Weights'!$H$22)+(G114*'Pawn Weights'!$H$23)+(H114*'Pawn Weights'!$H$24)+(I114*'Pawn Weights'!$H$25)+(J114*'Pawn Weights'!$H$26)+(K114*'Pawn Weights'!$H$27)+(L114*'Pawn Weights'!$H$28)+(M114*'Pawn Weights'!$H$29)+(N114*'Pawn Weights'!$H$30)+(O114*'Pawn Weights'!$H$31)+(P114*'Pawn Weights'!$H$32)+(Q114*'Pawn Weights'!$H$33)+1.84, 2)</f>
        <v>90.08</v>
      </c>
      <c r="E114" s="280">
        <v>49.0</v>
      </c>
      <c r="F114" s="280">
        <v>41.0</v>
      </c>
      <c r="G114" s="280">
        <v>30.0</v>
      </c>
      <c r="H114" s="280"/>
      <c r="I114" s="280"/>
      <c r="J114" s="280"/>
      <c r="K114" s="280"/>
      <c r="L114" s="280"/>
      <c r="M114" s="280">
        <v>91.0</v>
      </c>
      <c r="N114" s="280"/>
      <c r="O114" s="280">
        <v>1.0</v>
      </c>
      <c r="P114" s="280"/>
      <c r="Q114" s="280"/>
      <c r="R114" s="290" t="s">
        <v>736</v>
      </c>
      <c r="S114" s="281"/>
      <c r="T114" s="291"/>
      <c r="U114" s="281"/>
      <c r="V114" s="281"/>
      <c r="W114" s="281"/>
    </row>
    <row r="115">
      <c r="A115" s="295"/>
      <c r="B115" s="296" t="s">
        <v>817</v>
      </c>
      <c r="C115" s="297" t="s">
        <v>818</v>
      </c>
      <c r="D115" s="289">
        <f>ROUND((F115*'Pawn Weights'!$H$22)+(G115*'Pawn Weights'!$H$23)+(H115*'Pawn Weights'!$H$24)+(I115*'Pawn Weights'!$H$25)+(J115*'Pawn Weights'!$H$26)+(K115*'Pawn Weights'!$H$27)+(L115*'Pawn Weights'!$H$28)+(M115*'Pawn Weights'!$H$29)+(N115*'Pawn Weights'!$H$30)+(O115*'Pawn Weights'!$H$31)+(P115*'Pawn Weights'!$H$32)+(Q115*'Pawn Weights'!$H$33)-10+9.6+1.354, 2)</f>
        <v>84.14</v>
      </c>
      <c r="E115" s="298">
        <v>30.0</v>
      </c>
      <c r="F115" s="297"/>
      <c r="G115" s="298">
        <v>34.0</v>
      </c>
      <c r="H115" s="298">
        <v>78.0</v>
      </c>
      <c r="I115" s="298">
        <v>16.0</v>
      </c>
      <c r="J115" s="297"/>
      <c r="K115" s="297"/>
      <c r="L115" s="297"/>
      <c r="M115" s="295"/>
      <c r="N115" s="297"/>
      <c r="O115" s="297"/>
      <c r="P115" s="298">
        <v>1.0</v>
      </c>
      <c r="Q115" s="297"/>
      <c r="R115" s="298" t="s">
        <v>711</v>
      </c>
      <c r="S115" s="137"/>
      <c r="T115" s="295"/>
      <c r="U115" s="137"/>
      <c r="V115" s="137"/>
      <c r="W115" s="137"/>
      <c r="X115" s="137"/>
      <c r="Y115" s="137"/>
      <c r="Z115" s="137"/>
    </row>
    <row r="116">
      <c r="A116" s="25"/>
      <c r="B116" s="288" t="s">
        <v>822</v>
      </c>
      <c r="C116" s="280" t="s">
        <v>823</v>
      </c>
      <c r="D116" s="289">
        <f>ROUND((F116*'Pawn Weights'!$H$22)+(G116*'Pawn Weights'!$H$23)+(H116*'Pawn Weights'!$H$24)+(I116*'Pawn Weights'!$H$25)+(J116*'Pawn Weights'!$H$26)+(K116*'Pawn Weights'!$H$27)+(L116*'Pawn Weights'!$H$28)+(M116*'Pawn Weights'!$H$29)+(N116*'Pawn Weights'!$H$30)+(O116*'Pawn Weights'!$H$31)+(P116*'Pawn Weights'!$H$32)+(Q116*'Pawn Weights'!$H$33), 2)</f>
        <v>77.16</v>
      </c>
      <c r="E116" s="280">
        <v>34.0</v>
      </c>
      <c r="F116" s="280">
        <v>36.0</v>
      </c>
      <c r="G116" s="280"/>
      <c r="H116" s="280"/>
      <c r="I116" s="280">
        <v>23.0</v>
      </c>
      <c r="J116" s="280"/>
      <c r="K116" s="280"/>
      <c r="L116" s="280"/>
      <c r="M116" s="281"/>
      <c r="N116" s="280"/>
      <c r="O116" s="280"/>
      <c r="P116" s="280">
        <v>1.0</v>
      </c>
      <c r="Q116" s="280">
        <v>1.0</v>
      </c>
      <c r="R116" s="290" t="s">
        <v>698</v>
      </c>
      <c r="S116" s="281"/>
      <c r="T116" s="291"/>
      <c r="U116" s="281"/>
      <c r="V116" s="281"/>
      <c r="W116" s="281"/>
    </row>
    <row r="117" ht="1.5" customHeight="1">
      <c r="A117" s="301"/>
      <c r="B117" s="288" t="s">
        <v>824</v>
      </c>
      <c r="C117" s="280" t="s">
        <v>825</v>
      </c>
      <c r="D117" s="289">
        <f>ROUND((F117*'Pawn Weights'!$H$22)+(G117*'Pawn Weights'!$H$23)+(H117*'Pawn Weights'!$H$24)+(I117*'Pawn Weights'!$H$25)+(J117*'Pawn Weights'!$H$26)+(K117*'Pawn Weights'!$H$27)+(L117*'Pawn Weights'!$H$28)+(M117*'Pawn Weights'!$H$29)+(N117*'Pawn Weights'!$H$30)+(O117*'Pawn Weights'!$H$31)+(P117*'Pawn Weights'!$H$32)+(Q117*'Pawn Weights'!$H$33), 2)</f>
        <v>76.64</v>
      </c>
      <c r="E117" s="280">
        <v>31.0</v>
      </c>
      <c r="F117" s="280"/>
      <c r="G117" s="280"/>
      <c r="H117" s="280">
        <v>72.0</v>
      </c>
      <c r="I117" s="280">
        <v>26.0</v>
      </c>
      <c r="J117" s="280"/>
      <c r="K117" s="280"/>
      <c r="L117" s="280"/>
      <c r="M117" s="281"/>
      <c r="N117" s="280"/>
      <c r="O117" s="280"/>
      <c r="P117" s="280"/>
      <c r="Q117" s="280">
        <v>2.0</v>
      </c>
      <c r="R117" s="290" t="s">
        <v>702</v>
      </c>
      <c r="S117" s="281"/>
      <c r="T117" s="291"/>
      <c r="U117" s="281"/>
      <c r="V117" s="281"/>
      <c r="W117" s="281"/>
    </row>
    <row r="118" ht="1.5" customHeight="1">
      <c r="A118" s="295" t="s">
        <v>635</v>
      </c>
      <c r="B118" s="296" t="s">
        <v>826</v>
      </c>
      <c r="C118" s="297" t="s">
        <v>637</v>
      </c>
      <c r="D118" s="367">
        <f>ROUND((F118*'Pawn Weights'!$H$22)+(G118*'Pawn Weights'!$H$23)+(H118*'Pawn Weights'!$H$24)+(I118*'Pawn Weights'!$H$25)+(J118*'Pawn Weights'!$H$26)+(K118*'Pawn Weights'!$H$27)+(L118*'Pawn Weights'!$H$28)+(M118*'Pawn Weights'!$H$29)+(N118*'Pawn Weights'!$H$30)+(O118*'Pawn Weights'!$H$31)+(P118*'Pawn Weights'!$H$32)+(Q118*'Pawn Weights'!$H$33), 2)</f>
        <v>76.04</v>
      </c>
      <c r="E118" s="298">
        <v>59.0</v>
      </c>
      <c r="F118" s="298">
        <v>42.0</v>
      </c>
      <c r="G118" s="297"/>
      <c r="H118" s="297"/>
      <c r="I118" s="298">
        <v>37.0</v>
      </c>
      <c r="J118" s="297"/>
      <c r="K118" s="297"/>
      <c r="L118" s="297"/>
      <c r="M118" s="137"/>
      <c r="N118" s="297"/>
      <c r="O118" s="297"/>
      <c r="P118" s="297"/>
      <c r="Q118" s="297"/>
      <c r="R118" s="295"/>
      <c r="S118" s="137"/>
      <c r="T118" s="297" t="s">
        <v>827</v>
      </c>
      <c r="U118" s="137"/>
      <c r="V118" s="137"/>
      <c r="W118" s="137"/>
      <c r="X118" s="137"/>
      <c r="Y118" s="137"/>
      <c r="Z118" s="137"/>
    </row>
    <row r="119">
      <c r="B119" s="288" t="s">
        <v>1094</v>
      </c>
      <c r="C119" s="280" t="s">
        <v>1025</v>
      </c>
      <c r="D119" s="289">
        <f>ROUND((F119*'Pawn Weights'!$H$22)+(G119*'Pawn Weights'!$H$23)+(H119*'Pawn Weights'!$H$24)+(I119*'Pawn Weights'!$H$25)+(J119*'Pawn Weights'!$H$26)+(K119*'Pawn Weights'!$H$27)+(L119*'Pawn Weights'!$H$28)+(M119*'Pawn Weights'!$H$29)+(N119*'Pawn Weights'!$H$30)+(O119*'Pawn Weights'!$H$31)+(P119*'Pawn Weights'!$H$32)+(Q119*'Pawn Weights'!$H$33), 2)</f>
        <v>75.56</v>
      </c>
      <c r="E119" s="280">
        <v>37.0</v>
      </c>
      <c r="F119" s="280"/>
      <c r="G119" s="280">
        <v>33.0</v>
      </c>
      <c r="H119" s="280">
        <v>66.0</v>
      </c>
      <c r="I119" s="280"/>
      <c r="J119" s="280"/>
      <c r="K119" s="280"/>
      <c r="L119" s="280">
        <v>18.0</v>
      </c>
      <c r="M119" s="281"/>
      <c r="N119" s="280"/>
      <c r="O119" s="280"/>
      <c r="P119" s="280"/>
      <c r="Q119" s="280"/>
      <c r="R119" s="290"/>
      <c r="S119" s="281"/>
      <c r="T119" s="291" t="s">
        <v>1079</v>
      </c>
      <c r="U119" s="281"/>
      <c r="V119" s="281"/>
      <c r="W119" s="281"/>
    </row>
    <row r="120">
      <c r="A120" s="295"/>
      <c r="B120" s="296" t="s">
        <v>1095</v>
      </c>
      <c r="C120" s="297" t="s">
        <v>889</v>
      </c>
      <c r="D120" s="289">
        <f>ROUND((F120*'Pawn Weights'!$H$22)+(G120*'Pawn Weights'!$H$23)+(H120*'Pawn Weights'!$H$24)+(I120*'Pawn Weights'!$H$25)+(J120*'Pawn Weights'!$H$26)+(K120*'Pawn Weights'!$H$27)+(L120*'Pawn Weights'!$H$28)+(M120*'Pawn Weights'!$H$29)+(N120*'Pawn Weights'!$H$30)+(O120*'Pawn Weights'!$H$31)+(P120*'Pawn Weights'!$H$32)+(Q120*'Pawn Weights'!$H$33)-10+9.6+2.727, 2)</f>
        <v>75.15</v>
      </c>
      <c r="E120" s="298">
        <v>27.0</v>
      </c>
      <c r="F120" s="297"/>
      <c r="G120" s="298">
        <v>20.0</v>
      </c>
      <c r="H120" s="298">
        <v>58.0</v>
      </c>
      <c r="I120" s="297"/>
      <c r="J120" s="298">
        <v>19.0</v>
      </c>
      <c r="K120" s="297"/>
      <c r="L120" s="297"/>
      <c r="M120" s="137"/>
      <c r="N120" s="297"/>
      <c r="O120" s="298">
        <v>1.0</v>
      </c>
      <c r="P120" s="298">
        <v>1.0</v>
      </c>
      <c r="Q120" s="297"/>
      <c r="R120" s="298" t="s">
        <v>809</v>
      </c>
      <c r="S120" s="137"/>
      <c r="T120" s="295"/>
      <c r="U120" s="137"/>
      <c r="V120" s="137"/>
      <c r="W120" s="137"/>
      <c r="X120" s="137"/>
      <c r="Y120" s="137"/>
      <c r="Z120" s="137"/>
    </row>
    <row r="121">
      <c r="A121" s="295"/>
      <c r="B121" s="296" t="s">
        <v>1096</v>
      </c>
      <c r="C121" s="297" t="s">
        <v>889</v>
      </c>
      <c r="D121" s="289">
        <f>ROUND((F121*'Pawn Weights'!$H$22)+(G121*'Pawn Weights'!$H$23)+(H121*'Pawn Weights'!$H$24)+(I121*'Pawn Weights'!$H$25)+(J121*'Pawn Weights'!$H$26)+(K121*'Pawn Weights'!$H$27)+(L121*'Pawn Weights'!$H$28)+(M121*'Pawn Weights'!$H$29)+(N121*'Pawn Weights'!$H$30)+(O121*'Pawn Weights'!$H$31)+(P121*'Pawn Weights'!$H$32)+(Q121*'Pawn Weights'!$H$33)-10+9.6+3, 2)</f>
        <v>73.6</v>
      </c>
      <c r="E121" s="298">
        <v>37.0</v>
      </c>
      <c r="F121" s="298">
        <v>34.0</v>
      </c>
      <c r="G121" s="297"/>
      <c r="H121" s="297"/>
      <c r="I121" s="297"/>
      <c r="J121" s="298">
        <v>25.0</v>
      </c>
      <c r="K121" s="297"/>
      <c r="L121" s="297"/>
      <c r="M121" s="137"/>
      <c r="N121" s="297"/>
      <c r="O121" s="298">
        <v>1.0</v>
      </c>
      <c r="P121" s="298">
        <v>1.0</v>
      </c>
      <c r="Q121" s="297"/>
      <c r="R121" s="298" t="s">
        <v>698</v>
      </c>
      <c r="S121" s="137"/>
      <c r="T121" s="295"/>
      <c r="U121" s="137"/>
      <c r="V121" s="137"/>
      <c r="W121" s="137"/>
      <c r="X121" s="137"/>
      <c r="Y121" s="137"/>
      <c r="Z121" s="137"/>
    </row>
    <row r="122">
      <c r="A122" s="25"/>
      <c r="B122" s="288" t="s">
        <v>815</v>
      </c>
      <c r="C122" s="280" t="s">
        <v>816</v>
      </c>
      <c r="D122" s="289">
        <f>ROUND((F122*'Pawn Weights'!$H$22)+(G122*'Pawn Weights'!$H$23)+(H122*'Pawn Weights'!$H$24)+(I122*'Pawn Weights'!$H$25)+(J122*'Pawn Weights'!$H$26)+(K122*'Pawn Weights'!$H$27)+(L122*'Pawn Weights'!$H$28)+(M122*'Pawn Weights'!$H$29)+(N122*'Pawn Weights'!$H$30)+(O122*'Pawn Weights'!$H$31)+(P122*'Pawn Weights'!$H$32)+(Q122*'Pawn Weights'!$H$33), 2)</f>
        <v>72.8</v>
      </c>
      <c r="E122" s="280">
        <v>38.0</v>
      </c>
      <c r="F122" s="280"/>
      <c r="G122" s="280">
        <v>27.0</v>
      </c>
      <c r="H122" s="280">
        <v>76.0</v>
      </c>
      <c r="I122" s="280"/>
      <c r="J122" s="280"/>
      <c r="K122" s="280">
        <v>37.0</v>
      </c>
      <c r="L122" s="280"/>
      <c r="M122" s="280"/>
      <c r="N122" s="280"/>
      <c r="O122" s="280"/>
      <c r="P122" s="280"/>
      <c r="Q122" s="280"/>
      <c r="R122" s="290"/>
      <c r="S122" s="281"/>
      <c r="T122" s="291"/>
      <c r="U122" s="281"/>
      <c r="V122" s="281"/>
      <c r="W122" s="281"/>
    </row>
    <row r="123">
      <c r="A123" s="25" t="s">
        <v>627</v>
      </c>
      <c r="B123" s="311" t="s">
        <v>1097</v>
      </c>
      <c r="C123" s="280" t="s">
        <v>904</v>
      </c>
      <c r="D123" s="289">
        <f>ROUND((F123*'Pawn Weights'!$H$22)+(G123*'Pawn Weights'!$H$23)+(H123*'Pawn Weights'!$H$24)+(I123*'Pawn Weights'!$H$25)+(J123*'Pawn Weights'!$H$26)+(K123*'Pawn Weights'!$H$27)+(L123*'Pawn Weights'!$H$28)+(M123*'Pawn Weights'!$H$29)+(N123*'Pawn Weights'!$H$30)+(O123*'Pawn Weights'!$H$31)+(P123*'Pawn Weights'!$H$32)+(Q123*'Pawn Weights'!$H$33)-10+9.6+2.727, 2)</f>
        <v>72.33</v>
      </c>
      <c r="E123" s="280"/>
      <c r="F123" s="280"/>
      <c r="G123" s="280"/>
      <c r="H123" s="280">
        <v>36.0</v>
      </c>
      <c r="I123" s="280">
        <v>24.0</v>
      </c>
      <c r="J123" s="280">
        <v>17.0</v>
      </c>
      <c r="K123" s="280"/>
      <c r="L123" s="280"/>
      <c r="M123" s="281"/>
      <c r="N123" s="280"/>
      <c r="O123" s="280">
        <v>1.0</v>
      </c>
      <c r="P123" s="280">
        <v>1.0</v>
      </c>
      <c r="Q123" s="280"/>
      <c r="R123" s="290" t="s">
        <v>809</v>
      </c>
      <c r="S123" s="281"/>
      <c r="T123" s="291"/>
      <c r="U123" s="281"/>
      <c r="V123" s="281"/>
      <c r="W123" s="281"/>
    </row>
    <row r="124">
      <c r="A124" s="25" t="s">
        <v>647</v>
      </c>
      <c r="B124" s="288" t="s">
        <v>1098</v>
      </c>
      <c r="C124" s="280" t="s">
        <v>957</v>
      </c>
      <c r="D124" s="289">
        <f>ROUND((F124*'Pawn Weights'!$H$22)+(G124*'Pawn Weights'!$H$23)+(H124*'Pawn Weights'!$H$24)+(I124*'Pawn Weights'!$H$25)+(J124*'Pawn Weights'!$H$26)+(K124*'Pawn Weights'!$H$27)+(L124*'Pawn Weights'!$H$28)+(M124*'Pawn Weights'!$H$29)+(N124*'Pawn Weights'!$H$30)+(O124*'Pawn Weights'!$H$31)+(P124*'Pawn Weights'!$H$32)+(Q124*'Pawn Weights'!$H$33), 2)</f>
        <v>71.6</v>
      </c>
      <c r="E124" s="280">
        <v>46.0</v>
      </c>
      <c r="F124" s="280">
        <v>44.0</v>
      </c>
      <c r="G124" s="280"/>
      <c r="H124" s="280"/>
      <c r="I124" s="280">
        <v>30.0</v>
      </c>
      <c r="J124" s="280"/>
      <c r="K124" s="280"/>
      <c r="L124" s="280"/>
      <c r="M124" s="281"/>
      <c r="N124" s="280"/>
      <c r="O124" s="280"/>
      <c r="P124" s="280"/>
      <c r="Q124" s="280"/>
      <c r="R124" s="290"/>
      <c r="S124" s="281"/>
      <c r="T124" s="291"/>
      <c r="U124" s="281"/>
      <c r="V124" s="281"/>
      <c r="W124" s="281"/>
    </row>
    <row r="125">
      <c r="A125" s="25"/>
      <c r="B125" s="288" t="s">
        <v>819</v>
      </c>
      <c r="C125" s="280" t="s">
        <v>716</v>
      </c>
      <c r="D125" s="289">
        <f>ROUND((F125*'Pawn Weights'!$H$22)+(G125*'Pawn Weights'!$H$23)+(H125*'Pawn Weights'!$H$24)+(I125*'Pawn Weights'!$H$25)+(J125*'Pawn Weights'!$H$26)+(K125*'Pawn Weights'!$H$27)+(L125*'Pawn Weights'!$H$28)+(M125*'Pawn Weights'!$H$29)+(N125*'Pawn Weights'!$H$30)+(O125*'Pawn Weights'!$H$31)+(P125*'Pawn Weights'!$H$32)+(Q125*'Pawn Weights'!$H$33), 2)</f>
        <v>71.45</v>
      </c>
      <c r="E125" s="280">
        <v>24.0</v>
      </c>
      <c r="F125" s="280"/>
      <c r="G125" s="280">
        <v>25.0</v>
      </c>
      <c r="H125" s="280">
        <v>76.0</v>
      </c>
      <c r="I125" s="280"/>
      <c r="J125" s="280"/>
      <c r="K125" s="280">
        <v>37.0</v>
      </c>
      <c r="L125" s="280"/>
      <c r="M125" s="281"/>
      <c r="N125" s="280"/>
      <c r="O125" s="280"/>
      <c r="P125" s="280"/>
      <c r="Q125" s="280"/>
      <c r="R125" s="290"/>
      <c r="S125" s="281"/>
      <c r="T125" s="291"/>
      <c r="U125" s="281"/>
      <c r="V125" s="281"/>
      <c r="W125" s="281"/>
    </row>
    <row r="126">
      <c r="A126" s="25"/>
      <c r="B126" s="288" t="s">
        <v>820</v>
      </c>
      <c r="C126" s="280" t="s">
        <v>821</v>
      </c>
      <c r="D126" s="289">
        <f>ROUND((F126*'Pawn Weights'!$H$22)+(G126*'Pawn Weights'!$H$23)+(H126*'Pawn Weights'!$H$24)+(I126*'Pawn Weights'!$H$25)+(J126*'Pawn Weights'!$H$26)+(K126*'Pawn Weights'!$H$27)+(L126*'Pawn Weights'!$H$28)+(M126*'Pawn Weights'!$H$29)+(N126*'Pawn Weights'!$H$30)+(O126*'Pawn Weights'!$H$31)+(P126*'Pawn Weights'!$H$32)+(Q126*'Pawn Weights'!$H$33), 2)</f>
        <v>70.76</v>
      </c>
      <c r="E126" s="280">
        <v>45.0</v>
      </c>
      <c r="F126" s="280">
        <v>38.0</v>
      </c>
      <c r="G126" s="280"/>
      <c r="H126" s="280"/>
      <c r="I126" s="280"/>
      <c r="J126" s="280">
        <v>18.0</v>
      </c>
      <c r="K126" s="280">
        <v>38.0</v>
      </c>
      <c r="L126" s="280"/>
      <c r="M126" s="280"/>
      <c r="N126" s="280"/>
      <c r="O126" s="280"/>
      <c r="P126" s="280"/>
      <c r="Q126" s="280"/>
      <c r="R126" s="290"/>
      <c r="S126" s="281"/>
      <c r="T126" s="291"/>
      <c r="U126" s="281"/>
      <c r="V126" s="281"/>
      <c r="W126" s="281"/>
    </row>
    <row r="127">
      <c r="A127" s="295"/>
      <c r="B127" s="296" t="s">
        <v>1405</v>
      </c>
      <c r="C127" s="297" t="s">
        <v>889</v>
      </c>
      <c r="D127" s="367">
        <f>ROUND((F127*'Pawn Weights'!$H$3)+(G127*'Pawn Weights'!$H$4)+(H127*'Pawn Weights'!$H$5)+(I127*'Pawn Weights'!$H$6)+(J127*'Pawn Weights'!$H$7)+(K127*'Pawn Weights'!$H$8)+(L127*'Pawn Weights'!$H$9)+(M127*'Pawn Weights'!$H$10)+(N127*'Pawn Weights'!$H$11)+(O127*'Pawn Weights'!$H$12)+(P127*'Pawn Weights'!$H$13)+(Q127*'Pawn Weights'!$H$14), 2)</f>
        <v>70.42</v>
      </c>
      <c r="E127" s="298">
        <v>28.0</v>
      </c>
      <c r="F127" s="297"/>
      <c r="G127" s="298">
        <v>30.0</v>
      </c>
      <c r="H127" s="298">
        <v>68.0</v>
      </c>
      <c r="I127" s="297"/>
      <c r="J127" s="297"/>
      <c r="K127" s="298">
        <v>25.0</v>
      </c>
      <c r="L127" s="297"/>
      <c r="M127" s="137"/>
      <c r="N127" s="297"/>
      <c r="O127" s="297"/>
      <c r="P127" s="297"/>
      <c r="Q127" s="297"/>
      <c r="R127" s="295"/>
      <c r="S127" s="137"/>
      <c r="T127" s="295"/>
      <c r="U127" s="137"/>
      <c r="V127" s="137"/>
      <c r="W127" s="137"/>
      <c r="X127" s="137"/>
      <c r="Y127" s="137"/>
      <c r="Z127" s="137"/>
    </row>
    <row r="128">
      <c r="A128" s="25" t="s">
        <v>644</v>
      </c>
      <c r="B128" s="288" t="s">
        <v>1406</v>
      </c>
      <c r="C128" s="280" t="s">
        <v>646</v>
      </c>
      <c r="D128" s="289">
        <f>ROUND((F128*'Pawn Weights'!$H$22)+(G128*'Pawn Weights'!$H$23)+(H128*'Pawn Weights'!$H$24)+(I128*'Pawn Weights'!$H$25)+(J128*'Pawn Weights'!$H$26)+(K128*'Pawn Weights'!$H$27)+(L128*'Pawn Weights'!$H$28)+(M128*'Pawn Weights'!$H$29)+(N128*'Pawn Weights'!$H$30)+(O128*'Pawn Weights'!$H$31)+(P128*'Pawn Weights'!$H$32)+(Q128*'Pawn Weights'!$H$33), 2)</f>
        <v>66.44</v>
      </c>
      <c r="E128" s="280">
        <v>52.0</v>
      </c>
      <c r="F128" s="280">
        <v>37.0</v>
      </c>
      <c r="G128" s="280"/>
      <c r="H128" s="280"/>
      <c r="I128" s="280">
        <v>32.0</v>
      </c>
      <c r="J128" s="280"/>
      <c r="K128" s="280"/>
      <c r="L128" s="280"/>
      <c r="M128" s="281"/>
      <c r="N128" s="280"/>
      <c r="O128" s="280"/>
      <c r="P128" s="280"/>
      <c r="Q128" s="280"/>
      <c r="R128" s="290"/>
      <c r="S128" s="281"/>
      <c r="T128" s="291" t="s">
        <v>827</v>
      </c>
      <c r="U128" s="281"/>
      <c r="V128" s="281"/>
      <c r="W128" s="281"/>
    </row>
    <row r="129">
      <c r="A129" s="25" t="s">
        <v>1068</v>
      </c>
      <c r="B129" s="288" t="s">
        <v>1426</v>
      </c>
      <c r="C129" s="280" t="s">
        <v>997</v>
      </c>
      <c r="D129" s="289">
        <f>ROUND((F129*'Pawn Weights'!$H$22)+(G129*'Pawn Weights'!$H$23)+(H129*'Pawn Weights'!$H$24)+(I129*'Pawn Weights'!$H$25)+(J129*'Pawn Weights'!$H$26)+(K129*'Pawn Weights'!$H$27)+(L129*'Pawn Weights'!$H$28)+(M129*'Pawn Weights'!$H$29)+(N129*'Pawn Weights'!$H$30)+(O129*'Pawn Weights'!$H$31)+(P129*'Pawn Weights'!$H$32)+(Q129*'Pawn Weights'!$H$33), 2)</f>
        <v>59.68</v>
      </c>
      <c r="E129" s="280">
        <v>46.0</v>
      </c>
      <c r="F129" s="280">
        <v>33.0</v>
      </c>
      <c r="G129" s="280"/>
      <c r="H129" s="280"/>
      <c r="I129" s="280">
        <v>29.0</v>
      </c>
      <c r="J129" s="280"/>
      <c r="K129" s="280"/>
      <c r="L129" s="280"/>
      <c r="M129" s="281"/>
      <c r="N129" s="280"/>
      <c r="O129" s="280"/>
      <c r="P129" s="280"/>
      <c r="Q129" s="280"/>
      <c r="R129" s="290"/>
      <c r="S129" s="281"/>
      <c r="T129" s="291" t="s">
        <v>827</v>
      </c>
      <c r="U129" s="281"/>
      <c r="V129" s="281"/>
      <c r="W129" s="281"/>
    </row>
    <row r="130">
      <c r="A130" s="272" t="s">
        <v>828</v>
      </c>
      <c r="B130" s="281"/>
      <c r="C130" s="281"/>
      <c r="D130" s="360"/>
      <c r="E130" s="281"/>
      <c r="F130" s="281"/>
      <c r="G130" s="281"/>
      <c r="H130" s="281"/>
      <c r="I130" s="281"/>
      <c r="J130" s="281"/>
      <c r="K130" s="281"/>
      <c r="L130" s="281"/>
      <c r="M130" s="281"/>
      <c r="N130" s="281"/>
      <c r="O130" s="281"/>
      <c r="P130" s="281"/>
      <c r="Q130" s="281"/>
      <c r="R130" s="282"/>
      <c r="S130" s="281"/>
      <c r="T130" s="285"/>
      <c r="U130" s="281"/>
      <c r="V130" s="281"/>
      <c r="W130" s="281"/>
    </row>
    <row r="131">
      <c r="A131" s="292"/>
      <c r="B131" s="288" t="s">
        <v>830</v>
      </c>
      <c r="C131" s="280" t="s">
        <v>649</v>
      </c>
      <c r="D131" s="289">
        <f>ROUND((F131*'Pawn Weights'!$H$22)+(G131*'Pawn Weights'!$H$23)+(H131*'Pawn Weights'!$H$24)+(I131*'Pawn Weights'!$H$25)+(J131*'Pawn Weights'!$H$26)+(K131*'Pawn Weights'!$H$27)+(L131*'Pawn Weights'!$H$28)+(M131*'Pawn Weights'!$H$29)+(N131*'Pawn Weights'!$H$30)+(O131*'Pawn Weights'!$H$31)+(P131*'Pawn Weights'!$H$32)+(Q131*'Pawn Weights'!$H$33), 2)</f>
        <v>105.52</v>
      </c>
      <c r="E131" s="280">
        <v>25.0</v>
      </c>
      <c r="F131" s="280"/>
      <c r="G131" s="280">
        <v>29.0</v>
      </c>
      <c r="H131" s="280">
        <v>74.0</v>
      </c>
      <c r="I131" s="280"/>
      <c r="J131" s="280"/>
      <c r="K131" s="280"/>
      <c r="L131" s="280">
        <v>25.0</v>
      </c>
      <c r="M131" s="281"/>
      <c r="N131" s="280"/>
      <c r="O131" s="280">
        <v>1.0</v>
      </c>
      <c r="P131" s="280"/>
      <c r="Q131" s="280">
        <v>1.0</v>
      </c>
      <c r="R131" s="290" t="s">
        <v>695</v>
      </c>
      <c r="S131" s="281"/>
      <c r="T131" s="291" t="s">
        <v>1079</v>
      </c>
      <c r="U131" s="281"/>
      <c r="V131" s="281"/>
      <c r="W131" s="281"/>
    </row>
    <row r="132">
      <c r="A132" s="292"/>
      <c r="B132" s="288" t="s">
        <v>833</v>
      </c>
      <c r="C132" s="280" t="s">
        <v>816</v>
      </c>
      <c r="D132" s="289">
        <f>ROUND((F132*'Pawn Weights'!$H$22)+(G132*'Pawn Weights'!$H$23)+(H132*'Pawn Weights'!$H$24)+(I132*'Pawn Weights'!$H$25)+(J132*'Pawn Weights'!$H$26)+(K132*'Pawn Weights'!$H$27)+(L132*'Pawn Weights'!$H$28)+(M132*'Pawn Weights'!$H$29)+(N132*'Pawn Weights'!$H$30)+(O132*'Pawn Weights'!$H$31)+(P132*'Pawn Weights'!$H$32)+(Q132*'Pawn Weights'!$H$33), 2)</f>
        <v>93.91</v>
      </c>
      <c r="E132" s="280"/>
      <c r="F132" s="280"/>
      <c r="G132" s="280">
        <v>38.0</v>
      </c>
      <c r="H132" s="280">
        <v>76.0</v>
      </c>
      <c r="I132" s="280">
        <v>24.0</v>
      </c>
      <c r="J132" s="280">
        <v>17.0</v>
      </c>
      <c r="K132" s="280"/>
      <c r="L132" s="280"/>
      <c r="M132" s="281"/>
      <c r="N132" s="280"/>
      <c r="O132" s="280"/>
      <c r="P132" s="280"/>
      <c r="Q132" s="280"/>
      <c r="R132" s="290"/>
      <c r="S132" s="281"/>
      <c r="T132" s="291"/>
      <c r="U132" s="281"/>
      <c r="V132" s="281"/>
      <c r="W132" s="281"/>
    </row>
    <row r="133">
      <c r="A133" s="292" t="s">
        <v>627</v>
      </c>
      <c r="B133" s="288" t="s">
        <v>836</v>
      </c>
      <c r="C133" s="280" t="s">
        <v>837</v>
      </c>
      <c r="D133" s="289">
        <f>ROUND((F133*'Pawn Weights'!$H$22)+(G133*'Pawn Weights'!$H$23)+(H133*'Pawn Weights'!$H$24)+(I133*'Pawn Weights'!$H$25)+(J133*'Pawn Weights'!$H$26)+(K133*'Pawn Weights'!$H$27)+(L133*'Pawn Weights'!$H$28)+(M133*'Pawn Weights'!$H$29)+(N133*'Pawn Weights'!$H$30)+(O133*'Pawn Weights'!$H$31)+(P133*'Pawn Weights'!$H$32)+(Q133*'Pawn Weights'!$H$33), 2)</f>
        <v>92.6</v>
      </c>
      <c r="E133" s="280">
        <v>21.0</v>
      </c>
      <c r="F133" s="280">
        <v>41.0</v>
      </c>
      <c r="G133" s="280"/>
      <c r="H133" s="280"/>
      <c r="I133" s="280">
        <v>24.0</v>
      </c>
      <c r="J133" s="280">
        <v>14.0</v>
      </c>
      <c r="K133" s="280"/>
      <c r="L133" s="280"/>
      <c r="M133" s="281"/>
      <c r="N133" s="280"/>
      <c r="O133" s="280"/>
      <c r="P133" s="280">
        <v>1.0</v>
      </c>
      <c r="Q133" s="280">
        <v>1.0</v>
      </c>
      <c r="R133" s="290" t="s">
        <v>702</v>
      </c>
      <c r="S133" s="281"/>
      <c r="T133" s="291"/>
      <c r="U133" s="281"/>
      <c r="V133" s="281"/>
      <c r="W133" s="281"/>
    </row>
    <row r="134">
      <c r="A134" s="295"/>
      <c r="B134" s="296" t="s">
        <v>831</v>
      </c>
      <c r="C134" s="297" t="s">
        <v>718</v>
      </c>
      <c r="D134" s="289">
        <f>ROUND((F134*'Pawn Weights'!$H$22)+(G134*'Pawn Weights'!$H$23)+(H134*'Pawn Weights'!$H$24)+(I134*'Pawn Weights'!$H$25)+(J134*'Pawn Weights'!$H$26)+(K134*'Pawn Weights'!$H$27)+(L134*'Pawn Weights'!$H$28)+(M134*'Pawn Weights'!$H$29)+(N134*'Pawn Weights'!$H$30)+(O134*'Pawn Weights'!$H$31)+(P134*'Pawn Weights'!$H$32)+(Q134*'Pawn Weights'!$H$33), 2)</f>
        <v>92.16</v>
      </c>
      <c r="E134" s="298">
        <v>37.0</v>
      </c>
      <c r="F134" s="298">
        <v>34.0</v>
      </c>
      <c r="G134" s="297"/>
      <c r="H134" s="297"/>
      <c r="I134" s="297"/>
      <c r="J134" s="298">
        <v>14.0</v>
      </c>
      <c r="K134" s="297"/>
      <c r="L134" s="297"/>
      <c r="M134" s="359">
        <v>154.0</v>
      </c>
      <c r="N134" s="297"/>
      <c r="O134" s="298">
        <v>1.0</v>
      </c>
      <c r="P134" s="297"/>
      <c r="Q134" s="298">
        <v>1.0</v>
      </c>
      <c r="R134" s="298" t="s">
        <v>832</v>
      </c>
      <c r="S134" s="137"/>
      <c r="T134" s="295"/>
      <c r="U134" s="137"/>
      <c r="V134" s="137"/>
      <c r="W134" s="137"/>
      <c r="X134" s="137"/>
      <c r="Y134" s="137"/>
      <c r="Z134" s="137"/>
    </row>
    <row r="135">
      <c r="A135" s="292"/>
      <c r="B135" s="288" t="s">
        <v>834</v>
      </c>
      <c r="C135" s="280" t="s">
        <v>835</v>
      </c>
      <c r="D135" s="289">
        <f>ROUND((F135*'Pawn Weights'!$H$22)+(G135*'Pawn Weights'!$H$23)+(H135*'Pawn Weights'!$H$24)+(I135*'Pawn Weights'!$H$25)+(J135*'Pawn Weights'!$H$26)+(K135*'Pawn Weights'!$H$27)+(L135*'Pawn Weights'!$H$28)+(M135*'Pawn Weights'!$H$29)+(N135*'Pawn Weights'!$H$30)+(O135*'Pawn Weights'!$H$31)+(P135*'Pawn Weights'!$H$32)+(Q135*'Pawn Weights'!$H$33), 2)</f>
        <v>91.66</v>
      </c>
      <c r="E135" s="280">
        <v>37.0</v>
      </c>
      <c r="F135" s="280"/>
      <c r="G135" s="280">
        <v>29.0</v>
      </c>
      <c r="H135" s="280">
        <v>76.0</v>
      </c>
      <c r="I135" s="280">
        <v>19.0</v>
      </c>
      <c r="J135" s="280"/>
      <c r="K135" s="280"/>
      <c r="L135" s="280"/>
      <c r="M135" s="281"/>
      <c r="N135" s="280"/>
      <c r="O135" s="280">
        <v>1.0</v>
      </c>
      <c r="P135" s="280">
        <v>1.0</v>
      </c>
      <c r="Q135" s="280"/>
      <c r="R135" s="290" t="s">
        <v>812</v>
      </c>
      <c r="S135" s="281"/>
      <c r="T135" s="291"/>
      <c r="U135" s="281"/>
      <c r="V135" s="281"/>
      <c r="W135" s="281"/>
    </row>
    <row r="136">
      <c r="A136" s="295"/>
      <c r="B136" s="296" t="s">
        <v>838</v>
      </c>
      <c r="C136" s="297" t="s">
        <v>839</v>
      </c>
      <c r="D136" s="289">
        <f>ROUND((F136*'Pawn Weights'!$H$22)+(G136*'Pawn Weights'!$H$23)+(H136*'Pawn Weights'!$H$24)+(I136*'Pawn Weights'!$H$25)+(J136*'Pawn Weights'!$H$26)+(K136*'Pawn Weights'!$H$27)+(L136*'Pawn Weights'!$H$28)+(M136*'Pawn Weights'!$H$29)+(N136*'Pawn Weights'!$H$30)+(O136*'Pawn Weights'!$H$31)+(P136*'Pawn Weights'!$H$32)+(Q136*'Pawn Weights'!$H$33), 2)</f>
        <v>86.93</v>
      </c>
      <c r="E136" s="298">
        <v>27.0</v>
      </c>
      <c r="F136" s="297"/>
      <c r="G136" s="298">
        <v>25.0</v>
      </c>
      <c r="H136" s="298">
        <v>58.0</v>
      </c>
      <c r="I136" s="298">
        <v>21.0</v>
      </c>
      <c r="J136" s="297"/>
      <c r="K136" s="297"/>
      <c r="L136" s="297"/>
      <c r="M136" s="359">
        <v>77.0</v>
      </c>
      <c r="N136" s="297"/>
      <c r="O136" s="297"/>
      <c r="P136" s="297"/>
      <c r="Q136" s="298">
        <v>1.0</v>
      </c>
      <c r="R136" s="298" t="s">
        <v>660</v>
      </c>
      <c r="S136" s="137"/>
      <c r="T136" s="295"/>
      <c r="U136" s="137"/>
      <c r="V136" s="137"/>
      <c r="W136" s="137"/>
      <c r="X136" s="137"/>
      <c r="Y136" s="137"/>
      <c r="Z136" s="137"/>
    </row>
    <row r="137">
      <c r="A137" s="295"/>
      <c r="B137" s="296" t="s">
        <v>843</v>
      </c>
      <c r="C137" s="297" t="s">
        <v>844</v>
      </c>
      <c r="D137" s="289">
        <f>ROUND((F137*'Pawn Weights'!$H$22)+(G137*'Pawn Weights'!$H$23)+(H137*'Pawn Weights'!$H$24)+(I137*'Pawn Weights'!$H$25)+(J137*'Pawn Weights'!$H$26)+(K137*'Pawn Weights'!$H$27)+(L137*'Pawn Weights'!$H$28)+(M137*'Pawn Weights'!$H$29)+(N137*'Pawn Weights'!$H$30)+(O137*'Pawn Weights'!$H$31)+(P137*'Pawn Weights'!$H$32)+(Q137*'Pawn Weights'!$H$33), 2)</f>
        <v>84.11</v>
      </c>
      <c r="E137" s="298">
        <v>33.0</v>
      </c>
      <c r="F137" s="297"/>
      <c r="G137" s="298">
        <v>34.0</v>
      </c>
      <c r="H137" s="298">
        <v>78.0</v>
      </c>
      <c r="I137" s="297"/>
      <c r="J137" s="298">
        <v>23.0</v>
      </c>
      <c r="K137" s="297"/>
      <c r="L137" s="297"/>
      <c r="M137" s="137"/>
      <c r="N137" s="297"/>
      <c r="O137" s="297"/>
      <c r="P137" s="298">
        <v>1.0</v>
      </c>
      <c r="Q137" s="297"/>
      <c r="R137" s="298" t="s">
        <v>711</v>
      </c>
      <c r="S137" s="137"/>
      <c r="T137" s="295"/>
      <c r="U137" s="137"/>
      <c r="V137" s="137"/>
      <c r="W137" s="137"/>
      <c r="X137" s="137"/>
      <c r="Y137" s="137"/>
      <c r="Z137" s="137"/>
    </row>
    <row r="138">
      <c r="A138" s="292" t="s">
        <v>627</v>
      </c>
      <c r="B138" s="288" t="s">
        <v>845</v>
      </c>
      <c r="C138" s="280" t="s">
        <v>846</v>
      </c>
      <c r="D138" s="289">
        <f>ROUND((F138*'Pawn Weights'!$H$22)+(G138*'Pawn Weights'!$H$23)+(H138*'Pawn Weights'!$H$24)+(I138*'Pawn Weights'!$H$25)+(J138*'Pawn Weights'!$H$26)+(K138*'Pawn Weights'!$H$27)+(L138*'Pawn Weights'!$H$28)+(M138*'Pawn Weights'!$H$29)+(N138*'Pawn Weights'!$H$30)+(O138*'Pawn Weights'!$H$31)+(P138*'Pawn Weights'!$H$32)+(Q138*'Pawn Weights'!$H$33), 2)</f>
        <v>83.9</v>
      </c>
      <c r="E138" s="280">
        <v>14.0</v>
      </c>
      <c r="F138" s="280"/>
      <c r="G138" s="280">
        <v>32.0</v>
      </c>
      <c r="H138" s="280">
        <v>66.0</v>
      </c>
      <c r="I138" s="280"/>
      <c r="J138" s="280">
        <v>18.0</v>
      </c>
      <c r="K138" s="280"/>
      <c r="L138" s="280"/>
      <c r="M138" s="281"/>
      <c r="N138" s="280"/>
      <c r="O138" s="280"/>
      <c r="P138" s="280"/>
      <c r="Q138" s="280">
        <v>2.0</v>
      </c>
      <c r="R138" s="290" t="s">
        <v>695</v>
      </c>
      <c r="S138" s="281"/>
      <c r="T138" s="291"/>
      <c r="U138" s="281"/>
      <c r="V138" s="281"/>
      <c r="W138" s="281"/>
    </row>
    <row r="139">
      <c r="A139" s="281"/>
      <c r="B139" s="288" t="s">
        <v>847</v>
      </c>
      <c r="C139" s="280" t="s">
        <v>825</v>
      </c>
      <c r="D139" s="289">
        <f>ROUND((F139*'Pawn Weights'!$H$22)+(G139*'Pawn Weights'!$H$23)+(H139*'Pawn Weights'!$H$24)+(I139*'Pawn Weights'!$H$25)+(J139*'Pawn Weights'!$H$26)+(K139*'Pawn Weights'!$H$27)+(L139*'Pawn Weights'!$H$28)+(M139*'Pawn Weights'!$H$29)+(N139*'Pawn Weights'!$H$30)+(O139*'Pawn Weights'!$H$31)+(P139*'Pawn Weights'!$H$32)+(Q139*'Pawn Weights'!$H$33), 2)</f>
        <v>79.76</v>
      </c>
      <c r="E139" s="280">
        <v>30.0</v>
      </c>
      <c r="F139" s="280">
        <v>34.0</v>
      </c>
      <c r="G139" s="280"/>
      <c r="H139" s="280"/>
      <c r="I139" s="280">
        <v>28.0</v>
      </c>
      <c r="J139" s="280"/>
      <c r="K139" s="280"/>
      <c r="L139" s="280"/>
      <c r="M139" s="281"/>
      <c r="N139" s="280"/>
      <c r="O139" s="280">
        <v>1.0</v>
      </c>
      <c r="P139" s="280"/>
      <c r="Q139" s="280">
        <v>1.0</v>
      </c>
      <c r="R139" s="290" t="s">
        <v>702</v>
      </c>
      <c r="S139" s="281"/>
      <c r="T139" s="291"/>
      <c r="U139" s="281"/>
      <c r="V139" s="281"/>
      <c r="W139" s="281"/>
    </row>
    <row r="140">
      <c r="A140" s="292" t="s">
        <v>627</v>
      </c>
      <c r="B140" s="288" t="s">
        <v>1099</v>
      </c>
      <c r="C140" s="280" t="s">
        <v>846</v>
      </c>
      <c r="D140" s="289">
        <f>ROUND((F140*'Pawn Weights'!$H$22)+(G140*'Pawn Weights'!$H$23)+(H140*'Pawn Weights'!$H$24)+(I140*'Pawn Weights'!$H$25)+(J140*'Pawn Weights'!$H$26)+(K140*'Pawn Weights'!$H$27)+(L140*'Pawn Weights'!$H$28)+(M140*'Pawn Weights'!$H$29)+(N140*'Pawn Weights'!$H$30)+(O140*'Pawn Weights'!$H$31)+(P140*'Pawn Weights'!$H$32)+(Q140*'Pawn Weights'!$H$33), 2)</f>
        <v>77.15</v>
      </c>
      <c r="E140" s="280">
        <v>20.0</v>
      </c>
      <c r="F140" s="280"/>
      <c r="G140" s="280">
        <v>17.0</v>
      </c>
      <c r="H140" s="280">
        <v>66.0</v>
      </c>
      <c r="I140" s="280">
        <v>17.0</v>
      </c>
      <c r="J140" s="280"/>
      <c r="K140" s="280"/>
      <c r="L140" s="280"/>
      <c r="M140" s="281"/>
      <c r="N140" s="280"/>
      <c r="O140" s="280"/>
      <c r="P140" s="280">
        <v>1.0</v>
      </c>
      <c r="Q140" s="280">
        <v>1.0</v>
      </c>
      <c r="R140" s="290" t="s">
        <v>695</v>
      </c>
      <c r="S140" s="281"/>
      <c r="T140" s="291"/>
      <c r="U140" s="281"/>
      <c r="V140" s="281"/>
      <c r="W140" s="281"/>
    </row>
    <row r="141">
      <c r="A141" s="295" t="s">
        <v>671</v>
      </c>
      <c r="B141" s="296" t="s">
        <v>848</v>
      </c>
      <c r="C141" s="297" t="s">
        <v>849</v>
      </c>
      <c r="D141" s="289">
        <f>ROUND((F141*'Pawn Weights'!$H$22)+(G141*'Pawn Weights'!$H$23)+(H141*'Pawn Weights'!$H$24)+(I141*'Pawn Weights'!$H$25)+(J141*'Pawn Weights'!$H$26)+(K141*'Pawn Weights'!$H$27)+(L141*'Pawn Weights'!$H$28)+(M141*'Pawn Weights'!$H$29)+(N141*'Pawn Weights'!$H$30)+(O141*'Pawn Weights'!$H$31)+(P141*'Pawn Weights'!$H$32)+(Q141*'Pawn Weights'!$H$33), 2)</f>
        <v>76.8</v>
      </c>
      <c r="E141" s="298">
        <v>56.0</v>
      </c>
      <c r="F141" s="298">
        <v>40.0</v>
      </c>
      <c r="G141" s="297"/>
      <c r="H141" s="297"/>
      <c r="I141" s="298">
        <v>40.0</v>
      </c>
      <c r="J141" s="297"/>
      <c r="K141" s="297"/>
      <c r="L141" s="297"/>
      <c r="M141" s="137"/>
      <c r="N141" s="297"/>
      <c r="O141" s="297"/>
      <c r="P141" s="297"/>
      <c r="Q141" s="297"/>
      <c r="R141" s="295"/>
      <c r="S141" s="137"/>
      <c r="T141" s="297" t="s">
        <v>850</v>
      </c>
      <c r="U141" s="137"/>
      <c r="V141" s="137"/>
      <c r="W141" s="137"/>
      <c r="X141" s="137"/>
      <c r="Y141" s="137"/>
      <c r="Z141" s="137"/>
    </row>
    <row r="142">
      <c r="A142" s="281"/>
      <c r="B142" s="288" t="s">
        <v>1100</v>
      </c>
      <c r="C142" s="280" t="s">
        <v>823</v>
      </c>
      <c r="D142" s="289">
        <f>ROUND((F142*'Pawn Weights'!$H$22)+(G142*'Pawn Weights'!$H$23)+(H142*'Pawn Weights'!$H$24)+(I142*'Pawn Weights'!$H$25)+(J142*'Pawn Weights'!$H$26)+(K142*'Pawn Weights'!$H$27)+(L142*'Pawn Weights'!$H$28)+(M142*'Pawn Weights'!$H$29)+(N142*'Pawn Weights'!$H$30)+(O142*'Pawn Weights'!$H$31)+(P142*'Pawn Weights'!$H$32)+(Q142*'Pawn Weights'!$H$33), 2)</f>
        <v>75.72</v>
      </c>
      <c r="E142" s="280">
        <v>27.0</v>
      </c>
      <c r="F142" s="280"/>
      <c r="G142" s="280"/>
      <c r="H142" s="280">
        <v>72.0</v>
      </c>
      <c r="I142" s="280">
        <v>25.0</v>
      </c>
      <c r="J142" s="280"/>
      <c r="K142" s="280"/>
      <c r="L142" s="280"/>
      <c r="M142" s="281"/>
      <c r="N142" s="280"/>
      <c r="O142" s="280"/>
      <c r="P142" s="280">
        <v>1.0</v>
      </c>
      <c r="Q142" s="280">
        <v>1.0</v>
      </c>
      <c r="R142" s="290" t="s">
        <v>702</v>
      </c>
      <c r="S142" s="281"/>
      <c r="T142" s="291"/>
      <c r="U142" s="281"/>
      <c r="V142" s="281"/>
      <c r="W142" s="281"/>
    </row>
    <row r="143">
      <c r="A143" s="292"/>
      <c r="B143" s="288" t="s">
        <v>840</v>
      </c>
      <c r="C143" s="280" t="s">
        <v>723</v>
      </c>
      <c r="D143" s="289">
        <f>ROUND((F143*'Pawn Weights'!$H$22)+(G143*'Pawn Weights'!$H$23)+(H143*'Pawn Weights'!$H$24)+(I143*'Pawn Weights'!$H$25)+(J143*'Pawn Weights'!$H$26)+(K143*'Pawn Weights'!$H$27)+(L143*'Pawn Weights'!$H$28)+(M143*'Pawn Weights'!$H$29)+(N143*'Pawn Weights'!$H$30)+(O143*'Pawn Weights'!$H$31)+(P143*'Pawn Weights'!$H$32)+(Q143*'Pawn Weights'!$H$33), 2)</f>
        <v>72.8</v>
      </c>
      <c r="E143" s="280">
        <v>38.0</v>
      </c>
      <c r="F143" s="280"/>
      <c r="G143" s="280">
        <v>27.0</v>
      </c>
      <c r="H143" s="280">
        <v>76.0</v>
      </c>
      <c r="I143" s="280"/>
      <c r="J143" s="280"/>
      <c r="K143" s="280">
        <v>37.0</v>
      </c>
      <c r="L143" s="280"/>
      <c r="M143" s="281"/>
      <c r="N143" s="280"/>
      <c r="O143" s="280"/>
      <c r="P143" s="280"/>
      <c r="Q143" s="280"/>
      <c r="R143" s="290"/>
      <c r="S143" s="281"/>
      <c r="T143" s="291"/>
      <c r="U143" s="281"/>
      <c r="V143" s="281"/>
      <c r="W143" s="281"/>
    </row>
    <row r="144">
      <c r="A144" s="292"/>
      <c r="B144" s="288" t="s">
        <v>841</v>
      </c>
      <c r="C144" s="280" t="s">
        <v>842</v>
      </c>
      <c r="D144" s="289">
        <f>ROUND((F144*'Pawn Weights'!$H$22)+(G144*'Pawn Weights'!$H$23)+(H144*'Pawn Weights'!$H$24)+(I144*'Pawn Weights'!$H$25)+(J144*'Pawn Weights'!$H$26)+(K144*'Pawn Weights'!$H$27)+(L144*'Pawn Weights'!$H$28)+(M144*'Pawn Weights'!$H$29)+(N144*'Pawn Weights'!$H$30)+(O144*'Pawn Weights'!$H$31)+(P144*'Pawn Weights'!$H$32)+(Q144*'Pawn Weights'!$H$33), 2)</f>
        <v>72.26</v>
      </c>
      <c r="E144" s="280">
        <v>25.0</v>
      </c>
      <c r="F144" s="280"/>
      <c r="G144" s="280">
        <v>27.0</v>
      </c>
      <c r="H144" s="280">
        <v>76.0</v>
      </c>
      <c r="I144" s="280"/>
      <c r="J144" s="280"/>
      <c r="K144" s="280">
        <v>36.0</v>
      </c>
      <c r="L144" s="280"/>
      <c r="M144" s="281"/>
      <c r="N144" s="280"/>
      <c r="O144" s="280"/>
      <c r="P144" s="280"/>
      <c r="Q144" s="280"/>
      <c r="R144" s="290"/>
      <c r="S144" s="281"/>
      <c r="T144" s="291"/>
      <c r="U144" s="281"/>
      <c r="V144" s="281"/>
      <c r="W144" s="281"/>
    </row>
    <row r="145">
      <c r="A145" s="281"/>
      <c r="B145" s="288" t="s">
        <v>1408</v>
      </c>
      <c r="C145" s="280" t="s">
        <v>842</v>
      </c>
      <c r="D145" s="289">
        <f>ROUND((F145*'Pawn Weights'!$H$22)+(G145*'Pawn Weights'!$H$23)+(H145*'Pawn Weights'!$H$24)+(I145*'Pawn Weights'!$H$25)+(J145*'Pawn Weights'!$H$26)+(K145*'Pawn Weights'!$H$27)+(L145*'Pawn Weights'!$H$28)+(M145*'Pawn Weights'!$H$29)+(N145*'Pawn Weights'!$H$30)+(O145*'Pawn Weights'!$H$31)+(P145*'Pawn Weights'!$H$32)+(Q145*'Pawn Weights'!$H$33), 2)</f>
        <v>68.52</v>
      </c>
      <c r="E145" s="280">
        <v>37.0</v>
      </c>
      <c r="F145" s="280">
        <v>48.0</v>
      </c>
      <c r="G145" s="280"/>
      <c r="H145" s="280"/>
      <c r="I145" s="280"/>
      <c r="J145" s="280"/>
      <c r="K145" s="280">
        <v>38.0</v>
      </c>
      <c r="L145" s="280"/>
      <c r="M145" s="281"/>
      <c r="N145" s="280"/>
      <c r="O145" s="280"/>
      <c r="P145" s="280"/>
      <c r="Q145" s="280"/>
      <c r="R145" s="290"/>
      <c r="S145" s="281"/>
      <c r="T145" s="291"/>
      <c r="U145" s="281"/>
      <c r="V145" s="281"/>
      <c r="W145" s="281"/>
    </row>
    <row r="146">
      <c r="A146" s="292" t="s">
        <v>991</v>
      </c>
      <c r="B146" s="288" t="s">
        <v>1101</v>
      </c>
      <c r="C146" s="280" t="s">
        <v>1102</v>
      </c>
      <c r="D146" s="289">
        <f>ROUND((F146*'Pawn Weights'!$H$22)+(G146*'Pawn Weights'!$H$23)+(H146*'Pawn Weights'!$H$24)+(I146*'Pawn Weights'!$H$25)+(J146*'Pawn Weights'!$H$26)+(K146*'Pawn Weights'!$H$27)+(L146*'Pawn Weights'!$H$28)+(M146*'Pawn Weights'!$H$29)+(N146*'Pawn Weights'!$H$30)+(O146*'Pawn Weights'!$H$31)+(P146*'Pawn Weights'!$H$32)+(Q146*'Pawn Weights'!$H$33), 2)</f>
        <v>67.2</v>
      </c>
      <c r="E146" s="280">
        <v>49.0</v>
      </c>
      <c r="F146" s="280">
        <v>35.0</v>
      </c>
      <c r="G146" s="280"/>
      <c r="H146" s="280"/>
      <c r="I146" s="280">
        <v>35.0</v>
      </c>
      <c r="J146" s="280"/>
      <c r="K146" s="280"/>
      <c r="L146" s="280"/>
      <c r="M146" s="281"/>
      <c r="N146" s="280"/>
      <c r="O146" s="280"/>
      <c r="P146" s="280"/>
      <c r="Q146" s="280"/>
      <c r="R146" s="290"/>
      <c r="S146" s="281"/>
      <c r="T146" s="291" t="s">
        <v>850</v>
      </c>
      <c r="U146" s="281"/>
      <c r="V146" s="281"/>
      <c r="W146" s="281"/>
    </row>
    <row r="147">
      <c r="A147" s="292"/>
      <c r="B147" s="288" t="s">
        <v>1409</v>
      </c>
      <c r="C147" s="280" t="s">
        <v>821</v>
      </c>
      <c r="D147" s="289">
        <f>ROUND((F147*'Pawn Weights'!$H$22)+(G147*'Pawn Weights'!$H$23)+(H147*'Pawn Weights'!$H$24)+(I147*'Pawn Weights'!$H$25)+(J147*'Pawn Weights'!$H$26)+(K147*'Pawn Weights'!$H$27)+(L147*'Pawn Weights'!$H$28)+(M147*'Pawn Weights'!$H$29)+(N147*'Pawn Weights'!$H$30)+(O147*'Pawn Weights'!$H$31)+(P147*'Pawn Weights'!$H$32)+(Q147*'Pawn Weights'!$H$33), 2)</f>
        <v>66.28</v>
      </c>
      <c r="E147" s="280">
        <v>33.0</v>
      </c>
      <c r="F147" s="280">
        <v>49.0</v>
      </c>
      <c r="G147" s="280"/>
      <c r="H147" s="280"/>
      <c r="I147" s="280"/>
      <c r="J147" s="280"/>
      <c r="K147" s="280">
        <v>32.0</v>
      </c>
      <c r="L147" s="280"/>
      <c r="M147" s="281"/>
      <c r="N147" s="280"/>
      <c r="O147" s="280"/>
      <c r="P147" s="280"/>
      <c r="Q147" s="280"/>
      <c r="R147" s="290"/>
      <c r="S147" s="281"/>
      <c r="T147" s="291"/>
      <c r="U147" s="281"/>
      <c r="V147" s="281"/>
      <c r="W147" s="281"/>
    </row>
    <row r="148">
      <c r="A148" s="137"/>
      <c r="B148" s="296" t="s">
        <v>851</v>
      </c>
      <c r="C148" s="297" t="s">
        <v>844</v>
      </c>
      <c r="D148" s="289">
        <f>ROUND((F148*'Pawn Weights'!$H$22)+(G148*'Pawn Weights'!$H$23)+(H148*'Pawn Weights'!$H$24)+(I148*'Pawn Weights'!$H$25)+(J148*'Pawn Weights'!$H$26)+(K148*'Pawn Weights'!$H$27)+(L148*'Pawn Weights'!$H$28)+(M148*'Pawn Weights'!$H$29)+(N148*'Pawn Weights'!$H$30)+(O148*'Pawn Weights'!$H$31)+(P148*'Pawn Weights'!$H$32)+(Q148*'Pawn Weights'!$H$33), 2)</f>
        <v>66.2</v>
      </c>
      <c r="E148" s="298">
        <v>55.0</v>
      </c>
      <c r="F148" s="298">
        <v>40.0</v>
      </c>
      <c r="G148" s="297"/>
      <c r="H148" s="297"/>
      <c r="I148" s="297"/>
      <c r="J148" s="297"/>
      <c r="K148" s="298">
        <v>30.0</v>
      </c>
      <c r="L148" s="297"/>
      <c r="M148" s="137"/>
      <c r="N148" s="297"/>
      <c r="O148" s="297"/>
      <c r="P148" s="297"/>
      <c r="Q148" s="298">
        <v>1.0</v>
      </c>
      <c r="R148" s="298" t="s">
        <v>784</v>
      </c>
      <c r="S148" s="137"/>
      <c r="T148" s="297"/>
      <c r="U148" s="137"/>
      <c r="V148" s="137"/>
      <c r="W148" s="137"/>
      <c r="X148" s="137"/>
      <c r="Y148" s="137"/>
      <c r="Z148" s="137"/>
    </row>
    <row r="149">
      <c r="A149" s="272" t="s">
        <v>852</v>
      </c>
      <c r="B149" s="281"/>
      <c r="C149" s="281"/>
      <c r="D149" s="360"/>
      <c r="E149" s="281"/>
      <c r="F149" s="281"/>
      <c r="G149" s="281"/>
      <c r="H149" s="281"/>
      <c r="I149" s="281"/>
      <c r="J149" s="281"/>
      <c r="K149" s="281"/>
      <c r="L149" s="281"/>
      <c r="M149" s="281"/>
      <c r="N149" s="281"/>
      <c r="O149" s="281"/>
      <c r="P149" s="281"/>
      <c r="Q149" s="281"/>
      <c r="R149" s="282"/>
      <c r="S149" s="281"/>
      <c r="T149" s="285"/>
      <c r="U149" s="281"/>
      <c r="V149" s="281"/>
      <c r="W149" s="281"/>
    </row>
    <row r="150">
      <c r="A150" s="301"/>
      <c r="B150" s="288" t="s">
        <v>856</v>
      </c>
      <c r="C150" s="280" t="s">
        <v>857</v>
      </c>
      <c r="D150" s="289">
        <f>ROUND((F150*'Pawn Weights'!$H$22)+(G150*'Pawn Weights'!$H$23)+(H150*'Pawn Weights'!$H$24)+(I150*'Pawn Weights'!$H$25)+(J150*'Pawn Weights'!$H$26)+(K150*'Pawn Weights'!$H$27)+(L150*'Pawn Weights'!$H$28)+(M150*'Pawn Weights'!$H$29)+(N150*'Pawn Weights'!$H$30)+(O150*'Pawn Weights'!$H$31)+(P150*'Pawn Weights'!$H$32)+(Q150*'Pawn Weights'!$H$33), 2)</f>
        <v>148.3</v>
      </c>
      <c r="E150" s="280">
        <v>51.0</v>
      </c>
      <c r="F150" s="280">
        <v>51.0</v>
      </c>
      <c r="G150" s="280"/>
      <c r="H150" s="280"/>
      <c r="I150" s="280">
        <v>35.0</v>
      </c>
      <c r="J150" s="280"/>
      <c r="K150" s="280"/>
      <c r="L150" s="280"/>
      <c r="M150" s="280">
        <v>350.0</v>
      </c>
      <c r="N150" s="280"/>
      <c r="O150" s="280"/>
      <c r="P150" s="280"/>
      <c r="Q150" s="280"/>
      <c r="R150" s="290"/>
      <c r="S150" s="281"/>
      <c r="T150" s="294"/>
      <c r="U150" s="281"/>
      <c r="V150" s="281"/>
      <c r="W150" s="281"/>
      <c r="X150" s="281"/>
    </row>
    <row r="151">
      <c r="A151" s="295" t="s">
        <v>635</v>
      </c>
      <c r="B151" s="296" t="s">
        <v>860</v>
      </c>
      <c r="C151" s="297" t="s">
        <v>637</v>
      </c>
      <c r="D151" s="289">
        <f>ROUND((F151*'Pawn Weights'!$H$22)+(G151*'Pawn Weights'!$H$23)+(H151*'Pawn Weights'!$H$24)+(I151*'Pawn Weights'!$H$25)+(J151*'Pawn Weights'!$H$26)+(K151*'Pawn Weights'!$H$27)+(L151*'Pawn Weights'!$H$28)+(M151*'Pawn Weights'!$H$29)+(N151*'Pawn Weights'!$H$30)+(O151*'Pawn Weights'!$H$31)+(P151*'Pawn Weights'!$H$32)+(Q151*'Pawn Weights'!$H$33), 2)</f>
        <v>133.62</v>
      </c>
      <c r="E151" s="298">
        <v>77.0</v>
      </c>
      <c r="F151" s="298">
        <v>57.0</v>
      </c>
      <c r="G151" s="297"/>
      <c r="H151" s="297"/>
      <c r="I151" s="298">
        <v>53.0</v>
      </c>
      <c r="J151" s="298">
        <v>18.0</v>
      </c>
      <c r="K151" s="297"/>
      <c r="L151" s="297"/>
      <c r="M151" s="298">
        <v>84.0</v>
      </c>
      <c r="N151" s="297"/>
      <c r="O151" s="297"/>
      <c r="P151" s="297"/>
      <c r="Q151" s="297"/>
      <c r="R151" s="295"/>
      <c r="S151" s="137"/>
      <c r="T151" s="297" t="s">
        <v>861</v>
      </c>
      <c r="U151" s="137"/>
      <c r="V151" s="137"/>
      <c r="W151" s="137"/>
      <c r="X151" s="137"/>
      <c r="Y151" s="137"/>
      <c r="Z151" s="137"/>
    </row>
    <row r="152">
      <c r="A152" s="301" t="s">
        <v>640</v>
      </c>
      <c r="B152" s="288" t="s">
        <v>862</v>
      </c>
      <c r="C152" s="280" t="s">
        <v>639</v>
      </c>
      <c r="D152" s="289">
        <f>ROUND((F152*'Pawn Weights'!$H$22)+(G152*'Pawn Weights'!$H$23)+(H152*'Pawn Weights'!$H$24)+(I152*'Pawn Weights'!$H$25)+(J152*'Pawn Weights'!$H$26)+(K152*'Pawn Weights'!$H$27)+(L152*'Pawn Weights'!$H$28)+(M152*'Pawn Weights'!$H$29)+(N152*'Pawn Weights'!$H$30)+(O152*'Pawn Weights'!$H$31)+(P152*'Pawn Weights'!$H$32)+(Q152*'Pawn Weights'!$H$33), 2)</f>
        <v>128.81</v>
      </c>
      <c r="E152" s="280">
        <v>55.0</v>
      </c>
      <c r="F152" s="280">
        <v>62.0</v>
      </c>
      <c r="G152" s="280">
        <v>41.0</v>
      </c>
      <c r="H152" s="280"/>
      <c r="I152" s="280"/>
      <c r="J152" s="280">
        <v>14.0</v>
      </c>
      <c r="K152" s="280"/>
      <c r="L152" s="280"/>
      <c r="M152" s="280">
        <v>105.0</v>
      </c>
      <c r="N152" s="280"/>
      <c r="O152" s="280"/>
      <c r="P152" s="280"/>
      <c r="Q152" s="280">
        <v>1.0</v>
      </c>
      <c r="R152" s="290" t="s">
        <v>784</v>
      </c>
      <c r="S152" s="281"/>
      <c r="T152" s="294"/>
      <c r="U152" s="281"/>
      <c r="V152" s="281"/>
      <c r="W152" s="281"/>
      <c r="X152" s="281"/>
    </row>
    <row r="153">
      <c r="A153" s="301"/>
      <c r="B153" s="288" t="s">
        <v>863</v>
      </c>
      <c r="C153" s="280" t="s">
        <v>642</v>
      </c>
      <c r="D153" s="289">
        <f>ROUND((F153*'Pawn Weights'!$H$22)+(G153*'Pawn Weights'!$H$23)+(H153*'Pawn Weights'!$H$24)+(I153*'Pawn Weights'!$H$25)+(J153*'Pawn Weights'!$H$26)+(K153*'Pawn Weights'!$H$27)+(L153*'Pawn Weights'!$H$28)+(M153*'Pawn Weights'!$H$29)+(N153*'Pawn Weights'!$H$30)+(O153*'Pawn Weights'!$H$31)+(P153*'Pawn Weights'!$H$32)+(Q153*'Pawn Weights'!$H$33), 2)</f>
        <v>125.24</v>
      </c>
      <c r="E153" s="280">
        <v>61.0</v>
      </c>
      <c r="F153" s="280">
        <v>70.0</v>
      </c>
      <c r="G153" s="280"/>
      <c r="H153" s="280"/>
      <c r="I153" s="280">
        <v>46.0</v>
      </c>
      <c r="J153" s="280">
        <v>19.0</v>
      </c>
      <c r="K153" s="280"/>
      <c r="L153" s="280"/>
      <c r="M153" s="280"/>
      <c r="N153" s="280"/>
      <c r="O153" s="280"/>
      <c r="P153" s="280"/>
      <c r="Q153" s="280"/>
      <c r="R153" s="290"/>
      <c r="S153" s="281"/>
      <c r="T153" s="294"/>
      <c r="U153" s="281"/>
      <c r="V153" s="281"/>
      <c r="W153" s="281"/>
      <c r="X153" s="281"/>
    </row>
    <row r="154">
      <c r="A154" s="301"/>
      <c r="B154" s="288" t="s">
        <v>866</v>
      </c>
      <c r="C154" s="280" t="s">
        <v>814</v>
      </c>
      <c r="D154" s="289">
        <f>ROUND((F154*'Pawn Weights'!$H$22)+(G154*'Pawn Weights'!$H$23)+(H154*'Pawn Weights'!$H$24)+(I154*'Pawn Weights'!$H$25)+(J154*'Pawn Weights'!$H$26)+(K154*'Pawn Weights'!$H$27)+(L154*'Pawn Weights'!$H$28)+(M154*'Pawn Weights'!$H$29)+(N154*'Pawn Weights'!$H$30)+(O154*'Pawn Weights'!$H$31)+(P154*'Pawn Weights'!$H$32)+(Q154*'Pawn Weights'!$H$33), 2)</f>
        <v>122.28</v>
      </c>
      <c r="E154" s="280">
        <v>28.0</v>
      </c>
      <c r="F154" s="280"/>
      <c r="G154" s="280">
        <v>42.0</v>
      </c>
      <c r="H154" s="280">
        <v>100.0</v>
      </c>
      <c r="I154" s="280">
        <v>20.0</v>
      </c>
      <c r="J154" s="280"/>
      <c r="K154" s="280"/>
      <c r="L154" s="280"/>
      <c r="M154" s="280"/>
      <c r="N154" s="280"/>
      <c r="O154" s="280">
        <v>1.0</v>
      </c>
      <c r="P154" s="280">
        <v>1.0</v>
      </c>
      <c r="Q154" s="280">
        <v>1.0</v>
      </c>
      <c r="R154" s="290" t="s">
        <v>624</v>
      </c>
      <c r="S154" s="281"/>
      <c r="T154" s="294"/>
      <c r="U154" s="281"/>
      <c r="V154" s="281"/>
      <c r="W154" s="281"/>
      <c r="X154" s="281"/>
    </row>
    <row r="155">
      <c r="A155" s="295"/>
      <c r="B155" s="296" t="s">
        <v>864</v>
      </c>
      <c r="C155" s="297" t="s">
        <v>865</v>
      </c>
      <c r="D155" s="289">
        <f>ROUND((F155*'Pawn Weights'!$H$22)+(G155*'Pawn Weights'!$H$23)+(H155*'Pawn Weights'!$H$24)+(I155*'Pawn Weights'!$H$25)+(J155*'Pawn Weights'!$H$26)+(K155*'Pawn Weights'!$H$27)+(L155*'Pawn Weights'!$H$28)+(M155*'Pawn Weights'!$H$29)+(N155*'Pawn Weights'!$H$30)+(O155*'Pawn Weights'!$H$31)+(P155*'Pawn Weights'!$H$32)+(Q155*'Pawn Weights'!$H$33), 2)</f>
        <v>112.22</v>
      </c>
      <c r="E155" s="298">
        <v>48.0</v>
      </c>
      <c r="F155" s="298">
        <v>52.0</v>
      </c>
      <c r="G155" s="297"/>
      <c r="H155" s="297"/>
      <c r="I155" s="297"/>
      <c r="J155" s="298">
        <v>25.0</v>
      </c>
      <c r="K155" s="298">
        <v>43.0</v>
      </c>
      <c r="L155" s="297"/>
      <c r="M155" s="297"/>
      <c r="N155" s="297"/>
      <c r="O155" s="297"/>
      <c r="P155" s="298">
        <v>1.0</v>
      </c>
      <c r="Q155" s="298">
        <v>1.0</v>
      </c>
      <c r="R155" s="298" t="s">
        <v>698</v>
      </c>
      <c r="S155" s="137"/>
      <c r="T155" s="295"/>
      <c r="U155" s="137"/>
      <c r="V155" s="137"/>
      <c r="W155" s="137"/>
      <c r="X155" s="137"/>
      <c r="Y155" s="137"/>
      <c r="Z155" s="137"/>
    </row>
    <row r="156">
      <c r="A156" s="301" t="s">
        <v>644</v>
      </c>
      <c r="B156" s="288" t="s">
        <v>867</v>
      </c>
      <c r="C156" s="280" t="s">
        <v>646</v>
      </c>
      <c r="D156" s="289">
        <f>ROUND((F156*'Pawn Weights'!$H$22)+(G156*'Pawn Weights'!$H$23)+(H156*'Pawn Weights'!$H$24)+(I156*'Pawn Weights'!$H$25)+(J156*'Pawn Weights'!$H$26)+(K156*'Pawn Weights'!$H$27)+(L156*'Pawn Weights'!$H$28)+(M156*'Pawn Weights'!$H$29)+(N156*'Pawn Weights'!$H$30)+(O156*'Pawn Weights'!$H$31)+(P156*'Pawn Weights'!$H$32)+(Q156*'Pawn Weights'!$H$33), 2)</f>
        <v>118.02</v>
      </c>
      <c r="E156" s="280">
        <v>70.0</v>
      </c>
      <c r="F156" s="280">
        <v>51.0</v>
      </c>
      <c r="G156" s="280"/>
      <c r="H156" s="280"/>
      <c r="I156" s="280">
        <v>47.0</v>
      </c>
      <c r="J156" s="280">
        <v>12.0</v>
      </c>
      <c r="K156" s="280"/>
      <c r="L156" s="280"/>
      <c r="M156" s="280">
        <v>84.0</v>
      </c>
      <c r="N156" s="280"/>
      <c r="O156" s="280"/>
      <c r="P156" s="280"/>
      <c r="Q156" s="280"/>
      <c r="R156" s="290"/>
      <c r="S156" s="281"/>
      <c r="T156" s="294"/>
      <c r="U156" s="281"/>
      <c r="V156" s="281"/>
      <c r="W156" s="281"/>
      <c r="X156" s="281"/>
    </row>
    <row r="157">
      <c r="A157" s="295"/>
      <c r="B157" s="296" t="s">
        <v>869</v>
      </c>
      <c r="C157" s="297" t="s">
        <v>865</v>
      </c>
      <c r="D157" s="289">
        <f>ROUND((F157*'Pawn Weights'!$H$22)+(G157*'Pawn Weights'!$H$23)+(H157*'Pawn Weights'!$H$24)+(I157*'Pawn Weights'!$H$25)+(J157*'Pawn Weights'!$H$26)+(K157*'Pawn Weights'!$H$27)+(L157*'Pawn Weights'!$H$28)+(M157*'Pawn Weights'!$H$29)+(N157*'Pawn Weights'!$H$30)+(O157*'Pawn Weights'!$H$31)+(P157*'Pawn Weights'!$H$32)+(Q157*'Pawn Weights'!$H$33), 2)</f>
        <v>116.78</v>
      </c>
      <c r="E157" s="298">
        <v>45.0</v>
      </c>
      <c r="F157" s="297"/>
      <c r="G157" s="298">
        <v>43.0</v>
      </c>
      <c r="H157" s="298">
        <v>104.0</v>
      </c>
      <c r="I157" s="297"/>
      <c r="J157" s="298">
        <v>30.0</v>
      </c>
      <c r="K157" s="297"/>
      <c r="L157" s="297"/>
      <c r="M157" s="297"/>
      <c r="N157" s="297"/>
      <c r="O157" s="297"/>
      <c r="P157" s="298">
        <v>1.0</v>
      </c>
      <c r="Q157" s="298">
        <v>1.0</v>
      </c>
      <c r="R157" s="298" t="s">
        <v>832</v>
      </c>
      <c r="S157" s="137"/>
      <c r="T157" s="295"/>
      <c r="U157" s="137"/>
      <c r="V157" s="137"/>
      <c r="W157" s="137"/>
      <c r="X157" s="137"/>
      <c r="Y157" s="137"/>
      <c r="Z157" s="137"/>
    </row>
    <row r="158">
      <c r="A158" s="301"/>
      <c r="B158" s="288" t="s">
        <v>868</v>
      </c>
      <c r="C158" s="280" t="s">
        <v>814</v>
      </c>
      <c r="D158" s="289">
        <f>ROUND((F158*'Pawn Weights'!$H$22)+(G158*'Pawn Weights'!$H$23)+(H158*'Pawn Weights'!$H$24)+(I158*'Pawn Weights'!$H$25)+(J158*'Pawn Weights'!$H$26)+(K158*'Pawn Weights'!$H$27)+(L158*'Pawn Weights'!$H$28)+(M158*'Pawn Weights'!$H$29)+(N158*'Pawn Weights'!$H$30)+(O158*'Pawn Weights'!$H$31)+(P158*'Pawn Weights'!$H$32)+(Q158*'Pawn Weights'!$H$33), 2)</f>
        <v>112.76</v>
      </c>
      <c r="E158" s="280">
        <v>61.0</v>
      </c>
      <c r="F158" s="280"/>
      <c r="G158" s="280">
        <v>50.0</v>
      </c>
      <c r="H158" s="280">
        <v>102.0</v>
      </c>
      <c r="I158" s="280"/>
      <c r="J158" s="280"/>
      <c r="K158" s="280"/>
      <c r="L158" s="280"/>
      <c r="M158" s="280">
        <v>175.0</v>
      </c>
      <c r="N158" s="280"/>
      <c r="O158" s="280"/>
      <c r="P158" s="280"/>
      <c r="Q158" s="280"/>
      <c r="R158" s="290"/>
      <c r="S158" s="281"/>
      <c r="T158" s="294"/>
      <c r="U158" s="281"/>
      <c r="V158" s="281"/>
      <c r="W158" s="281"/>
      <c r="X158" s="281"/>
    </row>
    <row r="159">
      <c r="A159" s="301" t="s">
        <v>647</v>
      </c>
      <c r="B159" s="288" t="s">
        <v>872</v>
      </c>
      <c r="C159" s="280" t="s">
        <v>873</v>
      </c>
      <c r="D159" s="289">
        <f>ROUND((F159*'Pawn Weights'!$H$22)+(G159*'Pawn Weights'!$H$23)+(H159*'Pawn Weights'!$H$24)+(I159*'Pawn Weights'!$H$25)+(J159*'Pawn Weights'!$H$26)+(K159*'Pawn Weights'!$H$27)+(L159*'Pawn Weights'!$H$28)+(M159*'Pawn Weights'!$H$29)+(N159*'Pawn Weights'!$H$30)+(O159*'Pawn Weights'!$H$31)+(P159*'Pawn Weights'!$H$32)+(Q159*'Pawn Weights'!$H$33)+1.84, 2)</f>
        <v>108.24</v>
      </c>
      <c r="E159" s="280">
        <v>57.0</v>
      </c>
      <c r="F159" s="280">
        <v>52.0</v>
      </c>
      <c r="G159" s="280"/>
      <c r="H159" s="280"/>
      <c r="I159" s="280">
        <v>32.0</v>
      </c>
      <c r="J159" s="280">
        <v>22.0</v>
      </c>
      <c r="K159" s="280"/>
      <c r="L159" s="280"/>
      <c r="M159" s="280"/>
      <c r="N159" s="280"/>
      <c r="O159" s="280">
        <v>1.0</v>
      </c>
      <c r="P159" s="280"/>
      <c r="Q159" s="280"/>
      <c r="R159" s="290" t="s">
        <v>736</v>
      </c>
      <c r="S159" s="281"/>
      <c r="T159" s="294"/>
      <c r="U159" s="281"/>
      <c r="V159" s="281"/>
      <c r="W159" s="281"/>
      <c r="X159" s="281"/>
    </row>
    <row r="160">
      <c r="A160" s="301"/>
      <c r="B160" s="288" t="s">
        <v>870</v>
      </c>
      <c r="C160" s="280" t="s">
        <v>871</v>
      </c>
      <c r="D160" s="289">
        <f>ROUND((F160*'Pawn Weights'!$H$22)+(G160*'Pawn Weights'!$H$23)+(H160*'Pawn Weights'!$H$24)+(I160*'Pawn Weights'!$H$25)+(J160*'Pawn Weights'!$H$26)+(K160*'Pawn Weights'!$H$27)+(L160*'Pawn Weights'!$H$28)+(M160*'Pawn Weights'!$H$29)+(N160*'Pawn Weights'!$H$30)+(O160*'Pawn Weights'!$H$31)+(P160*'Pawn Weights'!$H$32)+(Q160*'Pawn Weights'!$H$33), 2)</f>
        <v>107.52</v>
      </c>
      <c r="E160" s="280">
        <v>46.0</v>
      </c>
      <c r="F160" s="280">
        <v>49.0</v>
      </c>
      <c r="G160" s="280"/>
      <c r="H160" s="280"/>
      <c r="I160" s="280">
        <v>31.0</v>
      </c>
      <c r="J160" s="280"/>
      <c r="K160" s="280"/>
      <c r="L160" s="280"/>
      <c r="M160" s="280"/>
      <c r="N160" s="280"/>
      <c r="O160" s="280">
        <v>1.0</v>
      </c>
      <c r="P160" s="280">
        <v>1.0</v>
      </c>
      <c r="Q160" s="280">
        <v>1.0</v>
      </c>
      <c r="R160" s="290" t="s">
        <v>643</v>
      </c>
      <c r="S160" s="281"/>
      <c r="T160" s="294"/>
      <c r="U160" s="281"/>
      <c r="V160" s="281"/>
      <c r="W160" s="281"/>
      <c r="X160" s="281"/>
    </row>
    <row r="161">
      <c r="A161" s="295"/>
      <c r="B161" s="296" t="s">
        <v>875</v>
      </c>
      <c r="C161" s="297" t="s">
        <v>865</v>
      </c>
      <c r="D161" s="367">
        <f>ROUND((F161*'Pawn Weights'!$H$22)+(G161*'Pawn Weights'!$H$23)+(H161*'Pawn Weights'!$H$24)+(I161*'Pawn Weights'!$H$25)+(J161*'Pawn Weights'!$H$26)+(K161*'Pawn Weights'!$H$27)+(L161*'Pawn Weights'!$H$28)+(M161*'Pawn Weights'!$H$29)+(N161*'Pawn Weights'!$H$30)+(O161*'Pawn Weights'!$H$31)+(P161*'Pawn Weights'!$H$32)+(Q161*'Pawn Weights'!$H$33), 2)</f>
        <v>107.26</v>
      </c>
      <c r="E161" s="298">
        <v>36.0</v>
      </c>
      <c r="F161" s="297"/>
      <c r="G161" s="298">
        <v>44.0</v>
      </c>
      <c r="H161" s="298">
        <v>104.0</v>
      </c>
      <c r="I161" s="297"/>
      <c r="J161" s="298">
        <v>15.0</v>
      </c>
      <c r="K161" s="297"/>
      <c r="L161" s="297"/>
      <c r="M161" s="297"/>
      <c r="N161" s="297"/>
      <c r="O161" s="297"/>
      <c r="P161" s="298">
        <v>1.0</v>
      </c>
      <c r="Q161" s="298">
        <v>1.0</v>
      </c>
      <c r="R161" s="298" t="s">
        <v>695</v>
      </c>
      <c r="S161" s="137"/>
      <c r="T161" s="295"/>
      <c r="U161" s="137"/>
      <c r="V161" s="137"/>
      <c r="W161" s="137"/>
      <c r="X161" s="137"/>
      <c r="Y161" s="137"/>
      <c r="Z161" s="137"/>
    </row>
    <row r="162">
      <c r="A162" s="301"/>
      <c r="B162" s="288" t="s">
        <v>874</v>
      </c>
      <c r="C162" s="280" t="s">
        <v>741</v>
      </c>
      <c r="D162" s="289">
        <f>ROUND((F162*'Pawn Weights'!$H$22)+(G162*'Pawn Weights'!$H$23)+(H162*'Pawn Weights'!$H$24)+(I162*'Pawn Weights'!$H$25)+(J162*'Pawn Weights'!$H$26)+(K162*'Pawn Weights'!$H$27)+(L162*'Pawn Weights'!$H$28)+(M162*'Pawn Weights'!$H$29)+(N162*'Pawn Weights'!$H$30)+(O162*'Pawn Weights'!$H$31)+(P162*'Pawn Weights'!$H$32)+(Q162*'Pawn Weights'!$H$33), 2)</f>
        <v>106.32</v>
      </c>
      <c r="E162" s="280">
        <v>31.0</v>
      </c>
      <c r="F162" s="280"/>
      <c r="G162" s="280">
        <v>45.0</v>
      </c>
      <c r="H162" s="280">
        <v>92.0</v>
      </c>
      <c r="I162" s="280">
        <v>37.0</v>
      </c>
      <c r="J162" s="280"/>
      <c r="K162" s="280"/>
      <c r="L162" s="280"/>
      <c r="M162" s="280"/>
      <c r="N162" s="280"/>
      <c r="O162" s="280"/>
      <c r="P162" s="280"/>
      <c r="Q162" s="280"/>
      <c r="R162" s="290"/>
      <c r="S162" s="281"/>
      <c r="T162" s="294"/>
      <c r="U162" s="281"/>
      <c r="V162" s="281"/>
      <c r="W162" s="281"/>
      <c r="X162" s="281"/>
    </row>
    <row r="163">
      <c r="A163" s="137"/>
      <c r="B163" s="296" t="s">
        <v>878</v>
      </c>
      <c r="C163" s="297" t="s">
        <v>879</v>
      </c>
      <c r="D163" s="289">
        <f>ROUND((F163*'Pawn Weights'!$H$22)+(G163*'Pawn Weights'!$H$23)+(H163*'Pawn Weights'!$H$24)+(I163*'Pawn Weights'!$H$25)+(J163*'Pawn Weights'!$H$26)+(K163*'Pawn Weights'!$H$27)+(L163*'Pawn Weights'!$H$28)+(M163*'Pawn Weights'!$H$29)+(N163*'Pawn Weights'!$H$30)+(O163*'Pawn Weights'!$H$31)+(P163*'Pawn Weights'!$H$32)+(Q163*'Pawn Weights'!$H$33), 2)</f>
        <v>101.84</v>
      </c>
      <c r="E163" s="298">
        <v>43.0</v>
      </c>
      <c r="F163" s="298">
        <v>46.0</v>
      </c>
      <c r="G163" s="297"/>
      <c r="H163" s="297"/>
      <c r="I163" s="297"/>
      <c r="J163" s="298">
        <v>38.0</v>
      </c>
      <c r="K163" s="297"/>
      <c r="L163" s="297"/>
      <c r="M163" s="361"/>
      <c r="N163" s="297"/>
      <c r="O163" s="298">
        <v>1.0</v>
      </c>
      <c r="P163" s="298">
        <v>1.0</v>
      </c>
      <c r="Q163" s="298">
        <v>1.0</v>
      </c>
      <c r="R163" s="298" t="s">
        <v>643</v>
      </c>
      <c r="S163" s="137"/>
      <c r="T163" s="295"/>
      <c r="U163" s="137"/>
      <c r="V163" s="137"/>
      <c r="W163" s="137"/>
      <c r="X163" s="137"/>
      <c r="Y163" s="137"/>
      <c r="Z163" s="137"/>
    </row>
    <row r="164">
      <c r="A164" s="137"/>
      <c r="B164" s="296" t="s">
        <v>876</v>
      </c>
      <c r="C164" s="297" t="s">
        <v>865</v>
      </c>
      <c r="D164" s="289">
        <f>ROUND((F164*'Pawn Weights'!$H$22)+(G164*'Pawn Weights'!$H$23)+(H164*'Pawn Weights'!$H$24)+(I164*'Pawn Weights'!$H$25)+(J164*'Pawn Weights'!$H$26)+(K164*'Pawn Weights'!$H$27)+(L164*'Pawn Weights'!$H$28)+(M164*'Pawn Weights'!$H$29)+(N164*'Pawn Weights'!$H$30)+(O164*'Pawn Weights'!$H$31)+(P164*'Pawn Weights'!$H$32)+(Q164*'Pawn Weights'!$H$33), 2)</f>
        <v>101.03</v>
      </c>
      <c r="E164" s="298">
        <v>52.0</v>
      </c>
      <c r="F164" s="298">
        <v>39.0</v>
      </c>
      <c r="G164" s="298">
        <v>45.0</v>
      </c>
      <c r="H164" s="297"/>
      <c r="I164" s="297"/>
      <c r="J164" s="298">
        <v>17.0</v>
      </c>
      <c r="K164" s="297"/>
      <c r="L164" s="297"/>
      <c r="M164" s="361"/>
      <c r="N164" s="297"/>
      <c r="O164" s="298">
        <v>1.0</v>
      </c>
      <c r="P164" s="298">
        <v>1.0</v>
      </c>
      <c r="Q164" s="297"/>
      <c r="R164" s="298" t="s">
        <v>812</v>
      </c>
      <c r="S164" s="137"/>
      <c r="T164" s="295"/>
      <c r="U164" s="137"/>
      <c r="V164" s="137"/>
      <c r="W164" s="137"/>
      <c r="X164" s="137"/>
      <c r="Y164" s="137"/>
      <c r="Z164" s="137"/>
    </row>
    <row r="165">
      <c r="A165" s="301"/>
      <c r="B165" s="288" t="s">
        <v>877</v>
      </c>
      <c r="C165" s="280" t="s">
        <v>708</v>
      </c>
      <c r="D165" s="289">
        <f>ROUND((F165*'Pawn Weights'!$H$22)+(G165*'Pawn Weights'!$H$23)+(H165*'Pawn Weights'!$H$24)+(I165*'Pawn Weights'!$H$25)+(J165*'Pawn Weights'!$H$26)+(K165*'Pawn Weights'!$H$27)+(L165*'Pawn Weights'!$H$28)+(M165*'Pawn Weights'!$H$29)+(N165*'Pawn Weights'!$H$30)+(O165*'Pawn Weights'!$H$31)+(P165*'Pawn Weights'!$H$32)+(Q165*'Pawn Weights'!$H$33), 2)</f>
        <v>100.47</v>
      </c>
      <c r="E165" s="280"/>
      <c r="F165" s="280"/>
      <c r="G165" s="280">
        <v>37.0</v>
      </c>
      <c r="H165" s="280">
        <v>76.0</v>
      </c>
      <c r="I165" s="280"/>
      <c r="J165" s="280">
        <v>16.0</v>
      </c>
      <c r="K165" s="280"/>
      <c r="L165" s="280"/>
      <c r="M165" s="280"/>
      <c r="N165" s="280"/>
      <c r="O165" s="280">
        <v>3.0</v>
      </c>
      <c r="P165" s="280"/>
      <c r="Q165" s="280"/>
      <c r="R165" s="290" t="s">
        <v>622</v>
      </c>
      <c r="S165" s="290"/>
      <c r="T165" s="285"/>
      <c r="U165" s="310"/>
      <c r="V165" s="281"/>
      <c r="W165" s="281"/>
      <c r="X165" s="281"/>
      <c r="Y165" s="281"/>
    </row>
    <row r="166">
      <c r="A166" s="301"/>
      <c r="B166" s="288" t="s">
        <v>880</v>
      </c>
      <c r="C166" s="280" t="s">
        <v>881</v>
      </c>
      <c r="D166" s="289">
        <f>ROUND((F166*'Pawn Weights'!$H$22)+(G166*'Pawn Weights'!$H$23)+(H166*'Pawn Weights'!$H$24)+(I166*'Pawn Weights'!$H$25)+(J166*'Pawn Weights'!$H$26)+(K166*'Pawn Weights'!$H$27)+(L166*'Pawn Weights'!$H$28)+(M166*'Pawn Weights'!$H$29)+(N166*'Pawn Weights'!$H$30)+(O166*'Pawn Weights'!$H$31)+(P166*'Pawn Weights'!$H$32)+(Q166*'Pawn Weights'!$H$33), 2)</f>
        <v>99.79</v>
      </c>
      <c r="E166" s="280">
        <v>28.0</v>
      </c>
      <c r="F166" s="280"/>
      <c r="G166" s="280">
        <v>32.0</v>
      </c>
      <c r="H166" s="280">
        <v>64.0</v>
      </c>
      <c r="I166" s="280"/>
      <c r="J166" s="280">
        <v>28.0</v>
      </c>
      <c r="K166" s="280"/>
      <c r="L166" s="280"/>
      <c r="M166" s="280"/>
      <c r="N166" s="280"/>
      <c r="O166" s="280">
        <v>2.0</v>
      </c>
      <c r="P166" s="280"/>
      <c r="Q166" s="280">
        <v>1.0</v>
      </c>
      <c r="R166" s="290" t="s">
        <v>882</v>
      </c>
      <c r="S166" s="281"/>
      <c r="T166" s="294"/>
      <c r="U166" s="281"/>
      <c r="V166" s="281"/>
      <c r="W166" s="281"/>
      <c r="X166" s="281"/>
    </row>
    <row r="167">
      <c r="A167" s="301" t="s">
        <v>627</v>
      </c>
      <c r="B167" s="311" t="s">
        <v>1235</v>
      </c>
      <c r="C167" s="280" t="s">
        <v>904</v>
      </c>
      <c r="D167" s="289">
        <f>ROUND((F167*'Pawn Weights'!$H$22)+(G167*'Pawn Weights'!$H$23)+(H167*'Pawn Weights'!$H$24)+(I167*'Pawn Weights'!$H$25)+(J167*'Pawn Weights'!$H$26)+(K167*'Pawn Weights'!$H$27)+(L167*'Pawn Weights'!$H$28)+(M167*'Pawn Weights'!$H$29)+(N167*'Pawn Weights'!$H$30)+(O167*'Pawn Weights'!$H$31)+(P167*'Pawn Weights'!$H$32)+(Q167*'Pawn Weights'!$H$33)-20+19.2+3.636, 2)</f>
        <v>96.47</v>
      </c>
      <c r="E167" s="280"/>
      <c r="F167" s="280"/>
      <c r="G167" s="280"/>
      <c r="H167" s="280">
        <v>52.0</v>
      </c>
      <c r="I167" s="280">
        <v>25.0</v>
      </c>
      <c r="J167" s="280">
        <v>25.0</v>
      </c>
      <c r="K167" s="280"/>
      <c r="L167" s="280"/>
      <c r="M167" s="280"/>
      <c r="N167" s="280"/>
      <c r="O167" s="280">
        <v>1.0</v>
      </c>
      <c r="P167" s="280">
        <v>2.0</v>
      </c>
      <c r="Q167" s="280"/>
      <c r="R167" s="290" t="s">
        <v>745</v>
      </c>
      <c r="S167" s="281"/>
      <c r="T167" s="294"/>
      <c r="U167" s="281"/>
      <c r="V167" s="281"/>
      <c r="W167" s="281"/>
      <c r="X167" s="281"/>
    </row>
    <row r="168">
      <c r="A168" s="301" t="s">
        <v>1068</v>
      </c>
      <c r="B168" s="288" t="s">
        <v>1410</v>
      </c>
      <c r="C168" s="280" t="s">
        <v>997</v>
      </c>
      <c r="D168" s="289">
        <f>ROUND((F168*'Pawn Weights'!$H$22)+(G168*'Pawn Weights'!$H$23)+(H168*'Pawn Weights'!$H$24)+(I168*'Pawn Weights'!$H$25)+(J168*'Pawn Weights'!$H$26)+(K168*'Pawn Weights'!$H$27)+(L168*'Pawn Weights'!$H$28)+(M168*'Pawn Weights'!$H$29)+(N168*'Pawn Weights'!$H$30)+(O168*'Pawn Weights'!$H$31)+(P168*'Pawn Weights'!$H$32)+(Q168*'Pawn Weights'!$H$33), 2)</f>
        <v>96.08</v>
      </c>
      <c r="E168" s="280">
        <v>63.0</v>
      </c>
      <c r="F168" s="280">
        <v>47.0</v>
      </c>
      <c r="G168" s="280"/>
      <c r="H168" s="280"/>
      <c r="I168" s="280">
        <v>43.0</v>
      </c>
      <c r="J168" s="280">
        <v>14.0</v>
      </c>
      <c r="K168" s="280"/>
      <c r="L168" s="280"/>
      <c r="M168" s="280"/>
      <c r="N168" s="280"/>
      <c r="O168" s="280"/>
      <c r="P168" s="280"/>
      <c r="Q168" s="280"/>
      <c r="R168" s="290"/>
      <c r="S168" s="281"/>
      <c r="T168" s="294" t="s">
        <v>861</v>
      </c>
      <c r="U168" s="281"/>
      <c r="V168" s="281"/>
      <c r="W168" s="281"/>
      <c r="X168" s="281"/>
    </row>
    <row r="169">
      <c r="A169" s="309"/>
      <c r="B169" s="288" t="s">
        <v>1238</v>
      </c>
      <c r="C169" s="280" t="s">
        <v>1239</v>
      </c>
      <c r="D169" s="289">
        <f>ROUND((F169*'Pawn Weights'!$H$22)+(G169*'Pawn Weights'!$H$23)+(H169*'Pawn Weights'!$H$24)+(I169*'Pawn Weights'!$H$25)+(J169*'Pawn Weights'!$H$26)+(K169*'Pawn Weights'!$H$27)+(L169*'Pawn Weights'!$H$28)+(M169*'Pawn Weights'!$H$29)+(N169*'Pawn Weights'!$H$30)+(O169*'Pawn Weights'!$H$31)+(P169*'Pawn Weights'!$H$32)+(Q169*'Pawn Weights'!$H$33), 2)</f>
        <v>95.49</v>
      </c>
      <c r="E169" s="280">
        <v>30.0</v>
      </c>
      <c r="F169" s="280"/>
      <c r="G169" s="280"/>
      <c r="H169" s="280">
        <v>64.0</v>
      </c>
      <c r="I169" s="280">
        <v>27.0</v>
      </c>
      <c r="J169" s="280">
        <v>17.0</v>
      </c>
      <c r="K169" s="280"/>
      <c r="L169" s="280"/>
      <c r="M169" s="281"/>
      <c r="N169" s="280"/>
      <c r="O169" s="280">
        <v>2.0</v>
      </c>
      <c r="P169" s="280"/>
      <c r="Q169" s="280">
        <v>1.0</v>
      </c>
      <c r="R169" s="290" t="s">
        <v>626</v>
      </c>
      <c r="S169" s="281"/>
      <c r="T169" s="291"/>
      <c r="U169" s="281"/>
      <c r="V169" s="281"/>
      <c r="W169" s="281"/>
    </row>
    <row r="170">
      <c r="A170" s="137"/>
      <c r="B170" s="296" t="s">
        <v>1234</v>
      </c>
      <c r="C170" s="297" t="s">
        <v>879</v>
      </c>
      <c r="D170" s="289">
        <f>ROUND((F170*'Pawn Weights'!$H$22)+(G170*'Pawn Weights'!$H$23)+(H170*'Pawn Weights'!$H$24)+(I170*'Pawn Weights'!$H$25)+(J170*'Pawn Weights'!$H$26)+(K170*'Pawn Weights'!$H$27)+(L170*'Pawn Weights'!$H$28)+(M170*'Pawn Weights'!$H$29)+(N170*'Pawn Weights'!$H$30)+(O170*'Pawn Weights'!$H$31)+(P170*'Pawn Weights'!$H$32)+(Q170*'Pawn Weights'!$H$33), 2)</f>
        <v>88.48</v>
      </c>
      <c r="E170" s="298">
        <v>46.0</v>
      </c>
      <c r="F170" s="297"/>
      <c r="G170" s="298">
        <v>45.0</v>
      </c>
      <c r="H170" s="298">
        <v>92.0</v>
      </c>
      <c r="I170" s="297"/>
      <c r="J170" s="297"/>
      <c r="K170" s="298">
        <v>30.0</v>
      </c>
      <c r="L170" s="297"/>
      <c r="M170" s="361"/>
      <c r="N170" s="297"/>
      <c r="O170" s="297"/>
      <c r="P170" s="297"/>
      <c r="Q170" s="297"/>
      <c r="R170" s="295"/>
      <c r="S170" s="137"/>
      <c r="T170" s="295"/>
      <c r="U170" s="137"/>
      <c r="V170" s="137"/>
      <c r="W170" s="137"/>
      <c r="X170" s="137"/>
      <c r="Y170" s="137"/>
      <c r="Z170" s="137"/>
    </row>
    <row r="171">
      <c r="A171" s="272" t="s">
        <v>883</v>
      </c>
      <c r="B171" s="281"/>
      <c r="C171" s="281"/>
      <c r="D171" s="360"/>
      <c r="E171" s="281"/>
      <c r="F171" s="281"/>
      <c r="G171" s="281"/>
      <c r="H171" s="281"/>
      <c r="I171" s="281"/>
      <c r="J171" s="281"/>
      <c r="K171" s="281"/>
      <c r="L171" s="281"/>
      <c r="M171" s="281"/>
      <c r="N171" s="281"/>
      <c r="O171" s="281"/>
      <c r="P171" s="281"/>
      <c r="Q171" s="281"/>
      <c r="R171" s="282"/>
      <c r="S171" s="281"/>
      <c r="T171" s="285"/>
      <c r="U171" s="281"/>
      <c r="V171" s="281"/>
      <c r="W171" s="281"/>
    </row>
    <row r="172">
      <c r="A172" s="301"/>
      <c r="B172" s="288" t="s">
        <v>885</v>
      </c>
      <c r="C172" s="280" t="s">
        <v>816</v>
      </c>
      <c r="D172" s="289">
        <f>ROUND((F172*'Pawn Weights'!$H$22)+(G172*'Pawn Weights'!$H$23)+(H172*'Pawn Weights'!$H$24)+(I172*'Pawn Weights'!$H$25)+(J172*'Pawn Weights'!$H$26)+(K172*'Pawn Weights'!$H$27)+(L172*'Pawn Weights'!$H$28)+(M172*'Pawn Weights'!$H$29)+(N172*'Pawn Weights'!$H$30)+(O172*'Pawn Weights'!$H$31)+(P172*'Pawn Weights'!$H$32)+(Q172*'Pawn Weights'!$H$33)-20+19.2+3, 2)</f>
        <v>100.04</v>
      </c>
      <c r="E172" s="280">
        <v>40.0</v>
      </c>
      <c r="F172" s="280">
        <v>38.0</v>
      </c>
      <c r="G172" s="280"/>
      <c r="H172" s="280"/>
      <c r="I172" s="280">
        <v>30.0</v>
      </c>
      <c r="J172" s="280">
        <v>18.0</v>
      </c>
      <c r="K172" s="280"/>
      <c r="L172" s="280"/>
      <c r="M172" s="281"/>
      <c r="N172" s="280"/>
      <c r="O172" s="280"/>
      <c r="P172" s="280">
        <v>2.0</v>
      </c>
      <c r="Q172" s="280"/>
      <c r="R172" s="290" t="s">
        <v>698</v>
      </c>
      <c r="S172" s="281"/>
      <c r="T172" s="291"/>
      <c r="U172" s="281"/>
      <c r="V172" s="281"/>
      <c r="W172" s="281"/>
    </row>
    <row r="173">
      <c r="A173" s="301"/>
      <c r="B173" s="288" t="s">
        <v>886</v>
      </c>
      <c r="C173" s="280" t="s">
        <v>701</v>
      </c>
      <c r="D173" s="289">
        <f>ROUND((F173*'Pawn Weights'!$H$22)+(G173*'Pawn Weights'!$H$23)+(H173*'Pawn Weights'!$H$24)+(I173*'Pawn Weights'!$H$25)+(J173*'Pawn Weights'!$H$26)+(K173*'Pawn Weights'!$H$27)+(L173*'Pawn Weights'!$H$28)+(M173*'Pawn Weights'!$H$29)+(N173*'Pawn Weights'!$H$30)+(O173*'Pawn Weights'!$H$31)+(P173*'Pawn Weights'!$H$32)+(Q173*'Pawn Weights'!$H$33)-10+9.6+2.76, 2)</f>
        <v>92.85</v>
      </c>
      <c r="E173" s="280">
        <v>38.0</v>
      </c>
      <c r="F173" s="280"/>
      <c r="G173" s="280">
        <v>30.0</v>
      </c>
      <c r="H173" s="280">
        <v>76.0</v>
      </c>
      <c r="I173" s="280">
        <v>17.0</v>
      </c>
      <c r="J173" s="280"/>
      <c r="K173" s="280"/>
      <c r="L173" s="280"/>
      <c r="M173" s="281"/>
      <c r="N173" s="280"/>
      <c r="O173" s="280">
        <v>1.0</v>
      </c>
      <c r="P173" s="280">
        <v>1.0</v>
      </c>
      <c r="Q173" s="280"/>
      <c r="R173" s="290" t="s">
        <v>702</v>
      </c>
      <c r="S173" s="281"/>
      <c r="T173" s="291"/>
      <c r="U173" s="281"/>
      <c r="V173" s="281"/>
      <c r="W173" s="281"/>
    </row>
    <row r="174">
      <c r="A174" s="301"/>
      <c r="B174" s="288" t="s">
        <v>887</v>
      </c>
      <c r="C174" s="280" t="s">
        <v>727</v>
      </c>
      <c r="D174" s="289">
        <f>ROUND((F174*'Pawn Weights'!$H$22)+(G174*'Pawn Weights'!$H$23)+(H174*'Pawn Weights'!$H$24)+(I174*'Pawn Weights'!$H$25)+(J174*'Pawn Weights'!$H$26)+(K174*'Pawn Weights'!$H$27)+(L174*'Pawn Weights'!$H$28)+(M174*'Pawn Weights'!$H$29)+(N174*'Pawn Weights'!$H$30)+(O174*'Pawn Weights'!$H$31)+(P174*'Pawn Weights'!$H$32)+(Q174*'Pawn Weights'!$H$33), 2)</f>
        <v>88.3</v>
      </c>
      <c r="E174" s="280"/>
      <c r="F174" s="280"/>
      <c r="G174" s="280">
        <v>27.0</v>
      </c>
      <c r="H174" s="280">
        <v>76.0</v>
      </c>
      <c r="I174" s="280">
        <v>26.0</v>
      </c>
      <c r="J174" s="280">
        <v>17.0</v>
      </c>
      <c r="K174" s="280"/>
      <c r="L174" s="280"/>
      <c r="M174" s="281"/>
      <c r="N174" s="280"/>
      <c r="O174" s="280"/>
      <c r="P174" s="280"/>
      <c r="Q174" s="280"/>
      <c r="R174" s="290"/>
      <c r="S174" s="281"/>
      <c r="T174" s="291"/>
      <c r="U174" s="281"/>
      <c r="V174" s="281"/>
      <c r="W174" s="281"/>
    </row>
    <row r="175">
      <c r="A175" s="295"/>
      <c r="B175" s="296" t="s">
        <v>888</v>
      </c>
      <c r="C175" s="297" t="s">
        <v>889</v>
      </c>
      <c r="D175" s="289">
        <f>ROUND((F175*'Pawn Weights'!$H$22)+(G175*'Pawn Weights'!$H$23)+(H175*'Pawn Weights'!$H$24)+(I175*'Pawn Weights'!$H$25)+(J175*'Pawn Weights'!$H$26)+(K175*'Pawn Weights'!$H$27)+(L175*'Pawn Weights'!$H$28)+(M175*'Pawn Weights'!$H$29)+(N175*'Pawn Weights'!$H$30)+(O175*'Pawn Weights'!$H$31)+(P175*'Pawn Weights'!$H$32)+(Q175*'Pawn Weights'!$H$33), 2)</f>
        <v>81.86</v>
      </c>
      <c r="E175" s="298">
        <v>21.0</v>
      </c>
      <c r="F175" s="297"/>
      <c r="G175" s="298">
        <v>29.0</v>
      </c>
      <c r="H175" s="298">
        <v>60.0</v>
      </c>
      <c r="I175" s="297"/>
      <c r="J175" s="298">
        <v>22.0</v>
      </c>
      <c r="K175" s="297"/>
      <c r="L175" s="297"/>
      <c r="M175" s="137"/>
      <c r="N175" s="297"/>
      <c r="O175" s="298">
        <v>1.0</v>
      </c>
      <c r="P175" s="297"/>
      <c r="Q175" s="298">
        <v>1.0</v>
      </c>
      <c r="R175" s="298" t="s">
        <v>832</v>
      </c>
      <c r="S175" s="137"/>
      <c r="T175" s="295"/>
      <c r="U175" s="137"/>
      <c r="V175" s="137"/>
      <c r="W175" s="137"/>
      <c r="X175" s="137"/>
      <c r="Y175" s="137"/>
      <c r="Z175" s="137"/>
    </row>
    <row r="176">
      <c r="A176" s="295"/>
      <c r="B176" s="296" t="s">
        <v>890</v>
      </c>
      <c r="C176" s="297" t="s">
        <v>773</v>
      </c>
      <c r="D176" s="367">
        <f>ROUND((F176*'Pawn Weights'!$H$22)+(G176*'Pawn Weights'!$H$23)+(H176*'Pawn Weights'!$H$24)+(I176*'Pawn Weights'!$H$25)+(J176*'Pawn Weights'!$H$26)+(K176*'Pawn Weights'!$H$27)+(L176*'Pawn Weights'!$H$28)+(M176*'Pawn Weights'!$H$29)+(N176*'Pawn Weights'!$H$30)+(O176*'Pawn Weights'!$H$31)+(P176*'Pawn Weights'!$H$32)+(Q176*'Pawn Weights'!$H$33), 2)</f>
        <v>78.75</v>
      </c>
      <c r="E176" s="298">
        <v>28.0</v>
      </c>
      <c r="F176" s="297"/>
      <c r="G176" s="298">
        <v>28.0</v>
      </c>
      <c r="H176" s="298">
        <v>58.0</v>
      </c>
      <c r="I176" s="297"/>
      <c r="J176" s="297"/>
      <c r="K176" s="297"/>
      <c r="L176" s="297"/>
      <c r="M176" s="359">
        <v>126.0</v>
      </c>
      <c r="N176" s="297"/>
      <c r="O176" s="298">
        <v>1.0</v>
      </c>
      <c r="P176" s="297"/>
      <c r="Q176" s="297"/>
      <c r="R176" s="298" t="s">
        <v>674</v>
      </c>
      <c r="S176" s="137"/>
      <c r="T176" s="295"/>
      <c r="U176" s="137"/>
      <c r="V176" s="137"/>
      <c r="W176" s="137"/>
      <c r="X176" s="137"/>
      <c r="Y176" s="137"/>
      <c r="Z176" s="137"/>
    </row>
    <row r="177">
      <c r="A177" s="301"/>
      <c r="B177" s="288" t="s">
        <v>896</v>
      </c>
      <c r="C177" s="280" t="s">
        <v>835</v>
      </c>
      <c r="D177" s="289">
        <f>ROUND((F177*'Pawn Weights'!$H$22)+(G177*'Pawn Weights'!$H$23)+(H177*'Pawn Weights'!$H$24)+(I177*'Pawn Weights'!$H$25)+(J177*'Pawn Weights'!$H$26)+(K177*'Pawn Weights'!$H$27)+(L177*'Pawn Weights'!$H$28)+(M177*'Pawn Weights'!$H$29)+(N177*'Pawn Weights'!$H$30)+(O177*'Pawn Weights'!$H$31)+(P177*'Pawn Weights'!$H$32)+(Q177*'Pawn Weights'!$H$33)-10+9.6+2.031, 2)</f>
        <v>77.15</v>
      </c>
      <c r="E177" s="280">
        <v>30.0</v>
      </c>
      <c r="F177" s="280"/>
      <c r="G177" s="280">
        <v>28.0</v>
      </c>
      <c r="H177" s="280">
        <v>58.0</v>
      </c>
      <c r="I177" s="280"/>
      <c r="J177" s="280">
        <v>15.0</v>
      </c>
      <c r="K177" s="280"/>
      <c r="L177" s="280"/>
      <c r="M177" s="281"/>
      <c r="N177" s="280"/>
      <c r="O177" s="280">
        <v>1.0</v>
      </c>
      <c r="P177" s="280">
        <v>1.0</v>
      </c>
      <c r="Q177" s="280"/>
      <c r="R177" s="290" t="s">
        <v>695</v>
      </c>
      <c r="S177" s="281"/>
      <c r="T177" s="291"/>
      <c r="U177" s="281"/>
      <c r="V177" s="281"/>
      <c r="W177" s="281"/>
    </row>
    <row r="178">
      <c r="A178" s="295" t="s">
        <v>671</v>
      </c>
      <c r="B178" s="296" t="s">
        <v>891</v>
      </c>
      <c r="C178" s="297" t="s">
        <v>892</v>
      </c>
      <c r="D178" s="289">
        <f>ROUND((F178*'Pawn Weights'!$H$22)+(G178*'Pawn Weights'!$H$23)+(H178*'Pawn Weights'!$H$24)+(I178*'Pawn Weights'!$H$25)+(J178*'Pawn Weights'!$H$26)+(K178*'Pawn Weights'!$H$27)+(L178*'Pawn Weights'!$H$28)+(M178*'Pawn Weights'!$H$29)+(N178*'Pawn Weights'!$H$30)+(O178*'Pawn Weights'!$H$31)+(P178*'Pawn Weights'!$H$32)+(Q178*'Pawn Weights'!$H$33), 2)</f>
        <v>76.8</v>
      </c>
      <c r="E178" s="298">
        <v>56.0</v>
      </c>
      <c r="F178" s="298">
        <v>40.0</v>
      </c>
      <c r="G178" s="297"/>
      <c r="H178" s="297"/>
      <c r="I178" s="298">
        <v>40.0</v>
      </c>
      <c r="J178" s="297"/>
      <c r="K178" s="297"/>
      <c r="L178" s="297"/>
      <c r="M178" s="137"/>
      <c r="N178" s="297"/>
      <c r="O178" s="297"/>
      <c r="P178" s="297"/>
      <c r="Q178" s="297"/>
      <c r="R178" s="295"/>
      <c r="S178" s="137"/>
      <c r="T178" s="297" t="s">
        <v>850</v>
      </c>
      <c r="U178" s="137"/>
      <c r="V178" s="137"/>
      <c r="W178" s="137"/>
      <c r="X178" s="137"/>
      <c r="Y178" s="137"/>
      <c r="Z178" s="137"/>
    </row>
    <row r="179">
      <c r="A179" s="295"/>
      <c r="B179" s="296" t="s">
        <v>893</v>
      </c>
      <c r="C179" s="297" t="s">
        <v>894</v>
      </c>
      <c r="D179" s="289">
        <f>ROUND((F179*'Pawn Weights'!$H$22)+(G179*'Pawn Weights'!$H$23)+(H179*'Pawn Weights'!$H$24)+(I179*'Pawn Weights'!$H$25)+(J179*'Pawn Weights'!$H$26)+(K179*'Pawn Weights'!$H$27)+(L179*'Pawn Weights'!$H$28)+(M179*'Pawn Weights'!$H$29)+(N179*'Pawn Weights'!$H$30)+(O179*'Pawn Weights'!$H$31)+(P179*'Pawn Weights'!$H$32)+(Q179*'Pawn Weights'!$H$33), 2)</f>
        <v>76.68</v>
      </c>
      <c r="E179" s="298">
        <v>37.0</v>
      </c>
      <c r="F179" s="298">
        <v>30.0</v>
      </c>
      <c r="G179" s="297"/>
      <c r="H179" s="297"/>
      <c r="I179" s="298">
        <v>29.0</v>
      </c>
      <c r="J179" s="297"/>
      <c r="K179" s="297"/>
      <c r="L179" s="297"/>
      <c r="M179" s="137"/>
      <c r="N179" s="297"/>
      <c r="O179" s="298">
        <v>1.0</v>
      </c>
      <c r="P179" s="297"/>
      <c r="Q179" s="298">
        <v>1.0</v>
      </c>
      <c r="R179" s="298" t="s">
        <v>736</v>
      </c>
      <c r="S179" s="137"/>
      <c r="T179" s="295"/>
      <c r="U179" s="137"/>
      <c r="V179" s="137"/>
      <c r="W179" s="137"/>
      <c r="X179" s="137"/>
      <c r="Y179" s="137"/>
      <c r="Z179" s="137"/>
    </row>
    <row r="180">
      <c r="A180" s="301" t="s">
        <v>627</v>
      </c>
      <c r="B180" s="288" t="s">
        <v>897</v>
      </c>
      <c r="C180" s="280" t="s">
        <v>898</v>
      </c>
      <c r="D180" s="289">
        <f>ROUND((F180*'Pawn Weights'!$H$22)+(G180*'Pawn Weights'!$H$23)+(H180*'Pawn Weights'!$H$24)+(I180*'Pawn Weights'!$H$25)+(J180*'Pawn Weights'!$H$26)+(K180*'Pawn Weights'!$H$27)+(L180*'Pawn Weights'!$H$28)+(M180*'Pawn Weights'!$H$29)+(N180*'Pawn Weights'!$H$30)+(O180*'Pawn Weights'!$H$31)+(P180*'Pawn Weights'!$H$32)+(Q180*'Pawn Weights'!$H$33), 2)</f>
        <v>75.08</v>
      </c>
      <c r="E180" s="280">
        <v>34.0</v>
      </c>
      <c r="F180" s="280"/>
      <c r="G180" s="280"/>
      <c r="H180" s="280">
        <v>66.0</v>
      </c>
      <c r="I180" s="280">
        <v>32.0</v>
      </c>
      <c r="J180" s="280">
        <v>23.0</v>
      </c>
      <c r="K180" s="280"/>
      <c r="L180" s="280"/>
      <c r="M180" s="281"/>
      <c r="N180" s="280"/>
      <c r="O180" s="280"/>
      <c r="P180" s="280"/>
      <c r="Q180" s="280"/>
      <c r="R180" s="290"/>
      <c r="S180" s="281"/>
      <c r="T180" s="291"/>
      <c r="U180" s="281"/>
      <c r="V180" s="281"/>
      <c r="W180" s="281"/>
    </row>
    <row r="181">
      <c r="A181" s="295"/>
      <c r="B181" s="296" t="s">
        <v>895</v>
      </c>
      <c r="C181" s="297" t="s">
        <v>773</v>
      </c>
      <c r="D181" s="289">
        <f>ROUND((F181*'Pawn Weights'!$H$22)+(G181*'Pawn Weights'!$H$23)+(H181*'Pawn Weights'!$H$24)+(I181*'Pawn Weights'!$H$25)+(J181*'Pawn Weights'!$H$26)+(K181*'Pawn Weights'!$H$27)+(L181*'Pawn Weights'!$H$28)+(M181*'Pawn Weights'!$H$29)+(N181*'Pawn Weights'!$H$30)+(O181*'Pawn Weights'!$H$31)+(P181*'Pawn Weights'!$H$32)+(Q181*'Pawn Weights'!$H$33), 2)</f>
        <v>75.04</v>
      </c>
      <c r="E181" s="298">
        <v>30.0</v>
      </c>
      <c r="F181" s="298">
        <v>29.0</v>
      </c>
      <c r="G181" s="297"/>
      <c r="H181" s="297"/>
      <c r="I181" s="297"/>
      <c r="J181" s="297"/>
      <c r="K181" s="297"/>
      <c r="L181" s="297"/>
      <c r="M181" s="359">
        <v>140.0</v>
      </c>
      <c r="N181" s="297"/>
      <c r="O181" s="298">
        <v>1.0</v>
      </c>
      <c r="P181" s="297"/>
      <c r="Q181" s="298">
        <v>1.0</v>
      </c>
      <c r="R181" s="298" t="s">
        <v>698</v>
      </c>
      <c r="S181" s="137"/>
      <c r="T181" s="295"/>
      <c r="U181" s="137"/>
      <c r="V181" s="137"/>
      <c r="W181" s="137"/>
      <c r="X181" s="137"/>
      <c r="Y181" s="137"/>
      <c r="Z181" s="137"/>
    </row>
    <row r="182">
      <c r="A182" s="301"/>
      <c r="B182" s="288" t="s">
        <v>899</v>
      </c>
      <c r="C182" s="280" t="s">
        <v>900</v>
      </c>
      <c r="D182" s="289">
        <f>ROUND((F182*'Pawn Weights'!$H$22)+(G182*'Pawn Weights'!$H$23)+(H182*'Pawn Weights'!$H$24)+(I182*'Pawn Weights'!$H$25)+(J182*'Pawn Weights'!$H$26)+(K182*'Pawn Weights'!$H$27)+(L182*'Pawn Weights'!$H$28)+(M182*'Pawn Weights'!$H$29)+(N182*'Pawn Weights'!$H$30)+(O182*'Pawn Weights'!$H$31)+(P182*'Pawn Weights'!$H$32)+(Q182*'Pawn Weights'!$H$33), 2)</f>
        <v>72.52</v>
      </c>
      <c r="E182" s="280">
        <v>29.0</v>
      </c>
      <c r="F182" s="280">
        <v>44.0</v>
      </c>
      <c r="G182" s="280"/>
      <c r="H182" s="280"/>
      <c r="I182" s="280">
        <v>31.0</v>
      </c>
      <c r="J182" s="280"/>
      <c r="K182" s="280"/>
      <c r="L182" s="280"/>
      <c r="M182" s="281"/>
      <c r="N182" s="280"/>
      <c r="O182" s="280"/>
      <c r="P182" s="280"/>
      <c r="Q182" s="280"/>
      <c r="R182" s="290"/>
      <c r="S182" s="281"/>
      <c r="T182" s="291"/>
      <c r="U182" s="281"/>
      <c r="V182" s="281"/>
      <c r="W182" s="281"/>
    </row>
    <row r="183">
      <c r="A183" s="301"/>
      <c r="B183" s="288" t="s">
        <v>901</v>
      </c>
      <c r="C183" s="280" t="s">
        <v>649</v>
      </c>
      <c r="D183" s="289">
        <f>ROUND((F183*'Pawn Weights'!$H$22)+(G183*'Pawn Weights'!$H$23)+(H183*'Pawn Weights'!$H$24)+(I183*'Pawn Weights'!$H$25)+(J183*'Pawn Weights'!$H$26)+(K183*'Pawn Weights'!$H$27)+(L183*'Pawn Weights'!$H$28)+(M183*'Pawn Weights'!$H$29)+(N183*'Pawn Weights'!$H$30)+(O183*'Pawn Weights'!$H$31)+(P183*'Pawn Weights'!$H$32)+(Q183*'Pawn Weights'!$H$33), 2)</f>
        <v>72.34</v>
      </c>
      <c r="E183" s="280">
        <v>25.0</v>
      </c>
      <c r="F183" s="280"/>
      <c r="G183" s="280">
        <v>33.0</v>
      </c>
      <c r="H183" s="280">
        <v>66.0</v>
      </c>
      <c r="I183" s="280"/>
      <c r="J183" s="280"/>
      <c r="K183" s="280"/>
      <c r="L183" s="280"/>
      <c r="M183" s="281"/>
      <c r="N183" s="280"/>
      <c r="O183" s="280">
        <v>1.0</v>
      </c>
      <c r="P183" s="280"/>
      <c r="Q183" s="280">
        <v>1.0</v>
      </c>
      <c r="R183" s="290" t="s">
        <v>695</v>
      </c>
      <c r="S183" s="281"/>
      <c r="T183" s="291"/>
      <c r="U183" s="281"/>
      <c r="V183" s="281"/>
      <c r="W183" s="281"/>
    </row>
    <row r="184">
      <c r="A184" s="301"/>
      <c r="B184" s="288" t="s">
        <v>902</v>
      </c>
      <c r="C184" s="280" t="s">
        <v>871</v>
      </c>
      <c r="D184" s="289">
        <f>ROUND((F184*'Pawn Weights'!$H$22)+(G184*'Pawn Weights'!$H$23)+(H184*'Pawn Weights'!$H$24)+(I184*'Pawn Weights'!$H$25)+(J184*'Pawn Weights'!$H$26)+(K184*'Pawn Weights'!$H$27)+(L184*'Pawn Weights'!$H$28)+(M184*'Pawn Weights'!$H$29)+(N184*'Pawn Weights'!$H$30)+(O184*'Pawn Weights'!$H$31)+(P184*'Pawn Weights'!$H$32)+(Q184*'Pawn Weights'!$H$33), 2)</f>
        <v>72.34</v>
      </c>
      <c r="E184" s="280">
        <v>13.0</v>
      </c>
      <c r="F184" s="280"/>
      <c r="G184" s="280">
        <v>33.0</v>
      </c>
      <c r="H184" s="280">
        <v>66.0</v>
      </c>
      <c r="I184" s="280"/>
      <c r="J184" s="280"/>
      <c r="K184" s="280"/>
      <c r="L184" s="280"/>
      <c r="M184" s="281"/>
      <c r="N184" s="280"/>
      <c r="O184" s="280"/>
      <c r="P184" s="280"/>
      <c r="Q184" s="280">
        <v>2.0</v>
      </c>
      <c r="R184" s="290" t="s">
        <v>809</v>
      </c>
      <c r="S184" s="281"/>
      <c r="T184" s="291"/>
      <c r="U184" s="281"/>
      <c r="V184" s="281"/>
      <c r="W184" s="281"/>
    </row>
    <row r="185">
      <c r="A185" s="301" t="s">
        <v>627</v>
      </c>
      <c r="B185" s="311" t="s">
        <v>903</v>
      </c>
      <c r="C185" s="280" t="s">
        <v>904</v>
      </c>
      <c r="D185" s="289">
        <f>ROUND((F185*'Pawn Weights'!$H$22)+(G185*'Pawn Weights'!$H$23)+(H185*'Pawn Weights'!$H$24)+(I185*'Pawn Weights'!$H$25)+(J185*'Pawn Weights'!$H$26)+(K185*'Pawn Weights'!$H$27)+(L185*'Pawn Weights'!$H$28)+(M185*'Pawn Weights'!$H$29)+(N185*'Pawn Weights'!$H$30)+(O185*'Pawn Weights'!$H$31)+(P185*'Pawn Weights'!$H$32)+(Q185*'Pawn Weights'!$H$33)-10+9.6+2.727, 2)</f>
        <v>71.33</v>
      </c>
      <c r="E185" s="280"/>
      <c r="F185" s="280"/>
      <c r="G185" s="280"/>
      <c r="H185" s="280">
        <v>36.0</v>
      </c>
      <c r="I185" s="280">
        <v>17.0</v>
      </c>
      <c r="J185" s="280">
        <v>25.0</v>
      </c>
      <c r="K185" s="280"/>
      <c r="L185" s="280"/>
      <c r="M185" s="281"/>
      <c r="N185" s="280"/>
      <c r="O185" s="280">
        <v>1.0</v>
      </c>
      <c r="P185" s="280">
        <v>1.0</v>
      </c>
      <c r="Q185" s="280"/>
      <c r="R185" s="290" t="s">
        <v>809</v>
      </c>
      <c r="S185" s="281"/>
      <c r="T185" s="291"/>
      <c r="U185" s="281"/>
      <c r="V185" s="281"/>
      <c r="W185" s="281"/>
    </row>
    <row r="186">
      <c r="A186" s="309"/>
      <c r="B186" s="288" t="s">
        <v>1103</v>
      </c>
      <c r="C186" s="280" t="s">
        <v>1104</v>
      </c>
      <c r="D186" s="289">
        <f>ROUND((F186*'Pawn Weights'!$H$22)+(G186*'Pawn Weights'!$H$23)+(H186*'Pawn Weights'!$H$24)+(I186*'Pawn Weights'!$H$25)+(J186*'Pawn Weights'!$H$26)+(K186*'Pawn Weights'!$H$27)+(L186*'Pawn Weights'!$H$28)+(M186*'Pawn Weights'!$H$29)+(N186*'Pawn Weights'!$H$30)+(O186*'Pawn Weights'!$H$31)+(P186*'Pawn Weights'!$H$32)+(Q186*'Pawn Weights'!$H$33)-10+9.6+2.04, 2)</f>
        <v>70.11</v>
      </c>
      <c r="E186" s="280">
        <v>28.0</v>
      </c>
      <c r="F186" s="280"/>
      <c r="G186" s="280">
        <v>29.0</v>
      </c>
      <c r="H186" s="280">
        <v>44.0</v>
      </c>
      <c r="I186" s="280"/>
      <c r="J186" s="280">
        <v>13.0</v>
      </c>
      <c r="K186" s="280"/>
      <c r="L186" s="280"/>
      <c r="M186" s="281"/>
      <c r="N186" s="280"/>
      <c r="O186" s="280">
        <v>1.0</v>
      </c>
      <c r="P186" s="280">
        <v>1.0</v>
      </c>
      <c r="Q186" s="280"/>
      <c r="R186" s="290" t="s">
        <v>832</v>
      </c>
      <c r="S186" s="281"/>
      <c r="T186" s="291"/>
      <c r="U186" s="281"/>
      <c r="V186" s="281"/>
      <c r="W186" s="281"/>
    </row>
    <row r="187">
      <c r="A187" s="309"/>
      <c r="B187" s="288" t="s">
        <v>1105</v>
      </c>
      <c r="C187" s="280" t="s">
        <v>1106</v>
      </c>
      <c r="D187" s="289">
        <f>ROUND((F187*'Pawn Weights'!$H$22)+(G187*'Pawn Weights'!$H$23)+(H187*'Pawn Weights'!$H$24)+(I187*'Pawn Weights'!$H$25)+(J187*'Pawn Weights'!$H$26)+(K187*'Pawn Weights'!$H$27)+(L187*'Pawn Weights'!$H$28)+(M187*'Pawn Weights'!$H$29)+(N187*'Pawn Weights'!$H$30)+(O187*'Pawn Weights'!$H$31)+(P187*'Pawn Weights'!$H$32)+(Q187*'Pawn Weights'!$H$33)-10+9.6+3, 2)</f>
        <v>69.14</v>
      </c>
      <c r="E187" s="280">
        <v>28.0</v>
      </c>
      <c r="F187" s="280">
        <v>33.0</v>
      </c>
      <c r="G187" s="280">
        <v>20.0</v>
      </c>
      <c r="H187" s="280"/>
      <c r="I187" s="280"/>
      <c r="J187" s="280"/>
      <c r="K187" s="280"/>
      <c r="L187" s="280"/>
      <c r="M187" s="281"/>
      <c r="N187" s="280"/>
      <c r="O187" s="280">
        <v>1.0</v>
      </c>
      <c r="P187" s="280">
        <v>1.0</v>
      </c>
      <c r="Q187" s="280"/>
      <c r="R187" s="290" t="s">
        <v>698</v>
      </c>
      <c r="S187" s="281"/>
      <c r="T187" s="291"/>
      <c r="U187" s="281"/>
      <c r="V187" s="281"/>
      <c r="W187" s="281"/>
    </row>
    <row r="188">
      <c r="A188" s="301"/>
      <c r="B188" s="288" t="s">
        <v>1107</v>
      </c>
      <c r="C188" s="280" t="s">
        <v>842</v>
      </c>
      <c r="D188" s="289">
        <f>ROUND((F188*'Pawn Weights'!$H$22)+(G188*'Pawn Weights'!$H$23)+(H188*'Pawn Weights'!$H$24)+(I188*'Pawn Weights'!$H$25)+(J188*'Pawn Weights'!$H$26)+(K188*'Pawn Weights'!$H$27)+(L188*'Pawn Weights'!$H$28)+(M188*'Pawn Weights'!$H$29)+(N188*'Pawn Weights'!$H$30)+(O188*'Pawn Weights'!$H$31)+(P188*'Pawn Weights'!$H$32)+(Q188*'Pawn Weights'!$H$33), 2)</f>
        <v>67.66</v>
      </c>
      <c r="E188" s="280">
        <v>41.0</v>
      </c>
      <c r="F188" s="280"/>
      <c r="G188" s="280"/>
      <c r="H188" s="280">
        <v>98.0</v>
      </c>
      <c r="I188" s="280"/>
      <c r="J188" s="280">
        <v>34.0</v>
      </c>
      <c r="K188" s="280"/>
      <c r="L188" s="280"/>
      <c r="M188" s="281"/>
      <c r="N188" s="280"/>
      <c r="O188" s="280"/>
      <c r="P188" s="280"/>
      <c r="Q188" s="280"/>
      <c r="R188" s="290"/>
      <c r="S188" s="281"/>
      <c r="T188" s="291"/>
      <c r="U188" s="281"/>
      <c r="V188" s="281"/>
      <c r="W188" s="281"/>
    </row>
    <row r="189">
      <c r="A189" s="301" t="s">
        <v>991</v>
      </c>
      <c r="B189" s="288" t="s">
        <v>1108</v>
      </c>
      <c r="C189" s="280" t="s">
        <v>892</v>
      </c>
      <c r="D189" s="289">
        <f>ROUND((F189*'Pawn Weights'!$H$22)+(G189*'Pawn Weights'!$H$23)+(H189*'Pawn Weights'!$H$24)+(I189*'Pawn Weights'!$H$25)+(J189*'Pawn Weights'!$H$26)+(K189*'Pawn Weights'!$H$27)+(L189*'Pawn Weights'!$H$28)+(M189*'Pawn Weights'!$H$29)+(N189*'Pawn Weights'!$H$30)+(O189*'Pawn Weights'!$H$31)+(P189*'Pawn Weights'!$H$32)+(Q189*'Pawn Weights'!$H$33), 2)</f>
        <v>67.2</v>
      </c>
      <c r="E189" s="280">
        <v>49.0</v>
      </c>
      <c r="F189" s="280">
        <v>35.0</v>
      </c>
      <c r="G189" s="280"/>
      <c r="H189" s="280"/>
      <c r="I189" s="280">
        <v>35.0</v>
      </c>
      <c r="J189" s="280"/>
      <c r="K189" s="280"/>
      <c r="L189" s="280"/>
      <c r="M189" s="281"/>
      <c r="N189" s="280"/>
      <c r="O189" s="280"/>
      <c r="P189" s="280"/>
      <c r="Q189" s="280"/>
      <c r="R189" s="290"/>
      <c r="S189" s="281"/>
      <c r="T189" s="291" t="s">
        <v>850</v>
      </c>
      <c r="U189" s="281"/>
      <c r="V189" s="281"/>
      <c r="W189" s="281"/>
    </row>
    <row r="190">
      <c r="A190" s="224" t="s">
        <v>905</v>
      </c>
      <c r="B190" s="281"/>
      <c r="C190" s="281"/>
      <c r="D190" s="360"/>
      <c r="E190" s="281"/>
      <c r="F190" s="281"/>
      <c r="G190" s="281"/>
      <c r="H190" s="281"/>
      <c r="I190" s="281"/>
      <c r="J190" s="281"/>
      <c r="K190" s="281"/>
      <c r="L190" s="281"/>
      <c r="M190" s="281"/>
      <c r="N190" s="281"/>
      <c r="O190" s="281"/>
      <c r="P190" s="281"/>
      <c r="Q190" s="281"/>
      <c r="R190" s="282"/>
      <c r="S190" s="281"/>
      <c r="T190" s="285"/>
      <c r="U190" s="281"/>
      <c r="V190" s="281"/>
      <c r="W190" s="281"/>
    </row>
    <row r="191">
      <c r="A191" s="281"/>
      <c r="B191" s="288" t="s">
        <v>907</v>
      </c>
      <c r="C191" s="280" t="s">
        <v>632</v>
      </c>
      <c r="D191" s="289">
        <f>ROUND((F191*'Pawn Weights'!$H$22)+(G191*'Pawn Weights'!$H$23)+(H191*'Pawn Weights'!$H$24)+(I191*'Pawn Weights'!$H$25)+(J191*'Pawn Weights'!$H$26)+(K191*'Pawn Weights'!$H$27)+(L191*'Pawn Weights'!$H$28)+(M191*'Pawn Weights'!$H$29)+(N191*'Pawn Weights'!$H$30)+(O191*'Pawn Weights'!$H$31)+(P191*'Pawn Weights'!$H$32)+(Q191*'Pawn Weights'!$H$33), 2)</f>
        <v>73.83</v>
      </c>
      <c r="E191" s="280">
        <v>33.0</v>
      </c>
      <c r="F191" s="280"/>
      <c r="G191" s="280"/>
      <c r="H191" s="280">
        <v>66.0</v>
      </c>
      <c r="I191" s="280"/>
      <c r="J191" s="280">
        <v>30.0</v>
      </c>
      <c r="K191" s="280"/>
      <c r="L191" s="280"/>
      <c r="M191" s="280">
        <v>126.0</v>
      </c>
      <c r="N191" s="280"/>
      <c r="O191" s="280"/>
      <c r="P191" s="280"/>
      <c r="Q191" s="280"/>
      <c r="R191" s="290"/>
      <c r="S191" s="281"/>
      <c r="T191" s="291"/>
      <c r="U191" s="281"/>
      <c r="V191" s="281"/>
      <c r="W191" s="281"/>
    </row>
    <row r="192">
      <c r="A192" s="137"/>
      <c r="B192" s="296" t="s">
        <v>908</v>
      </c>
      <c r="C192" s="297" t="s">
        <v>909</v>
      </c>
      <c r="D192" s="289">
        <f>ROUND((F192*'Pawn Weights'!$H$22)+(G192*'Pawn Weights'!$H$23)+(H192*'Pawn Weights'!$H$24)+(I192*'Pawn Weights'!$H$25)+(J192*'Pawn Weights'!$H$26)+(K192*'Pawn Weights'!$H$27)+(L192*'Pawn Weights'!$H$28)+(M192*'Pawn Weights'!$H$29)+(N192*'Pawn Weights'!$H$30)+(O192*'Pawn Weights'!$H$31)+(P192*'Pawn Weights'!$H$32)+(Q192*'Pawn Weights'!$H$33), 2)</f>
        <v>69.43</v>
      </c>
      <c r="E192" s="298">
        <v>28.0</v>
      </c>
      <c r="F192" s="297"/>
      <c r="G192" s="298">
        <v>29.0</v>
      </c>
      <c r="H192" s="298">
        <v>58.0</v>
      </c>
      <c r="I192" s="297"/>
      <c r="J192" s="297"/>
      <c r="K192" s="297"/>
      <c r="L192" s="297"/>
      <c r="M192" s="298">
        <v>126.0</v>
      </c>
      <c r="N192" s="297"/>
      <c r="O192" s="297"/>
      <c r="P192" s="297"/>
      <c r="Q192" s="297"/>
      <c r="R192" s="295"/>
      <c r="S192" s="137"/>
      <c r="T192" s="295"/>
      <c r="U192" s="137"/>
      <c r="V192" s="137"/>
      <c r="W192" s="137"/>
      <c r="X192" s="137"/>
      <c r="Y192" s="137"/>
      <c r="Z192" s="137"/>
    </row>
    <row r="193">
      <c r="A193" s="137"/>
      <c r="B193" s="296" t="s">
        <v>912</v>
      </c>
      <c r="C193" s="297" t="s">
        <v>913</v>
      </c>
      <c r="D193" s="289">
        <f>ROUND((F193*'Pawn Weights'!$H$22)+(G193*'Pawn Weights'!$H$23)+(H193*'Pawn Weights'!$H$24)+(I193*'Pawn Weights'!$H$25)+(J193*'Pawn Weights'!$H$26)+(K193*'Pawn Weights'!$H$27)+(L193*'Pawn Weights'!$H$28)+(M193*'Pawn Weights'!$H$29)+(N193*'Pawn Weights'!$H$30)+(O193*'Pawn Weights'!$H$31)+(P193*'Pawn Weights'!$H$32)+(Q193*'Pawn Weights'!$H$33), 2)</f>
        <v>68.75</v>
      </c>
      <c r="E193" s="298">
        <v>30.0</v>
      </c>
      <c r="F193" s="297"/>
      <c r="G193" s="298">
        <v>28.0</v>
      </c>
      <c r="H193" s="298">
        <v>58.0</v>
      </c>
      <c r="I193" s="297"/>
      <c r="J193" s="297"/>
      <c r="K193" s="297"/>
      <c r="L193" s="297"/>
      <c r="M193" s="298">
        <v>126.0</v>
      </c>
      <c r="N193" s="297"/>
      <c r="O193" s="297"/>
      <c r="P193" s="297"/>
      <c r="Q193" s="297"/>
      <c r="R193" s="295"/>
      <c r="S193" s="137"/>
      <c r="T193" s="295"/>
      <c r="U193" s="137"/>
      <c r="V193" s="137"/>
      <c r="W193" s="137"/>
      <c r="X193" s="137"/>
      <c r="Y193" s="137"/>
      <c r="Z193" s="137"/>
    </row>
    <row r="194">
      <c r="A194" s="281"/>
      <c r="B194" s="288" t="s">
        <v>914</v>
      </c>
      <c r="C194" s="280" t="s">
        <v>857</v>
      </c>
      <c r="D194" s="289">
        <f>ROUND((F194*'Pawn Weights'!$H$22)+(G194*'Pawn Weights'!$H$23)+(H194*'Pawn Weights'!$H$24)+(I194*'Pawn Weights'!$H$25)+(J194*'Pawn Weights'!$H$26)+(K194*'Pawn Weights'!$H$27)+(L194*'Pawn Weights'!$H$28)+(M194*'Pawn Weights'!$H$29)+(N194*'Pawn Weights'!$H$30)+(O194*'Pawn Weights'!$H$31)+(P194*'Pawn Weights'!$H$32)+(Q194*'Pawn Weights'!$H$33), 2)</f>
        <v>63.6</v>
      </c>
      <c r="E194" s="280">
        <v>28.0</v>
      </c>
      <c r="F194" s="280">
        <v>36.0</v>
      </c>
      <c r="G194" s="280"/>
      <c r="H194" s="280"/>
      <c r="I194" s="280">
        <v>30.0</v>
      </c>
      <c r="J194" s="280"/>
      <c r="K194" s="280"/>
      <c r="L194" s="280"/>
      <c r="M194" s="281"/>
      <c r="N194" s="280"/>
      <c r="O194" s="280"/>
      <c r="P194" s="280"/>
      <c r="Q194" s="280"/>
      <c r="R194" s="290"/>
      <c r="S194" s="281"/>
      <c r="T194" s="291"/>
      <c r="U194" s="281"/>
      <c r="V194" s="281"/>
      <c r="W194" s="281"/>
    </row>
    <row r="195">
      <c r="A195" s="137"/>
      <c r="B195" s="296" t="s">
        <v>917</v>
      </c>
      <c r="C195" s="297" t="s">
        <v>741</v>
      </c>
      <c r="D195" s="367">
        <f>ROUND((F195*'Pawn Weights'!$H$22)+(G195*'Pawn Weights'!$H$23)+(H195*'Pawn Weights'!$H$24)+(I195*'Pawn Weights'!$H$25)+(J195*'Pawn Weights'!$H$26)+(K195*'Pawn Weights'!$H$27)+(L195*'Pawn Weights'!$H$28)+(M195*'Pawn Weights'!$H$29)+(N195*'Pawn Weights'!$H$30)+(O195*'Pawn Weights'!$H$31)+(P195*'Pawn Weights'!$H$32)+(Q195*'Pawn Weights'!$H$33), 2)</f>
        <v>63.45</v>
      </c>
      <c r="E195" s="298">
        <v>27.0</v>
      </c>
      <c r="F195" s="297"/>
      <c r="G195" s="297"/>
      <c r="H195" s="298">
        <v>56.0</v>
      </c>
      <c r="I195" s="298">
        <v>28.0</v>
      </c>
      <c r="J195" s="298">
        <v>18.0</v>
      </c>
      <c r="K195" s="297"/>
      <c r="L195" s="297"/>
      <c r="M195" s="137"/>
      <c r="N195" s="297"/>
      <c r="O195" s="297"/>
      <c r="P195" s="297"/>
      <c r="Q195" s="297"/>
      <c r="R195" s="295"/>
      <c r="S195" s="137"/>
      <c r="T195" s="295"/>
      <c r="U195" s="137"/>
      <c r="V195" s="137"/>
      <c r="W195" s="137"/>
      <c r="X195" s="137"/>
      <c r="Y195" s="137"/>
      <c r="Z195" s="137"/>
    </row>
    <row r="196">
      <c r="A196" s="137" t="s">
        <v>627</v>
      </c>
      <c r="B196" s="296" t="s">
        <v>910</v>
      </c>
      <c r="C196" s="297" t="s">
        <v>911</v>
      </c>
      <c r="D196" s="289">
        <f>ROUND((F196*'Pawn Weights'!$H$22)+(G196*'Pawn Weights'!$H$23)+(H196*'Pawn Weights'!$H$24)+(I196*'Pawn Weights'!$H$25)+(J196*'Pawn Weights'!$H$26)+(K196*'Pawn Weights'!$H$27)+(L196*'Pawn Weights'!$H$28)+(M196*'Pawn Weights'!$H$29)+(N196*'Pawn Weights'!$H$30)+(O196*'Pawn Weights'!$H$31)+(P196*'Pawn Weights'!$H$32)+(Q196*'Pawn Weights'!$H$33), 2)</f>
        <v>61.79</v>
      </c>
      <c r="E196" s="298">
        <v>42.0</v>
      </c>
      <c r="F196" s="297"/>
      <c r="G196" s="298">
        <v>30.0</v>
      </c>
      <c r="H196" s="298">
        <v>58.0</v>
      </c>
      <c r="I196" s="297"/>
      <c r="J196" s="297"/>
      <c r="K196" s="298">
        <v>28.0</v>
      </c>
      <c r="L196" s="297"/>
      <c r="M196" s="295"/>
      <c r="N196" s="297"/>
      <c r="O196" s="297"/>
      <c r="P196" s="297"/>
      <c r="Q196" s="297"/>
      <c r="R196" s="295"/>
      <c r="S196" s="137"/>
      <c r="T196" s="295"/>
      <c r="U196" s="137"/>
      <c r="V196" s="137"/>
      <c r="W196" s="137"/>
      <c r="X196" s="137"/>
      <c r="Y196" s="137"/>
      <c r="Z196" s="137"/>
    </row>
    <row r="197">
      <c r="A197" s="137" t="s">
        <v>671</v>
      </c>
      <c r="B197" s="296" t="s">
        <v>915</v>
      </c>
      <c r="C197" s="297" t="s">
        <v>916</v>
      </c>
      <c r="D197" s="289">
        <f>ROUND((F197*'Pawn Weights'!$H$22)+(G197*'Pawn Weights'!$H$23)+(H197*'Pawn Weights'!$H$24)+(I197*'Pawn Weights'!$H$25)+(J197*'Pawn Weights'!$H$26)+(K197*'Pawn Weights'!$H$27)+(L197*'Pawn Weights'!$H$28)+(M197*'Pawn Weights'!$H$29)+(N197*'Pawn Weights'!$H$30)+(O197*'Pawn Weights'!$H$31)+(P197*'Pawn Weights'!$H$32)+(Q197*'Pawn Weights'!$H$33), 2)</f>
        <v>61.65</v>
      </c>
      <c r="E197" s="298">
        <v>38.0</v>
      </c>
      <c r="F197" s="297"/>
      <c r="G197" s="297"/>
      <c r="H197" s="298">
        <v>52.0</v>
      </c>
      <c r="I197" s="298">
        <v>30.0</v>
      </c>
      <c r="J197" s="297"/>
      <c r="K197" s="297"/>
      <c r="L197" s="297"/>
      <c r="M197" s="359">
        <v>56.0</v>
      </c>
      <c r="N197" s="297"/>
      <c r="O197" s="297"/>
      <c r="P197" s="297"/>
      <c r="Q197" s="297"/>
      <c r="R197" s="295"/>
      <c r="S197" s="137"/>
      <c r="T197" s="297" t="s">
        <v>861</v>
      </c>
      <c r="U197" s="137"/>
      <c r="V197" s="137"/>
      <c r="W197" s="137"/>
      <c r="X197" s="137"/>
      <c r="Y197" s="137"/>
      <c r="Z197" s="137"/>
    </row>
    <row r="198" ht="1.5" customHeight="1">
      <c r="A198" s="281"/>
      <c r="B198" s="288" t="s">
        <v>918</v>
      </c>
      <c r="C198" s="280" t="s">
        <v>919</v>
      </c>
      <c r="D198" s="289">
        <f>ROUND((F198*'Pawn Weights'!$H$22)+(G198*'Pawn Weights'!$H$23)+(H198*'Pawn Weights'!$H$24)+(I198*'Pawn Weights'!$H$25)+(J198*'Pawn Weights'!$H$26)+(K198*'Pawn Weights'!$H$27)+(L198*'Pawn Weights'!$H$28)+(M198*'Pawn Weights'!$H$29)+(N198*'Pawn Weights'!$H$30)+(O198*'Pawn Weights'!$H$31)+(P198*'Pawn Weights'!$H$32)+(Q198*'Pawn Weights'!$H$33)+12.0897, 2)</f>
        <v>58.99</v>
      </c>
      <c r="E198" s="280">
        <v>43.0</v>
      </c>
      <c r="F198" s="280"/>
      <c r="G198" s="280">
        <v>29.0</v>
      </c>
      <c r="H198" s="280">
        <v>60.0</v>
      </c>
      <c r="I198" s="280"/>
      <c r="J198" s="280"/>
      <c r="K198" s="280"/>
      <c r="L198" s="280"/>
      <c r="M198" s="281"/>
      <c r="N198" s="280"/>
      <c r="O198" s="280"/>
      <c r="P198" s="280"/>
      <c r="Q198" s="280"/>
      <c r="R198" s="290"/>
      <c r="S198" s="281"/>
      <c r="T198" s="291" t="s">
        <v>920</v>
      </c>
      <c r="U198" s="281"/>
      <c r="V198" s="281"/>
      <c r="W198" s="281"/>
    </row>
    <row r="199">
      <c r="A199" s="281"/>
      <c r="B199" s="288" t="s">
        <v>922</v>
      </c>
      <c r="C199" s="280" t="s">
        <v>708</v>
      </c>
      <c r="D199" s="289">
        <f>ROUND((F199*'Pawn Weights'!$H$22)+(G199*'Pawn Weights'!$H$23)+(H199*'Pawn Weights'!$H$24)+(I199*'Pawn Weights'!$H$25)+(J199*'Pawn Weights'!$H$26)+(K199*'Pawn Weights'!$H$27)+(L199*'Pawn Weights'!$H$28)+(M199*'Pawn Weights'!$H$29)+(N199*'Pawn Weights'!$H$30)+(O199*'Pawn Weights'!$H$31)+(P199*'Pawn Weights'!$H$32)+(Q199*'Pawn Weights'!$H$33), 2)</f>
        <v>55.86</v>
      </c>
      <c r="E199" s="280"/>
      <c r="F199" s="280"/>
      <c r="G199" s="280"/>
      <c r="H199" s="280">
        <v>62.0</v>
      </c>
      <c r="I199" s="280">
        <v>19.0</v>
      </c>
      <c r="J199" s="280">
        <v>15.0</v>
      </c>
      <c r="K199" s="280"/>
      <c r="L199" s="280"/>
      <c r="M199" s="281"/>
      <c r="N199" s="280"/>
      <c r="O199" s="280"/>
      <c r="P199" s="280"/>
      <c r="Q199" s="280"/>
      <c r="R199" s="290"/>
      <c r="S199" s="281"/>
      <c r="T199" s="291"/>
      <c r="U199" s="281"/>
      <c r="V199" s="281"/>
      <c r="W199" s="281"/>
    </row>
    <row r="200">
      <c r="A200" s="292" t="s">
        <v>991</v>
      </c>
      <c r="B200" s="288" t="s">
        <v>1109</v>
      </c>
      <c r="C200" s="280" t="s">
        <v>1110</v>
      </c>
      <c r="D200" s="289">
        <f>ROUND((F200*'Pawn Weights'!$H$22)+(G200*'Pawn Weights'!$H$23)+(H200*'Pawn Weights'!$H$24)+(I200*'Pawn Weights'!$H$25)+(J200*'Pawn Weights'!$H$26)+(K200*'Pawn Weights'!$H$27)+(L200*'Pawn Weights'!$H$28)+(M200*'Pawn Weights'!$H$29)+(N200*'Pawn Weights'!$H$30)+(O200*'Pawn Weights'!$H$31)+(P200*'Pawn Weights'!$H$32)+(Q200*'Pawn Weights'!$H$33), 2)</f>
        <v>54.33</v>
      </c>
      <c r="E200" s="280">
        <v>34.0</v>
      </c>
      <c r="F200" s="280"/>
      <c r="G200" s="280"/>
      <c r="H200" s="280">
        <v>44.0</v>
      </c>
      <c r="I200" s="280">
        <v>26.0</v>
      </c>
      <c r="J200" s="280"/>
      <c r="K200" s="280"/>
      <c r="L200" s="280"/>
      <c r="M200" s="280">
        <v>56.0</v>
      </c>
      <c r="N200" s="280"/>
      <c r="O200" s="280"/>
      <c r="P200" s="280"/>
      <c r="Q200" s="290"/>
      <c r="R200" s="290"/>
      <c r="S200" s="281"/>
      <c r="T200" s="291" t="s">
        <v>861</v>
      </c>
      <c r="U200" s="281"/>
      <c r="V200" s="281"/>
      <c r="W200" s="281"/>
    </row>
    <row r="201">
      <c r="A201" s="281"/>
      <c r="B201" s="288" t="s">
        <v>923</v>
      </c>
      <c r="C201" s="280" t="s">
        <v>656</v>
      </c>
      <c r="D201" s="289">
        <f>ROUND((F201*'Pawn Weights'!$H$22)+(G201*'Pawn Weights'!$H$23)+(H201*'Pawn Weights'!$H$24)+(I201*'Pawn Weights'!$H$25)+(J201*'Pawn Weights'!$H$26)+(K201*'Pawn Weights'!$H$27)+(L201*'Pawn Weights'!$H$28)+(M201*'Pawn Weights'!$H$29)+(N201*'Pawn Weights'!$H$30)+(O201*'Pawn Weights'!$H$31)+(P201*'Pawn Weights'!$H$32)+(Q201*'Pawn Weights'!$H$33), 2)</f>
        <v>54.08</v>
      </c>
      <c r="E201" s="280">
        <v>21.0</v>
      </c>
      <c r="F201" s="280"/>
      <c r="G201" s="280"/>
      <c r="H201" s="280">
        <v>44.0</v>
      </c>
      <c r="I201" s="280">
        <v>23.0</v>
      </c>
      <c r="J201" s="280">
        <v>19.0</v>
      </c>
      <c r="K201" s="280"/>
      <c r="L201" s="280"/>
      <c r="M201" s="281"/>
      <c r="N201" s="280"/>
      <c r="O201" s="280"/>
      <c r="P201" s="280"/>
      <c r="Q201" s="280"/>
      <c r="R201" s="290"/>
      <c r="S201" s="281"/>
      <c r="T201" s="291"/>
      <c r="U201" s="281"/>
      <c r="V201" s="281"/>
      <c r="W201" s="281"/>
    </row>
    <row r="202">
      <c r="A202" s="281"/>
      <c r="B202" s="288" t="s">
        <v>926</v>
      </c>
      <c r="C202" s="280" t="s">
        <v>723</v>
      </c>
      <c r="D202" s="289">
        <f>ROUND((F202*'Pawn Weights'!$H$22)+(G202*'Pawn Weights'!$H$23)+(H202*'Pawn Weights'!$H$24)+(I202*'Pawn Weights'!$H$25)+(J202*'Pawn Weights'!$H$26)+(K202*'Pawn Weights'!$H$27)+(L202*'Pawn Weights'!$H$28)+(M202*'Pawn Weights'!$H$29)+(N202*'Pawn Weights'!$H$30)+(O202*'Pawn Weights'!$H$31)+(P202*'Pawn Weights'!$H$32)+(Q202*'Pawn Weights'!$H$33), 2)</f>
        <v>53.5</v>
      </c>
      <c r="E202" s="280">
        <v>42.0</v>
      </c>
      <c r="F202" s="280"/>
      <c r="G202" s="280">
        <v>21.0</v>
      </c>
      <c r="H202" s="280">
        <v>58.0</v>
      </c>
      <c r="I202" s="280"/>
      <c r="J202" s="280">
        <v>19.0</v>
      </c>
      <c r="K202" s="280"/>
      <c r="L202" s="280"/>
      <c r="M202" s="281"/>
      <c r="N202" s="280"/>
      <c r="O202" s="280"/>
      <c r="P202" s="280"/>
      <c r="Q202" s="280"/>
      <c r="R202" s="290"/>
      <c r="S202" s="281"/>
      <c r="T202" s="291"/>
      <c r="U202" s="281"/>
      <c r="V202" s="281"/>
      <c r="W202" s="281"/>
    </row>
    <row r="203">
      <c r="A203" s="281"/>
      <c r="B203" s="288" t="s">
        <v>927</v>
      </c>
      <c r="C203" s="280" t="s">
        <v>710</v>
      </c>
      <c r="D203" s="289">
        <f>ROUND((F203*'Pawn Weights'!$H$22)+(G203*'Pawn Weights'!$H$23)+(H203*'Pawn Weights'!$H$24)+(I203*'Pawn Weights'!$H$25)+(J203*'Pawn Weights'!$H$26)+(K203*'Pawn Weights'!$H$27)+(L203*'Pawn Weights'!$H$28)+(M203*'Pawn Weights'!$H$29)+(N203*'Pawn Weights'!$H$30)+(O203*'Pawn Weights'!$H$31)+(P203*'Pawn Weights'!$H$32)+(Q203*'Pawn Weights'!$H$33), 2)</f>
        <v>51.89</v>
      </c>
      <c r="E203" s="280">
        <v>19.0</v>
      </c>
      <c r="F203" s="280"/>
      <c r="G203" s="280">
        <v>24.0</v>
      </c>
      <c r="H203" s="280">
        <v>50.0</v>
      </c>
      <c r="I203" s="280"/>
      <c r="J203" s="280">
        <v>19.0</v>
      </c>
      <c r="K203" s="280"/>
      <c r="L203" s="280"/>
      <c r="M203" s="281"/>
      <c r="N203" s="280"/>
      <c r="O203" s="280"/>
      <c r="P203" s="280"/>
      <c r="Q203" s="280"/>
      <c r="R203" s="290"/>
      <c r="S203" s="281"/>
      <c r="T203" s="291"/>
      <c r="U203" s="281"/>
      <c r="V203" s="281"/>
      <c r="W203" s="281"/>
    </row>
    <row r="204">
      <c r="A204" s="281"/>
      <c r="B204" s="288" t="s">
        <v>1111</v>
      </c>
      <c r="C204" s="280" t="s">
        <v>1112</v>
      </c>
      <c r="D204" s="289">
        <f>ROUND((F204*'Pawn Weights'!$H$22)+(G204*'Pawn Weights'!$H$23)+(H204*'Pawn Weights'!$H$24)+(I204*'Pawn Weights'!$H$25)+(J204*'Pawn Weights'!$H$26)+(K204*'Pawn Weights'!$H$27)+(L204*'Pawn Weights'!$H$28)+(M204*'Pawn Weights'!$H$29)+(N204*'Pawn Weights'!$H$30)+(O204*'Pawn Weights'!$H$31)+(P204*'Pawn Weights'!$H$32)+(Q204*'Pawn Weights'!$H$33), 2)</f>
        <v>49.5</v>
      </c>
      <c r="E204" s="280"/>
      <c r="F204" s="280"/>
      <c r="G204" s="280"/>
      <c r="H204" s="280">
        <v>40.0</v>
      </c>
      <c r="I204" s="280">
        <v>20.0</v>
      </c>
      <c r="J204" s="280">
        <v>19.0</v>
      </c>
      <c r="K204" s="280"/>
      <c r="L204" s="280"/>
      <c r="M204" s="281"/>
      <c r="N204" s="280"/>
      <c r="O204" s="280"/>
      <c r="P204" s="280"/>
      <c r="Q204" s="280"/>
      <c r="R204" s="290"/>
      <c r="S204" s="281"/>
      <c r="T204" s="291"/>
      <c r="U204" s="281"/>
      <c r="V204" s="281"/>
      <c r="W204" s="281"/>
    </row>
    <row r="205">
      <c r="A205" s="281"/>
      <c r="B205" s="288" t="s">
        <v>921</v>
      </c>
      <c r="C205" s="280" t="s">
        <v>821</v>
      </c>
      <c r="D205" s="289">
        <f>ROUND((F205*'Pawn Weights'!$H$22)+(G205*'Pawn Weights'!$H$23)+(H205*'Pawn Weights'!$H$24)+(I205*'Pawn Weights'!$H$25)+(J205*'Pawn Weights'!$H$26)+(K205*'Pawn Weights'!$H$27)+(L205*'Pawn Weights'!$H$28)+(M205*'Pawn Weights'!$H$29)+(N205*'Pawn Weights'!$H$30)+(O205*'Pawn Weights'!$H$31)+(P205*'Pawn Weights'!$H$32)+(Q205*'Pawn Weights'!$H$33), 2)</f>
        <v>46.74</v>
      </c>
      <c r="E205" s="280"/>
      <c r="F205" s="280"/>
      <c r="G205" s="280"/>
      <c r="H205" s="280">
        <v>66.0</v>
      </c>
      <c r="I205" s="280"/>
      <c r="J205" s="280"/>
      <c r="K205" s="280">
        <v>31.0</v>
      </c>
      <c r="L205" s="280"/>
      <c r="M205" s="281"/>
      <c r="N205" s="280"/>
      <c r="O205" s="280"/>
      <c r="P205" s="280"/>
      <c r="Q205" s="280"/>
      <c r="R205" s="290"/>
      <c r="S205" s="281"/>
      <c r="T205" s="291"/>
      <c r="U205" s="281"/>
      <c r="V205" s="281"/>
      <c r="W205" s="281"/>
    </row>
    <row r="206">
      <c r="A206" s="281"/>
      <c r="B206" s="288" t="s">
        <v>1113</v>
      </c>
      <c r="C206" s="280" t="s">
        <v>881</v>
      </c>
      <c r="D206" s="289">
        <f>ROUND((F206*'Pawn Weights'!$H$22)+(G206*'Pawn Weights'!$H$23)+(H206*'Pawn Weights'!$H$24)+(I206*'Pawn Weights'!$H$25)+(J206*'Pawn Weights'!$H$26)+(K206*'Pawn Weights'!$H$27)+(L206*'Pawn Weights'!$H$28)+(M206*'Pawn Weights'!$H$29)+(N206*'Pawn Weights'!$H$30)+(O206*'Pawn Weights'!$H$31)+(P206*'Pawn Weights'!$H$32)+(Q206*'Pawn Weights'!$H$33), 2)</f>
        <v>46.24</v>
      </c>
      <c r="E206" s="280">
        <v>24.0</v>
      </c>
      <c r="F206" s="280">
        <v>26.0</v>
      </c>
      <c r="G206" s="280"/>
      <c r="H206" s="280"/>
      <c r="I206" s="280">
        <v>22.0</v>
      </c>
      <c r="J206" s="280"/>
      <c r="K206" s="280"/>
      <c r="L206" s="280"/>
      <c r="M206" s="281"/>
      <c r="N206" s="280"/>
      <c r="O206" s="280"/>
      <c r="P206" s="280"/>
      <c r="Q206" s="280"/>
      <c r="R206" s="290"/>
      <c r="S206" s="281"/>
      <c r="T206" s="291"/>
      <c r="U206" s="281"/>
      <c r="V206" s="281"/>
      <c r="W206" s="281"/>
    </row>
    <row r="207">
      <c r="A207" s="281"/>
      <c r="B207" s="288" t="s">
        <v>1114</v>
      </c>
      <c r="C207" s="280" t="s">
        <v>683</v>
      </c>
      <c r="D207" s="289">
        <f>ROUND((F207*'Pawn Weights'!$H$22)+(G207*'Pawn Weights'!$H$23)+(H207*'Pawn Weights'!$H$24)+(I207*'Pawn Weights'!$H$25)+(J207*'Pawn Weights'!$H$26)+(K207*'Pawn Weights'!$H$27)+(L207*'Pawn Weights'!$H$28)+(M207*'Pawn Weights'!$H$29)+(N207*'Pawn Weights'!$H$30)+(O207*'Pawn Weights'!$H$31)+(P207*'Pawn Weights'!$H$32)+(Q207*'Pawn Weights'!$H$33), 2)</f>
        <v>46.22</v>
      </c>
      <c r="E207" s="280">
        <v>30.0</v>
      </c>
      <c r="F207" s="280">
        <v>32.0</v>
      </c>
      <c r="G207" s="280">
        <v>21.0</v>
      </c>
      <c r="H207" s="280"/>
      <c r="I207" s="280"/>
      <c r="J207" s="280"/>
      <c r="K207" s="280"/>
      <c r="L207" s="280"/>
      <c r="M207" s="281"/>
      <c r="N207" s="280"/>
      <c r="O207" s="280"/>
      <c r="P207" s="280"/>
      <c r="Q207" s="280"/>
      <c r="R207" s="290"/>
      <c r="S207" s="281"/>
      <c r="T207" s="291"/>
      <c r="U207" s="281"/>
      <c r="V207" s="281"/>
      <c r="W207" s="281"/>
    </row>
    <row r="208">
      <c r="A208" s="281"/>
      <c r="B208" s="288" t="s">
        <v>1115</v>
      </c>
      <c r="C208" s="280" t="s">
        <v>1116</v>
      </c>
      <c r="D208" s="289">
        <f>ROUND((F208*'Pawn Weights'!$H$22)+(G208*'Pawn Weights'!$H$23)+(H208*'Pawn Weights'!$H$24)+(I208*'Pawn Weights'!$H$25)+(J208*'Pawn Weights'!$H$26)+(K208*'Pawn Weights'!$H$27)+(L208*'Pawn Weights'!$H$28)+(M208*'Pawn Weights'!$H$29)+(N208*'Pawn Weights'!$H$30)+(O208*'Pawn Weights'!$H$31)+(P208*'Pawn Weights'!$H$32)+(Q208*'Pawn Weights'!$H$33), 2)</f>
        <v>43.96</v>
      </c>
      <c r="E208" s="280">
        <v>25.0</v>
      </c>
      <c r="F208" s="280"/>
      <c r="G208" s="280">
        <v>20.0</v>
      </c>
      <c r="H208" s="280">
        <v>40.0</v>
      </c>
      <c r="I208" s="280"/>
      <c r="J208" s="280">
        <v>18.0</v>
      </c>
      <c r="K208" s="280"/>
      <c r="L208" s="280"/>
      <c r="M208" s="281"/>
      <c r="N208" s="280"/>
      <c r="O208" s="280"/>
      <c r="P208" s="280"/>
      <c r="Q208" s="280"/>
      <c r="R208" s="290"/>
      <c r="S208" s="281"/>
      <c r="T208" s="291"/>
      <c r="U208" s="281"/>
      <c r="V208" s="281"/>
      <c r="W208" s="281"/>
    </row>
    <row r="209">
      <c r="A209" s="292" t="s">
        <v>965</v>
      </c>
      <c r="B209" s="288" t="s">
        <v>1427</v>
      </c>
      <c r="C209" s="280" t="s">
        <v>1428</v>
      </c>
      <c r="D209" s="289">
        <f>ROUND((F209*'Pawn Weights'!$H$22)+(G209*'Pawn Weights'!$H$23)+(H209*'Pawn Weights'!$H$24)+(I209*'Pawn Weights'!$H$25)+(J209*'Pawn Weights'!$H$26)+(K209*'Pawn Weights'!$H$27)+(L209*'Pawn Weights'!$H$28)+(M209*'Pawn Weights'!$H$29)+(N209*'Pawn Weights'!$H$30)+(O209*'Pawn Weights'!$H$31)+(P209*'Pawn Weights'!$H$32)+(Q209*'Pawn Weights'!$H$33), 2)</f>
        <v>43.31</v>
      </c>
      <c r="E209" s="280"/>
      <c r="F209" s="280"/>
      <c r="G209" s="280"/>
      <c r="H209" s="280">
        <v>52.0</v>
      </c>
      <c r="I209" s="280">
        <v>14.0</v>
      </c>
      <c r="J209" s="280">
        <v>10.0</v>
      </c>
      <c r="K209" s="280"/>
      <c r="L209" s="280"/>
      <c r="M209" s="281"/>
      <c r="N209" s="280"/>
      <c r="O209" s="280"/>
      <c r="P209" s="280"/>
      <c r="Q209" s="280"/>
      <c r="R209" s="290"/>
      <c r="S209" s="281"/>
      <c r="T209" s="291"/>
      <c r="U209" s="281"/>
      <c r="V209" s="281"/>
      <c r="W209" s="281"/>
    </row>
    <row r="210">
      <c r="A210" s="281"/>
      <c r="B210" s="288" t="s">
        <v>1244</v>
      </c>
      <c r="C210" s="280" t="s">
        <v>1245</v>
      </c>
      <c r="D210" s="289">
        <f>ROUND((F210*'Pawn Weights'!$H$22)+(G210*'Pawn Weights'!$H$23)+(H210*'Pawn Weights'!$H$24)+(I210*'Pawn Weights'!$H$25)+(J210*'Pawn Weights'!$H$26)+(K210*'Pawn Weights'!$H$27)+(L210*'Pawn Weights'!$H$28)+(M210*'Pawn Weights'!$H$29)+(N210*'Pawn Weights'!$H$30)+(O210*'Pawn Weights'!$H$31)+(P210*'Pawn Weights'!$H$32)+(Q210*'Pawn Weights'!$H$33), 2)</f>
        <v>42.73</v>
      </c>
      <c r="E210" s="280">
        <v>18.0</v>
      </c>
      <c r="F210" s="280"/>
      <c r="G210" s="280">
        <v>25.0</v>
      </c>
      <c r="H210" s="280"/>
      <c r="I210" s="280"/>
      <c r="J210" s="280"/>
      <c r="K210" s="280"/>
      <c r="L210" s="280">
        <v>20.0</v>
      </c>
      <c r="M210" s="281"/>
      <c r="N210" s="280"/>
      <c r="O210" s="280"/>
      <c r="P210" s="280"/>
      <c r="Q210" s="280"/>
      <c r="R210" s="290"/>
      <c r="S210" s="281"/>
      <c r="T210" s="291"/>
      <c r="U210" s="281"/>
      <c r="V210" s="281"/>
      <c r="W210" s="281"/>
    </row>
    <row r="211">
      <c r="A211" s="281"/>
      <c r="B211" s="288" t="s">
        <v>1242</v>
      </c>
      <c r="C211" s="280" t="s">
        <v>1243</v>
      </c>
      <c r="D211" s="289">
        <f>ROUND((F211*'Pawn Weights'!$H$22)+(G211*'Pawn Weights'!$H$23)+(H211*'Pawn Weights'!$H$24)+(I211*'Pawn Weights'!$H$25)+(J211*'Pawn Weights'!$H$26)+(K211*'Pawn Weights'!$H$27)+(L211*'Pawn Weights'!$H$28)+(M211*'Pawn Weights'!$H$29)+(N211*'Pawn Weights'!$H$30)+(O211*'Pawn Weights'!$H$31)+(P211*'Pawn Weights'!$H$32)+(Q211*'Pawn Weights'!$H$33), 2)</f>
        <v>42.45</v>
      </c>
      <c r="E211" s="280">
        <v>28.0</v>
      </c>
      <c r="F211" s="280"/>
      <c r="G211" s="280"/>
      <c r="H211" s="280">
        <v>56.0</v>
      </c>
      <c r="I211" s="280"/>
      <c r="J211" s="280">
        <v>25.0</v>
      </c>
      <c r="K211" s="280"/>
      <c r="L211" s="280"/>
      <c r="M211" s="280"/>
      <c r="N211" s="280"/>
      <c r="O211" s="280"/>
      <c r="P211" s="280"/>
      <c r="Q211" s="290"/>
      <c r="R211" s="290"/>
      <c r="S211" s="281"/>
      <c r="T211" s="285"/>
      <c r="U211" s="281"/>
      <c r="V211" s="281"/>
      <c r="W211" s="281"/>
    </row>
    <row r="212">
      <c r="A212" s="281"/>
      <c r="B212" s="288" t="s">
        <v>1429</v>
      </c>
      <c r="C212" s="280" t="s">
        <v>1430</v>
      </c>
      <c r="D212" s="289">
        <f>ROUND((F212*'Pawn Weights'!$H$22)+(G212*'Pawn Weights'!$H$23)+(H212*'Pawn Weights'!$H$24)+(I212*'Pawn Weights'!$H$25)+(J212*'Pawn Weights'!$H$26)+(K212*'Pawn Weights'!$H$27)+(L212*'Pawn Weights'!$H$28)+(M212*'Pawn Weights'!$H$29)+(N212*'Pawn Weights'!$H$30)+(O212*'Pawn Weights'!$H$31)+(P212*'Pawn Weights'!$H$32)+(Q212*'Pawn Weights'!$H$33), 2)</f>
        <v>42.07</v>
      </c>
      <c r="E212" s="280">
        <v>24.0</v>
      </c>
      <c r="F212" s="280"/>
      <c r="G212" s="280"/>
      <c r="H212" s="280">
        <v>46.0</v>
      </c>
      <c r="I212" s="280">
        <v>23.0</v>
      </c>
      <c r="J212" s="280"/>
      <c r="K212" s="280"/>
      <c r="L212" s="280"/>
      <c r="M212" s="281"/>
      <c r="N212" s="280"/>
      <c r="O212" s="280"/>
      <c r="P212" s="280"/>
      <c r="Q212" s="280"/>
      <c r="R212" s="290"/>
      <c r="S212" s="281"/>
      <c r="T212" s="291"/>
      <c r="U212" s="281"/>
      <c r="V212" s="281"/>
      <c r="W212" s="281"/>
    </row>
    <row r="213">
      <c r="A213" s="224" t="s">
        <v>928</v>
      </c>
      <c r="B213" s="312" t="s">
        <v>1117</v>
      </c>
      <c r="C213" s="281"/>
      <c r="D213" s="360"/>
      <c r="E213" s="313" t="s">
        <v>607</v>
      </c>
      <c r="F213" s="314" t="s">
        <v>608</v>
      </c>
      <c r="G213" s="314" t="s">
        <v>561</v>
      </c>
      <c r="H213" s="314" t="s">
        <v>930</v>
      </c>
      <c r="I213" s="314" t="s">
        <v>330</v>
      </c>
      <c r="J213" s="314" t="s">
        <v>344</v>
      </c>
      <c r="K213" s="314" t="s">
        <v>356</v>
      </c>
      <c r="L213" s="314" t="s">
        <v>563</v>
      </c>
      <c r="M213" s="314" t="s">
        <v>564</v>
      </c>
      <c r="N213" s="281"/>
      <c r="O213" s="281"/>
      <c r="P213" s="281"/>
      <c r="Q213" s="281"/>
      <c r="R213" s="282"/>
      <c r="S213" s="281"/>
      <c r="T213" s="285"/>
      <c r="U213" s="281"/>
      <c r="V213" s="281"/>
      <c r="W213" s="281"/>
    </row>
    <row r="214">
      <c r="A214" s="292" t="s">
        <v>931</v>
      </c>
      <c r="B214" s="288" t="s">
        <v>932</v>
      </c>
      <c r="C214" s="280" t="s">
        <v>871</v>
      </c>
      <c r="D214" s="301"/>
      <c r="E214" s="280">
        <v>30.0</v>
      </c>
      <c r="F214" s="280"/>
      <c r="G214" s="280"/>
      <c r="H214" s="280"/>
      <c r="I214" s="280"/>
      <c r="J214" s="280"/>
      <c r="K214" s="280"/>
      <c r="L214" s="280"/>
      <c r="M214" s="281"/>
      <c r="N214" s="280"/>
      <c r="O214" s="280"/>
      <c r="P214" s="280"/>
      <c r="Q214" s="280"/>
      <c r="R214" s="290"/>
      <c r="S214" s="281"/>
      <c r="T214" s="291" t="s">
        <v>1118</v>
      </c>
      <c r="U214" s="281"/>
      <c r="V214" s="281"/>
      <c r="W214" s="281"/>
    </row>
    <row r="215">
      <c r="A215" s="137"/>
      <c r="B215" s="296" t="s">
        <v>938</v>
      </c>
      <c r="C215" s="297" t="s">
        <v>939</v>
      </c>
      <c r="D215" s="289">
        <f>ROUND((F215*'Pawn Weights'!$H$22)+(G215*'Pawn Weights'!$H$23)+(H215*'Pawn Weights'!$H$24)+(I215*'Pawn Weights'!$H$25)+(J215*'Pawn Weights'!$H$26)+(K215*'Pawn Weights'!$H$27)+(L215*'Pawn Weights'!$H$28)+(M215*'Pawn Weights'!$H$29)+(N215*'Pawn Weights'!$H$30)+(O215*'Pawn Weights'!$H$31)+(P215*'Pawn Weights'!$H$32)+(Q215*'Pawn Weights'!$H$33), 2)</f>
        <v>98.57</v>
      </c>
      <c r="E215" s="297"/>
      <c r="F215" s="297"/>
      <c r="G215" s="297"/>
      <c r="H215" s="298">
        <v>92.0</v>
      </c>
      <c r="I215" s="297"/>
      <c r="J215" s="297"/>
      <c r="K215" s="297"/>
      <c r="L215" s="298">
        <v>44.0</v>
      </c>
      <c r="M215" s="295"/>
      <c r="N215" s="297"/>
      <c r="O215" s="297"/>
      <c r="P215" s="297"/>
      <c r="Q215" s="297"/>
      <c r="R215" s="295"/>
      <c r="S215" s="137"/>
      <c r="T215" s="297" t="s">
        <v>940</v>
      </c>
      <c r="U215" s="137"/>
      <c r="V215" s="137"/>
      <c r="W215" s="137"/>
      <c r="X215" s="137"/>
      <c r="Y215" s="137"/>
      <c r="Z215" s="137"/>
    </row>
    <row r="216">
      <c r="A216" s="281"/>
      <c r="B216" s="288" t="s">
        <v>941</v>
      </c>
      <c r="C216" s="280" t="s">
        <v>639</v>
      </c>
      <c r="D216" s="289">
        <f>ROUND((F216*'Pawn Weights'!$H$22)+(G216*'Pawn Weights'!$H$23)+(H216*'Pawn Weights'!$H$24)+(I216*'Pawn Weights'!$H$25)+(J216*'Pawn Weights'!$H$26)+(K216*'Pawn Weights'!$H$27)+(L216*'Pawn Weights'!$H$28)+(M216*'Pawn Weights'!$H$29)+(N216*'Pawn Weights'!$H$30)+(O216*'Pawn Weights'!$H$31)+(P216*'Pawn Weights'!$H$32)+(Q216*'Pawn Weights'!$H$33), 2)</f>
        <v>79.68</v>
      </c>
      <c r="E216" s="280"/>
      <c r="F216" s="280"/>
      <c r="G216" s="280"/>
      <c r="H216" s="280">
        <v>84.0</v>
      </c>
      <c r="I216" s="280"/>
      <c r="J216" s="280">
        <v>20.0</v>
      </c>
      <c r="K216" s="280"/>
      <c r="L216" s="280"/>
      <c r="M216" s="280">
        <v>150.0</v>
      </c>
      <c r="N216" s="280"/>
      <c r="O216" s="280"/>
      <c r="P216" s="280"/>
      <c r="Q216" s="280"/>
      <c r="R216" s="290"/>
      <c r="S216" s="281"/>
      <c r="T216" s="291" t="s">
        <v>1119</v>
      </c>
      <c r="U216" s="281"/>
      <c r="V216" s="281"/>
      <c r="W216" s="281"/>
    </row>
    <row r="217">
      <c r="A217" s="281"/>
      <c r="B217" s="288" t="s">
        <v>936</v>
      </c>
      <c r="C217" s="280" t="s">
        <v>823</v>
      </c>
      <c r="D217" s="289">
        <f>ROUND((F217*'Pawn Weights'!$H$22)+(G217*'Pawn Weights'!$H$23)+(H217*'Pawn Weights'!$H$24)+(I217*'Pawn Weights'!$H$25)+(J217*'Pawn Weights'!$H$26)+(K217*'Pawn Weights'!$H$27)+(L217*'Pawn Weights'!$H$28)+(M217*'Pawn Weights'!$H$29)+(N217*'Pawn Weights'!$H$30)+(O217*'Pawn Weights'!$H$31)+(P217*'Pawn Weights'!$H$32)+(Q217*'Pawn Weights'!$H$33), 2)</f>
        <v>69.08</v>
      </c>
      <c r="E217" s="280"/>
      <c r="F217" s="280"/>
      <c r="G217" s="280"/>
      <c r="H217" s="280">
        <v>40.0</v>
      </c>
      <c r="I217" s="280"/>
      <c r="J217" s="280"/>
      <c r="K217" s="280">
        <v>94.25</v>
      </c>
      <c r="L217" s="280"/>
      <c r="M217" s="281"/>
      <c r="N217" s="280"/>
      <c r="O217" s="280"/>
      <c r="P217" s="280"/>
      <c r="Q217" s="280"/>
      <c r="R217" s="290"/>
      <c r="S217" s="281"/>
      <c r="T217" s="291" t="s">
        <v>937</v>
      </c>
      <c r="U217" s="281"/>
      <c r="V217" s="281"/>
      <c r="W217" s="281"/>
    </row>
    <row r="218">
      <c r="A218" s="137"/>
      <c r="B218" s="296" t="s">
        <v>946</v>
      </c>
      <c r="C218" s="297" t="s">
        <v>947</v>
      </c>
      <c r="D218" s="289">
        <f>ROUND((F218*'Pawn Weights'!$H$22)+(G218*'Pawn Weights'!$H$23)+(H218*'Pawn Weights'!$H$24)+(I218*'Pawn Weights'!$H$25)+(J218*'Pawn Weights'!$H$26)+(K218*'Pawn Weights'!$H$27)+(L218*'Pawn Weights'!$H$28)+(M218*'Pawn Weights'!$H$29)+(N218*'Pawn Weights'!$H$30)+(O218*'Pawn Weights'!$H$31)+(P218*'Pawn Weights'!$H$32)+(Q218*'Pawn Weights'!$H$33), 2)</f>
        <v>68.18</v>
      </c>
      <c r="E218" s="297"/>
      <c r="F218" s="297"/>
      <c r="G218" s="297"/>
      <c r="H218" s="298">
        <v>150.0</v>
      </c>
      <c r="I218" s="297"/>
      <c r="J218" s="297"/>
      <c r="K218" s="297"/>
      <c r="L218" s="297"/>
      <c r="M218" s="295"/>
      <c r="N218" s="297"/>
      <c r="O218" s="297"/>
      <c r="P218" s="297"/>
      <c r="Q218" s="297"/>
      <c r="R218" s="295"/>
      <c r="S218" s="137"/>
      <c r="T218" s="297" t="s">
        <v>948</v>
      </c>
      <c r="U218" s="137"/>
      <c r="V218" s="137"/>
      <c r="W218" s="137"/>
      <c r="X218" s="137"/>
      <c r="Y218" s="137"/>
      <c r="Z218" s="137"/>
    </row>
    <row r="219">
      <c r="A219" s="292" t="s">
        <v>949</v>
      </c>
      <c r="B219" s="288" t="s">
        <v>950</v>
      </c>
      <c r="C219" s="280" t="s">
        <v>951</v>
      </c>
      <c r="D219" s="289">
        <f>ROUND((F219*'Pawn Weights'!$H$22)+(G219*'Pawn Weights'!$H$23)+(H219*'Pawn Weights'!$H$24)+(I219*'Pawn Weights'!$H$25)+(J219*'Pawn Weights'!$H$26)+(K219*'Pawn Weights'!$H$27)+(L219*'Pawn Weights'!$H$28)+(M219*'Pawn Weights'!$H$29)+(N219*'Pawn Weights'!$H$30)+(O219*'Pawn Weights'!$H$31)+(P219*'Pawn Weights'!$H$32)+(Q219*'Pawn Weights'!$H$33), 2)</f>
        <v>68.18</v>
      </c>
      <c r="E219" s="280"/>
      <c r="F219" s="280"/>
      <c r="G219" s="280"/>
      <c r="H219" s="280">
        <v>150.0</v>
      </c>
      <c r="I219" s="280"/>
      <c r="J219" s="280"/>
      <c r="K219" s="280"/>
      <c r="L219" s="280"/>
      <c r="M219" s="281"/>
      <c r="N219" s="280"/>
      <c r="O219" s="280"/>
      <c r="P219" s="280"/>
      <c r="Q219" s="280"/>
      <c r="R219" s="290"/>
      <c r="S219" s="281"/>
      <c r="T219" s="291" t="s">
        <v>952</v>
      </c>
      <c r="U219" s="281"/>
      <c r="V219" s="281"/>
      <c r="W219" s="281"/>
    </row>
    <row r="220">
      <c r="A220" s="281"/>
      <c r="B220" s="288" t="s">
        <v>956</v>
      </c>
      <c r="C220" s="280" t="s">
        <v>957</v>
      </c>
      <c r="D220" s="289">
        <f>ROUND((F220*'Pawn Weights'!$H$22)+(G220*'Pawn Weights'!$H$23)+(H220*'Pawn Weights'!$H$24)+(I220*'Pawn Weights'!$H$25)+(J220*'Pawn Weights'!$H$26)+(K220*'Pawn Weights'!$H$27)+(L220*'Pawn Weights'!$H$28)+(M220*'Pawn Weights'!$H$29)+(N220*'Pawn Weights'!$H$30)+(O220*'Pawn Weights'!$H$31)+(P220*'Pawn Weights'!$H$32)+(Q220*'Pawn Weights'!$H$33), 2)</f>
        <v>61.76</v>
      </c>
      <c r="E220" s="280"/>
      <c r="F220" s="280"/>
      <c r="G220" s="280"/>
      <c r="H220" s="280">
        <v>44.0</v>
      </c>
      <c r="I220" s="280">
        <v>38.0</v>
      </c>
      <c r="J220" s="280">
        <v>10.0</v>
      </c>
      <c r="K220" s="280"/>
      <c r="L220" s="280"/>
      <c r="M220" s="281"/>
      <c r="N220" s="280"/>
      <c r="O220" s="280"/>
      <c r="P220" s="280"/>
      <c r="Q220" s="280"/>
      <c r="R220" s="290"/>
      <c r="S220" s="281"/>
      <c r="T220" s="291" t="s">
        <v>958</v>
      </c>
      <c r="U220" s="281"/>
      <c r="V220" s="281"/>
      <c r="W220" s="281"/>
    </row>
    <row r="221">
      <c r="A221" s="137" t="s">
        <v>627</v>
      </c>
      <c r="B221" s="296" t="s">
        <v>953</v>
      </c>
      <c r="C221" s="297" t="s">
        <v>954</v>
      </c>
      <c r="D221" s="289">
        <f>ROUND((F221*'Pawn Weights'!$H$22)+(G221*'Pawn Weights'!$H$23)+(H221*'Pawn Weights'!$H$24)+(I221*'Pawn Weights'!$H$25)+(J221*'Pawn Weights'!$H$26)+(K221*'Pawn Weights'!$H$27)+(L221*'Pawn Weights'!$H$28)+(M221*'Pawn Weights'!$H$29)+(N221*'Pawn Weights'!$H$30)+(O221*'Pawn Weights'!$H$31)+(P221*'Pawn Weights'!$H$32)+(Q221*'Pawn Weights'!$H$33), 2)</f>
        <v>60.6</v>
      </c>
      <c r="E221" s="295"/>
      <c r="F221" s="295"/>
      <c r="G221" s="295"/>
      <c r="H221" s="298">
        <v>133.33</v>
      </c>
      <c r="I221" s="295"/>
      <c r="J221" s="295"/>
      <c r="K221" s="295"/>
      <c r="L221" s="295"/>
      <c r="M221" s="137"/>
      <c r="N221" s="295"/>
      <c r="O221" s="295"/>
      <c r="P221" s="295"/>
      <c r="Q221" s="295"/>
      <c r="R221" s="295"/>
      <c r="S221" s="137"/>
      <c r="T221" s="297" t="s">
        <v>955</v>
      </c>
      <c r="U221" s="137"/>
      <c r="V221" s="137"/>
      <c r="W221" s="137"/>
      <c r="X221" s="137"/>
      <c r="Y221" s="137"/>
      <c r="Z221" s="137"/>
    </row>
    <row r="222">
      <c r="A222" s="281"/>
      <c r="B222" s="288" t="s">
        <v>959</v>
      </c>
      <c r="C222" s="154" t="s">
        <v>960</v>
      </c>
      <c r="D222" s="289">
        <f>ROUND((F222*'Pawn Weights'!$H$22)+(G222*'Pawn Weights'!$H$23)+(H222*'Pawn Weights'!$H$24)+(I222*'Pawn Weights'!$H$25)+(J222*'Pawn Weights'!$H$26)+(K222*'Pawn Weights'!$H$27)+(L222*'Pawn Weights'!$H$28)+(M222*'Pawn Weights'!$H$29)+(N222*'Pawn Weights'!$H$30)+(O222*'Pawn Weights'!$H$31)+(P222*'Pawn Weights'!$H$32)+(Q222*'Pawn Weights'!$H$33), 2)</f>
        <v>54.54</v>
      </c>
      <c r="E222" s="280"/>
      <c r="F222" s="280"/>
      <c r="G222" s="280"/>
      <c r="H222" s="280">
        <v>120.0</v>
      </c>
      <c r="I222" s="280"/>
      <c r="J222" s="280"/>
      <c r="K222" s="280"/>
      <c r="L222" s="280"/>
      <c r="M222" s="280"/>
      <c r="N222" s="280"/>
      <c r="O222" s="280"/>
      <c r="P222" s="280"/>
      <c r="Q222" s="280"/>
      <c r="R222" s="290"/>
      <c r="S222" s="281"/>
      <c r="T222" s="291" t="s">
        <v>961</v>
      </c>
      <c r="U222" s="281"/>
      <c r="V222" s="281"/>
      <c r="W222" s="281"/>
      <c r="X222" s="281"/>
    </row>
    <row r="223">
      <c r="A223" s="281"/>
      <c r="B223" s="288" t="s">
        <v>962</v>
      </c>
      <c r="C223" s="280" t="s">
        <v>963</v>
      </c>
      <c r="D223" s="289">
        <f>ROUND((F223*'Pawn Weights'!$H$22)+(G223*'Pawn Weights'!$H$23)+(H223*'Pawn Weights'!$H$24)+(I223*'Pawn Weights'!$H$25)+(J223*'Pawn Weights'!$H$26)+(K223*'Pawn Weights'!$H$27)+(L223*'Pawn Weights'!$H$28)+(M223*'Pawn Weights'!$H$29)+(N223*'Pawn Weights'!$H$30)+(O223*'Pawn Weights'!$H$31)+(P223*'Pawn Weights'!$H$32)+(Q223*'Pawn Weights'!$H$33), 2)</f>
        <v>53.63</v>
      </c>
      <c r="E223" s="280"/>
      <c r="F223" s="280"/>
      <c r="G223" s="280"/>
      <c r="H223" s="280">
        <v>118.0</v>
      </c>
      <c r="I223" s="280"/>
      <c r="J223" s="280"/>
      <c r="K223" s="280"/>
      <c r="L223" s="280"/>
      <c r="M223" s="280"/>
      <c r="N223" s="280"/>
      <c r="O223" s="280"/>
      <c r="P223" s="280"/>
      <c r="Q223" s="280"/>
      <c r="R223" s="290"/>
      <c r="S223" s="281"/>
      <c r="T223" s="291" t="s">
        <v>964</v>
      </c>
      <c r="U223" s="281"/>
      <c r="V223" s="281"/>
      <c r="W223" s="281"/>
      <c r="X223" s="281"/>
    </row>
    <row r="224">
      <c r="A224" s="292" t="s">
        <v>965</v>
      </c>
      <c r="B224" s="288" t="s">
        <v>966</v>
      </c>
      <c r="C224" s="280" t="s">
        <v>967</v>
      </c>
      <c r="D224" s="289">
        <f>ROUND((F224*'Pawn Weights'!$H$22)+(G224*'Pawn Weights'!$H$23)+(H224*'Pawn Weights'!$H$24)+(I224*'Pawn Weights'!$H$25)+(J224*'Pawn Weights'!$H$26)+(K224*'Pawn Weights'!$H$27)+(L224*'Pawn Weights'!$H$28)+(M224*'Pawn Weights'!$H$29)+(N224*'Pawn Weights'!$H$30)+(O224*'Pawn Weights'!$H$31)+(P224*'Pawn Weights'!$H$32)+(Q224*'Pawn Weights'!$H$33), 2)</f>
        <v>48.63</v>
      </c>
      <c r="E224" s="280"/>
      <c r="F224" s="280"/>
      <c r="G224" s="280"/>
      <c r="H224" s="280">
        <v>107.0</v>
      </c>
      <c r="I224" s="280"/>
      <c r="J224" s="280"/>
      <c r="K224" s="280"/>
      <c r="L224" s="280"/>
      <c r="M224" s="281"/>
      <c r="N224" s="280"/>
      <c r="O224" s="280"/>
      <c r="P224" s="280"/>
      <c r="Q224" s="280"/>
      <c r="R224" s="290"/>
      <c r="S224" s="281"/>
      <c r="T224" s="291" t="s">
        <v>968</v>
      </c>
      <c r="U224" s="281"/>
      <c r="V224" s="281"/>
      <c r="W224" s="281"/>
    </row>
    <row r="225">
      <c r="A225" s="281"/>
      <c r="B225" s="311" t="s">
        <v>969</v>
      </c>
      <c r="C225" s="280" t="s">
        <v>970</v>
      </c>
      <c r="D225" s="289">
        <f>ROUND((F225*'Pawn Weights'!$H$22)+(G225*'Pawn Weights'!$H$23)+(H225*'Pawn Weights'!$H$24)+(I225*'Pawn Weights'!$H$25)+(J225*'Pawn Weights'!$H$26)+(K225*'Pawn Weights'!$H$27)+(L225*'Pawn Weights'!$H$28)+(M225*'Pawn Weights'!$H$29)+(N225*'Pawn Weights'!$H$30)+(O225*'Pawn Weights'!$H$31)+(P225*'Pawn Weights'!$H$32)+(Q225*'Pawn Weights'!$H$33), 2)</f>
        <v>47.17</v>
      </c>
      <c r="E225" s="280"/>
      <c r="F225" s="280"/>
      <c r="G225" s="280"/>
      <c r="H225" s="280">
        <v>39.0</v>
      </c>
      <c r="I225" s="280">
        <v>32.0</v>
      </c>
      <c r="J225" s="280"/>
      <c r="K225" s="280"/>
      <c r="L225" s="280"/>
      <c r="M225" s="280"/>
      <c r="N225" s="280"/>
      <c r="O225" s="280"/>
      <c r="P225" s="280"/>
      <c r="Q225" s="280"/>
      <c r="R225" s="290"/>
      <c r="S225" s="281"/>
      <c r="T225" s="291" t="s">
        <v>971</v>
      </c>
      <c r="U225" s="281"/>
      <c r="V225" s="281"/>
      <c r="W225" s="281"/>
      <c r="X225" s="281"/>
    </row>
    <row r="226">
      <c r="A226" s="272" t="s">
        <v>972</v>
      </c>
      <c r="B226" s="281"/>
      <c r="C226" s="281"/>
      <c r="D226" s="301"/>
      <c r="E226" s="281"/>
      <c r="F226" s="281"/>
      <c r="G226" s="281"/>
      <c r="H226" s="281"/>
      <c r="I226" s="281"/>
      <c r="J226" s="281"/>
      <c r="K226" s="281"/>
      <c r="L226" s="281"/>
      <c r="M226" s="281"/>
      <c r="N226" s="281"/>
      <c r="O226" s="281"/>
      <c r="P226" s="281"/>
      <c r="Q226" s="281"/>
      <c r="R226" s="282"/>
      <c r="S226" s="281"/>
      <c r="T226" s="285"/>
      <c r="U226" s="281"/>
      <c r="V226" s="281"/>
      <c r="W226" s="281"/>
    </row>
    <row r="227">
      <c r="A227" s="137"/>
      <c r="B227" s="296" t="s">
        <v>976</v>
      </c>
      <c r="C227" s="297" t="s">
        <v>947</v>
      </c>
      <c r="D227" s="289">
        <f>ROUND((F227*'Pawn Weights'!$H$22)+(G227*'Pawn Weights'!$H$23)+(H227*'Pawn Weights'!$H$24)+(I227*'Pawn Weights'!$H$25)+(J227*'Pawn Weights'!$H$26)+(K227*'Pawn Weights'!$H$27)+(L227*'Pawn Weights'!$H$28)+(M227*'Pawn Weights'!$H$29)+(N227*'Pawn Weights'!$H$30)+(O227*'Pawn Weights'!$H$31)+(P227*'Pawn Weights'!$H$32)+(Q227*'Pawn Weights'!$H$33), 2)</f>
        <v>40.71</v>
      </c>
      <c r="E227" s="297"/>
      <c r="F227" s="297"/>
      <c r="G227" s="297"/>
      <c r="H227" s="298">
        <v>38.0</v>
      </c>
      <c r="I227" s="297"/>
      <c r="J227" s="297"/>
      <c r="K227" s="137"/>
      <c r="L227" s="137"/>
      <c r="M227" s="359">
        <v>126.0</v>
      </c>
      <c r="N227" s="137"/>
      <c r="O227" s="297"/>
      <c r="P227" s="137"/>
      <c r="Q227" s="137"/>
      <c r="R227" s="295"/>
      <c r="S227" s="137"/>
      <c r="T227" s="295"/>
      <c r="U227" s="137"/>
      <c r="V227" s="137"/>
      <c r="W227" s="137"/>
      <c r="X227" s="137"/>
      <c r="Y227" s="137"/>
      <c r="Z227" s="137"/>
    </row>
    <row r="228">
      <c r="A228" s="137"/>
      <c r="B228" s="341" t="s">
        <v>979</v>
      </c>
      <c r="C228" s="361" t="s">
        <v>980</v>
      </c>
      <c r="D228" s="289">
        <f>ROUND((F228*'Pawn Weights'!$H$22)+(G228*'Pawn Weights'!$H$23)+(H228*'Pawn Weights'!$H$24)+(I228*'Pawn Weights'!$H$25)+(J228*'Pawn Weights'!$H$26)+(K228*'Pawn Weights'!$H$27)+(L228*'Pawn Weights'!$H$28)+(M228*'Pawn Weights'!$H$29)+(N228*'Pawn Weights'!$H$30)+(O228*'Pawn Weights'!$H$31)+(P228*'Pawn Weights'!$H$32)+(Q228*'Pawn Weights'!$H$33), 2)</f>
        <v>40.62</v>
      </c>
      <c r="E228" s="137"/>
      <c r="F228" s="137"/>
      <c r="G228" s="137"/>
      <c r="H228" s="359">
        <v>32.0</v>
      </c>
      <c r="I228" s="359">
        <v>18.0</v>
      </c>
      <c r="J228" s="359">
        <v>14.0</v>
      </c>
      <c r="K228" s="137"/>
      <c r="L228" s="137"/>
      <c r="M228" s="137"/>
      <c r="N228" s="137"/>
      <c r="O228" s="137"/>
      <c r="P228" s="137"/>
      <c r="Q228" s="137"/>
      <c r="R228" s="137"/>
      <c r="S228" s="137"/>
      <c r="T228" s="137"/>
      <c r="U228" s="137"/>
      <c r="V228" s="137"/>
      <c r="W228" s="137"/>
      <c r="X228" s="137"/>
      <c r="Y228" s="137"/>
      <c r="Z228" s="137"/>
    </row>
    <row r="229">
      <c r="A229" s="281"/>
      <c r="B229" s="288" t="s">
        <v>981</v>
      </c>
      <c r="C229" s="280" t="s">
        <v>982</v>
      </c>
      <c r="D229" s="289">
        <f>ROUND((F229*'Pawn Weights'!$H$22)+(G229*'Pawn Weights'!$H$23)+(H229*'Pawn Weights'!$H$24)+(I229*'Pawn Weights'!$H$25)+(J229*'Pawn Weights'!$H$26)+(K229*'Pawn Weights'!$H$27)+(L229*'Pawn Weights'!$H$28)+(M229*'Pawn Weights'!$H$29)+(N229*'Pawn Weights'!$H$30)+(O229*'Pawn Weights'!$H$31)+(P229*'Pawn Weights'!$H$32)+(Q229*'Pawn Weights'!$H$33)+2.76, 2)</f>
        <v>33.59</v>
      </c>
      <c r="E229" s="280"/>
      <c r="F229" s="280"/>
      <c r="G229" s="280">
        <v>16.0</v>
      </c>
      <c r="H229" s="280"/>
      <c r="I229" s="280"/>
      <c r="J229" s="280"/>
      <c r="K229" s="320"/>
      <c r="L229" s="320"/>
      <c r="M229" s="281"/>
      <c r="N229" s="320"/>
      <c r="O229" s="280">
        <v>2.0</v>
      </c>
      <c r="P229" s="320"/>
      <c r="Q229" s="320"/>
      <c r="R229" s="290" t="s">
        <v>702</v>
      </c>
      <c r="S229" s="281"/>
      <c r="T229" s="291"/>
      <c r="U229" s="281"/>
      <c r="V229" s="281"/>
      <c r="W229" s="281"/>
    </row>
    <row r="230">
      <c r="A230" s="137" t="s">
        <v>671</v>
      </c>
      <c r="B230" s="296" t="s">
        <v>985</v>
      </c>
      <c r="C230" s="297" t="s">
        <v>637</v>
      </c>
      <c r="D230" s="289">
        <f>ROUND((F230*'Pawn Weights'!$H$22)+(G230*'Pawn Weights'!$H$23)+(H230*'Pawn Weights'!$H$24)+(I230*'Pawn Weights'!$H$25)+(J230*'Pawn Weights'!$H$26)+(K230*'Pawn Weights'!$H$27)+(L230*'Pawn Weights'!$H$28)+(M230*'Pawn Weights'!$H$29)+(N230*'Pawn Weights'!$H$30)+(O230*'Pawn Weights'!$H$31)+(P230*'Pawn Weights'!$H$32)+(Q230*'Pawn Weights'!$H$33), 2)</f>
        <v>32.01</v>
      </c>
      <c r="E230" s="298">
        <v>27.0</v>
      </c>
      <c r="F230" s="295"/>
      <c r="G230" s="295"/>
      <c r="H230" s="298">
        <v>34.0</v>
      </c>
      <c r="I230" s="298">
        <v>18.0</v>
      </c>
      <c r="J230" s="295"/>
      <c r="K230" s="137"/>
      <c r="L230" s="137"/>
      <c r="M230" s="137"/>
      <c r="N230" s="137"/>
      <c r="O230" s="295"/>
      <c r="P230" s="137"/>
      <c r="Q230" s="137"/>
      <c r="R230" s="295"/>
      <c r="S230" s="137"/>
      <c r="T230" s="297" t="s">
        <v>986</v>
      </c>
      <c r="U230" s="137"/>
      <c r="V230" s="137"/>
      <c r="W230" s="137"/>
      <c r="X230" s="137"/>
      <c r="Y230" s="137"/>
      <c r="Z230" s="137"/>
    </row>
    <row r="231">
      <c r="A231" s="281"/>
      <c r="B231" s="288" t="s">
        <v>987</v>
      </c>
      <c r="C231" s="280" t="s">
        <v>649</v>
      </c>
      <c r="D231" s="289">
        <f>ROUND((F231*'Pawn Weights'!$H$22)+(G231*'Pawn Weights'!$H$23)+(H231*'Pawn Weights'!$H$24)+(I231*'Pawn Weights'!$H$25)+(J231*'Pawn Weights'!$H$26)+(K231*'Pawn Weights'!$H$27)+(L231*'Pawn Weights'!$H$28)+(M231*'Pawn Weights'!$H$29)+(N231*'Pawn Weights'!$H$30)+(O231*'Pawn Weights'!$H$31)+(P231*'Pawn Weights'!$H$32)+(Q231*'Pawn Weights'!$H$33), 2)</f>
        <v>31.99</v>
      </c>
      <c r="E231" s="280">
        <v>17.0</v>
      </c>
      <c r="F231" s="280"/>
      <c r="G231" s="280"/>
      <c r="H231" s="280">
        <v>38.0</v>
      </c>
      <c r="I231" s="280">
        <v>16.0</v>
      </c>
      <c r="J231" s="280"/>
      <c r="K231" s="320"/>
      <c r="L231" s="320"/>
      <c r="M231" s="281"/>
      <c r="N231" s="320"/>
      <c r="O231" s="280"/>
      <c r="P231" s="320"/>
      <c r="Q231" s="320"/>
      <c r="R231" s="290"/>
      <c r="S231" s="281"/>
      <c r="T231" s="291"/>
      <c r="U231" s="281"/>
      <c r="V231" s="281"/>
      <c r="W231" s="281"/>
    </row>
    <row r="232">
      <c r="A232" s="281"/>
      <c r="B232" s="288" t="s">
        <v>988</v>
      </c>
      <c r="C232" s="280" t="s">
        <v>727</v>
      </c>
      <c r="D232" s="289">
        <f>ROUND((F232*'Pawn Weights'!$H$22)+(G232*'Pawn Weights'!$H$23)+(H232*'Pawn Weights'!$H$24)+(I232*'Pawn Weights'!$H$25)+(J232*'Pawn Weights'!$H$26)+(K232*'Pawn Weights'!$H$27)+(L232*'Pawn Weights'!$H$28)+(M232*'Pawn Weights'!$H$29)+(N232*'Pawn Weights'!$H$30)+(O232*'Pawn Weights'!$H$31)+(P232*'Pawn Weights'!$H$32)+(Q232*'Pawn Weights'!$H$33), 2)</f>
        <v>30.29</v>
      </c>
      <c r="E232" s="280"/>
      <c r="F232" s="280"/>
      <c r="G232" s="280">
        <v>23.0</v>
      </c>
      <c r="H232" s="280"/>
      <c r="I232" s="280">
        <v>16.0</v>
      </c>
      <c r="J232" s="280"/>
      <c r="K232" s="320"/>
      <c r="L232" s="320"/>
      <c r="M232" s="281"/>
      <c r="N232" s="320"/>
      <c r="O232" s="280"/>
      <c r="P232" s="320"/>
      <c r="Q232" s="320"/>
      <c r="R232" s="290"/>
      <c r="S232" s="281"/>
      <c r="T232" s="291"/>
      <c r="U232" s="281"/>
      <c r="V232" s="281"/>
      <c r="W232" s="281"/>
    </row>
    <row r="233" ht="14.25" customHeight="1">
      <c r="A233" s="219" t="s">
        <v>991</v>
      </c>
      <c r="B233" s="288" t="s">
        <v>992</v>
      </c>
      <c r="C233" s="154" t="s">
        <v>646</v>
      </c>
      <c r="D233" s="289">
        <f>ROUND((F233*'Pawn Weights'!$H$22)+(G233*'Pawn Weights'!$H$23)+(H233*'Pawn Weights'!$H$24)+(I233*'Pawn Weights'!$H$25)+(J233*'Pawn Weights'!$H$26)+(K233*'Pawn Weights'!$H$27)+(L233*'Pawn Weights'!$H$28)+(M233*'Pawn Weights'!$H$29)+(N233*'Pawn Weights'!$H$30)+(O233*'Pawn Weights'!$H$31)+(P233*'Pawn Weights'!$H$32)+(Q233*'Pawn Weights'!$H$33), 2)</f>
        <v>29.28</v>
      </c>
      <c r="E233" s="280">
        <v>24.0</v>
      </c>
      <c r="F233" s="280"/>
      <c r="G233" s="280"/>
      <c r="H233" s="280">
        <v>30.0</v>
      </c>
      <c r="I233" s="280">
        <v>17.0</v>
      </c>
      <c r="J233" s="280"/>
      <c r="K233" s="280"/>
      <c r="L233" s="280"/>
      <c r="M233" s="281"/>
      <c r="N233" s="280"/>
      <c r="O233" s="280"/>
      <c r="P233" s="280"/>
      <c r="Q233" s="280"/>
      <c r="R233" s="290"/>
      <c r="S233" s="281"/>
      <c r="T233" s="291" t="s">
        <v>986</v>
      </c>
      <c r="U233" s="281"/>
      <c r="V233" s="281"/>
      <c r="W233" s="281"/>
    </row>
    <row r="234">
      <c r="A234" s="281"/>
      <c r="B234" s="288" t="s">
        <v>994</v>
      </c>
      <c r="C234" s="280" t="s">
        <v>656</v>
      </c>
      <c r="D234" s="289">
        <f>ROUND((F234*'Pawn Weights'!$H$22)+(G234*'Pawn Weights'!$H$23)+(H234*'Pawn Weights'!$H$24)+(I234*'Pawn Weights'!$H$25)+(J234*'Pawn Weights'!$H$26)+(K234*'Pawn Weights'!$H$27)+(L234*'Pawn Weights'!$H$28)+(M234*'Pawn Weights'!$H$29)+(N234*'Pawn Weights'!$H$30)+(O234*'Pawn Weights'!$H$31)+(P234*'Pawn Weights'!$H$32)+(Q234*'Pawn Weights'!$H$33), 2)</f>
        <v>28.32</v>
      </c>
      <c r="E234" s="280"/>
      <c r="F234" s="280"/>
      <c r="G234" s="280">
        <v>19.0</v>
      </c>
      <c r="H234" s="280">
        <v>34.0</v>
      </c>
      <c r="I234" s="280"/>
      <c r="J234" s="280"/>
      <c r="K234" s="320"/>
      <c r="L234" s="320"/>
      <c r="M234" s="281"/>
      <c r="N234" s="320"/>
      <c r="O234" s="320"/>
      <c r="P234" s="320"/>
      <c r="Q234" s="320"/>
      <c r="R234" s="321"/>
      <c r="S234" s="281"/>
      <c r="T234" s="291"/>
      <c r="U234" s="281"/>
      <c r="V234" s="281"/>
      <c r="W234" s="281"/>
    </row>
    <row r="235" ht="14.25" customHeight="1">
      <c r="A235" s="219" t="s">
        <v>995</v>
      </c>
      <c r="B235" s="288" t="s">
        <v>996</v>
      </c>
      <c r="C235" s="154" t="s">
        <v>997</v>
      </c>
      <c r="D235" s="289">
        <f>ROUND((F235*'Pawn Weights'!$H$22)+(G235*'Pawn Weights'!$H$23)+(H235*'Pawn Weights'!$H$24)+(I235*'Pawn Weights'!$H$25)+(J235*'Pawn Weights'!$H$26)+(K235*'Pawn Weights'!$H$27)+(L235*'Pawn Weights'!$H$28)+(M235*'Pawn Weights'!$H$29)+(N235*'Pawn Weights'!$H$30)+(O235*'Pawn Weights'!$H$31)+(P235*'Pawn Weights'!$H$32)+(Q235*'Pawn Weights'!$H$33), 2)</f>
        <v>27.45</v>
      </c>
      <c r="E235" s="280">
        <v>21.0</v>
      </c>
      <c r="F235" s="280"/>
      <c r="G235" s="280"/>
      <c r="H235" s="280">
        <v>28.0</v>
      </c>
      <c r="I235" s="280">
        <v>16.0</v>
      </c>
      <c r="J235" s="280"/>
      <c r="K235" s="280"/>
      <c r="L235" s="280"/>
      <c r="M235" s="281"/>
      <c r="N235" s="280"/>
      <c r="O235" s="280"/>
      <c r="P235" s="280"/>
      <c r="Q235" s="280"/>
      <c r="R235" s="290"/>
      <c r="S235" s="281"/>
      <c r="T235" s="291" t="s">
        <v>986</v>
      </c>
      <c r="U235" s="281"/>
      <c r="V235" s="281"/>
      <c r="W235" s="281"/>
    </row>
    <row r="236">
      <c r="A236" s="137"/>
      <c r="B236" s="296" t="s">
        <v>983</v>
      </c>
      <c r="C236" s="297" t="s">
        <v>984</v>
      </c>
      <c r="D236" s="289">
        <f>ROUND((F236*'Pawn Weights'!$H$22)+(G236*'Pawn Weights'!$H$23)+(H236*'Pawn Weights'!$H$24)+(I236*'Pawn Weights'!$H$25)+(J236*'Pawn Weights'!$H$26)+(K236*'Pawn Weights'!$H$27)+(L236*'Pawn Weights'!$H$28)+(M236*'Pawn Weights'!$H$29)+(N236*'Pawn Weights'!$H$30)+(O236*'Pawn Weights'!$H$31)+(P236*'Pawn Weights'!$H$32)+(Q236*'Pawn Weights'!$H$33), 2)</f>
        <v>26.99</v>
      </c>
      <c r="E236" s="297"/>
      <c r="F236" s="297"/>
      <c r="G236" s="297"/>
      <c r="H236" s="298">
        <v>38.0</v>
      </c>
      <c r="I236" s="297"/>
      <c r="J236" s="297"/>
      <c r="K236" s="359">
        <v>18.0</v>
      </c>
      <c r="L236" s="137"/>
      <c r="M236" s="137"/>
      <c r="N236" s="137"/>
      <c r="O236" s="297"/>
      <c r="P236" s="137"/>
      <c r="Q236" s="137"/>
      <c r="R236" s="295"/>
      <c r="S236" s="137"/>
      <c r="T236" s="295"/>
      <c r="U236" s="137"/>
      <c r="V236" s="137"/>
      <c r="W236" s="137"/>
      <c r="X236" s="137"/>
      <c r="Y236" s="137"/>
      <c r="Z236" s="137"/>
    </row>
    <row r="237">
      <c r="B237" s="322" t="s">
        <v>998</v>
      </c>
      <c r="C237" s="154" t="s">
        <v>999</v>
      </c>
      <c r="D237" s="289">
        <f>ROUND((F237*'Pawn Weights'!$H$22)+(G237*'Pawn Weights'!$H$23)+(H237*'Pawn Weights'!$H$24)+(I237*'Pawn Weights'!$H$25)+(J237*'Pawn Weights'!$H$26)+(K237*'Pawn Weights'!$H$27)+(L237*'Pawn Weights'!$H$28)+(M237*'Pawn Weights'!$H$29)+(N237*'Pawn Weights'!$H$30)+(O237*'Pawn Weights'!$H$31)+(P237*'Pawn Weights'!$H$32)+(Q237*'Pawn Weights'!$H$33), 2)</f>
        <v>26.83</v>
      </c>
      <c r="E237" s="280"/>
      <c r="F237" s="280"/>
      <c r="G237" s="280">
        <v>10.0</v>
      </c>
      <c r="H237" s="280">
        <v>32.0</v>
      </c>
      <c r="I237" s="280">
        <v>6.0</v>
      </c>
      <c r="J237" s="280"/>
      <c r="K237" s="280"/>
      <c r="L237" s="280"/>
      <c r="M237" s="281"/>
      <c r="N237" s="280"/>
      <c r="O237" s="280"/>
      <c r="P237" s="280"/>
      <c r="Q237" s="280"/>
      <c r="R237" s="290"/>
      <c r="S237" s="281"/>
      <c r="T237" s="291"/>
      <c r="U237" s="281"/>
      <c r="V237" s="281"/>
      <c r="W237" s="281"/>
    </row>
    <row r="238">
      <c r="A238" s="137"/>
      <c r="B238" s="296" t="s">
        <v>989</v>
      </c>
      <c r="C238" s="297" t="s">
        <v>990</v>
      </c>
      <c r="D238" s="289">
        <f>ROUND((F238*'Pawn Weights'!$H$22)+(G238*'Pawn Weights'!$H$23)+(H238*'Pawn Weights'!$H$24)+(I238*'Pawn Weights'!$H$25)+(J238*'Pawn Weights'!$H$26)+(K238*'Pawn Weights'!$H$27)+(L238*'Pawn Weights'!$H$28)+(M238*'Pawn Weights'!$H$29)+(N238*'Pawn Weights'!$H$30)+(O238*'Pawn Weights'!$H$31)+(P238*'Pawn Weights'!$H$32)+(Q238*'Pawn Weights'!$H$33), 2)</f>
        <v>26.7</v>
      </c>
      <c r="E238" s="295"/>
      <c r="F238" s="295"/>
      <c r="G238" s="298">
        <v>14.0</v>
      </c>
      <c r="H238" s="298">
        <v>26.0</v>
      </c>
      <c r="I238" s="295"/>
      <c r="J238" s="295"/>
      <c r="K238" s="298">
        <v>10.0</v>
      </c>
      <c r="L238" s="295"/>
      <c r="M238" s="137"/>
      <c r="N238" s="295"/>
      <c r="O238" s="295"/>
      <c r="P238" s="295"/>
      <c r="Q238" s="295"/>
      <c r="R238" s="295"/>
      <c r="S238" s="137"/>
      <c r="T238" s="295"/>
      <c r="U238" s="137"/>
      <c r="V238" s="137"/>
      <c r="W238" s="137"/>
      <c r="X238" s="137"/>
      <c r="Y238" s="137"/>
      <c r="Z238" s="137"/>
    </row>
    <row r="239">
      <c r="A239" s="281"/>
      <c r="B239" s="288" t="s">
        <v>1120</v>
      </c>
      <c r="C239" s="280" t="s">
        <v>681</v>
      </c>
      <c r="D239" s="289">
        <f>ROUND((F239*'Pawn Weights'!$H$22)+(G239*'Pawn Weights'!$H$23)+(H239*'Pawn Weights'!$H$24)+(I239*'Pawn Weights'!$H$25)+(J239*'Pawn Weights'!$H$26)+(K239*'Pawn Weights'!$H$27)+(L239*'Pawn Weights'!$H$28)+(M239*'Pawn Weights'!$H$29)+(N239*'Pawn Weights'!$H$30)+(O239*'Pawn Weights'!$H$31)+(P239*'Pawn Weights'!$H$32)+(Q239*'Pawn Weights'!$H$33), 2)</f>
        <v>26.56</v>
      </c>
      <c r="E239" s="280">
        <v>14.0</v>
      </c>
      <c r="F239" s="280"/>
      <c r="G239" s="280"/>
      <c r="H239" s="280"/>
      <c r="I239" s="280">
        <v>20.0</v>
      </c>
      <c r="J239" s="280">
        <v>12.0</v>
      </c>
      <c r="K239" s="320"/>
      <c r="L239" s="320"/>
      <c r="M239" s="281"/>
      <c r="N239" s="320"/>
      <c r="O239" s="280"/>
      <c r="P239" s="320"/>
      <c r="Q239" s="320"/>
      <c r="R239" s="290"/>
      <c r="S239" s="281"/>
      <c r="T239" s="291"/>
      <c r="U239" s="281"/>
      <c r="V239" s="281"/>
      <c r="W239" s="281"/>
    </row>
    <row r="240">
      <c r="A240" s="281"/>
      <c r="B240" s="288" t="s">
        <v>1121</v>
      </c>
      <c r="C240" s="280" t="s">
        <v>1122</v>
      </c>
      <c r="D240" s="289">
        <f>ROUND((F240*'Pawn Weights'!$H$22)+(G240*'Pawn Weights'!$H$23)+(H240*'Pawn Weights'!$H$24)+(I240*'Pawn Weights'!$H$25)+(J240*'Pawn Weights'!$H$26)+(K240*'Pawn Weights'!$H$27)+(L240*'Pawn Weights'!$H$28)+(M240*'Pawn Weights'!$H$29)+(N240*'Pawn Weights'!$H$30)+(O240*'Pawn Weights'!$H$31)+(P240*'Pawn Weights'!$H$32)+(Q240*'Pawn Weights'!$H$33), 2)</f>
        <v>26.56</v>
      </c>
      <c r="E240" s="280"/>
      <c r="F240" s="280"/>
      <c r="G240" s="280"/>
      <c r="H240" s="280"/>
      <c r="I240" s="280">
        <v>20.0</v>
      </c>
      <c r="J240" s="280">
        <v>12.0</v>
      </c>
      <c r="K240" s="280"/>
      <c r="L240" s="280"/>
      <c r="M240" s="281"/>
      <c r="N240" s="280"/>
      <c r="O240" s="280"/>
      <c r="P240" s="280"/>
      <c r="Q240" s="280"/>
      <c r="R240" s="290"/>
      <c r="S240" s="281"/>
      <c r="T240" s="291"/>
      <c r="U240" s="281"/>
      <c r="V240" s="281"/>
      <c r="W240" s="281"/>
    </row>
    <row r="241">
      <c r="A241" s="281"/>
      <c r="B241" s="288" t="s">
        <v>1123</v>
      </c>
      <c r="C241" s="280" t="s">
        <v>1025</v>
      </c>
      <c r="D241" s="289">
        <f>ROUND((F241*'Pawn Weights'!$H$22)+(G241*'Pawn Weights'!$H$23)+(H241*'Pawn Weights'!$H$24)+(I241*'Pawn Weights'!$H$25)+(J241*'Pawn Weights'!$H$26)+(K241*'Pawn Weights'!$H$27)+(L241*'Pawn Weights'!$H$28)+(M241*'Pawn Weights'!$H$29)+(N241*'Pawn Weights'!$H$30)+(O241*'Pawn Weights'!$H$31)+(P241*'Pawn Weights'!$H$32)+(Q241*'Pawn Weights'!$H$33), 2)</f>
        <v>26.46</v>
      </c>
      <c r="E241" s="280"/>
      <c r="F241" s="280"/>
      <c r="G241" s="280">
        <v>20.0</v>
      </c>
      <c r="H241" s="280"/>
      <c r="I241" s="280"/>
      <c r="J241" s="280">
        <v>19.0</v>
      </c>
      <c r="K241" s="320"/>
      <c r="L241" s="320"/>
      <c r="M241" s="281"/>
      <c r="N241" s="320"/>
      <c r="O241" s="280"/>
      <c r="P241" s="320"/>
      <c r="Q241" s="320"/>
      <c r="R241" s="290"/>
      <c r="S241" s="281"/>
      <c r="T241" s="291"/>
      <c r="U241" s="281"/>
      <c r="V241" s="281"/>
      <c r="W241" s="281"/>
    </row>
    <row r="242">
      <c r="A242" s="137"/>
      <c r="B242" s="383" t="s">
        <v>1000</v>
      </c>
      <c r="C242" s="297" t="s">
        <v>1001</v>
      </c>
      <c r="D242" s="289">
        <f>ROUND((F242*'Pawn Weights'!$H$22)+(G242*'Pawn Weights'!$H$23)+(H242*'Pawn Weights'!$H$24)+(I242*'Pawn Weights'!$H$25)+(J242*'Pawn Weights'!$H$26)+(K242*'Pawn Weights'!$H$27)+(L242*'Pawn Weights'!$H$28)+(M242*'Pawn Weights'!$H$29)+(N242*'Pawn Weights'!$H$30)+(O242*'Pawn Weights'!$H$31)+(P242*'Pawn Weights'!$H$32)+(Q242*'Pawn Weights'!$H$33), 2)</f>
        <v>19.7</v>
      </c>
      <c r="E242" s="298">
        <v>16.0</v>
      </c>
      <c r="F242" s="297"/>
      <c r="G242" s="297"/>
      <c r="H242" s="297"/>
      <c r="I242" s="297"/>
      <c r="J242" s="298">
        <v>10.0</v>
      </c>
      <c r="K242" s="361"/>
      <c r="L242" s="359">
        <v>10.0</v>
      </c>
      <c r="M242" s="361"/>
      <c r="N242" s="361"/>
      <c r="O242" s="297"/>
      <c r="P242" s="361"/>
      <c r="Q242" s="361"/>
      <c r="R242" s="295"/>
      <c r="S242" s="137"/>
      <c r="T242" s="297" t="s">
        <v>971</v>
      </c>
      <c r="U242" s="137"/>
      <c r="V242" s="137"/>
      <c r="W242" s="137"/>
      <c r="X242" s="137"/>
      <c r="Y242" s="137"/>
      <c r="Z242" s="137"/>
    </row>
    <row r="243">
      <c r="A243" s="224" t="s">
        <v>1124</v>
      </c>
      <c r="B243" s="323" t="s">
        <v>604</v>
      </c>
      <c r="C243" s="323" t="s">
        <v>605</v>
      </c>
      <c r="D243" s="365" t="s">
        <v>606</v>
      </c>
      <c r="E243" s="224" t="s">
        <v>1003</v>
      </c>
      <c r="F243" s="224" t="s">
        <v>1004</v>
      </c>
      <c r="G243" s="224" t="s">
        <v>561</v>
      </c>
      <c r="H243" s="224" t="s">
        <v>562</v>
      </c>
      <c r="I243" s="224" t="s">
        <v>330</v>
      </c>
      <c r="J243" s="224" t="s">
        <v>563</v>
      </c>
      <c r="K243" s="272" t="s">
        <v>344</v>
      </c>
      <c r="L243" s="224" t="s">
        <v>607</v>
      </c>
      <c r="M243" s="224" t="s">
        <v>564</v>
      </c>
      <c r="N243" s="224" t="s">
        <v>1006</v>
      </c>
      <c r="O243" s="274" t="s">
        <v>610</v>
      </c>
      <c r="P243" s="275" t="s">
        <v>611</v>
      </c>
      <c r="Q243" s="276" t="s">
        <v>612</v>
      </c>
      <c r="R243" s="277" t="s">
        <v>613</v>
      </c>
      <c r="S243" s="366" t="s">
        <v>356</v>
      </c>
      <c r="T243" s="224" t="s">
        <v>615</v>
      </c>
      <c r="U243" s="324"/>
      <c r="V243" s="324"/>
      <c r="W243" s="324"/>
    </row>
    <row r="244">
      <c r="A244" s="292"/>
      <c r="B244" s="325" t="s">
        <v>1125</v>
      </c>
      <c r="C244" s="326"/>
      <c r="D244" s="301"/>
      <c r="E244" s="326"/>
      <c r="F244" s="326"/>
      <c r="G244" s="154"/>
      <c r="H244" s="326"/>
      <c r="I244" s="326"/>
      <c r="J244" s="326"/>
      <c r="K244" s="326"/>
      <c r="L244" s="326"/>
      <c r="M244" s="326"/>
      <c r="N244" s="326"/>
      <c r="O244" s="326"/>
      <c r="P244" s="326"/>
      <c r="Q244" s="326"/>
      <c r="R244" s="327"/>
      <c r="S244" s="326"/>
      <c r="T244" s="328"/>
      <c r="U244" s="326"/>
      <c r="V244" s="326"/>
      <c r="W244" s="329"/>
    </row>
    <row r="245">
      <c r="A245" s="295" t="s">
        <v>583</v>
      </c>
      <c r="B245" s="296" t="s">
        <v>1127</v>
      </c>
      <c r="C245" s="330" t="s">
        <v>637</v>
      </c>
      <c r="D245" s="301">
        <f>ROUND((E245*'Pawn Weights'!$H$34)+(G245*'Pawn Weights'!$H$23)+(H245*'Pawn Weights'!$H$24)+(I245*'Pawn Weights'!$H$25)+(J245*'Pawn Weights'!$H$28)+(K245*'Pawn Weights'!$H$26)+(M245*'Pawn Weights'!$H$29)+(N245*'Pawn Weights'!$H$22)+(O245*'Pawn Weights'!$H$31)+(P245*'Pawn Weights'!$H$32)+(Q245*'Pawn Weights'!$H$33)+(F245*'Pawn Weights'!$H$35)+(S245*'Pawn Weights'!$H$27)+'Pawn Weights'!$H$36, 2)</f>
        <v>1672.63</v>
      </c>
      <c r="E245" s="332">
        <v>140.3</v>
      </c>
      <c r="F245" s="332">
        <v>3.6</v>
      </c>
      <c r="G245" s="330"/>
      <c r="H245" s="330"/>
      <c r="I245" s="332">
        <v>50.0</v>
      </c>
      <c r="J245" s="330"/>
      <c r="K245" s="332">
        <v>19.0</v>
      </c>
      <c r="L245" s="332">
        <v>66.0</v>
      </c>
      <c r="M245" s="332">
        <v>98.0</v>
      </c>
      <c r="N245" s="332">
        <v>50.0</v>
      </c>
      <c r="O245" s="330"/>
      <c r="P245" s="330"/>
      <c r="Q245" s="330"/>
      <c r="R245" s="332"/>
      <c r="S245" s="330"/>
      <c r="T245" s="295"/>
      <c r="U245" s="330"/>
      <c r="V245" s="330"/>
      <c r="W245" s="137"/>
      <c r="X245" s="137"/>
      <c r="Y245" s="137"/>
      <c r="Z245" s="137"/>
    </row>
    <row r="246">
      <c r="A246" s="301" t="s">
        <v>583</v>
      </c>
      <c r="B246" s="288" t="s">
        <v>1128</v>
      </c>
      <c r="C246" s="326" t="s">
        <v>642</v>
      </c>
      <c r="D246" s="301">
        <f>ROUND((E246*'Pawn Weights'!$H$34)+(G246*'Pawn Weights'!$H$23)+(H246*'Pawn Weights'!$H$24)+(I246*'Pawn Weights'!$H$25)+(J246*'Pawn Weights'!$H$28)+(K246*'Pawn Weights'!$H$26)+(M246*'Pawn Weights'!$H$29)+(N246*'Pawn Weights'!$H$22)+(O246*'Pawn Weights'!$H$31)+(P246*'Pawn Weights'!$H$32)+(Q246*'Pawn Weights'!$H$33)+(F246*'Pawn Weights'!$H$35)+(S246*'Pawn Weights'!$H$27)+'Pawn Weights'!$H$36, 2)</f>
        <v>1655.61</v>
      </c>
      <c r="E246" s="326">
        <v>138.0</v>
      </c>
      <c r="F246" s="326">
        <v>3.5</v>
      </c>
      <c r="G246" s="326"/>
      <c r="H246" s="326"/>
      <c r="I246" s="326"/>
      <c r="J246" s="326"/>
      <c r="K246" s="326"/>
      <c r="L246" s="326">
        <v>49.0</v>
      </c>
      <c r="M246" s="326">
        <v>335.0</v>
      </c>
      <c r="N246" s="326">
        <v>75.0</v>
      </c>
      <c r="O246" s="326"/>
      <c r="P246" s="326"/>
      <c r="Q246" s="326"/>
      <c r="R246" s="327"/>
      <c r="S246" s="326"/>
      <c r="T246" s="306"/>
      <c r="U246" s="326"/>
      <c r="V246" s="326"/>
      <c r="W246" s="329"/>
    </row>
    <row r="247">
      <c r="A247" s="292" t="s">
        <v>583</v>
      </c>
      <c r="B247" s="288" t="s">
        <v>1132</v>
      </c>
      <c r="C247" s="326" t="s">
        <v>646</v>
      </c>
      <c r="D247" s="301">
        <f>ROUND((E247*'Pawn Weights'!$H$34)+(G247*'Pawn Weights'!$H$23)+(H247*'Pawn Weights'!$H$24)+(I247*'Pawn Weights'!$H$25)+(J247*'Pawn Weights'!$H$28)+(K247*'Pawn Weights'!$H$26)+(M247*'Pawn Weights'!$H$29)+(N247*'Pawn Weights'!$H$22)+(O247*'Pawn Weights'!$H$31)+(P247*'Pawn Weights'!$H$32)+(Q247*'Pawn Weights'!$H$33)+(F247*'Pawn Weights'!$H$35)+(S247*'Pawn Weights'!$H$27)+'Pawn Weights'!$H$36, 2)</f>
        <v>1603.67</v>
      </c>
      <c r="E247" s="326">
        <v>134.2</v>
      </c>
      <c r="F247" s="326">
        <v>3.6</v>
      </c>
      <c r="G247" s="326"/>
      <c r="H247" s="326"/>
      <c r="I247" s="326">
        <v>46.0</v>
      </c>
      <c r="J247" s="326"/>
      <c r="K247" s="326">
        <v>15.0</v>
      </c>
      <c r="L247" s="326">
        <v>62.0</v>
      </c>
      <c r="M247" s="326">
        <v>98.0</v>
      </c>
      <c r="N247" s="326">
        <v>46.0</v>
      </c>
      <c r="O247" s="326"/>
      <c r="P247" s="326"/>
      <c r="Q247" s="326"/>
      <c r="R247" s="327"/>
      <c r="S247" s="326"/>
      <c r="T247" s="328"/>
      <c r="U247" s="326"/>
      <c r="V247" s="326"/>
      <c r="W247" s="329"/>
    </row>
    <row r="248">
      <c r="A248" s="295" t="s">
        <v>1133</v>
      </c>
      <c r="B248" s="296" t="s">
        <v>1134</v>
      </c>
      <c r="C248" s="297" t="s">
        <v>980</v>
      </c>
      <c r="D248" s="301">
        <f>ROUND((E248*'Pawn Weights'!$H$34)+(G248*'Pawn Weights'!$H$23)+(H248*'Pawn Weights'!$H$24)+(I248*'Pawn Weights'!$H$25)+(J248*'Pawn Weights'!$H$28)+(K248*'Pawn Weights'!$H$26)+(M248*'Pawn Weights'!$H$29)+(N248*'Pawn Weights'!$H$22)+(O248*'Pawn Weights'!$H$31)+(P248*'Pawn Weights'!$H$32)+(Q248*'Pawn Weights'!$H$33)+(F248*'Pawn Weights'!$H$35)+(S248*'Pawn Weights'!$H$27), 2)</f>
        <v>1593.21</v>
      </c>
      <c r="E248" s="332">
        <v>134.0</v>
      </c>
      <c r="F248" s="332">
        <v>3.5</v>
      </c>
      <c r="G248" s="295"/>
      <c r="H248" s="332">
        <v>108.0</v>
      </c>
      <c r="I248" s="332">
        <v>55.0</v>
      </c>
      <c r="J248" s="295"/>
      <c r="K248" s="295"/>
      <c r="L248" s="295"/>
      <c r="M248" s="295"/>
      <c r="N248" s="295"/>
      <c r="O248" s="295"/>
      <c r="P248" s="295"/>
      <c r="Q248" s="295"/>
      <c r="R248" s="295"/>
      <c r="S248" s="332">
        <v>53.0</v>
      </c>
      <c r="T248" s="363" t="s">
        <v>1135</v>
      </c>
      <c r="U248" s="295"/>
      <c r="V248" s="295"/>
      <c r="W248" s="137"/>
      <c r="X248" s="137"/>
      <c r="Y248" s="137"/>
      <c r="Z248" s="137"/>
    </row>
    <row r="249">
      <c r="A249" s="292" t="s">
        <v>583</v>
      </c>
      <c r="B249" s="288" t="s">
        <v>1137</v>
      </c>
      <c r="C249" s="326" t="s">
        <v>741</v>
      </c>
      <c r="D249" s="301">
        <f>ROUND((E249*'Pawn Weights'!$H$34)+(G249*'Pawn Weights'!$H$23)+(H249*'Pawn Weights'!$H$24)+(I249*'Pawn Weights'!$H$25)+(J249*'Pawn Weights'!$H$28)+(K249*'Pawn Weights'!$H$26)+(M249*'Pawn Weights'!$H$29)+(N249*'Pawn Weights'!$H$22)+(O249*'Pawn Weights'!$H$31)+(P249*'Pawn Weights'!$H$32)+(Q249*'Pawn Weights'!$H$33)+(F249*'Pawn Weights'!$H$35)+(S249*'Pawn Weights'!$H$27)+'Pawn Weights'!$H$36, 2)</f>
        <v>1564.48</v>
      </c>
      <c r="E249" s="326">
        <v>130.4</v>
      </c>
      <c r="F249" s="326">
        <v>3.6</v>
      </c>
      <c r="G249" s="326"/>
      <c r="H249" s="326">
        <v>110.0</v>
      </c>
      <c r="I249" s="326">
        <v>37.0</v>
      </c>
      <c r="J249" s="326"/>
      <c r="K249" s="326"/>
      <c r="L249" s="326">
        <v>53.0</v>
      </c>
      <c r="M249" s="326"/>
      <c r="N249" s="326"/>
      <c r="O249" s="326">
        <v>1.0</v>
      </c>
      <c r="P249" s="326">
        <v>1.0</v>
      </c>
      <c r="Q249" s="326">
        <v>1.0</v>
      </c>
      <c r="R249" s="327" t="s">
        <v>660</v>
      </c>
      <c r="S249" s="326"/>
      <c r="T249" s="328"/>
      <c r="U249" s="326"/>
      <c r="V249" s="326"/>
      <c r="W249" s="329"/>
    </row>
    <row r="250">
      <c r="A250" s="301" t="s">
        <v>1133</v>
      </c>
      <c r="B250" s="288" t="s">
        <v>1136</v>
      </c>
      <c r="C250" s="326" t="s">
        <v>727</v>
      </c>
      <c r="D250" s="301">
        <f>ROUND((E250*'Pawn Weights'!$H$34)+(G250*'Pawn Weights'!$H$23)+(H250*'Pawn Weights'!$H$24)+(I250*'Pawn Weights'!$H$25)+(J250*'Pawn Weights'!$H$28)+(K250*'Pawn Weights'!$H$26)+(M250*'Pawn Weights'!$H$29)+(N250*'Pawn Weights'!$H$22)+(O250*'Pawn Weights'!$H$31)+(P250*'Pawn Weights'!$H$32)+(Q250*'Pawn Weights'!$H$33)+(F250*'Pawn Weights'!$H$35)+(S250*'Pawn Weights'!$H$27), 2)</f>
        <v>1564.13</v>
      </c>
      <c r="E250" s="326">
        <v>130.4</v>
      </c>
      <c r="F250" s="326">
        <v>3.7</v>
      </c>
      <c r="G250" s="326"/>
      <c r="H250" s="326"/>
      <c r="I250" s="326"/>
      <c r="J250" s="326"/>
      <c r="K250" s="326"/>
      <c r="L250" s="326">
        <v>63.0</v>
      </c>
      <c r="M250" s="326">
        <v>315.0</v>
      </c>
      <c r="N250" s="326">
        <v>65.0</v>
      </c>
      <c r="O250" s="326"/>
      <c r="P250" s="326"/>
      <c r="Q250" s="326"/>
      <c r="R250" s="327"/>
      <c r="S250" s="326"/>
      <c r="T250" s="306" t="s">
        <v>1431</v>
      </c>
      <c r="U250" s="326"/>
      <c r="V250" s="326"/>
      <c r="W250" s="329"/>
    </row>
    <row r="251">
      <c r="A251" s="301" t="s">
        <v>1138</v>
      </c>
      <c r="B251" s="288" t="s">
        <v>1139</v>
      </c>
      <c r="C251" s="326" t="s">
        <v>1140</v>
      </c>
      <c r="D251" s="301">
        <f>ROUND((E251*'Pawn Weights'!$H$34)+(G251*'Pawn Weights'!$H$23)+(H251*'Pawn Weights'!$H$24)+(I251*'Pawn Weights'!$H$25)+(J251*'Pawn Weights'!$H$28)+(K251*'Pawn Weights'!$H$26)+(M251*'Pawn Weights'!$H$29)+(N251*'Pawn Weights'!$H$22)+(O251*'Pawn Weights'!$H$31)+(P251*'Pawn Weights'!$H$32)+(Q251*'Pawn Weights'!$H$33)+(F251*'Pawn Weights'!$H$35)+(S251*'Pawn Weights'!$H$27)+'Pawn Weights'!$H$36+(43*'Pawn Weights'!E22), 2)</f>
        <v>1541.63</v>
      </c>
      <c r="E251" s="326">
        <v>126.9</v>
      </c>
      <c r="F251" s="326">
        <v>3.6</v>
      </c>
      <c r="G251" s="326">
        <v>44.0</v>
      </c>
      <c r="H251" s="326"/>
      <c r="I251" s="326"/>
      <c r="J251" s="326"/>
      <c r="K251" s="326"/>
      <c r="L251" s="326"/>
      <c r="M251" s="326"/>
      <c r="N251" s="326">
        <v>52.0</v>
      </c>
      <c r="O251" s="326"/>
      <c r="P251" s="326"/>
      <c r="Q251" s="326"/>
      <c r="R251" s="327"/>
      <c r="S251" s="326"/>
      <c r="T251" s="328" t="s">
        <v>1141</v>
      </c>
      <c r="U251" s="326"/>
      <c r="V251" s="326"/>
      <c r="W251" s="329"/>
    </row>
    <row r="252">
      <c r="A252" s="301" t="s">
        <v>1129</v>
      </c>
      <c r="B252" s="288" t="s">
        <v>1142</v>
      </c>
      <c r="C252" s="326" t="s">
        <v>716</v>
      </c>
      <c r="D252" s="301">
        <f>ROUND((E252*'Pawn Weights'!$H$34)+(G252*'Pawn Weights'!$H$23)+(H252*'Pawn Weights'!$H$24)+(I252*'Pawn Weights'!$H$25)+(J252*'Pawn Weights'!$H$28)+(K252*'Pawn Weights'!$H$26)+(M252*'Pawn Weights'!$H$29)+(N252*'Pawn Weights'!$H$22)+(O252*'Pawn Weights'!$H$31)+(P252*'Pawn Weights'!$H$32)+(Q252*'Pawn Weights'!$H$33)+(F252*'Pawn Weights'!$H$35)+(S252*'Pawn Weights'!$H$27), 2)</f>
        <v>1530.72</v>
      </c>
      <c r="E252" s="326">
        <v>130.4</v>
      </c>
      <c r="F252" s="326">
        <v>3.5</v>
      </c>
      <c r="G252" s="326">
        <v>51.0</v>
      </c>
      <c r="H252" s="326">
        <v>100.0</v>
      </c>
      <c r="I252" s="326"/>
      <c r="J252" s="326"/>
      <c r="K252" s="326">
        <v>30.0</v>
      </c>
      <c r="L252" s="326">
        <v>57.0</v>
      </c>
      <c r="M252" s="326"/>
      <c r="N252" s="326"/>
      <c r="O252" s="326"/>
      <c r="P252" s="326"/>
      <c r="Q252" s="326"/>
      <c r="R252" s="327"/>
      <c r="S252" s="326"/>
      <c r="T252" s="328"/>
      <c r="U252" s="326"/>
      <c r="V252" s="326"/>
      <c r="W252" s="329"/>
    </row>
    <row r="253">
      <c r="A253" s="301" t="s">
        <v>583</v>
      </c>
      <c r="B253" s="288" t="s">
        <v>1143</v>
      </c>
      <c r="C253" s="326" t="s">
        <v>1144</v>
      </c>
      <c r="D253" s="301">
        <f>ROUND((E253*'Pawn Weights'!$H$34)+(G253*'Pawn Weights'!$H$23)+(H253*'Pawn Weights'!$H$24)+(I253*'Pawn Weights'!$H$25)+(J253*'Pawn Weights'!$H$28)+(K253*'Pawn Weights'!$H$26)+(M253*'Pawn Weights'!$H$29)+(N253*'Pawn Weights'!$H$22)+(O253*'Pawn Weights'!$H$31)+(P253*'Pawn Weights'!$H$32)+(Q253*'Pawn Weights'!$H$33)+(F253*'Pawn Weights'!$H$35)+(S253*'Pawn Weights'!$H$27)+'Pawn Weights'!$H$36, 2)</f>
        <v>1515.18</v>
      </c>
      <c r="E253" s="326">
        <v>128.4</v>
      </c>
      <c r="F253" s="326">
        <v>3.7</v>
      </c>
      <c r="G253" s="326"/>
      <c r="H253" s="326">
        <v>120.0</v>
      </c>
      <c r="I253" s="326"/>
      <c r="J253" s="326"/>
      <c r="K253" s="326"/>
      <c r="L253" s="326">
        <v>49.0</v>
      </c>
      <c r="M253" s="326"/>
      <c r="N253" s="326"/>
      <c r="O253" s="326"/>
      <c r="P253" s="326"/>
      <c r="Q253" s="326"/>
      <c r="R253" s="327"/>
      <c r="S253" s="326">
        <v>45.0</v>
      </c>
      <c r="T253" s="328"/>
      <c r="U253" s="326"/>
      <c r="V253" s="326"/>
      <c r="W253" s="329"/>
    </row>
    <row r="254">
      <c r="A254" s="295" t="s">
        <v>583</v>
      </c>
      <c r="B254" s="296" t="s">
        <v>1145</v>
      </c>
      <c r="C254" s="330" t="s">
        <v>997</v>
      </c>
      <c r="D254" s="367">
        <f>ROUND((E254*'Pawn Weights'!$H$34)+(G254*'Pawn Weights'!$H$23)+(H254*'Pawn Weights'!$H$24)+(I254*'Pawn Weights'!$H$25)+(J254*'Pawn Weights'!$H$28)+(K254*'Pawn Weights'!$H$26)+(M254*'Pawn Weights'!$H$29)+(N254*'Pawn Weights'!$H$22)+(O254*'Pawn Weights'!$H$31)+(P254*'Pawn Weights'!$H$32)+(Q254*'Pawn Weights'!$H$33)+(F254*'Pawn Weights'!$H$35)+(S254*'Pawn Weights'!$H$27)+'Pawn Weights'!$H$36, 2)</f>
        <v>1509.72</v>
      </c>
      <c r="E254" s="332">
        <v>126.9</v>
      </c>
      <c r="F254" s="332">
        <v>3.6</v>
      </c>
      <c r="G254" s="330"/>
      <c r="H254" s="330"/>
      <c r="I254" s="332">
        <v>42.0</v>
      </c>
      <c r="J254" s="330"/>
      <c r="K254" s="332">
        <v>18.0</v>
      </c>
      <c r="L254" s="332">
        <v>55.0</v>
      </c>
      <c r="M254" s="330"/>
      <c r="N254" s="332">
        <v>42.0</v>
      </c>
      <c r="O254" s="330"/>
      <c r="P254" s="330"/>
      <c r="Q254" s="330"/>
      <c r="R254" s="295"/>
      <c r="S254" s="330"/>
      <c r="T254" s="295"/>
      <c r="U254" s="330"/>
      <c r="V254" s="330"/>
      <c r="W254" s="137"/>
      <c r="X254" s="137"/>
      <c r="Y254" s="137"/>
      <c r="Z254" s="137"/>
    </row>
    <row r="255">
      <c r="A255" s="292" t="s">
        <v>1146</v>
      </c>
      <c r="B255" s="288" t="s">
        <v>1147</v>
      </c>
      <c r="C255" s="326" t="s">
        <v>1148</v>
      </c>
      <c r="D255" s="301">
        <f>ROUND((E255*'Pawn Weights'!$H$34)+(G255*'Pawn Weights'!$H$23)+(H255*'Pawn Weights'!$H$24)+(I255*'Pawn Weights'!$H$25)+(J255*'Pawn Weights'!$H$28)+(K255*'Pawn Weights'!$H$26)+(M255*'Pawn Weights'!$H$29)+(N255*'Pawn Weights'!$H$22)+(O255*'Pawn Weights'!$H$31)+(P255*'Pawn Weights'!$H$32)+(Q255*'Pawn Weights'!$H$33)+(F255*'Pawn Weights'!$H$35)+(S255*'Pawn Weights'!$H$27), 2)</f>
        <v>1509.36</v>
      </c>
      <c r="E255" s="326">
        <v>126.9</v>
      </c>
      <c r="F255" s="326">
        <v>3.7</v>
      </c>
      <c r="G255" s="154"/>
      <c r="H255" s="326">
        <v>112.0</v>
      </c>
      <c r="I255" s="326">
        <v>56.0</v>
      </c>
      <c r="J255" s="326"/>
      <c r="K255" s="326"/>
      <c r="L255" s="326"/>
      <c r="M255" s="326"/>
      <c r="N255" s="326"/>
      <c r="O255" s="326"/>
      <c r="P255" s="326"/>
      <c r="Q255" s="326"/>
      <c r="R255" s="327"/>
      <c r="S255" s="326"/>
      <c r="T255" s="306" t="s">
        <v>1431</v>
      </c>
      <c r="U255" s="326"/>
      <c r="V255" s="326"/>
      <c r="W255" s="329"/>
    </row>
    <row r="256">
      <c r="A256" s="301" t="s">
        <v>1133</v>
      </c>
      <c r="B256" s="288" t="s">
        <v>1149</v>
      </c>
      <c r="C256" s="326" t="s">
        <v>1150</v>
      </c>
      <c r="D256" s="301">
        <f>ROUND((E256*'Pawn Weights'!$H$34)+(G256*'Pawn Weights'!$H$23)+(H256*'Pawn Weights'!$H$24)+(I256*'Pawn Weights'!$H$25)+(J256*'Pawn Weights'!$H$28)+(K256*'Pawn Weights'!$H$26)+(M256*'Pawn Weights'!$H$29)+(N256*'Pawn Weights'!$H$22)+(O256*'Pawn Weights'!$H$31)+(P256*'Pawn Weights'!$H$32)+(Q256*'Pawn Weights'!$H$33)+(F256*'Pawn Weights'!$H$35)+(S256*'Pawn Weights'!$H$27), 2)</f>
        <v>1466.01</v>
      </c>
      <c r="E256" s="326">
        <v>124.3</v>
      </c>
      <c r="F256" s="326">
        <v>3.6</v>
      </c>
      <c r="G256" s="326">
        <v>39.0</v>
      </c>
      <c r="H256" s="326">
        <v>94.0</v>
      </c>
      <c r="I256" s="326"/>
      <c r="J256" s="326"/>
      <c r="K256" s="326"/>
      <c r="L256" s="326">
        <v>58.0</v>
      </c>
      <c r="M256" s="326"/>
      <c r="N256" s="326"/>
      <c r="O256" s="326">
        <v>1.0</v>
      </c>
      <c r="P256" s="326"/>
      <c r="Q256" s="326">
        <v>1.0</v>
      </c>
      <c r="R256" s="327" t="s">
        <v>809</v>
      </c>
      <c r="S256" s="326"/>
      <c r="T256" s="306" t="s">
        <v>1431</v>
      </c>
      <c r="U256" s="326"/>
      <c r="V256" s="326"/>
      <c r="W256" s="329"/>
    </row>
    <row r="257">
      <c r="A257" s="301" t="s">
        <v>1138</v>
      </c>
      <c r="B257" s="288" t="s">
        <v>1151</v>
      </c>
      <c r="C257" s="326" t="s">
        <v>1152</v>
      </c>
      <c r="D257" s="301">
        <f>ROUND((E257*'Pawn Weights'!$H$34)+(G257*'Pawn Weights'!$H$23)+(H257*'Pawn Weights'!$H$24)+(I257*'Pawn Weights'!$H$25)+(J257*'Pawn Weights'!$H$28)+(K257*'Pawn Weights'!$H$26)+(M257*'Pawn Weights'!$H$29)+(N257*'Pawn Weights'!$H$22)+(O257*'Pawn Weights'!$H$31)+(P257*'Pawn Weights'!$H$32)+(Q257*'Pawn Weights'!$H$33)+(F257*'Pawn Weights'!$H$35)+(S257*'Pawn Weights'!$H$27)+'Pawn Weights'!$H$36+(43*'Pawn Weights'!E22), 2)</f>
        <v>1458.95</v>
      </c>
      <c r="E257" s="326">
        <v>118.6</v>
      </c>
      <c r="F257" s="326">
        <v>3.6</v>
      </c>
      <c r="G257" s="326">
        <v>44.0</v>
      </c>
      <c r="H257" s="326"/>
      <c r="I257" s="326"/>
      <c r="J257" s="326"/>
      <c r="K257" s="326"/>
      <c r="L257" s="326"/>
      <c r="M257" s="326"/>
      <c r="N257" s="326">
        <v>49.0</v>
      </c>
      <c r="O257" s="326"/>
      <c r="P257" s="326"/>
      <c r="Q257" s="326"/>
      <c r="R257" s="327"/>
      <c r="S257" s="326"/>
      <c r="T257" s="328" t="s">
        <v>1141</v>
      </c>
      <c r="U257" s="326"/>
      <c r="V257" s="326"/>
      <c r="W257" s="329"/>
    </row>
    <row r="258">
      <c r="A258" s="301" t="s">
        <v>1146</v>
      </c>
      <c r="B258" s="288" t="s">
        <v>1156</v>
      </c>
      <c r="C258" s="326" t="s">
        <v>1157</v>
      </c>
      <c r="D258" s="301">
        <f>ROUND((E258*'Pawn Weights'!$H$34)+(G258*'Pawn Weights'!$H$23)+(H258*'Pawn Weights'!$H$24)+(I258*'Pawn Weights'!$H$25)+(J258*'Pawn Weights'!$H$28)+(K258*'Pawn Weights'!$H$26)+(M258*'Pawn Weights'!$H$29)+(N258*'Pawn Weights'!$H$22)+(O258*'Pawn Weights'!$H$31)+(P258*'Pawn Weights'!$H$32)+(Q258*'Pawn Weights'!$H$33)+(F258*'Pawn Weights'!$H$35)+(S258*'Pawn Weights'!$H$27), 2)</f>
        <v>1423.28</v>
      </c>
      <c r="E258" s="326">
        <v>118.6</v>
      </c>
      <c r="F258" s="326">
        <v>3.7</v>
      </c>
      <c r="G258" s="326"/>
      <c r="H258" s="326">
        <v>106.0</v>
      </c>
      <c r="I258" s="326">
        <v>52.0</v>
      </c>
      <c r="J258" s="326"/>
      <c r="K258" s="326"/>
      <c r="L258" s="326"/>
      <c r="M258" s="326"/>
      <c r="N258" s="326"/>
      <c r="O258" s="326"/>
      <c r="P258" s="326"/>
      <c r="Q258" s="326"/>
      <c r="R258" s="327"/>
      <c r="S258" s="326"/>
      <c r="T258" s="306" t="s">
        <v>1431</v>
      </c>
      <c r="U258" s="326"/>
      <c r="V258" s="326"/>
      <c r="W258" s="329"/>
    </row>
    <row r="259">
      <c r="A259" s="301" t="s">
        <v>1133</v>
      </c>
      <c r="B259" s="288" t="s">
        <v>1153</v>
      </c>
      <c r="C259" s="326" t="s">
        <v>1154</v>
      </c>
      <c r="D259" s="301">
        <f>ROUND((E259*'Pawn Weights'!$H$34)+(G259*'Pawn Weights'!$H$23)+(H259*'Pawn Weights'!$H$24)+(I259*'Pawn Weights'!$H$25)+(J259*'Pawn Weights'!$H$28)+(K259*'Pawn Weights'!$H$26)+(M259*'Pawn Weights'!$H$29)+(N259*'Pawn Weights'!$H$22)+(O259*'Pawn Weights'!$H$31)+(P259*'Pawn Weights'!$H$32)+(Q259*'Pawn Weights'!$H$33)+(F259*'Pawn Weights'!$H$35)+(S259*'Pawn Weights'!$H$27), 2)</f>
        <v>1418.54</v>
      </c>
      <c r="E259" s="326">
        <v>116.9</v>
      </c>
      <c r="F259" s="326">
        <v>3.7</v>
      </c>
      <c r="G259" s="154"/>
      <c r="H259" s="326"/>
      <c r="I259" s="326">
        <v>30.0</v>
      </c>
      <c r="J259" s="326"/>
      <c r="K259" s="326"/>
      <c r="L259" s="326"/>
      <c r="M259" s="326"/>
      <c r="N259" s="326">
        <v>50.0</v>
      </c>
      <c r="O259" s="326">
        <v>1.0</v>
      </c>
      <c r="P259" s="326">
        <v>2.0</v>
      </c>
      <c r="Q259" s="326"/>
      <c r="R259" s="327" t="s">
        <v>1155</v>
      </c>
      <c r="S259" s="326"/>
      <c r="T259" s="306" t="s">
        <v>1431</v>
      </c>
      <c r="U259" s="326"/>
      <c r="V259" s="326"/>
      <c r="W259" s="329"/>
    </row>
    <row r="260">
      <c r="A260" s="301" t="s">
        <v>583</v>
      </c>
      <c r="B260" s="288" t="s">
        <v>1158</v>
      </c>
      <c r="C260" s="326" t="s">
        <v>1159</v>
      </c>
      <c r="D260" s="301">
        <f>ROUND((E260*'Pawn Weights'!$H$34)+(G260*'Pawn Weights'!$H$23)+(H260*'Pawn Weights'!$H$24)+(I260*'Pawn Weights'!$H$25)+(J260*'Pawn Weights'!$H$28)+(K260*'Pawn Weights'!$H$26)+(M260*'Pawn Weights'!$H$29)+(N260*'Pawn Weights'!$H$22)+(O260*'Pawn Weights'!$H$31)+(P260*'Pawn Weights'!$H$32)+(Q260*'Pawn Weights'!$H$33)+(F260*'Pawn Weights'!$H$35)+(S260*'Pawn Weights'!$H$27)+'Pawn Weights'!$H$36, 2)</f>
        <v>1414.96</v>
      </c>
      <c r="E260" s="326">
        <v>118.6</v>
      </c>
      <c r="F260" s="326">
        <v>3.6</v>
      </c>
      <c r="G260" s="326"/>
      <c r="H260" s="326"/>
      <c r="I260" s="326">
        <v>35.0</v>
      </c>
      <c r="J260" s="326"/>
      <c r="K260" s="326">
        <v>20.0</v>
      </c>
      <c r="L260" s="326">
        <v>48.0</v>
      </c>
      <c r="M260" s="326"/>
      <c r="N260" s="326">
        <v>32.0</v>
      </c>
      <c r="O260" s="326"/>
      <c r="P260" s="326"/>
      <c r="Q260" s="326"/>
      <c r="R260" s="327"/>
      <c r="S260" s="326"/>
      <c r="T260" s="328"/>
      <c r="U260" s="326"/>
      <c r="V260" s="326"/>
      <c r="W260" s="329"/>
    </row>
    <row r="261">
      <c r="A261" s="301" t="s">
        <v>1133</v>
      </c>
      <c r="B261" s="288" t="s">
        <v>1160</v>
      </c>
      <c r="C261" s="326" t="s">
        <v>656</v>
      </c>
      <c r="D261" s="301">
        <f>ROUND((E261*'Pawn Weights'!$H$34)+(G261*'Pawn Weights'!$H$23)+(H261*'Pawn Weights'!$H$24)+(I261*'Pawn Weights'!$H$25)+(J261*'Pawn Weights'!$H$28)+(K261*'Pawn Weights'!$H$26)+(M261*'Pawn Weights'!$H$29)+(N261*'Pawn Weights'!$H$22)+(O261*'Pawn Weights'!$H$31)+(P261*'Pawn Weights'!$H$32)+(Q261*'Pawn Weights'!$H$33)+(F261*'Pawn Weights'!$H$35)+(S261*'Pawn Weights'!$H$27), 2)</f>
        <v>1412.75</v>
      </c>
      <c r="E261" s="326">
        <v>119.9</v>
      </c>
      <c r="F261" s="326">
        <v>3.6</v>
      </c>
      <c r="G261" s="326">
        <v>43.0</v>
      </c>
      <c r="H261" s="326"/>
      <c r="I261" s="326"/>
      <c r="J261" s="326"/>
      <c r="K261" s="326"/>
      <c r="L261" s="326">
        <v>51.0</v>
      </c>
      <c r="M261" s="326"/>
      <c r="N261" s="326">
        <v>49.0</v>
      </c>
      <c r="O261" s="326"/>
      <c r="P261" s="326"/>
      <c r="Q261" s="326"/>
      <c r="R261" s="327"/>
      <c r="S261" s="326"/>
      <c r="T261" s="306" t="s">
        <v>1431</v>
      </c>
      <c r="U261" s="326"/>
      <c r="V261" s="326"/>
      <c r="W261" s="329"/>
    </row>
    <row r="262">
      <c r="A262" s="301" t="s">
        <v>1133</v>
      </c>
      <c r="B262" s="288" t="s">
        <v>1161</v>
      </c>
      <c r="C262" s="326" t="s">
        <v>823</v>
      </c>
      <c r="D262" s="301">
        <f>ROUND((E262*'Pawn Weights'!$H$34)+(G262*'Pawn Weights'!$H$23)+(H262*'Pawn Weights'!$H$24)+(I262*'Pawn Weights'!$H$25)+(J262*'Pawn Weights'!$H$28)+(K262*'Pawn Weights'!$H$26)+(M262*'Pawn Weights'!$H$29)+(N262*'Pawn Weights'!$H$22)+(O262*'Pawn Weights'!$H$31)+(P262*'Pawn Weights'!$H$32)+(Q262*'Pawn Weights'!$H$33)+(F262*'Pawn Weights'!$H$35)+(S262*'Pawn Weights'!$H$27), 2)</f>
        <v>1391</v>
      </c>
      <c r="E262" s="326">
        <v>119.9</v>
      </c>
      <c r="F262" s="326">
        <v>3.6</v>
      </c>
      <c r="G262" s="154"/>
      <c r="H262" s="326">
        <v>124.0</v>
      </c>
      <c r="I262" s="326"/>
      <c r="J262" s="326"/>
      <c r="K262" s="326"/>
      <c r="L262" s="326">
        <v>66.0</v>
      </c>
      <c r="M262" s="326"/>
      <c r="N262" s="326"/>
      <c r="O262" s="326"/>
      <c r="P262" s="326"/>
      <c r="Q262" s="326"/>
      <c r="R262" s="327"/>
      <c r="S262" s="326"/>
      <c r="T262" s="306" t="s">
        <v>1431</v>
      </c>
      <c r="U262" s="326"/>
      <c r="V262" s="326"/>
      <c r="W262" s="329"/>
    </row>
    <row r="263">
      <c r="A263" s="292" t="s">
        <v>1129</v>
      </c>
      <c r="B263" s="288" t="s">
        <v>1162</v>
      </c>
      <c r="C263" s="326" t="s">
        <v>1163</v>
      </c>
      <c r="D263" s="301">
        <f>ROUND((E263*'Pawn Weights'!$H$34)+(G263*'Pawn Weights'!$H$23)+(H263*'Pawn Weights'!$H$24)+(I263*'Pawn Weights'!$H$25)+(J263*'Pawn Weights'!$H$28)+(K263*'Pawn Weights'!$H$26)+(M263*'Pawn Weights'!$H$29)+(N263*'Pawn Weights'!$H$22)+(O263*'Pawn Weights'!$H$31)+(P263*'Pawn Weights'!$H$32)+(Q263*'Pawn Weights'!$H$33)+(F263*'Pawn Weights'!$H$35)+(S263*'Pawn Weights'!$H$27), 2)</f>
        <v>1371.5</v>
      </c>
      <c r="E263" s="326">
        <v>119.7</v>
      </c>
      <c r="F263" s="326">
        <v>3.7</v>
      </c>
      <c r="G263" s="154"/>
      <c r="H263" s="326"/>
      <c r="I263" s="326">
        <v>4.0</v>
      </c>
      <c r="J263" s="326"/>
      <c r="K263" s="326"/>
      <c r="L263" s="326"/>
      <c r="M263" s="326"/>
      <c r="N263" s="326"/>
      <c r="O263" s="326">
        <v>3.0</v>
      </c>
      <c r="P263" s="326"/>
      <c r="Q263" s="326"/>
      <c r="R263" s="327"/>
      <c r="S263" s="326"/>
      <c r="T263" s="328" t="s">
        <v>1164</v>
      </c>
      <c r="U263" s="326"/>
      <c r="V263" s="326"/>
      <c r="W263" s="329"/>
    </row>
    <row r="264">
      <c r="A264" s="292" t="s">
        <v>1146</v>
      </c>
      <c r="B264" s="288" t="s">
        <v>1167</v>
      </c>
      <c r="C264" s="326" t="s">
        <v>1168</v>
      </c>
      <c r="D264" s="301">
        <f>ROUND((E264*'Pawn Weights'!$H$34)+(G264*'Pawn Weights'!$H$23)+(H264*'Pawn Weights'!$H$24)+(I264*'Pawn Weights'!$H$25)+(J264*'Pawn Weights'!$H$28)+(K264*'Pawn Weights'!$H$26)+(M264*'Pawn Weights'!$H$29)+(N264*'Pawn Weights'!$H$22)+(O264*'Pawn Weights'!$H$31)+(P264*'Pawn Weights'!$H$32)+(Q264*'Pawn Weights'!$H$33)+(F264*'Pawn Weights'!$H$35)+(S264*'Pawn Weights'!$H$27), 2)</f>
        <v>1327.73</v>
      </c>
      <c r="E264" s="326">
        <v>109.6</v>
      </c>
      <c r="F264" s="326">
        <v>3.7</v>
      </c>
      <c r="G264" s="326"/>
      <c r="H264" s="326">
        <v>96.0</v>
      </c>
      <c r="I264" s="326">
        <v>47.0</v>
      </c>
      <c r="J264" s="326"/>
      <c r="K264" s="326"/>
      <c r="L264" s="326"/>
      <c r="M264" s="326"/>
      <c r="N264" s="326"/>
      <c r="O264" s="326"/>
      <c r="P264" s="326"/>
      <c r="Q264" s="326"/>
      <c r="R264" s="327"/>
      <c r="S264" s="326"/>
      <c r="T264" s="306" t="s">
        <v>1431</v>
      </c>
      <c r="U264" s="326"/>
      <c r="V264" s="326"/>
      <c r="W264" s="329"/>
    </row>
    <row r="265">
      <c r="A265" s="301" t="s">
        <v>1138</v>
      </c>
      <c r="B265" s="288" t="s">
        <v>1165</v>
      </c>
      <c r="C265" s="326" t="s">
        <v>1166</v>
      </c>
      <c r="D265" s="301">
        <f>ROUND((E265*'Pawn Weights'!$H$34)+(G265*'Pawn Weights'!$H$23)+(H265*'Pawn Weights'!$H$24)+(I265*'Pawn Weights'!$H$25)+(J265*'Pawn Weights'!$H$28)+(K265*'Pawn Weights'!$H$26)+(M265*'Pawn Weights'!$H$29)+(N265*'Pawn Weights'!$H$22)+(O265*'Pawn Weights'!$H$31)+(P265*'Pawn Weights'!$H$32)+(Q265*'Pawn Weights'!$H$33)+(F265*'Pawn Weights'!$H$35)+(S265*'Pawn Weights'!$H$27)+'Pawn Weights'!$H$36, 2)</f>
        <v>1326.19</v>
      </c>
      <c r="E265" s="326">
        <v>109.6</v>
      </c>
      <c r="F265" s="326">
        <v>3.6</v>
      </c>
      <c r="G265" s="326">
        <v>42.0</v>
      </c>
      <c r="H265" s="326"/>
      <c r="I265" s="326"/>
      <c r="J265" s="326"/>
      <c r="K265" s="326"/>
      <c r="L265" s="326"/>
      <c r="M265" s="326"/>
      <c r="N265" s="326">
        <v>47.0</v>
      </c>
      <c r="O265" s="326"/>
      <c r="P265" s="326"/>
      <c r="Q265" s="326"/>
      <c r="R265" s="327"/>
      <c r="S265" s="326"/>
      <c r="T265" s="328"/>
      <c r="U265" s="326"/>
      <c r="V265" s="326"/>
      <c r="W265" s="329"/>
    </row>
    <row r="266">
      <c r="A266" s="224"/>
      <c r="B266" s="323"/>
      <c r="C266" s="323"/>
      <c r="D266" s="365"/>
      <c r="E266" s="224"/>
      <c r="F266" s="224"/>
      <c r="G266" s="224"/>
      <c r="H266" s="224"/>
      <c r="I266" s="224"/>
      <c r="J266" s="224"/>
      <c r="K266" s="272"/>
      <c r="L266" s="224"/>
      <c r="M266" s="224"/>
      <c r="N266" s="224"/>
      <c r="O266" s="274"/>
      <c r="P266" s="275"/>
      <c r="Q266" s="276"/>
      <c r="R266" s="277"/>
      <c r="S266" s="366"/>
      <c r="T266" s="224"/>
      <c r="U266" s="324"/>
      <c r="V266" s="324"/>
      <c r="W266" s="324"/>
    </row>
    <row r="267" ht="14.25" customHeight="1">
      <c r="A267" s="325" t="s">
        <v>1169</v>
      </c>
      <c r="B267" s="350"/>
      <c r="C267" s="326"/>
      <c r="D267" s="301"/>
      <c r="E267" s="326"/>
      <c r="F267" s="326"/>
      <c r="G267" s="326"/>
      <c r="H267" s="326"/>
      <c r="I267" s="326"/>
      <c r="J267" s="326"/>
      <c r="K267" s="326"/>
      <c r="L267" s="326"/>
      <c r="M267" s="326"/>
      <c r="N267" s="326"/>
      <c r="O267" s="326"/>
      <c r="P267" s="326"/>
      <c r="Q267" s="326"/>
      <c r="R267" s="327"/>
      <c r="S267" s="326"/>
      <c r="T267" s="327"/>
      <c r="U267" s="326"/>
      <c r="V267" s="326"/>
      <c r="W267" s="329"/>
    </row>
    <row r="268">
      <c r="A268" s="292"/>
      <c r="B268" s="288"/>
      <c r="C268" s="326"/>
      <c r="D268" s="301"/>
      <c r="E268" s="326"/>
      <c r="F268" s="326"/>
      <c r="G268" s="326"/>
      <c r="H268" s="326"/>
      <c r="I268" s="326"/>
      <c r="J268" s="326"/>
      <c r="K268" s="326"/>
      <c r="L268" s="326"/>
      <c r="M268" s="326"/>
      <c r="N268" s="326"/>
      <c r="O268" s="326"/>
      <c r="P268" s="326"/>
      <c r="Q268" s="326"/>
      <c r="R268" s="327"/>
      <c r="S268" s="326"/>
      <c r="T268" s="327"/>
      <c r="U268" s="326"/>
      <c r="V268" s="326"/>
      <c r="W268" s="329"/>
    </row>
    <row r="269">
      <c r="A269" s="369" t="s">
        <v>1432</v>
      </c>
      <c r="B269" s="370"/>
      <c r="C269" s="370"/>
      <c r="D269" s="370"/>
      <c r="E269" s="370"/>
      <c r="F269" s="370"/>
      <c r="G269" s="370"/>
      <c r="H269" s="370"/>
      <c r="I269" s="370"/>
      <c r="J269" s="370"/>
      <c r="K269" s="370"/>
      <c r="L269" s="295"/>
      <c r="M269" s="295"/>
      <c r="N269" s="295"/>
      <c r="O269" s="295"/>
      <c r="P269" s="295"/>
      <c r="Q269" s="295"/>
      <c r="R269" s="295"/>
      <c r="S269" s="295"/>
      <c r="T269" s="295"/>
      <c r="U269" s="295"/>
      <c r="V269" s="295"/>
      <c r="W269" s="137"/>
      <c r="X269" s="137"/>
      <c r="Y269" s="137"/>
      <c r="Z269" s="137"/>
    </row>
    <row r="270">
      <c r="A270" s="371" t="s">
        <v>1433</v>
      </c>
      <c r="B270" s="370"/>
      <c r="C270" s="370"/>
      <c r="D270" s="370"/>
      <c r="E270" s="370"/>
      <c r="F270" s="370"/>
      <c r="G270" s="370"/>
      <c r="H270" s="370"/>
      <c r="I270" s="370"/>
      <c r="J270" s="370"/>
      <c r="K270" s="370"/>
      <c r="L270" s="295"/>
      <c r="M270" s="295"/>
      <c r="N270" s="295"/>
      <c r="O270" s="295"/>
      <c r="P270" s="295"/>
      <c r="Q270" s="295"/>
      <c r="R270" s="295"/>
      <c r="S270" s="295"/>
      <c r="T270" s="295"/>
      <c r="U270" s="295"/>
      <c r="V270" s="295"/>
      <c r="W270" s="137"/>
      <c r="X270" s="137"/>
      <c r="Y270" s="137"/>
      <c r="Z270" s="137"/>
    </row>
    <row r="271">
      <c r="A271" s="193" t="s">
        <v>1172</v>
      </c>
      <c r="B271" s="370"/>
      <c r="C271" s="370"/>
      <c r="D271" s="370"/>
      <c r="E271" s="370"/>
      <c r="F271" s="370"/>
      <c r="G271" s="370"/>
      <c r="H271" s="370"/>
      <c r="I271" s="370"/>
      <c r="J271" s="295"/>
      <c r="K271" s="295"/>
      <c r="L271" s="295"/>
      <c r="M271" s="295"/>
      <c r="N271" s="295"/>
      <c r="O271" s="295"/>
      <c r="P271" s="295"/>
      <c r="Q271" s="295"/>
      <c r="R271" s="295"/>
      <c r="S271" s="295"/>
      <c r="T271" s="295"/>
      <c r="U271" s="295"/>
      <c r="V271" s="295"/>
      <c r="W271" s="137"/>
      <c r="X271" s="137"/>
      <c r="Y271" s="137"/>
      <c r="Z271" s="137"/>
    </row>
    <row r="272">
      <c r="A272" s="281"/>
      <c r="B272" s="288"/>
      <c r="C272" s="326"/>
      <c r="D272" s="301"/>
      <c r="E272" s="326"/>
      <c r="F272" s="326"/>
      <c r="G272" s="326"/>
      <c r="H272" s="326"/>
      <c r="I272" s="326"/>
      <c r="J272" s="326"/>
      <c r="K272" s="326"/>
      <c r="L272" s="326"/>
      <c r="M272" s="326"/>
      <c r="N272" s="326"/>
      <c r="O272" s="326"/>
      <c r="P272" s="326"/>
      <c r="Q272" s="326"/>
      <c r="R272" s="327"/>
      <c r="S272" s="326"/>
      <c r="T272" s="327"/>
      <c r="U272" s="326"/>
      <c r="V272" s="326"/>
      <c r="W272" s="329"/>
    </row>
    <row r="273">
      <c r="A273" s="372" t="s">
        <v>1434</v>
      </c>
      <c r="B273" s="288"/>
      <c r="C273" s="326"/>
      <c r="D273" s="301"/>
      <c r="E273" s="326"/>
      <c r="F273" s="326"/>
      <c r="G273" s="326"/>
      <c r="H273" s="326"/>
      <c r="I273" s="326"/>
      <c r="J273" s="326"/>
      <c r="K273" s="326"/>
      <c r="L273" s="326"/>
      <c r="M273" s="326"/>
      <c r="N273" s="326"/>
      <c r="O273" s="326"/>
      <c r="P273" s="326"/>
      <c r="Q273" s="326"/>
      <c r="R273" s="327"/>
      <c r="S273" s="326"/>
      <c r="T273" s="373"/>
      <c r="U273" s="326"/>
      <c r="V273" s="326"/>
      <c r="W273" s="329"/>
    </row>
    <row r="274" ht="14.25" customHeight="1">
      <c r="A274" s="292"/>
      <c r="B274" s="288"/>
      <c r="C274" s="326"/>
      <c r="D274" s="301"/>
      <c r="E274" s="326"/>
      <c r="F274" s="326"/>
      <c r="G274" s="326"/>
      <c r="H274" s="326"/>
      <c r="I274" s="326"/>
      <c r="J274" s="326"/>
      <c r="K274" s="326"/>
      <c r="L274" s="326"/>
      <c r="M274" s="326"/>
      <c r="N274" s="326"/>
      <c r="O274" s="326"/>
      <c r="P274" s="326"/>
      <c r="Q274" s="326"/>
      <c r="R274" s="327"/>
      <c r="S274" s="326"/>
      <c r="T274" s="327"/>
      <c r="U274" s="326"/>
      <c r="V274" s="326"/>
      <c r="W274" s="329"/>
    </row>
    <row r="275" ht="14.25" customHeight="1">
      <c r="A275" s="292"/>
      <c r="B275" s="288"/>
      <c r="C275" s="326"/>
      <c r="D275" s="301"/>
      <c r="E275" s="326"/>
      <c r="F275" s="326"/>
      <c r="G275" s="326"/>
      <c r="H275" s="326"/>
      <c r="I275" s="326"/>
      <c r="J275" s="326"/>
      <c r="K275" s="326"/>
      <c r="L275" s="326"/>
      <c r="M275" s="326"/>
      <c r="N275" s="326"/>
      <c r="O275" s="326"/>
      <c r="P275" s="326"/>
      <c r="Q275" s="326"/>
      <c r="R275" s="327"/>
      <c r="S275" s="326"/>
      <c r="T275" s="327"/>
      <c r="U275" s="326"/>
      <c r="V275" s="326"/>
      <c r="W275" s="329"/>
    </row>
    <row r="276">
      <c r="A276" s="281"/>
      <c r="B276" s="288"/>
      <c r="C276" s="326"/>
      <c r="D276" s="301"/>
      <c r="E276" s="326"/>
      <c r="F276" s="326"/>
      <c r="G276" s="326"/>
      <c r="H276" s="326"/>
      <c r="I276" s="326"/>
      <c r="J276" s="326"/>
      <c r="K276" s="326"/>
      <c r="L276" s="326"/>
      <c r="M276" s="326"/>
      <c r="N276" s="326"/>
      <c r="O276" s="326"/>
      <c r="P276" s="326"/>
      <c r="Q276" s="326"/>
      <c r="R276" s="327"/>
      <c r="S276" s="326"/>
      <c r="T276" s="327"/>
      <c r="U276" s="326"/>
      <c r="V276" s="326"/>
      <c r="W276" s="329"/>
    </row>
    <row r="277">
      <c r="A277" s="281"/>
      <c r="B277" s="288"/>
      <c r="C277" s="326"/>
      <c r="D277" s="301"/>
      <c r="E277" s="326"/>
      <c r="F277" s="326"/>
      <c r="G277" s="326"/>
      <c r="H277" s="326"/>
      <c r="I277" s="326"/>
      <c r="J277" s="326"/>
      <c r="K277" s="326"/>
      <c r="L277" s="326"/>
      <c r="M277" s="326"/>
      <c r="N277" s="326"/>
      <c r="O277" s="326"/>
      <c r="P277" s="326"/>
      <c r="Q277" s="326"/>
      <c r="R277" s="327"/>
      <c r="S277" s="326"/>
      <c r="T277" s="327"/>
      <c r="U277" s="326"/>
      <c r="V277" s="326"/>
      <c r="W277" s="329"/>
    </row>
    <row r="278" ht="14.25" customHeight="1">
      <c r="A278" s="292"/>
      <c r="B278" s="288"/>
      <c r="C278" s="326"/>
      <c r="D278" s="289"/>
      <c r="E278" s="326"/>
      <c r="F278" s="326"/>
      <c r="G278" s="326"/>
      <c r="H278" s="326"/>
      <c r="I278" s="326"/>
      <c r="J278" s="326"/>
      <c r="K278" s="326"/>
      <c r="L278" s="326"/>
      <c r="M278" s="326"/>
      <c r="N278" s="326"/>
      <c r="O278" s="326"/>
      <c r="P278" s="326"/>
      <c r="Q278" s="326"/>
      <c r="R278" s="327"/>
      <c r="S278" s="326"/>
      <c r="T278" s="327"/>
      <c r="U278" s="326"/>
      <c r="V278" s="326"/>
      <c r="W278" s="329"/>
    </row>
    <row r="279">
      <c r="A279" s="281"/>
      <c r="B279" s="288"/>
      <c r="C279" s="326"/>
      <c r="D279" s="301"/>
      <c r="E279" s="326"/>
      <c r="F279" s="326"/>
      <c r="G279" s="326"/>
      <c r="H279" s="326"/>
      <c r="I279" s="326"/>
      <c r="J279" s="326"/>
      <c r="K279" s="326"/>
      <c r="L279" s="326"/>
      <c r="M279" s="326"/>
      <c r="N279" s="326"/>
      <c r="O279" s="326"/>
      <c r="P279" s="326"/>
      <c r="Q279" s="326"/>
      <c r="R279" s="327"/>
      <c r="S279" s="326"/>
      <c r="T279" s="373"/>
      <c r="U279" s="326"/>
      <c r="V279" s="326"/>
      <c r="W279" s="329"/>
    </row>
    <row r="280" ht="17.25" customHeight="1">
      <c r="A280" s="295"/>
      <c r="B280" s="296"/>
      <c r="C280" s="330"/>
      <c r="D280" s="374"/>
      <c r="E280" s="332"/>
      <c r="F280" s="332"/>
      <c r="G280" s="330"/>
      <c r="H280" s="330"/>
      <c r="I280" s="330"/>
      <c r="J280" s="330"/>
      <c r="K280" s="330"/>
      <c r="L280" s="332"/>
      <c r="M280" s="330"/>
      <c r="N280" s="330"/>
      <c r="O280" s="330"/>
      <c r="P280" s="330"/>
      <c r="Q280" s="330"/>
      <c r="R280" s="295"/>
      <c r="S280" s="330"/>
      <c r="T280" s="316"/>
      <c r="U280" s="330"/>
      <c r="V280" s="330"/>
      <c r="W280" s="137"/>
      <c r="X280" s="137"/>
      <c r="Y280" s="137"/>
      <c r="Z280" s="137"/>
    </row>
    <row r="281">
      <c r="A281" s="375"/>
      <c r="B281" s="288"/>
      <c r="C281" s="326"/>
      <c r="D281" s="289"/>
      <c r="E281" s="326"/>
      <c r="F281" s="326"/>
      <c r="G281" s="326"/>
      <c r="H281" s="326"/>
      <c r="I281" s="326"/>
      <c r="J281" s="326"/>
      <c r="K281" s="326"/>
      <c r="L281" s="326"/>
      <c r="M281" s="326"/>
      <c r="N281" s="326"/>
      <c r="O281" s="326"/>
      <c r="P281" s="326"/>
      <c r="Q281" s="326"/>
      <c r="R281" s="327"/>
      <c r="S281" s="326"/>
      <c r="T281" s="373"/>
      <c r="U281" s="326"/>
      <c r="V281" s="326"/>
      <c r="W281" s="329"/>
    </row>
    <row r="282" ht="15.0" customHeight="1">
      <c r="A282" s="345"/>
      <c r="B282" s="334"/>
      <c r="C282" s="335"/>
      <c r="D282" s="208"/>
      <c r="E282" s="335"/>
      <c r="F282" s="335"/>
      <c r="G282" s="335"/>
      <c r="H282" s="335"/>
      <c r="I282" s="336"/>
      <c r="J282" s="335"/>
      <c r="K282" s="336"/>
      <c r="L282" s="335"/>
      <c r="M282" s="336"/>
      <c r="N282" s="336"/>
      <c r="O282" s="336"/>
      <c r="P282" s="336"/>
      <c r="Q282" s="336"/>
      <c r="R282" s="337"/>
      <c r="S282" s="336"/>
      <c r="T282" s="335"/>
      <c r="U282" s="336"/>
      <c r="V282" s="348"/>
      <c r="W282" s="348"/>
      <c r="X282" s="340"/>
      <c r="Y282" s="340"/>
      <c r="Z282" s="340"/>
    </row>
    <row r="283" ht="14.25" customHeight="1">
      <c r="A283" s="292"/>
      <c r="B283" s="288"/>
      <c r="C283" s="326"/>
      <c r="D283" s="289"/>
      <c r="E283" s="326"/>
      <c r="F283" s="326"/>
      <c r="G283" s="326"/>
      <c r="H283" s="326"/>
      <c r="I283" s="326"/>
      <c r="J283" s="326"/>
      <c r="K283" s="326"/>
      <c r="L283" s="326"/>
      <c r="M283" s="326"/>
      <c r="N283" s="326"/>
      <c r="O283" s="326"/>
      <c r="P283" s="326"/>
      <c r="Q283" s="326"/>
      <c r="R283" s="327"/>
      <c r="S283" s="326"/>
      <c r="T283" s="327"/>
      <c r="U283" s="326"/>
      <c r="V283" s="326"/>
      <c r="W283" s="329"/>
    </row>
    <row r="284">
      <c r="A284" s="295"/>
      <c r="B284" s="296"/>
      <c r="C284" s="330"/>
      <c r="D284" s="374"/>
      <c r="E284" s="332"/>
      <c r="F284" s="332"/>
      <c r="G284" s="295"/>
      <c r="H284" s="332"/>
      <c r="I284" s="332"/>
      <c r="J284" s="330"/>
      <c r="K284" s="330"/>
      <c r="L284" s="330"/>
      <c r="M284" s="330"/>
      <c r="N284" s="330"/>
      <c r="O284" s="330"/>
      <c r="P284" s="332"/>
      <c r="Q284" s="330"/>
      <c r="R284" s="332"/>
      <c r="S284" s="330"/>
      <c r="T284" s="332"/>
      <c r="U284" s="330"/>
      <c r="V284" s="330"/>
      <c r="W284" s="137"/>
      <c r="X284" s="137"/>
      <c r="Y284" s="137"/>
      <c r="Z284" s="137"/>
    </row>
    <row r="285">
      <c r="A285" s="295"/>
      <c r="B285" s="296"/>
      <c r="C285" s="330"/>
      <c r="D285" s="289"/>
      <c r="E285" s="332"/>
      <c r="F285" s="332"/>
      <c r="G285" s="295"/>
      <c r="H285" s="330"/>
      <c r="I285" s="330"/>
      <c r="J285" s="330"/>
      <c r="K285" s="330"/>
      <c r="L285" s="332"/>
      <c r="M285" s="330"/>
      <c r="N285" s="330"/>
      <c r="O285" s="330"/>
      <c r="P285" s="330"/>
      <c r="Q285" s="330"/>
      <c r="R285" s="295"/>
      <c r="S285" s="330"/>
      <c r="T285" s="316"/>
      <c r="U285" s="368"/>
      <c r="V285" s="330"/>
      <c r="W285" s="137"/>
      <c r="X285" s="137"/>
      <c r="Y285" s="137"/>
      <c r="Z285" s="137"/>
    </row>
    <row r="286">
      <c r="A286" s="137"/>
      <c r="B286" s="296"/>
      <c r="C286" s="330"/>
      <c r="D286" s="374"/>
      <c r="E286" s="332"/>
      <c r="F286" s="332"/>
      <c r="G286" s="330"/>
      <c r="H286" s="330"/>
      <c r="I286" s="332"/>
      <c r="J286" s="330"/>
      <c r="K286" s="330"/>
      <c r="L286" s="330"/>
      <c r="M286" s="330"/>
      <c r="N286" s="330"/>
      <c r="O286" s="330"/>
      <c r="P286" s="330"/>
      <c r="Q286" s="330"/>
      <c r="R286" s="295"/>
      <c r="S286" s="330"/>
      <c r="T286" s="316"/>
      <c r="U286" s="330"/>
      <c r="V286" s="330"/>
      <c r="W286" s="137"/>
      <c r="X286" s="137"/>
      <c r="Y286" s="137"/>
      <c r="Z286" s="137"/>
    </row>
    <row r="287">
      <c r="A287" s="349"/>
      <c r="B287" s="351"/>
      <c r="C287" s="351"/>
      <c r="D287" s="351"/>
      <c r="E287" s="351"/>
      <c r="F287" s="351"/>
      <c r="G287" s="351"/>
      <c r="H287" s="351"/>
      <c r="I287" s="351"/>
      <c r="J287" s="351"/>
      <c r="K287" s="351"/>
      <c r="L287" s="351"/>
      <c r="M287" s="351"/>
      <c r="N287" s="351"/>
      <c r="O287" s="351"/>
      <c r="P287" s="351"/>
      <c r="Q287" s="351"/>
      <c r="R287" s="352"/>
      <c r="S287" s="351"/>
      <c r="T287" s="351"/>
      <c r="U287" s="351"/>
      <c r="V287" s="348"/>
      <c r="W287" s="348"/>
      <c r="X287" s="340"/>
      <c r="Y287" s="340"/>
      <c r="Z287" s="340"/>
    </row>
    <row r="288">
      <c r="A288" s="376"/>
      <c r="B288" s="354"/>
      <c r="C288" s="354"/>
      <c r="D288" s="354"/>
      <c r="E288" s="354"/>
      <c r="F288" s="354"/>
      <c r="G288" s="354"/>
      <c r="H288" s="354"/>
      <c r="I288" s="354"/>
      <c r="J288" s="354"/>
      <c r="K288" s="354"/>
      <c r="L288" s="354"/>
      <c r="M288" s="354"/>
      <c r="N288" s="354"/>
      <c r="O288" s="354"/>
      <c r="P288" s="354"/>
      <c r="Q288" s="354"/>
      <c r="R288" s="355"/>
      <c r="S288" s="354"/>
      <c r="T288" s="354"/>
      <c r="U288" s="354"/>
      <c r="V288" s="281"/>
      <c r="W288" s="281"/>
      <c r="X288" s="304"/>
      <c r="Y288" s="304"/>
      <c r="Z288" s="304"/>
    </row>
    <row r="289">
      <c r="A289" s="333"/>
      <c r="B289" s="354"/>
      <c r="C289" s="354"/>
      <c r="D289" s="354"/>
      <c r="E289" s="354"/>
      <c r="F289" s="354"/>
      <c r="G289" s="354"/>
      <c r="H289" s="354"/>
      <c r="I289" s="354"/>
      <c r="J289" s="354"/>
      <c r="K289" s="354"/>
      <c r="L289" s="354"/>
      <c r="M289" s="354"/>
      <c r="N289" s="354"/>
      <c r="O289" s="354"/>
      <c r="P289" s="354"/>
      <c r="Q289" s="354"/>
      <c r="R289" s="355"/>
      <c r="S289" s="354"/>
      <c r="T289" s="354"/>
      <c r="U289" s="354"/>
      <c r="V289" s="357"/>
      <c r="W289" s="357"/>
      <c r="X289" s="304"/>
      <c r="Y289" s="304"/>
      <c r="Z289" s="304"/>
    </row>
    <row r="290">
      <c r="A290" s="377"/>
      <c r="B290" s="354"/>
      <c r="C290" s="354"/>
      <c r="D290" s="354"/>
      <c r="E290" s="354"/>
      <c r="F290" s="354"/>
      <c r="G290" s="354"/>
      <c r="H290" s="354"/>
      <c r="I290" s="354"/>
      <c r="J290" s="354"/>
      <c r="K290" s="354"/>
      <c r="L290" s="354"/>
      <c r="M290" s="354"/>
      <c r="N290" s="354"/>
      <c r="O290" s="354"/>
      <c r="P290" s="354"/>
      <c r="Q290" s="354"/>
      <c r="R290" s="355"/>
      <c r="S290" s="354"/>
      <c r="T290" s="354"/>
      <c r="U290" s="354"/>
      <c r="V290" s="357"/>
      <c r="W290" s="357"/>
      <c r="X290" s="304"/>
      <c r="Y290" s="304"/>
      <c r="Z290" s="304"/>
    </row>
    <row r="291">
      <c r="A291" s="345"/>
      <c r="B291" s="354"/>
      <c r="C291" s="354"/>
      <c r="D291" s="354"/>
      <c r="E291" s="354"/>
      <c r="F291" s="354"/>
      <c r="G291" s="354"/>
      <c r="H291" s="354"/>
      <c r="I291" s="354"/>
      <c r="J291" s="354"/>
      <c r="K291" s="354"/>
      <c r="L291" s="354"/>
      <c r="M291" s="354"/>
      <c r="N291" s="354"/>
      <c r="O291" s="354"/>
      <c r="P291" s="354"/>
      <c r="Q291" s="354"/>
      <c r="R291" s="355"/>
      <c r="S291" s="354"/>
      <c r="T291" s="354"/>
      <c r="U291" s="354"/>
      <c r="V291" s="281"/>
      <c r="W291" s="281"/>
      <c r="X291" s="304"/>
      <c r="Y291" s="304"/>
      <c r="Z291" s="304"/>
    </row>
    <row r="292">
      <c r="A292" s="345"/>
      <c r="B292" s="354"/>
      <c r="C292" s="354"/>
      <c r="D292" s="354"/>
      <c r="E292" s="354"/>
      <c r="F292" s="354"/>
      <c r="G292" s="354"/>
      <c r="H292" s="354"/>
      <c r="I292" s="354"/>
      <c r="J292" s="354"/>
      <c r="K292" s="354"/>
      <c r="L292" s="354"/>
      <c r="M292" s="354"/>
      <c r="N292" s="354"/>
      <c r="O292" s="354"/>
      <c r="P292" s="354"/>
      <c r="Q292" s="354"/>
      <c r="R292" s="355"/>
      <c r="S292" s="354"/>
      <c r="T292" s="354"/>
      <c r="U292" s="354"/>
      <c r="V292" s="281"/>
      <c r="W292" s="281"/>
      <c r="X292" s="304"/>
      <c r="Y292" s="304"/>
      <c r="Z292" s="304"/>
    </row>
    <row r="293">
      <c r="A293" s="345"/>
      <c r="B293" s="354"/>
      <c r="C293" s="354"/>
      <c r="D293" s="354"/>
      <c r="E293" s="354"/>
      <c r="F293" s="354"/>
      <c r="G293" s="354"/>
      <c r="H293" s="354"/>
      <c r="I293" s="354"/>
      <c r="J293" s="354"/>
      <c r="K293" s="354"/>
      <c r="L293" s="354"/>
      <c r="M293" s="354"/>
      <c r="N293" s="354"/>
      <c r="O293" s="354"/>
      <c r="P293" s="354"/>
      <c r="Q293" s="354"/>
      <c r="R293" s="355"/>
      <c r="S293" s="354"/>
      <c r="T293" s="354"/>
      <c r="U293" s="354"/>
      <c r="V293" s="281"/>
      <c r="W293" s="281"/>
      <c r="X293" s="304"/>
      <c r="Y293" s="304"/>
      <c r="Z293" s="304"/>
    </row>
    <row r="294">
      <c r="A294" s="345"/>
      <c r="B294" s="281"/>
      <c r="C294" s="281"/>
      <c r="D294" s="281"/>
      <c r="E294" s="281"/>
      <c r="F294" s="281"/>
      <c r="G294" s="354"/>
      <c r="H294" s="281"/>
      <c r="I294" s="281"/>
      <c r="J294" s="281"/>
      <c r="K294" s="281"/>
      <c r="L294" s="281"/>
      <c r="M294" s="281"/>
      <c r="N294" s="281"/>
      <c r="O294" s="281"/>
      <c r="P294" s="281"/>
      <c r="Q294" s="281"/>
      <c r="R294" s="282"/>
      <c r="S294" s="281"/>
      <c r="T294" s="281"/>
      <c r="U294" s="281"/>
      <c r="V294" s="281"/>
      <c r="W294" s="281"/>
      <c r="X294" s="304"/>
      <c r="Y294" s="304"/>
      <c r="Z294" s="304"/>
    </row>
    <row r="295">
      <c r="A295" s="345"/>
      <c r="B295" s="281"/>
      <c r="C295" s="281"/>
      <c r="D295" s="281"/>
      <c r="E295" s="281"/>
      <c r="F295" s="281"/>
      <c r="G295" s="354"/>
      <c r="H295" s="281"/>
      <c r="I295" s="281"/>
      <c r="J295" s="281"/>
      <c r="K295" s="281"/>
      <c r="L295" s="281"/>
      <c r="M295" s="281"/>
      <c r="N295" s="281"/>
      <c r="O295" s="281"/>
      <c r="P295" s="281"/>
      <c r="Q295" s="281"/>
      <c r="R295" s="282"/>
      <c r="S295" s="281"/>
      <c r="T295" s="281"/>
      <c r="U295" s="281"/>
      <c r="V295" s="281"/>
      <c r="W295" s="281"/>
      <c r="X295" s="304"/>
      <c r="Y295" s="304"/>
      <c r="Z295" s="304"/>
    </row>
    <row r="296">
      <c r="A296" s="345"/>
      <c r="B296" s="281"/>
      <c r="C296" s="281"/>
      <c r="D296" s="281"/>
      <c r="E296" s="281"/>
      <c r="F296" s="281"/>
      <c r="G296" s="354"/>
      <c r="H296" s="281"/>
      <c r="I296" s="281"/>
      <c r="J296" s="281"/>
      <c r="K296" s="281"/>
      <c r="L296" s="281"/>
      <c r="M296" s="281"/>
      <c r="N296" s="281"/>
      <c r="O296" s="281"/>
      <c r="P296" s="281"/>
      <c r="Q296" s="281"/>
      <c r="R296" s="282"/>
      <c r="S296" s="281"/>
      <c r="T296" s="281"/>
      <c r="U296" s="281"/>
      <c r="V296" s="281"/>
      <c r="W296" s="281"/>
      <c r="X296" s="304"/>
      <c r="Y296" s="304"/>
      <c r="Z296" s="304"/>
    </row>
    <row r="297">
      <c r="A297" s="345"/>
      <c r="B297" s="281"/>
      <c r="C297" s="281"/>
      <c r="D297" s="281"/>
      <c r="E297" s="281"/>
      <c r="F297" s="281"/>
      <c r="G297" s="354"/>
      <c r="H297" s="281"/>
      <c r="I297" s="281"/>
      <c r="J297" s="281"/>
      <c r="K297" s="281"/>
      <c r="L297" s="281"/>
      <c r="M297" s="281"/>
      <c r="N297" s="281"/>
      <c r="O297" s="281"/>
      <c r="P297" s="281"/>
      <c r="Q297" s="281"/>
      <c r="R297" s="282"/>
      <c r="S297" s="281"/>
      <c r="T297" s="281"/>
      <c r="U297" s="281"/>
      <c r="V297" s="281"/>
      <c r="W297" s="281"/>
      <c r="X297" s="304"/>
      <c r="Y297" s="304"/>
      <c r="Z297" s="304"/>
    </row>
    <row r="298">
      <c r="A298" s="345"/>
      <c r="B298" s="281"/>
      <c r="C298" s="281"/>
      <c r="D298" s="281"/>
      <c r="E298" s="281"/>
      <c r="F298" s="281"/>
      <c r="G298" s="354"/>
      <c r="H298" s="281"/>
      <c r="I298" s="281"/>
      <c r="J298" s="281"/>
      <c r="K298" s="281"/>
      <c r="L298" s="281"/>
      <c r="M298" s="281"/>
      <c r="N298" s="281"/>
      <c r="O298" s="281"/>
      <c r="P298" s="281"/>
      <c r="Q298" s="281"/>
      <c r="R298" s="282"/>
      <c r="S298" s="281"/>
      <c r="T298" s="281"/>
      <c r="U298" s="281"/>
      <c r="V298" s="281"/>
      <c r="W298" s="281"/>
      <c r="X298" s="304"/>
      <c r="Y298" s="304"/>
      <c r="Z298" s="304"/>
    </row>
    <row r="299">
      <c r="A299" s="345"/>
      <c r="B299" s="281"/>
      <c r="C299" s="281"/>
      <c r="D299" s="281"/>
      <c r="E299" s="281"/>
      <c r="F299" s="281"/>
      <c r="G299" s="354"/>
      <c r="H299" s="281"/>
      <c r="I299" s="281"/>
      <c r="J299" s="281"/>
      <c r="K299" s="281"/>
      <c r="L299" s="281"/>
      <c r="M299" s="281"/>
      <c r="N299" s="281"/>
      <c r="O299" s="281"/>
      <c r="P299" s="281"/>
      <c r="Q299" s="281"/>
      <c r="R299" s="282"/>
      <c r="S299" s="281"/>
      <c r="T299" s="281"/>
      <c r="U299" s="281"/>
      <c r="V299" s="281"/>
      <c r="W299" s="281"/>
      <c r="X299" s="304"/>
      <c r="Y299" s="304"/>
      <c r="Z299" s="304"/>
    </row>
    <row r="300">
      <c r="A300" s="345"/>
      <c r="B300" s="281"/>
      <c r="C300" s="281"/>
      <c r="D300" s="281"/>
      <c r="E300" s="281"/>
      <c r="F300" s="281"/>
      <c r="G300" s="354"/>
      <c r="H300" s="281"/>
      <c r="I300" s="281"/>
      <c r="J300" s="281"/>
      <c r="K300" s="281"/>
      <c r="L300" s="281"/>
      <c r="M300" s="281"/>
      <c r="N300" s="281"/>
      <c r="O300" s="281"/>
      <c r="P300" s="281"/>
      <c r="Q300" s="281"/>
      <c r="R300" s="282"/>
      <c r="S300" s="281"/>
      <c r="T300" s="281"/>
      <c r="U300" s="281"/>
      <c r="V300" s="281"/>
      <c r="W300" s="281"/>
      <c r="X300" s="304"/>
      <c r="Y300" s="304"/>
      <c r="Z300" s="304"/>
    </row>
    <row r="301">
      <c r="A301" s="345"/>
      <c r="B301" s="281"/>
      <c r="C301" s="281"/>
      <c r="D301" s="281"/>
      <c r="E301" s="281"/>
      <c r="F301" s="281"/>
      <c r="G301" s="354"/>
      <c r="H301" s="281"/>
      <c r="I301" s="281"/>
      <c r="J301" s="281"/>
      <c r="K301" s="281"/>
      <c r="L301" s="281"/>
      <c r="M301" s="281"/>
      <c r="N301" s="281"/>
      <c r="O301" s="281"/>
      <c r="P301" s="281"/>
      <c r="Q301" s="281"/>
      <c r="R301" s="282"/>
      <c r="S301" s="281"/>
      <c r="T301" s="281"/>
      <c r="U301" s="281"/>
      <c r="V301" s="281"/>
      <c r="W301" s="281"/>
      <c r="X301" s="304"/>
      <c r="Y301" s="304"/>
      <c r="Z301" s="304"/>
    </row>
    <row r="302">
      <c r="A302" s="345"/>
      <c r="B302" s="281"/>
      <c r="C302" s="281"/>
      <c r="D302" s="281"/>
      <c r="E302" s="281"/>
      <c r="F302" s="281"/>
      <c r="G302" s="354"/>
      <c r="H302" s="281"/>
      <c r="I302" s="281"/>
      <c r="J302" s="281"/>
      <c r="K302" s="281"/>
      <c r="L302" s="281"/>
      <c r="M302" s="281"/>
      <c r="N302" s="281"/>
      <c r="O302" s="281"/>
      <c r="P302" s="281"/>
      <c r="Q302" s="281"/>
      <c r="R302" s="282"/>
      <c r="S302" s="281"/>
      <c r="T302" s="281"/>
      <c r="U302" s="281"/>
      <c r="V302" s="281"/>
      <c r="W302" s="281"/>
      <c r="X302" s="304"/>
      <c r="Y302" s="304"/>
      <c r="Z302" s="304"/>
    </row>
    <row r="303">
      <c r="A303" s="345"/>
      <c r="B303" s="281"/>
      <c r="C303" s="281"/>
      <c r="D303" s="281"/>
      <c r="E303" s="281"/>
      <c r="F303" s="281"/>
      <c r="G303" s="329"/>
      <c r="H303" s="281"/>
      <c r="I303" s="281"/>
      <c r="J303" s="281"/>
      <c r="K303" s="281"/>
      <c r="L303" s="281"/>
      <c r="M303" s="281"/>
      <c r="N303" s="281"/>
      <c r="O303" s="281"/>
      <c r="P303" s="281"/>
      <c r="Q303" s="281"/>
      <c r="R303" s="282"/>
      <c r="S303" s="281"/>
      <c r="T303" s="281"/>
      <c r="U303" s="281"/>
      <c r="V303" s="281"/>
      <c r="W303" s="281"/>
      <c r="X303" s="304"/>
      <c r="Y303" s="304"/>
      <c r="Z303" s="304"/>
    </row>
    <row r="304">
      <c r="A304" s="345"/>
      <c r="B304" s="281"/>
      <c r="C304" s="281"/>
      <c r="D304" s="281"/>
      <c r="E304" s="281"/>
      <c r="F304" s="281"/>
      <c r="G304" s="329"/>
      <c r="H304" s="281"/>
      <c r="I304" s="281"/>
      <c r="J304" s="281"/>
      <c r="K304" s="281"/>
      <c r="L304" s="281"/>
      <c r="M304" s="281"/>
      <c r="N304" s="281"/>
      <c r="O304" s="281"/>
      <c r="P304" s="281"/>
      <c r="Q304" s="281"/>
      <c r="R304" s="282"/>
      <c r="S304" s="281"/>
      <c r="T304" s="281"/>
      <c r="U304" s="281"/>
      <c r="V304" s="281"/>
      <c r="W304" s="281"/>
      <c r="X304" s="304"/>
      <c r="Y304" s="304"/>
      <c r="Z304" s="304"/>
    </row>
    <row r="305">
      <c r="A305" s="345"/>
      <c r="B305" s="281"/>
      <c r="C305" s="281"/>
      <c r="D305" s="281"/>
      <c r="E305" s="281"/>
      <c r="F305" s="281"/>
      <c r="G305" s="329"/>
      <c r="H305" s="281"/>
      <c r="I305" s="281"/>
      <c r="J305" s="281"/>
      <c r="K305" s="281"/>
      <c r="L305" s="281"/>
      <c r="M305" s="281"/>
      <c r="N305" s="281"/>
      <c r="O305" s="281"/>
      <c r="P305" s="281"/>
      <c r="Q305" s="281"/>
      <c r="R305" s="282"/>
      <c r="S305" s="281"/>
      <c r="T305" s="281"/>
      <c r="U305" s="281"/>
      <c r="V305" s="281"/>
      <c r="W305" s="281"/>
      <c r="X305" s="304"/>
      <c r="Y305" s="304"/>
      <c r="Z305" s="304"/>
    </row>
    <row r="306">
      <c r="A306" s="345"/>
      <c r="B306" s="281"/>
      <c r="C306" s="281"/>
      <c r="D306" s="281"/>
      <c r="E306" s="281"/>
      <c r="F306" s="281"/>
      <c r="G306" s="326"/>
      <c r="H306" s="281"/>
      <c r="I306" s="281"/>
      <c r="J306" s="281"/>
      <c r="K306" s="281"/>
      <c r="L306" s="281"/>
      <c r="M306" s="281"/>
      <c r="N306" s="281"/>
      <c r="O306" s="281"/>
      <c r="P306" s="281"/>
      <c r="Q306" s="281"/>
      <c r="R306" s="282"/>
      <c r="S306" s="281"/>
      <c r="T306" s="281"/>
      <c r="U306" s="281"/>
      <c r="V306" s="281"/>
      <c r="W306" s="281"/>
      <c r="X306" s="304"/>
      <c r="Y306" s="304"/>
      <c r="Z306" s="304"/>
    </row>
    <row r="307">
      <c r="A307" s="345"/>
      <c r="B307" s="281"/>
      <c r="C307" s="281"/>
      <c r="D307" s="281"/>
      <c r="E307" s="281"/>
      <c r="F307" s="281"/>
      <c r="G307" s="326"/>
      <c r="H307" s="281"/>
      <c r="I307" s="281"/>
      <c r="J307" s="281"/>
      <c r="K307" s="281"/>
      <c r="L307" s="281"/>
      <c r="M307" s="281"/>
      <c r="N307" s="281"/>
      <c r="O307" s="281"/>
      <c r="P307" s="281"/>
      <c r="Q307" s="281"/>
      <c r="R307" s="282"/>
      <c r="S307" s="281"/>
      <c r="T307" s="281"/>
      <c r="U307" s="281"/>
      <c r="V307" s="281"/>
      <c r="W307" s="281"/>
      <c r="X307" s="304"/>
      <c r="Y307" s="304"/>
      <c r="Z307" s="304"/>
    </row>
    <row r="308">
      <c r="A308" s="345"/>
      <c r="B308" s="281"/>
      <c r="C308" s="281"/>
      <c r="D308" s="281"/>
      <c r="E308" s="281"/>
      <c r="F308" s="281"/>
      <c r="G308" s="326"/>
      <c r="H308" s="281"/>
      <c r="I308" s="281"/>
      <c r="J308" s="281"/>
      <c r="K308" s="281"/>
      <c r="L308" s="281"/>
      <c r="M308" s="281"/>
      <c r="N308" s="281"/>
      <c r="O308" s="281"/>
      <c r="P308" s="281"/>
      <c r="Q308" s="281"/>
      <c r="R308" s="282"/>
      <c r="S308" s="281"/>
      <c r="T308" s="281"/>
      <c r="U308" s="281"/>
      <c r="V308" s="281"/>
      <c r="W308" s="281"/>
      <c r="X308" s="304"/>
      <c r="Y308" s="304"/>
      <c r="Z308" s="304"/>
    </row>
    <row r="309">
      <c r="A309" s="345"/>
      <c r="B309" s="281"/>
      <c r="C309" s="281"/>
      <c r="D309" s="281"/>
      <c r="E309" s="281"/>
      <c r="F309" s="281"/>
      <c r="G309" s="326"/>
      <c r="H309" s="281"/>
      <c r="I309" s="281"/>
      <c r="J309" s="281"/>
      <c r="K309" s="281"/>
      <c r="L309" s="281"/>
      <c r="M309" s="281"/>
      <c r="N309" s="281"/>
      <c r="O309" s="281"/>
      <c r="P309" s="281"/>
      <c r="Q309" s="281"/>
      <c r="R309" s="282"/>
      <c r="S309" s="281"/>
      <c r="T309" s="281"/>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1"/>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2"/>
      <c r="S311" s="281"/>
      <c r="T311" s="281"/>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2"/>
      <c r="S312" s="281"/>
      <c r="T312" s="281"/>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2"/>
      <c r="S313" s="281"/>
      <c r="T313" s="281"/>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2"/>
      <c r="S314" s="281"/>
      <c r="T314" s="281"/>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2"/>
      <c r="S315" s="281"/>
      <c r="T315" s="281"/>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2"/>
      <c r="S316" s="281"/>
      <c r="T316" s="281"/>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2"/>
      <c r="S317" s="281"/>
      <c r="T317" s="281"/>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2"/>
      <c r="S318" s="281"/>
      <c r="T318" s="281"/>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2"/>
      <c r="S319" s="281"/>
      <c r="T319" s="281"/>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2"/>
      <c r="S320" s="281"/>
      <c r="T320" s="281"/>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2"/>
      <c r="S321" s="281"/>
      <c r="T321" s="281"/>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2"/>
      <c r="S322" s="281"/>
      <c r="T322" s="281"/>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2"/>
      <c r="S323" s="281"/>
      <c r="T323" s="281"/>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2"/>
      <c r="S324" s="281"/>
      <c r="T324" s="281"/>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2"/>
      <c r="S325" s="281"/>
      <c r="T325" s="281"/>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2"/>
      <c r="S326" s="281"/>
      <c r="T326" s="281"/>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2"/>
      <c r="S327" s="281"/>
      <c r="T327" s="281"/>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2"/>
      <c r="S328" s="281"/>
      <c r="T328" s="281"/>
      <c r="U328" s="281"/>
      <c r="V328" s="281"/>
      <c r="W328" s="281"/>
      <c r="X328" s="304"/>
      <c r="Y328" s="304"/>
      <c r="Z328" s="304"/>
    </row>
    <row r="329">
      <c r="A329" s="345"/>
      <c r="B329" s="281"/>
      <c r="C329" s="281"/>
      <c r="D329" s="281"/>
      <c r="E329" s="281"/>
      <c r="F329" s="281"/>
      <c r="G329" s="281"/>
      <c r="H329" s="281"/>
      <c r="I329" s="281"/>
      <c r="J329" s="281"/>
      <c r="K329" s="281"/>
      <c r="L329" s="281"/>
      <c r="M329" s="281"/>
      <c r="N329" s="281"/>
      <c r="O329" s="281"/>
      <c r="P329" s="281"/>
      <c r="Q329" s="281"/>
      <c r="R329" s="282"/>
      <c r="S329" s="281"/>
      <c r="T329" s="281"/>
      <c r="U329" s="281"/>
      <c r="V329" s="281"/>
      <c r="W329" s="281"/>
      <c r="X329" s="304"/>
      <c r="Y329" s="304"/>
      <c r="Z329" s="304"/>
    </row>
    <row r="330">
      <c r="A330" s="345"/>
      <c r="B330" s="281"/>
      <c r="C330" s="281"/>
      <c r="D330" s="281"/>
      <c r="E330" s="281"/>
      <c r="F330" s="281"/>
      <c r="G330" s="281"/>
      <c r="H330" s="281"/>
      <c r="I330" s="281"/>
      <c r="J330" s="281"/>
      <c r="K330" s="281"/>
      <c r="L330" s="281"/>
      <c r="M330" s="281"/>
      <c r="N330" s="281"/>
      <c r="O330" s="281"/>
      <c r="P330" s="281"/>
      <c r="Q330" s="281"/>
      <c r="R330" s="282"/>
      <c r="S330" s="281"/>
      <c r="T330" s="281"/>
      <c r="U330" s="281"/>
      <c r="V330" s="281"/>
      <c r="W330" s="281"/>
      <c r="X330" s="304"/>
      <c r="Y330" s="304"/>
      <c r="Z330" s="304"/>
    </row>
    <row r="331">
      <c r="A331" s="345"/>
      <c r="B331" s="281"/>
      <c r="C331" s="281"/>
      <c r="D331" s="281"/>
      <c r="E331" s="281"/>
      <c r="F331" s="281"/>
      <c r="G331" s="281"/>
      <c r="H331" s="281"/>
      <c r="I331" s="281"/>
      <c r="J331" s="281"/>
      <c r="K331" s="281"/>
      <c r="L331" s="281"/>
      <c r="M331" s="281"/>
      <c r="N331" s="281"/>
      <c r="O331" s="281"/>
      <c r="P331" s="281"/>
      <c r="Q331" s="281"/>
      <c r="R331" s="282"/>
      <c r="S331" s="281"/>
      <c r="T331" s="281"/>
      <c r="U331" s="281"/>
      <c r="V331" s="281"/>
      <c r="W331" s="281"/>
      <c r="X331" s="304"/>
      <c r="Y331" s="304"/>
      <c r="Z331" s="304"/>
    </row>
    <row r="332">
      <c r="A332" s="345"/>
      <c r="B332" s="281"/>
      <c r="C332" s="281"/>
      <c r="D332" s="281"/>
      <c r="E332" s="281"/>
      <c r="F332" s="281"/>
      <c r="G332" s="281"/>
      <c r="H332" s="281"/>
      <c r="I332" s="281"/>
      <c r="J332" s="281"/>
      <c r="K332" s="281"/>
      <c r="L332" s="281"/>
      <c r="M332" s="281"/>
      <c r="N332" s="281"/>
      <c r="O332" s="281"/>
      <c r="P332" s="281"/>
      <c r="Q332" s="281"/>
      <c r="R332" s="282"/>
      <c r="S332" s="281"/>
      <c r="T332" s="281"/>
      <c r="U332" s="281"/>
      <c r="V332" s="281"/>
      <c r="W332" s="281"/>
      <c r="X332" s="304"/>
      <c r="Y332" s="304"/>
      <c r="Z332" s="304"/>
    </row>
    <row r="333">
      <c r="A333" s="345"/>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304"/>
      <c r="Y333" s="304"/>
      <c r="Z333" s="304"/>
    </row>
    <row r="334">
      <c r="A334" s="345"/>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304"/>
      <c r="Y334" s="304"/>
      <c r="Z334" s="304"/>
    </row>
    <row r="335">
      <c r="A335" s="345"/>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304"/>
      <c r="Y335" s="304"/>
      <c r="Z335" s="304"/>
    </row>
    <row r="336">
      <c r="A336" s="345"/>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304"/>
      <c r="Y336" s="304"/>
      <c r="Z336" s="304"/>
    </row>
    <row r="337">
      <c r="A337" s="345"/>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304"/>
      <c r="Y337" s="304"/>
      <c r="Z337" s="304"/>
    </row>
    <row r="338">
      <c r="A338" s="345"/>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304"/>
      <c r="Y338" s="304"/>
      <c r="Z338" s="304"/>
    </row>
    <row r="339">
      <c r="A339" s="345"/>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304"/>
      <c r="Y339" s="304"/>
      <c r="Z339" s="304"/>
    </row>
    <row r="340">
      <c r="A340" s="345"/>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304"/>
      <c r="Y340" s="304"/>
      <c r="Z340" s="304"/>
    </row>
    <row r="341">
      <c r="A341" s="345"/>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304"/>
      <c r="Y341" s="304"/>
      <c r="Z341" s="304"/>
    </row>
    <row r="342">
      <c r="A342" s="345"/>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304"/>
      <c r="Y342" s="304"/>
      <c r="Z342" s="304"/>
    </row>
    <row r="343">
      <c r="A343" s="345"/>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304"/>
      <c r="Y343" s="304"/>
      <c r="Z343" s="304"/>
    </row>
    <row r="344">
      <c r="A344" s="345"/>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304"/>
      <c r="Y344" s="304"/>
      <c r="Z344" s="304"/>
    </row>
    <row r="345">
      <c r="A345" s="345"/>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304"/>
      <c r="Y345" s="304"/>
      <c r="Z345" s="304"/>
    </row>
    <row r="346">
      <c r="A346" s="345"/>
      <c r="B346" s="281"/>
      <c r="C346" s="281"/>
      <c r="D346" s="281"/>
      <c r="E346" s="281"/>
      <c r="F346" s="281"/>
      <c r="G346" s="281"/>
      <c r="H346" s="281"/>
      <c r="I346" s="281"/>
      <c r="J346" s="281"/>
      <c r="K346" s="281"/>
      <c r="L346" s="281"/>
      <c r="M346" s="281"/>
      <c r="N346" s="281"/>
      <c r="O346" s="281"/>
      <c r="P346" s="281"/>
      <c r="Q346" s="281"/>
      <c r="R346" s="281"/>
      <c r="S346" s="281"/>
      <c r="T346" s="281"/>
      <c r="U346" s="281"/>
      <c r="V346" s="281"/>
      <c r="W346" s="281"/>
      <c r="X346" s="304"/>
      <c r="Y346" s="304"/>
      <c r="Z346" s="304"/>
    </row>
    <row r="347">
      <c r="A347" s="345"/>
      <c r="B347" s="281"/>
      <c r="C347" s="281"/>
      <c r="D347" s="281"/>
      <c r="E347" s="281"/>
      <c r="F347" s="281"/>
      <c r="G347" s="281"/>
      <c r="H347" s="281"/>
      <c r="I347" s="281"/>
      <c r="J347" s="281"/>
      <c r="K347" s="281"/>
      <c r="L347" s="281"/>
      <c r="M347" s="281"/>
      <c r="N347" s="281"/>
      <c r="O347" s="281"/>
      <c r="P347" s="281"/>
      <c r="Q347" s="281"/>
      <c r="R347" s="281"/>
      <c r="S347" s="281"/>
      <c r="T347" s="281"/>
      <c r="U347" s="281"/>
      <c r="V347" s="281"/>
      <c r="W347" s="281"/>
      <c r="X347" s="304"/>
      <c r="Y347" s="304"/>
      <c r="Z347" s="304"/>
    </row>
    <row r="348">
      <c r="A348" s="345"/>
      <c r="B348" s="281"/>
      <c r="C348" s="281"/>
      <c r="D348" s="281"/>
      <c r="E348" s="281"/>
      <c r="F348" s="281"/>
      <c r="G348" s="281"/>
      <c r="H348" s="281"/>
      <c r="I348" s="281"/>
      <c r="J348" s="281"/>
      <c r="K348" s="281"/>
      <c r="L348" s="281"/>
      <c r="M348" s="281"/>
      <c r="N348" s="281"/>
      <c r="O348" s="281"/>
      <c r="P348" s="281"/>
      <c r="Q348" s="281"/>
      <c r="R348" s="281"/>
      <c r="S348" s="281"/>
      <c r="T348" s="281"/>
      <c r="U348" s="281"/>
      <c r="V348" s="281"/>
      <c r="W348" s="281"/>
      <c r="X348" s="304"/>
      <c r="Y348" s="304"/>
      <c r="Z348" s="304"/>
    </row>
    <row r="349">
      <c r="A349" s="345"/>
      <c r="B349" s="281"/>
      <c r="C349" s="281"/>
      <c r="D349" s="281"/>
      <c r="E349" s="281"/>
      <c r="F349" s="281"/>
      <c r="G349" s="281"/>
      <c r="H349" s="281"/>
      <c r="I349" s="281"/>
      <c r="J349" s="281"/>
      <c r="K349" s="281"/>
      <c r="L349" s="281"/>
      <c r="M349" s="281"/>
      <c r="N349" s="281"/>
      <c r="O349" s="281"/>
      <c r="P349" s="281"/>
      <c r="Q349" s="281"/>
      <c r="R349" s="281"/>
      <c r="S349" s="281"/>
      <c r="T349" s="281"/>
      <c r="U349" s="281"/>
      <c r="V349" s="281"/>
      <c r="W349" s="281"/>
      <c r="X349" s="304"/>
      <c r="Y349" s="304"/>
      <c r="Z349" s="304"/>
    </row>
    <row r="350">
      <c r="A350" s="345"/>
      <c r="B350" s="281"/>
      <c r="C350" s="281"/>
      <c r="D350" s="281"/>
      <c r="E350" s="281"/>
      <c r="F350" s="281"/>
      <c r="G350" s="281"/>
      <c r="H350" s="281"/>
      <c r="I350" s="281"/>
      <c r="J350" s="281"/>
      <c r="K350" s="281"/>
      <c r="L350" s="281"/>
      <c r="M350" s="281"/>
      <c r="N350" s="281"/>
      <c r="O350" s="281"/>
      <c r="P350" s="281"/>
      <c r="Q350" s="281"/>
      <c r="R350" s="281"/>
      <c r="S350" s="281"/>
      <c r="T350" s="281"/>
      <c r="U350" s="281"/>
      <c r="V350" s="281"/>
      <c r="W350" s="281"/>
      <c r="X350" s="304"/>
      <c r="Y350" s="304"/>
      <c r="Z350" s="304"/>
    </row>
  </sheetData>
  <conditionalFormatting sqref="D1">
    <cfRule type="notContainsBlanks" dxfId="0" priority="1">
      <formula>LEN(TRIM(D1))&gt;0</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569"/>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14"/>
    <col customWidth="1" min="2" max="2" width="38.0"/>
    <col customWidth="1" min="3" max="3" width="49.43"/>
    <col customWidth="1" min="4" max="4" width="19.0"/>
    <col customWidth="1" min="5" max="5" width="6.14"/>
    <col customWidth="1" min="6" max="6" width="9.14"/>
    <col customWidth="1" min="7" max="7" width="5.14"/>
    <col customWidth="1" min="8" max="8" width="10.14"/>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102.0"/>
    <col customWidth="1" min="21" max="21" width="18.14"/>
    <col customWidth="1" min="23" max="23" width="24.29"/>
    <col customWidth="1" min="24" max="24" width="20.57"/>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77" t="s">
        <v>615</v>
      </c>
    </row>
    <row r="2" ht="20.25" customHeight="1">
      <c r="A2" s="278"/>
      <c r="B2" s="279" t="s">
        <v>616</v>
      </c>
      <c r="C2" s="280"/>
      <c r="D2" s="378"/>
      <c r="E2" s="281"/>
      <c r="F2" s="281"/>
      <c r="G2" s="281"/>
      <c r="H2" s="281"/>
      <c r="I2" s="281"/>
      <c r="J2" s="281"/>
      <c r="K2" s="281"/>
      <c r="L2" s="281"/>
      <c r="M2" s="281"/>
      <c r="N2" s="280"/>
      <c r="O2" s="280"/>
      <c r="P2" s="280"/>
      <c r="Q2" s="280"/>
      <c r="R2" s="282"/>
      <c r="S2" s="281"/>
      <c r="T2" s="282"/>
      <c r="U2" s="281"/>
      <c r="V2" s="281"/>
      <c r="W2" s="281"/>
    </row>
    <row r="3">
      <c r="A3" s="272"/>
      <c r="B3" s="376" t="s">
        <v>1174</v>
      </c>
      <c r="C3" s="280"/>
      <c r="D3" s="378"/>
      <c r="E3" s="281"/>
      <c r="F3" s="281"/>
      <c r="G3" s="281"/>
      <c r="H3" s="281"/>
      <c r="I3" s="281"/>
      <c r="J3" s="281"/>
      <c r="K3" s="281"/>
      <c r="L3" s="281"/>
      <c r="M3" s="281"/>
      <c r="N3" s="281"/>
      <c r="O3" s="281"/>
      <c r="P3" s="281"/>
      <c r="Q3" s="281"/>
      <c r="R3" s="282"/>
      <c r="S3" s="281"/>
      <c r="T3" s="282"/>
      <c r="U3" s="137"/>
      <c r="V3" s="137"/>
      <c r="W3" s="137"/>
    </row>
    <row r="4">
      <c r="A4" s="286" t="s">
        <v>619</v>
      </c>
      <c r="B4" s="379" t="s">
        <v>1175</v>
      </c>
      <c r="C4" s="280"/>
      <c r="D4" s="378"/>
      <c r="E4" s="281"/>
      <c r="F4" s="281"/>
      <c r="G4" s="281"/>
      <c r="H4" s="281"/>
      <c r="I4" s="281"/>
      <c r="J4" s="281"/>
      <c r="K4" s="281"/>
      <c r="L4" s="281"/>
      <c r="M4" s="281"/>
      <c r="N4" s="281"/>
      <c r="O4" s="281"/>
      <c r="P4" s="281"/>
      <c r="Q4" s="281"/>
      <c r="R4" s="282"/>
      <c r="S4" s="281"/>
      <c r="T4" s="282"/>
      <c r="U4" s="281"/>
      <c r="V4" s="281"/>
      <c r="W4" s="281"/>
    </row>
    <row r="5" ht="14.25" customHeight="1">
      <c r="A5" s="25"/>
      <c r="B5" s="288" t="s">
        <v>631</v>
      </c>
      <c r="C5" s="280" t="s">
        <v>632</v>
      </c>
      <c r="D5" s="289">
        <f>ROUND((F5*'Pawn Weights'!$H$40)+(G5*'Pawn Weights'!$H$41)+(H5*'Pawn Weights'!$H$42)+(I5*'Pawn Weights'!$H$43)+(J5*'Pawn Weights'!$H$44)+(K5*'Pawn Weights'!$H$45)+(L5*'Pawn Weights'!$H$46)+(M5*'Pawn Weights'!$H$47)+(N5*'Pawn Weights'!$H$48)+(O5*'Pawn Weights'!$H$49)+(P5*'Pawn Weights'!$H$50)+(Q5*'Pawn Weights'!$H$51), 2)</f>
        <v>420.19</v>
      </c>
      <c r="E5" s="280">
        <v>46.0</v>
      </c>
      <c r="F5" s="280"/>
      <c r="G5" s="280">
        <v>39.0</v>
      </c>
      <c r="H5" s="280">
        <v>108.0</v>
      </c>
      <c r="I5" s="280">
        <v>38.0</v>
      </c>
      <c r="J5" s="280">
        <v>21.0</v>
      </c>
      <c r="K5" s="280"/>
      <c r="L5" s="280"/>
      <c r="M5" s="281"/>
      <c r="N5" s="280">
        <v>1.0</v>
      </c>
      <c r="O5" s="280"/>
      <c r="P5" s="280">
        <v>1.0</v>
      </c>
      <c r="Q5" s="280"/>
      <c r="R5" s="290" t="s">
        <v>633</v>
      </c>
      <c r="S5" s="281"/>
      <c r="T5" s="290"/>
      <c r="U5" s="137"/>
      <c r="V5" s="137"/>
      <c r="W5" s="137"/>
      <c r="X5" s="25"/>
    </row>
    <row r="6" ht="14.25" customHeight="1">
      <c r="A6" s="295" t="s">
        <v>627</v>
      </c>
      <c r="B6" s="296" t="s">
        <v>1176</v>
      </c>
      <c r="C6" s="297" t="s">
        <v>629</v>
      </c>
      <c r="D6" s="289">
        <f>ROUND((F6*'Pawn Weights'!$H$40)+(G6*'Pawn Weights'!$H$41)+(H6*'Pawn Weights'!$H$42)+(I6*'Pawn Weights'!$H$43)+(J6*'Pawn Weights'!$H$44)+(K6*'Pawn Weights'!$H$45)+(L6*'Pawn Weights'!$H$46)+(M6*'Pawn Weights'!$H$47)+(N6*'Pawn Weights'!$H$48)+(O6*'Pawn Weights'!$H$49)+(P6*'Pawn Weights'!$H$50)+(Q6*'Pawn Weights'!$H$51), 2)</f>
        <v>405.25</v>
      </c>
      <c r="E6" s="298">
        <v>47.0</v>
      </c>
      <c r="F6" s="298"/>
      <c r="G6" s="298">
        <v>61.0</v>
      </c>
      <c r="H6" s="298">
        <v>104.0</v>
      </c>
      <c r="I6" s="298"/>
      <c r="J6" s="298">
        <v>24.0</v>
      </c>
      <c r="K6" s="295"/>
      <c r="L6" s="295"/>
      <c r="M6" s="137"/>
      <c r="N6" s="298">
        <v>1.0</v>
      </c>
      <c r="O6" s="295"/>
      <c r="P6" s="295"/>
      <c r="Q6" s="298">
        <v>1.0</v>
      </c>
      <c r="R6" s="298" t="s">
        <v>622</v>
      </c>
      <c r="S6" s="137"/>
      <c r="T6" s="295" t="s">
        <v>630</v>
      </c>
      <c r="U6" s="137"/>
      <c r="V6" s="137"/>
      <c r="W6" s="137"/>
      <c r="X6" s="295"/>
      <c r="Y6" s="137"/>
      <c r="Z6" s="137"/>
    </row>
    <row r="7" ht="14.25" customHeight="1">
      <c r="A7" s="25" t="s">
        <v>640</v>
      </c>
      <c r="B7" s="288" t="s">
        <v>1177</v>
      </c>
      <c r="C7" s="280" t="s">
        <v>642</v>
      </c>
      <c r="D7" s="289">
        <f>ROUND((F7*'Pawn Weights'!$H$40)+(G7*'Pawn Weights'!$H$41)+(H7*'Pawn Weights'!$H$42)+(I7*'Pawn Weights'!$H$43)+(J7*'Pawn Weights'!$H$44)+(K7*'Pawn Weights'!$H$45)+(L7*'Pawn Weights'!$H$46)+(M7*'Pawn Weights'!$H$47)+(N7*'Pawn Weights'!$H$48)+(O7*'Pawn Weights'!$H$49)+(P7*'Pawn Weights'!$H$50)+(Q7*'Pawn Weights'!$H$51)+9.76, 2)</f>
        <v>394.97</v>
      </c>
      <c r="E7" s="280">
        <v>55.0</v>
      </c>
      <c r="F7" s="280"/>
      <c r="G7" s="280">
        <v>45.0</v>
      </c>
      <c r="H7" s="280">
        <v>92.0</v>
      </c>
      <c r="I7" s="280">
        <v>28.0</v>
      </c>
      <c r="J7" s="280">
        <v>15.0</v>
      </c>
      <c r="K7" s="280"/>
      <c r="L7" s="280"/>
      <c r="M7" s="281"/>
      <c r="N7" s="280">
        <v>1.0</v>
      </c>
      <c r="O7" s="280"/>
      <c r="P7" s="280">
        <v>1.0</v>
      </c>
      <c r="Q7" s="280"/>
      <c r="R7" s="290" t="s">
        <v>626</v>
      </c>
      <c r="S7" s="281"/>
      <c r="T7" s="290"/>
      <c r="U7" s="281"/>
      <c r="V7" s="281"/>
      <c r="W7" s="281"/>
      <c r="X7" s="25"/>
    </row>
    <row r="8" ht="14.25" customHeight="1">
      <c r="A8" s="295" t="s">
        <v>635</v>
      </c>
      <c r="B8" s="296" t="s">
        <v>1178</v>
      </c>
      <c r="C8" s="297" t="s">
        <v>637</v>
      </c>
      <c r="D8" s="289">
        <f>ROUND((F8*'Pawn Weights'!$H$40)+(G8*'Pawn Weights'!$H$41)+(H8*'Pawn Weights'!$H$42)+(I8*'Pawn Weights'!$H$43)+(J8*'Pawn Weights'!$H$44)+(K8*'Pawn Weights'!$H$45)+(L8*'Pawn Weights'!$H$46)+(M8*'Pawn Weights'!$H$47)+(N8*'Pawn Weights'!$H$48)+(O8*'Pawn Weights'!$H$49)+(P8*'Pawn Weights'!$H$50)+(Q8*'Pawn Weights'!$H$51), 2)</f>
        <v>365.24</v>
      </c>
      <c r="E8" s="298">
        <v>72.0</v>
      </c>
      <c r="F8" s="297"/>
      <c r="G8" s="298">
        <v>36.0</v>
      </c>
      <c r="H8" s="298">
        <v>62.0</v>
      </c>
      <c r="I8" s="298">
        <v>26.0</v>
      </c>
      <c r="J8" s="298">
        <v>17.0</v>
      </c>
      <c r="K8" s="297"/>
      <c r="L8" s="297"/>
      <c r="M8" s="359">
        <v>84.0</v>
      </c>
      <c r="N8" s="298">
        <v>1.0</v>
      </c>
      <c r="O8" s="298">
        <v>1.0</v>
      </c>
      <c r="P8" s="297"/>
      <c r="Q8" s="297"/>
      <c r="R8" s="298" t="s">
        <v>1179</v>
      </c>
      <c r="S8" s="137"/>
      <c r="T8" s="298"/>
      <c r="U8" s="137"/>
      <c r="V8" s="137"/>
      <c r="W8" s="137"/>
      <c r="X8" s="295"/>
      <c r="Y8" s="137"/>
      <c r="Z8" s="137"/>
    </row>
    <row r="9" ht="14.25" customHeight="1">
      <c r="A9" s="25" t="s">
        <v>644</v>
      </c>
      <c r="B9" s="288" t="s">
        <v>1180</v>
      </c>
      <c r="C9" s="280" t="s">
        <v>646</v>
      </c>
      <c r="D9" s="289">
        <f>ROUND((F9*'Pawn Weights'!$H$40)+(G9*'Pawn Weights'!$H$41)+(H9*'Pawn Weights'!$H$42)+(I9*'Pawn Weights'!$H$43)+(J9*'Pawn Weights'!$H$44)+(K9*'Pawn Weights'!$H$45)+(L9*'Pawn Weights'!$H$46)+(M9*'Pawn Weights'!$H$47)+(N9*'Pawn Weights'!$H$48)+(O9*'Pawn Weights'!$H$49)+(P9*'Pawn Weights'!$H$50)+(Q9*'Pawn Weights'!$H$51), 2)</f>
        <v>323.19</v>
      </c>
      <c r="E9" s="280">
        <v>65.0</v>
      </c>
      <c r="F9" s="280"/>
      <c r="G9" s="280">
        <v>31.0</v>
      </c>
      <c r="H9" s="280">
        <v>52.0</v>
      </c>
      <c r="I9" s="280">
        <v>21.0</v>
      </c>
      <c r="J9" s="280">
        <v>12.0</v>
      </c>
      <c r="K9" s="280"/>
      <c r="L9" s="280"/>
      <c r="M9" s="280">
        <v>84.0</v>
      </c>
      <c r="N9" s="280">
        <v>1.0</v>
      </c>
      <c r="O9" s="280">
        <v>1.0</v>
      </c>
      <c r="P9" s="280"/>
      <c r="Q9" s="280"/>
      <c r="R9" s="290" t="s">
        <v>1179</v>
      </c>
      <c r="S9" s="281"/>
      <c r="T9" s="290"/>
      <c r="U9" s="281"/>
      <c r="X9" s="25"/>
    </row>
    <row r="10" ht="14.25" customHeight="1">
      <c r="A10" s="25" t="s">
        <v>627</v>
      </c>
      <c r="B10" s="288" t="s">
        <v>1182</v>
      </c>
      <c r="C10" s="280" t="s">
        <v>653</v>
      </c>
      <c r="D10" s="289">
        <f>ROUND((F10*'Pawn Weights'!$H$40)+(G10*'Pawn Weights'!$H$41)+(H10*'Pawn Weights'!$H$42)+(I10*'Pawn Weights'!$H$43)+(J10*'Pawn Weights'!$H$44)+(K10*'Pawn Weights'!$H$45)+(L10*'Pawn Weights'!$H$46)+(M10*'Pawn Weights'!$H$47)+(N10*'Pawn Weights'!$H$48)+(O10*'Pawn Weights'!$H$49)+(P10*'Pawn Weights'!$H$50)+(Q10*'Pawn Weights'!$H$51), 2)</f>
        <v>316.8</v>
      </c>
      <c r="E10" s="280">
        <v>28.0</v>
      </c>
      <c r="F10" s="280"/>
      <c r="G10" s="280">
        <v>48.0</v>
      </c>
      <c r="H10" s="280">
        <v>76.0</v>
      </c>
      <c r="I10" s="280"/>
      <c r="J10" s="280">
        <v>11.0</v>
      </c>
      <c r="K10" s="280"/>
      <c r="L10" s="280"/>
      <c r="M10" s="281"/>
      <c r="N10" s="280">
        <v>1.0</v>
      </c>
      <c r="O10" s="280"/>
      <c r="P10" s="280"/>
      <c r="Q10" s="280">
        <v>1.0</v>
      </c>
      <c r="R10" s="290" t="s">
        <v>622</v>
      </c>
      <c r="S10" s="281"/>
      <c r="T10" s="290"/>
      <c r="U10" s="281"/>
      <c r="V10" s="281"/>
      <c r="W10" s="281"/>
      <c r="X10" s="25"/>
    </row>
    <row r="11">
      <c r="A11" s="292" t="s">
        <v>647</v>
      </c>
      <c r="B11" s="288" t="s">
        <v>1181</v>
      </c>
      <c r="C11" s="154" t="s">
        <v>649</v>
      </c>
      <c r="D11" s="289">
        <f>ROUND((F11*'Pawn Weights'!$H$40)+(G11*'Pawn Weights'!$H$41)+(H11*'Pawn Weights'!$H$42)+(I11*'Pawn Weights'!$H$43)+(J11*'Pawn Weights'!$H$44)+(K11*'Pawn Weights'!$H$45)+(L11*'Pawn Weights'!$H$46)+(M11*'Pawn Weights'!$H$47)+(N11*'Pawn Weights'!$H$48)+(O11*'Pawn Weights'!$H$49)+(P11*'Pawn Weights'!$H$50)+(Q11*'Pawn Weights'!$H$51), 2)</f>
        <v>316.07</v>
      </c>
      <c r="E11" s="280">
        <v>48.0</v>
      </c>
      <c r="F11" s="280"/>
      <c r="G11" s="280">
        <v>39.0</v>
      </c>
      <c r="H11" s="280">
        <v>78.0</v>
      </c>
      <c r="I11" s="280">
        <v>25.0</v>
      </c>
      <c r="J11" s="280"/>
      <c r="K11" s="280"/>
      <c r="L11" s="280"/>
      <c r="M11" s="281"/>
      <c r="N11" s="280">
        <v>1.0</v>
      </c>
      <c r="O11" s="280">
        <v>1.0</v>
      </c>
      <c r="P11" s="280"/>
      <c r="Q11" s="280"/>
      <c r="R11" s="290" t="s">
        <v>745</v>
      </c>
      <c r="S11" s="281"/>
      <c r="T11" s="290"/>
      <c r="U11" s="281"/>
      <c r="V11" s="281"/>
      <c r="W11" s="281"/>
    </row>
    <row r="12">
      <c r="A12" s="295"/>
      <c r="B12" s="317" t="s">
        <v>1074</v>
      </c>
      <c r="C12" s="318" t="s">
        <v>1183</v>
      </c>
      <c r="D12" s="289">
        <f>ROUND((F12*'Pawn Weights'!$H$40)+(G12*'Pawn Weights'!$H$41)+(H12*'Pawn Weights'!$H$42)+(I12*'Pawn Weights'!$H$43)+(J12*'Pawn Weights'!$H$44)+(K12*'Pawn Weights'!$H$45)+(L12*'Pawn Weights'!$H$46)+(M12*'Pawn Weights'!$H$47)+(N12*'Pawn Weights'!$H$48)+(O12*'Pawn Weights'!$H$49)+(P12*'Pawn Weights'!$H$50)+(Q12*'Pawn Weights'!$H$51), 2)</f>
        <v>302.16</v>
      </c>
      <c r="E12" s="316">
        <v>48.0</v>
      </c>
      <c r="F12" s="297"/>
      <c r="G12" s="316">
        <v>40.0</v>
      </c>
      <c r="H12" s="316">
        <v>82.0</v>
      </c>
      <c r="I12" s="297"/>
      <c r="J12" s="316">
        <v>24.0</v>
      </c>
      <c r="K12" s="297"/>
      <c r="L12" s="297"/>
      <c r="M12" s="137"/>
      <c r="N12" s="297"/>
      <c r="O12" s="318">
        <v>1.0</v>
      </c>
      <c r="P12" s="318">
        <v>1.0</v>
      </c>
      <c r="Q12" s="318">
        <v>1.0</v>
      </c>
      <c r="R12" s="316" t="s">
        <v>745</v>
      </c>
      <c r="S12" s="137"/>
      <c r="T12" s="298"/>
      <c r="U12" s="281"/>
      <c r="V12" s="281"/>
      <c r="W12" s="281"/>
      <c r="X12" s="137"/>
      <c r="Y12" s="137"/>
      <c r="Z12" s="137"/>
    </row>
    <row r="13" ht="14.25" customHeight="1">
      <c r="A13" s="25"/>
      <c r="B13" s="288" t="s">
        <v>1184</v>
      </c>
      <c r="C13" s="280" t="s">
        <v>1185</v>
      </c>
      <c r="D13" s="289">
        <f>ROUND((F13*'Pawn Weights'!$H$40)+(G13*'Pawn Weights'!$H$41)+(H13*'Pawn Weights'!$H$42)+(I13*'Pawn Weights'!$H$43)+(J13*'Pawn Weights'!$H$44)+(K13*'Pawn Weights'!$H$45)+(L13*'Pawn Weights'!$H$46)+(M13*'Pawn Weights'!$H$47)+(N13*'Pawn Weights'!$H$48)+(O13*'Pawn Weights'!$H$49)+(P13*'Pawn Weights'!$H$50)+(Q13*'Pawn Weights'!$H$51)+8.84, 2)</f>
        <v>290.48</v>
      </c>
      <c r="E13" s="280">
        <v>36.0</v>
      </c>
      <c r="F13" s="280"/>
      <c r="G13" s="280">
        <v>32.0</v>
      </c>
      <c r="H13" s="280">
        <v>64.0</v>
      </c>
      <c r="I13" s="280"/>
      <c r="J13" s="280">
        <v>16.0</v>
      </c>
      <c r="K13" s="280"/>
      <c r="L13" s="280"/>
      <c r="M13" s="281"/>
      <c r="N13" s="280">
        <v>1.0</v>
      </c>
      <c r="O13" s="280"/>
      <c r="P13" s="280">
        <v>1.0</v>
      </c>
      <c r="Q13" s="280"/>
      <c r="R13" s="290" t="s">
        <v>622</v>
      </c>
      <c r="S13" s="281"/>
      <c r="T13" s="290"/>
      <c r="U13" s="281"/>
      <c r="V13" s="281"/>
      <c r="W13" s="281"/>
    </row>
    <row r="14" ht="14.25" customHeight="1">
      <c r="A14" s="25" t="s">
        <v>654</v>
      </c>
      <c r="B14" s="288" t="s">
        <v>1186</v>
      </c>
      <c r="C14" s="280" t="s">
        <v>656</v>
      </c>
      <c r="D14" s="289">
        <f>ROUND((F14*'Pawn Weights'!$H$40)+(G14*'Pawn Weights'!$H$41)+(H14*'Pawn Weights'!$H$42)+(I14*'Pawn Weights'!$H$43)+(J14*'Pawn Weights'!$H$44)+(K14*'Pawn Weights'!$H$45)+(L14*'Pawn Weights'!$H$46)+(M14*'Pawn Weights'!$H$47)+(N14*'Pawn Weights'!$H$48)+(O14*'Pawn Weights'!$H$49)+(P14*'Pawn Weights'!$H$50)+(Q14*'Pawn Weights'!$H$51)-24.4+23.25+8.84, 2)</f>
        <v>289.61</v>
      </c>
      <c r="E14" s="280">
        <v>39.0</v>
      </c>
      <c r="F14" s="280"/>
      <c r="G14" s="280">
        <v>28.0</v>
      </c>
      <c r="H14" s="280">
        <v>78.0</v>
      </c>
      <c r="I14" s="280"/>
      <c r="J14" s="280">
        <v>14.0</v>
      </c>
      <c r="K14" s="280"/>
      <c r="L14" s="280"/>
      <c r="M14" s="281"/>
      <c r="N14" s="280">
        <v>1.0</v>
      </c>
      <c r="O14" s="280">
        <v>1.0</v>
      </c>
      <c r="P14" s="280"/>
      <c r="Q14" s="280"/>
      <c r="R14" s="290" t="s">
        <v>622</v>
      </c>
      <c r="S14" s="281"/>
      <c r="T14" s="290"/>
      <c r="U14" s="137"/>
      <c r="V14" s="137"/>
      <c r="W14" s="137"/>
      <c r="X14" s="25"/>
    </row>
    <row r="15">
      <c r="A15" s="25" t="s">
        <v>1068</v>
      </c>
      <c r="B15" s="288" t="s">
        <v>1435</v>
      </c>
      <c r="C15" s="280" t="s">
        <v>997</v>
      </c>
      <c r="D15" s="289">
        <f>ROUND((F15*'Pawn Weights'!$H$40)+(G15*'Pawn Weights'!$H$41)+(H15*'Pawn Weights'!$H$42)+(I15*'Pawn Weights'!$H$43)+(J15*'Pawn Weights'!$H$44)+(K15*'Pawn Weights'!$H$45)+(L15*'Pawn Weights'!$H$46)+(M15*'Pawn Weights'!$H$47)+(N15*'Pawn Weights'!$H$48)+(O15*'Pawn Weights'!$H$49)+(P15*'Pawn Weights'!$H$50)+(Q15*'Pawn Weights'!$H$51), 2)</f>
        <v>263.57</v>
      </c>
      <c r="E15" s="280">
        <v>58.0</v>
      </c>
      <c r="F15" s="280"/>
      <c r="G15" s="280">
        <v>37.0</v>
      </c>
      <c r="H15" s="280">
        <v>44.0</v>
      </c>
      <c r="I15" s="280">
        <v>17.0</v>
      </c>
      <c r="J15" s="280"/>
      <c r="K15" s="280"/>
      <c r="L15" s="280"/>
      <c r="M15" s="281"/>
      <c r="N15" s="280">
        <v>1.0</v>
      </c>
      <c r="O15" s="280">
        <v>1.0</v>
      </c>
      <c r="P15" s="280"/>
      <c r="Q15" s="280"/>
      <c r="R15" s="290" t="s">
        <v>1179</v>
      </c>
      <c r="S15" s="281"/>
      <c r="T15" s="290"/>
      <c r="U15" s="281"/>
      <c r="V15" s="281"/>
      <c r="W15" s="281"/>
    </row>
    <row r="16">
      <c r="A16" s="272" t="s">
        <v>657</v>
      </c>
      <c r="B16" s="281"/>
      <c r="C16" s="281"/>
      <c r="D16" s="360"/>
      <c r="E16" s="281"/>
      <c r="F16" s="281"/>
      <c r="G16" s="281"/>
      <c r="H16" s="281"/>
      <c r="I16" s="281"/>
      <c r="J16" s="281"/>
      <c r="K16" s="281"/>
      <c r="L16" s="281"/>
      <c r="M16" s="281"/>
      <c r="N16" s="281"/>
      <c r="O16" s="281"/>
      <c r="P16" s="281"/>
      <c r="Q16" s="281"/>
      <c r="R16" s="282"/>
      <c r="S16" s="281"/>
      <c r="T16" s="282"/>
      <c r="U16" s="281"/>
      <c r="V16" s="281"/>
      <c r="W16" s="281"/>
    </row>
    <row r="17">
      <c r="A17" s="137" t="s">
        <v>627</v>
      </c>
      <c r="B17" s="341" t="s">
        <v>658</v>
      </c>
      <c r="C17" s="361" t="s">
        <v>659</v>
      </c>
      <c r="D17" s="289">
        <f>ROUND((F17*'Pawn Weights'!$H$40)+(G17*'Pawn Weights'!$H$41)+(H17*'Pawn Weights'!$H$42)+(I17*'Pawn Weights'!$H$43)+(J17*'Pawn Weights'!$H$44)+(K17*'Pawn Weights'!$H$45)+(L17*'Pawn Weights'!$H$46)+(M17*'Pawn Weights'!$H$47)+(N17*'Pawn Weights'!$H$48)+(O17*'Pawn Weights'!$H$49)+(P17*'Pawn Weights'!$H$50)+(Q17*'Pawn Weights'!$H$51)+4, 2)</f>
        <v>203.81</v>
      </c>
      <c r="E17" s="359">
        <v>42.0</v>
      </c>
      <c r="F17" s="137"/>
      <c r="G17" s="137"/>
      <c r="H17" s="359">
        <v>58.0</v>
      </c>
      <c r="I17" s="137"/>
      <c r="J17" s="137"/>
      <c r="K17" s="359">
        <v>29.0</v>
      </c>
      <c r="L17" s="137"/>
      <c r="M17" s="359">
        <v>150.0</v>
      </c>
      <c r="N17" s="137"/>
      <c r="O17" s="137"/>
      <c r="P17" s="359">
        <v>1.0</v>
      </c>
      <c r="Q17" s="137"/>
      <c r="R17" s="359" t="s">
        <v>660</v>
      </c>
      <c r="S17" s="137"/>
      <c r="T17" s="137" t="s">
        <v>661</v>
      </c>
      <c r="U17" s="137"/>
      <c r="V17" s="137"/>
      <c r="W17" s="137"/>
      <c r="X17" s="137"/>
      <c r="Y17" s="137"/>
      <c r="Z17" s="137"/>
    </row>
    <row r="18">
      <c r="A18" s="137"/>
      <c r="B18" s="296" t="s">
        <v>664</v>
      </c>
      <c r="C18" s="297" t="s">
        <v>665</v>
      </c>
      <c r="D18" s="289">
        <f>ROUND((F18*'Pawn Weights'!$H$40)+(G18*'Pawn Weights'!$H$41)+(H18*'Pawn Weights'!$H$42)+(I18*'Pawn Weights'!$H$43)+(J18*'Pawn Weights'!$H$44)+(K18*'Pawn Weights'!$H$45)+(L18*'Pawn Weights'!$H$46)+(M18*'Pawn Weights'!$H$47)+(N18*'Pawn Weights'!$H$48)+(O18*'Pawn Weights'!$H$49)+(P18*'Pawn Weights'!$H$50)+(Q18*'Pawn Weights'!$H$51), 2)</f>
        <v>170.76</v>
      </c>
      <c r="E18" s="297"/>
      <c r="F18" s="297"/>
      <c r="G18" s="297"/>
      <c r="H18" s="298">
        <v>72.0</v>
      </c>
      <c r="I18" s="298">
        <v>27.0</v>
      </c>
      <c r="J18" s="298">
        <v>21.0</v>
      </c>
      <c r="K18" s="297"/>
      <c r="L18" s="297"/>
      <c r="M18" s="297"/>
      <c r="N18" s="297"/>
      <c r="O18" s="297"/>
      <c r="P18" s="297"/>
      <c r="Q18" s="297"/>
      <c r="R18" s="295"/>
      <c r="S18" s="137"/>
      <c r="T18" s="359"/>
      <c r="U18" s="281"/>
      <c r="V18" s="281"/>
      <c r="W18" s="281"/>
      <c r="X18" s="137"/>
      <c r="Y18" s="137"/>
      <c r="Z18" s="137"/>
    </row>
    <row r="19">
      <c r="A19" s="137" t="s">
        <v>676</v>
      </c>
      <c r="B19" s="296" t="s">
        <v>677</v>
      </c>
      <c r="C19" s="297" t="s">
        <v>678</v>
      </c>
      <c r="D19" s="289">
        <f>ROUND((F19*'Pawn Weights'!$H$40)+(G19*'Pawn Weights'!$H$41)+(H19*'Pawn Weights'!$H$42)+(I19*'Pawn Weights'!$H$43)+(J19*'Pawn Weights'!$H$44)+(K19*'Pawn Weights'!$H$45)+(L19*'Pawn Weights'!$H$46)+(M19*'Pawn Weights'!$H$47)+(N19*'Pawn Weights'!$H$48)+(O19*'Pawn Weights'!$H$49)+(P19*'Pawn Weights'!$H$50)+(Q19*'Pawn Weights'!$H$51)+39.2, 2)</f>
        <v>142.98</v>
      </c>
      <c r="E19" s="298">
        <v>19.0</v>
      </c>
      <c r="F19" s="297"/>
      <c r="G19" s="298">
        <v>18.0</v>
      </c>
      <c r="H19" s="298">
        <v>64.0</v>
      </c>
      <c r="I19" s="297"/>
      <c r="J19" s="297"/>
      <c r="K19" s="297"/>
      <c r="L19" s="297"/>
      <c r="M19" s="295"/>
      <c r="N19" s="297"/>
      <c r="O19" s="297"/>
      <c r="P19" s="297"/>
      <c r="Q19" s="297"/>
      <c r="R19" s="295"/>
      <c r="S19" s="137"/>
      <c r="T19" s="362" t="s">
        <v>679</v>
      </c>
      <c r="U19" s="194"/>
      <c r="V19" s="194"/>
      <c r="W19" s="137"/>
      <c r="X19" s="137"/>
      <c r="Y19" s="137"/>
      <c r="Z19" s="137"/>
    </row>
    <row r="20">
      <c r="A20" s="281"/>
      <c r="B20" s="288" t="s">
        <v>686</v>
      </c>
      <c r="C20" s="280" t="s">
        <v>687</v>
      </c>
      <c r="D20" s="289">
        <f>ROUND((F20*'Pawn Weights'!$H$40)+(G20*'Pawn Weights'!$H$41)+(H20*'Pawn Weights'!$H$42)+(I20*'Pawn Weights'!$H$43)+(J20*'Pawn Weights'!$H$44)+(K20*'Pawn Weights'!$H$45)+(L20*'Pawn Weights'!$H$46)+(M20*'Pawn Weights'!$H$47)+(N20*'Pawn Weights'!$H$48)+(O20*'Pawn Weights'!$H$49)+(P20*'Pawn Weights'!$H$50)+(Q20*'Pawn Weights'!$H$51), 2)</f>
        <v>130.12</v>
      </c>
      <c r="E20" s="280">
        <v>18.0</v>
      </c>
      <c r="F20" s="280"/>
      <c r="G20" s="280">
        <v>20.0</v>
      </c>
      <c r="H20" s="280">
        <v>42.0</v>
      </c>
      <c r="I20" s="280"/>
      <c r="J20" s="280">
        <v>18.0</v>
      </c>
      <c r="K20" s="280"/>
      <c r="L20" s="280"/>
      <c r="M20" s="280"/>
      <c r="N20" s="280"/>
      <c r="O20" s="280"/>
      <c r="P20" s="280"/>
      <c r="Q20" s="280"/>
      <c r="R20" s="290"/>
      <c r="S20" s="281"/>
      <c r="T20" s="310"/>
      <c r="U20" s="281"/>
      <c r="V20" s="281"/>
      <c r="W20" s="281"/>
      <c r="X20" s="281"/>
    </row>
    <row r="21">
      <c r="A21" s="281"/>
      <c r="B21" s="288" t="s">
        <v>684</v>
      </c>
      <c r="C21" s="280" t="s">
        <v>685</v>
      </c>
      <c r="D21" s="289">
        <f>ROUND((F21*'Pawn Weights'!$H$40)+(G21*'Pawn Weights'!$H$41)+(H21*'Pawn Weights'!$H$42)+(I21*'Pawn Weights'!$H$43)+(J21*'Pawn Weights'!$H$44)+(K21*'Pawn Weights'!$H$45)+(L21*'Pawn Weights'!$H$46)+(M21*'Pawn Weights'!$H$47)+(N21*'Pawn Weights'!$H$48)+(O21*'Pawn Weights'!$H$49)+(P21*'Pawn Weights'!$H$50)+(Q21*'Pawn Weights'!$H$51), 2)</f>
        <v>129.67</v>
      </c>
      <c r="E21" s="280">
        <v>26.0</v>
      </c>
      <c r="F21" s="280"/>
      <c r="G21" s="280">
        <v>27.0</v>
      </c>
      <c r="H21" s="280">
        <v>70.0</v>
      </c>
      <c r="I21" s="280"/>
      <c r="J21" s="280"/>
      <c r="K21" s="280"/>
      <c r="L21" s="280"/>
      <c r="M21" s="281"/>
      <c r="N21" s="280"/>
      <c r="O21" s="280"/>
      <c r="P21" s="280"/>
      <c r="Q21" s="280"/>
      <c r="R21" s="290"/>
      <c r="S21" s="281"/>
      <c r="T21" s="380"/>
      <c r="U21" s="137"/>
      <c r="V21" s="137"/>
      <c r="W21" s="137"/>
      <c r="X21" s="281"/>
    </row>
    <row r="22">
      <c r="A22" s="137"/>
      <c r="B22" s="296" t="s">
        <v>666</v>
      </c>
      <c r="C22" s="297" t="s">
        <v>667</v>
      </c>
      <c r="D22" s="289">
        <f>ROUND((F22*'Pawn Weights'!$H$40)+(G22*'Pawn Weights'!$H$41)+(H22*'Pawn Weights'!$H$42)+(I22*'Pawn Weights'!$H$43)+(J22*'Pawn Weights'!$H$44)+(K22*'Pawn Weights'!$H$45)+(L22*'Pawn Weights'!$H$46)+(M22*'Pawn Weights'!$H$47)+(N22*'Pawn Weights'!$H$48)+(O22*'Pawn Weights'!$H$49)+(P22*'Pawn Weights'!$H$50)+(Q22*'Pawn Weights'!$H$51), 2)</f>
        <v>129.5</v>
      </c>
      <c r="E22" s="298">
        <v>37.0</v>
      </c>
      <c r="F22" s="297"/>
      <c r="G22" s="297"/>
      <c r="H22" s="298">
        <v>70.0</v>
      </c>
      <c r="I22" s="297"/>
      <c r="J22" s="297"/>
      <c r="K22" s="297"/>
      <c r="L22" s="297"/>
      <c r="M22" s="298">
        <v>175.0</v>
      </c>
      <c r="N22" s="297"/>
      <c r="O22" s="297"/>
      <c r="P22" s="297"/>
      <c r="Q22" s="297"/>
      <c r="R22" s="295"/>
      <c r="S22" s="137"/>
      <c r="T22" s="359"/>
      <c r="U22" s="137"/>
      <c r="V22" s="137"/>
      <c r="W22" s="137"/>
      <c r="X22" s="137"/>
      <c r="Y22" s="137"/>
      <c r="Z22" s="137"/>
    </row>
    <row r="23">
      <c r="A23" s="137" t="s">
        <v>671</v>
      </c>
      <c r="B23" s="296" t="s">
        <v>672</v>
      </c>
      <c r="C23" s="297" t="s">
        <v>673</v>
      </c>
      <c r="D23" s="289">
        <f>ROUND((F23*'Pawn Weights'!$H$40)+(G23*'Pawn Weights'!$H$41)+(H23*'Pawn Weights'!$H$42)+(I23*'Pawn Weights'!$H$43)+(J23*'Pawn Weights'!$H$44)+(K23*'Pawn Weights'!$H$45)+(L23*'Pawn Weights'!$H$46)+(M23*'Pawn Weights'!$H$47)+(N23*'Pawn Weights'!$H$48)+(O23*'Pawn Weights'!$H$49)+(P23*'Pawn Weights'!$H$50)+(Q23*'Pawn Weights'!$H$51), 2)</f>
        <v>128.16</v>
      </c>
      <c r="E23" s="298">
        <v>39.0</v>
      </c>
      <c r="F23" s="297"/>
      <c r="G23" s="297"/>
      <c r="H23" s="298">
        <v>58.0</v>
      </c>
      <c r="I23" s="298">
        <v>26.0</v>
      </c>
      <c r="J23" s="297"/>
      <c r="K23" s="297"/>
      <c r="L23" s="297"/>
      <c r="M23" s="295"/>
      <c r="N23" s="297"/>
      <c r="O23" s="297"/>
      <c r="P23" s="298">
        <v>1.0</v>
      </c>
      <c r="Q23" s="297"/>
      <c r="R23" s="298" t="s">
        <v>674</v>
      </c>
      <c r="S23" s="137"/>
      <c r="T23" s="361" t="s">
        <v>675</v>
      </c>
      <c r="U23" s="137"/>
      <c r="V23" s="137"/>
      <c r="W23" s="137"/>
      <c r="X23" s="137"/>
      <c r="Y23" s="137"/>
      <c r="Z23" s="137"/>
    </row>
    <row r="24">
      <c r="A24" s="281"/>
      <c r="B24" s="288" t="s">
        <v>1077</v>
      </c>
      <c r="C24" s="280" t="s">
        <v>1078</v>
      </c>
      <c r="D24" s="289">
        <f>ROUND((F24*'Pawn Weights'!$H$40)+(G24*'Pawn Weights'!$H$41)+(H24*'Pawn Weights'!$H$42)+(I24*'Pawn Weights'!$H$43)+(J24*'Pawn Weights'!$H$44)+(K24*'Pawn Weights'!$H$45)+(L24*'Pawn Weights'!$H$46)+(M24*'Pawn Weights'!$H$47)+(N24*'Pawn Weights'!$H$48)+(O24*'Pawn Weights'!$H$49)+(P24*'Pawn Weights'!$H$50)+(Q24*'Pawn Weights'!$H$51), 2)</f>
        <v>127.68</v>
      </c>
      <c r="E24" s="280">
        <v>21.0</v>
      </c>
      <c r="F24" s="280"/>
      <c r="G24" s="280">
        <v>20.0</v>
      </c>
      <c r="H24" s="280">
        <v>42.0</v>
      </c>
      <c r="I24" s="280"/>
      <c r="J24" s="280">
        <v>17.0</v>
      </c>
      <c r="K24" s="280"/>
      <c r="L24" s="280"/>
      <c r="M24" s="280"/>
      <c r="N24" s="280"/>
      <c r="O24" s="280"/>
      <c r="P24" s="280"/>
      <c r="Q24" s="280"/>
      <c r="R24" s="290"/>
      <c r="S24" s="281"/>
      <c r="T24" s="380"/>
      <c r="U24" s="281"/>
      <c r="V24" s="281"/>
      <c r="W24" s="281"/>
      <c r="X24" s="281"/>
    </row>
    <row r="25">
      <c r="A25" s="137" t="s">
        <v>991</v>
      </c>
      <c r="B25" s="296" t="s">
        <v>1075</v>
      </c>
      <c r="C25" s="297" t="s">
        <v>673</v>
      </c>
      <c r="D25" s="289">
        <f>ROUND((F25*'Pawn Weights'!$H$40)+(G25*'Pawn Weights'!$H$41)+(H25*'Pawn Weights'!$H$42)+(I25*'Pawn Weights'!$H$43)+(J25*'Pawn Weights'!$H$44)+(K25*'Pawn Weights'!$H$45)+(L25*'Pawn Weights'!$H$46)+(M25*'Pawn Weights'!$H$47)+(N25*'Pawn Weights'!$H$48)+(O25*'Pawn Weights'!$H$49)+(P25*'Pawn Weights'!$H$50)+(Q25*'Pawn Weights'!$H$51), 2)</f>
        <v>113.12</v>
      </c>
      <c r="E25" s="298">
        <v>35.0</v>
      </c>
      <c r="F25" s="297"/>
      <c r="G25" s="297"/>
      <c r="H25" s="298">
        <v>50.0</v>
      </c>
      <c r="I25" s="298">
        <v>22.0</v>
      </c>
      <c r="J25" s="297"/>
      <c r="K25" s="297"/>
      <c r="L25" s="297"/>
      <c r="M25" s="297"/>
      <c r="N25" s="297"/>
      <c r="O25" s="297"/>
      <c r="P25" s="298">
        <v>1.0</v>
      </c>
      <c r="Q25" s="297"/>
      <c r="R25" s="316" t="s">
        <v>674</v>
      </c>
      <c r="S25" s="137"/>
      <c r="T25" s="359" t="s">
        <v>675</v>
      </c>
      <c r="U25" s="137"/>
      <c r="V25" s="137"/>
      <c r="W25" s="137"/>
      <c r="X25" s="137"/>
      <c r="Y25" s="137"/>
      <c r="Z25" s="137"/>
    </row>
    <row r="26">
      <c r="A26" s="281"/>
      <c r="B26" s="311" t="s">
        <v>1436</v>
      </c>
      <c r="C26" s="280" t="s">
        <v>1437</v>
      </c>
      <c r="D26" s="289">
        <f>ROUND((F26*'Pawn Weights'!$H$40)+(G26*'Pawn Weights'!$H$41)+(H26*'Pawn Weights'!$H$42)+(I26*'Pawn Weights'!$H$43)+(J26*'Pawn Weights'!$H$44)+(K26*'Pawn Weights'!$H$45)+(L26*'Pawn Weights'!$H$46)+(M26*'Pawn Weights'!$H$47)+(N26*'Pawn Weights'!$H$48)+(O26*'Pawn Weights'!$H$49)+(P26*'Pawn Weights'!$H$50)+(Q26*'Pawn Weights'!$H$51), 2)</f>
        <v>109.71</v>
      </c>
      <c r="E26" s="280">
        <v>18.0</v>
      </c>
      <c r="F26" s="280"/>
      <c r="G26" s="280">
        <v>19.0</v>
      </c>
      <c r="H26" s="280">
        <v>36.0</v>
      </c>
      <c r="I26" s="280"/>
      <c r="J26" s="280">
        <v>13.0</v>
      </c>
      <c r="K26" s="280"/>
      <c r="L26" s="280"/>
      <c r="M26" s="280"/>
      <c r="N26" s="280"/>
      <c r="O26" s="280"/>
      <c r="P26" s="280"/>
      <c r="Q26" s="280"/>
      <c r="R26" s="290"/>
      <c r="S26" s="281"/>
      <c r="T26" s="380"/>
      <c r="U26" s="281"/>
      <c r="V26" s="281"/>
      <c r="W26" s="281"/>
      <c r="X26" s="281"/>
    </row>
    <row r="27">
      <c r="A27" s="281"/>
      <c r="B27" s="288" t="s">
        <v>690</v>
      </c>
      <c r="C27" s="280" t="s">
        <v>691</v>
      </c>
      <c r="D27" s="289">
        <f>ROUND((F27*'Pawn Weights'!$H$40)+(G27*'Pawn Weights'!$H$41)+(H27*'Pawn Weights'!$H$42)+(I27*'Pawn Weights'!$H$43)+(J27*'Pawn Weights'!$H$44)+(K27*'Pawn Weights'!$H$45)+(L27*'Pawn Weights'!$H$46)+(M27*'Pawn Weights'!$H$47)+(N27*'Pawn Weights'!$H$48)+(O27*'Pawn Weights'!$H$49)+(P27*'Pawn Weights'!$H$50)+(Q27*'Pawn Weights'!$H$51), 2)</f>
        <v>109.54</v>
      </c>
      <c r="E27" s="280"/>
      <c r="F27" s="280"/>
      <c r="G27" s="280"/>
      <c r="H27" s="280"/>
      <c r="I27" s="280"/>
      <c r="J27" s="280">
        <v>22.0</v>
      </c>
      <c r="K27" s="280"/>
      <c r="L27" s="280">
        <v>21.0</v>
      </c>
      <c r="M27" s="281"/>
      <c r="N27" s="280"/>
      <c r="O27" s="280"/>
      <c r="P27" s="280"/>
      <c r="Q27" s="280"/>
      <c r="R27" s="290"/>
      <c r="S27" s="281"/>
      <c r="T27" s="294"/>
      <c r="U27" s="281"/>
      <c r="X27" s="281"/>
    </row>
    <row r="28">
      <c r="A28" s="281"/>
      <c r="B28" s="288" t="s">
        <v>1438</v>
      </c>
      <c r="C28" s="280" t="s">
        <v>1198</v>
      </c>
      <c r="D28" s="289">
        <f>ROUND((F28*'Pawn Weights'!$H$40)+(G28*'Pawn Weights'!$H$41)+(H28*'Pawn Weights'!$H$42)+(I28*'Pawn Weights'!$H$43)+(J28*'Pawn Weights'!$H$44)+(K28*'Pawn Weights'!$H$45)+(L28*'Pawn Weights'!$H$46)+(M28*'Pawn Weights'!$H$47)+(N28*'Pawn Weights'!$H$48)+(O28*'Pawn Weights'!$H$49)+(P28*'Pawn Weights'!$H$50)+(Q28*'Pawn Weights'!$H$51), 2)</f>
        <v>107.25</v>
      </c>
      <c r="E28" s="280">
        <v>37.0</v>
      </c>
      <c r="F28" s="280"/>
      <c r="G28" s="280"/>
      <c r="H28" s="280">
        <v>50.0</v>
      </c>
      <c r="I28" s="280"/>
      <c r="J28" s="280"/>
      <c r="K28" s="280">
        <v>25.0</v>
      </c>
      <c r="L28" s="280"/>
      <c r="M28" s="281"/>
      <c r="N28" s="280"/>
      <c r="O28" s="280"/>
      <c r="P28" s="280"/>
      <c r="Q28" s="280"/>
      <c r="R28" s="290"/>
      <c r="S28" s="281"/>
      <c r="T28" s="310"/>
      <c r="U28" s="281"/>
      <c r="V28" s="281"/>
      <c r="W28" s="281"/>
      <c r="X28" s="281"/>
    </row>
    <row r="29">
      <c r="A29" s="281"/>
      <c r="B29" s="288" t="s">
        <v>682</v>
      </c>
      <c r="C29" s="280" t="s">
        <v>683</v>
      </c>
      <c r="D29" s="289">
        <f>ROUND((F29*'Pawn Weights'!$H$40)+(G29*'Pawn Weights'!$H$41)+(H29*'Pawn Weights'!$H$42)+(I29*'Pawn Weights'!$H$43)+(J29*'Pawn Weights'!$H$44)+(K29*'Pawn Weights'!$H$45)+(L29*'Pawn Weights'!$H$46)+(M29*'Pawn Weights'!$H$47)+(N29*'Pawn Weights'!$H$48)+(O29*'Pawn Weights'!$H$49)+(P29*'Pawn Weights'!$H$50)+(Q29*'Pawn Weights'!$H$51), 2)</f>
        <v>104.48</v>
      </c>
      <c r="E29" s="280">
        <v>24.0</v>
      </c>
      <c r="F29" s="280"/>
      <c r="G29" s="280"/>
      <c r="H29" s="280">
        <v>64.0</v>
      </c>
      <c r="I29" s="280">
        <v>23.0</v>
      </c>
      <c r="J29" s="280"/>
      <c r="K29" s="280"/>
      <c r="L29" s="280"/>
      <c r="M29" s="281"/>
      <c r="N29" s="280"/>
      <c r="O29" s="280"/>
      <c r="P29" s="280"/>
      <c r="Q29" s="280"/>
      <c r="R29" s="290"/>
      <c r="S29" s="281"/>
      <c r="T29" s="310"/>
      <c r="U29" s="281"/>
      <c r="V29" s="281"/>
      <c r="W29" s="281"/>
      <c r="X29" s="281"/>
    </row>
    <row r="30">
      <c r="A30" s="137" t="s">
        <v>676</v>
      </c>
      <c r="B30" s="296" t="s">
        <v>688</v>
      </c>
      <c r="C30" s="297" t="s">
        <v>678</v>
      </c>
      <c r="D30" s="289">
        <f>ROUND((F30*'Pawn Weights'!$H$40)+(G30*'Pawn Weights'!$H$41)+(H30*'Pawn Weights'!$H$42)+(I30*'Pawn Weights'!$H$43)+(J30*'Pawn Weights'!$H$44)+(K30*'Pawn Weights'!$H$45)+(L30*'Pawn Weights'!$H$46)+(M30*'Pawn Weights'!$H$47)+(N30*'Pawn Weights'!$H$48)+(O30*'Pawn Weights'!$H$49)+(P30*'Pawn Weights'!$H$50)+(Q30*'Pawn Weights'!$H$51), 2)</f>
        <v>103.78</v>
      </c>
      <c r="E30" s="298">
        <v>19.0</v>
      </c>
      <c r="F30" s="297"/>
      <c r="G30" s="298">
        <v>18.0</v>
      </c>
      <c r="H30" s="298">
        <v>64.0</v>
      </c>
      <c r="I30" s="297"/>
      <c r="J30" s="297"/>
      <c r="K30" s="297"/>
      <c r="L30" s="297"/>
      <c r="M30" s="137"/>
      <c r="N30" s="297"/>
      <c r="O30" s="297"/>
      <c r="P30" s="297"/>
      <c r="Q30" s="297"/>
      <c r="R30" s="295"/>
      <c r="S30" s="137"/>
      <c r="T30" s="297" t="s">
        <v>689</v>
      </c>
      <c r="U30" s="137"/>
      <c r="V30" s="137"/>
      <c r="W30" s="137"/>
      <c r="X30" s="137"/>
      <c r="Y30" s="137"/>
      <c r="Z30" s="137"/>
    </row>
    <row r="31">
      <c r="A31" s="272" t="s">
        <v>692</v>
      </c>
      <c r="B31" s="281"/>
      <c r="C31" s="281"/>
      <c r="D31" s="360"/>
      <c r="E31" s="281"/>
      <c r="F31" s="281"/>
      <c r="G31" s="281"/>
      <c r="H31" s="281"/>
      <c r="I31" s="281"/>
      <c r="J31" s="281"/>
      <c r="K31" s="281"/>
      <c r="L31" s="281"/>
      <c r="M31" s="281"/>
      <c r="N31" s="281"/>
      <c r="O31" s="281"/>
      <c r="P31" s="281"/>
      <c r="Q31" s="281"/>
      <c r="R31" s="282"/>
      <c r="S31" s="281"/>
      <c r="T31" s="282"/>
      <c r="U31" s="281"/>
      <c r="V31" s="281"/>
      <c r="W31" s="281"/>
    </row>
    <row r="32">
      <c r="A32" s="301" t="s">
        <v>640</v>
      </c>
      <c r="B32" s="288" t="s">
        <v>1187</v>
      </c>
      <c r="C32" s="280" t="s">
        <v>701</v>
      </c>
      <c r="D32" s="289">
        <f>ROUND((F32*'Pawn Weights'!$H$40)+(G32*'Pawn Weights'!$H$41)+(H32*'Pawn Weights'!$H$42)+(I32*'Pawn Weights'!$H$43)+(J32*'Pawn Weights'!$H$44)+(K32*'Pawn Weights'!$H$45)+(L32*'Pawn Weights'!$H$46)+(M32*'Pawn Weights'!$H$47)+(N32*'Pawn Weights'!$H$48)+(O32*'Pawn Weights'!$H$49)+(P32*'Pawn Weights'!$H$50)+(Q32*'Pawn Weights'!$H$51), 2)</f>
        <v>251.44</v>
      </c>
      <c r="E32" s="280">
        <v>37.0</v>
      </c>
      <c r="F32" s="280"/>
      <c r="G32" s="280">
        <v>34.0</v>
      </c>
      <c r="H32" s="280">
        <v>68.0</v>
      </c>
      <c r="I32" s="280"/>
      <c r="J32" s="280"/>
      <c r="K32" s="280"/>
      <c r="L32" s="280"/>
      <c r="M32" s="280">
        <v>175.0</v>
      </c>
      <c r="N32" s="280"/>
      <c r="O32" s="280"/>
      <c r="P32" s="280">
        <v>1.0</v>
      </c>
      <c r="Q32" s="280">
        <v>1.0</v>
      </c>
      <c r="R32" s="290" t="s">
        <v>809</v>
      </c>
      <c r="S32" s="281"/>
      <c r="T32" s="290"/>
      <c r="U32" s="281"/>
      <c r="V32" s="281"/>
      <c r="W32" s="281"/>
    </row>
    <row r="33">
      <c r="A33" s="295" t="s">
        <v>635</v>
      </c>
      <c r="B33" s="296" t="s">
        <v>1188</v>
      </c>
      <c r="C33" s="297" t="s">
        <v>637</v>
      </c>
      <c r="D33" s="289">
        <f>ROUND((F33*'Pawn Weights'!$H$40)+(G33*'Pawn Weights'!$H$41)+(H33*'Pawn Weights'!$H$42)+(I33*'Pawn Weights'!$H$43)+(J33*'Pawn Weights'!$H$44)+(K33*'Pawn Weights'!$H$45)+(L33*'Pawn Weights'!$H$46)+(M33*'Pawn Weights'!$H$47)+(N33*'Pawn Weights'!$H$48)+(O33*'Pawn Weights'!$H$49)+(P33*'Pawn Weights'!$H$50)+(Q33*'Pawn Weights'!$H$51), 2)</f>
        <v>227.55</v>
      </c>
      <c r="E33" s="298">
        <v>55.0</v>
      </c>
      <c r="F33" s="295"/>
      <c r="G33" s="298">
        <v>39.0</v>
      </c>
      <c r="H33" s="298">
        <v>38.0</v>
      </c>
      <c r="I33" s="298">
        <v>31.0</v>
      </c>
      <c r="J33" s="295"/>
      <c r="K33" s="295"/>
      <c r="L33" s="295"/>
      <c r="M33" s="295"/>
      <c r="N33" s="295"/>
      <c r="O33" s="298">
        <v>1.0</v>
      </c>
      <c r="P33" s="298">
        <v>1.0</v>
      </c>
      <c r="Q33" s="295"/>
      <c r="R33" s="298" t="s">
        <v>1189</v>
      </c>
      <c r="S33" s="137"/>
      <c r="T33" s="298"/>
      <c r="U33" s="137"/>
      <c r="V33" s="137"/>
      <c r="W33" s="137"/>
      <c r="X33" s="137"/>
      <c r="Y33" s="137"/>
      <c r="Z33" s="137"/>
    </row>
    <row r="34">
      <c r="A34" s="315"/>
      <c r="B34" s="296" t="s">
        <v>1190</v>
      </c>
      <c r="C34" s="297" t="s">
        <v>1191</v>
      </c>
      <c r="D34" s="289">
        <f>ROUND((F34*'Pawn Weights'!$H$40)+(G34*'Pawn Weights'!$H$41)+(H34*'Pawn Weights'!$H$42)+(I34*'Pawn Weights'!$H$43)+(J34*'Pawn Weights'!$H$44)+(K34*'Pawn Weights'!$H$45)+(L34*'Pawn Weights'!$H$46)+(M34*'Pawn Weights'!$H$47)+(N34*'Pawn Weights'!$H$48)+(O34*'Pawn Weights'!$H$49)+(P34*'Pawn Weights'!$H$50)+(Q34*'Pawn Weights'!$H$51), 2)</f>
        <v>225.11</v>
      </c>
      <c r="E34" s="298">
        <v>34.0</v>
      </c>
      <c r="F34" s="297"/>
      <c r="G34" s="298">
        <v>29.0</v>
      </c>
      <c r="H34" s="298">
        <v>74.0</v>
      </c>
      <c r="I34" s="297"/>
      <c r="J34" s="297"/>
      <c r="K34" s="298">
        <v>38.0</v>
      </c>
      <c r="L34" s="297"/>
      <c r="M34" s="137"/>
      <c r="N34" s="297"/>
      <c r="O34" s="297"/>
      <c r="P34" s="297"/>
      <c r="Q34" s="297"/>
      <c r="R34" s="295"/>
      <c r="S34" s="137"/>
      <c r="T34" s="298"/>
      <c r="U34" s="137"/>
      <c r="V34" s="137"/>
      <c r="W34" s="137"/>
      <c r="X34" s="137"/>
      <c r="Y34" s="137"/>
      <c r="Z34" s="137"/>
    </row>
    <row r="35">
      <c r="A35" s="301"/>
      <c r="B35" s="288" t="s">
        <v>709</v>
      </c>
      <c r="C35" s="280" t="s">
        <v>710</v>
      </c>
      <c r="D35" s="289">
        <f>ROUND((F35*'Pawn Weights'!$H$40)+(G35*'Pawn Weights'!$H$41)+(H35*'Pawn Weights'!$H$42)+(I35*'Pawn Weights'!$H$43)+(J35*'Pawn Weights'!$H$44)+(K35*'Pawn Weights'!$H$45)+(L35*'Pawn Weights'!$H$46)+(M35*'Pawn Weights'!$H$47)+(N35*'Pawn Weights'!$H$48)+(O35*'Pawn Weights'!$H$49)+(P35*'Pawn Weights'!$H$50)+(Q35*'Pawn Weights'!$H$51)-24.4+23.25+4.42, 2)</f>
        <v>215.36</v>
      </c>
      <c r="E35" s="280">
        <v>28.0</v>
      </c>
      <c r="F35" s="280"/>
      <c r="G35" s="280">
        <v>33.0</v>
      </c>
      <c r="H35" s="280">
        <v>60.0</v>
      </c>
      <c r="I35" s="280">
        <v>16.0</v>
      </c>
      <c r="J35" s="280"/>
      <c r="K35" s="280"/>
      <c r="L35" s="280">
        <v>10.0</v>
      </c>
      <c r="M35" s="281"/>
      <c r="N35" s="280"/>
      <c r="O35" s="280">
        <v>1.0</v>
      </c>
      <c r="P35" s="280"/>
      <c r="Q35" s="280"/>
      <c r="R35" s="290" t="s">
        <v>711</v>
      </c>
      <c r="S35" s="281"/>
      <c r="T35" s="290" t="s">
        <v>1192</v>
      </c>
      <c r="U35" s="281"/>
      <c r="V35" s="281"/>
      <c r="W35" s="281"/>
    </row>
    <row r="36">
      <c r="A36" s="295"/>
      <c r="B36" s="296" t="s">
        <v>715</v>
      </c>
      <c r="C36" s="297" t="s">
        <v>716</v>
      </c>
      <c r="D36" s="289">
        <f>ROUND((F36*'Pawn Weights'!$H$40)+(G36*'Pawn Weights'!$H$41)+(H36*'Pawn Weights'!$H$42)+(I36*'Pawn Weights'!$H$43)+(J36*'Pawn Weights'!$H$44)+(K36*'Pawn Weights'!$H$45)+(L36*'Pawn Weights'!$H$46)+(M36*'Pawn Weights'!$H$47)+(N36*'Pawn Weights'!$H$48)+(O36*'Pawn Weights'!$H$49)+(P36*'Pawn Weights'!$H$50)+(Q36*'Pawn Weights'!$H$51), 2)</f>
        <v>205.76</v>
      </c>
      <c r="E36" s="298">
        <v>34.0</v>
      </c>
      <c r="F36" s="297"/>
      <c r="G36" s="297"/>
      <c r="H36" s="298">
        <v>94.0</v>
      </c>
      <c r="I36" s="298">
        <v>33.0</v>
      </c>
      <c r="J36" s="298">
        <v>22.0</v>
      </c>
      <c r="K36" s="297"/>
      <c r="L36" s="297"/>
      <c r="M36" s="137"/>
      <c r="N36" s="297"/>
      <c r="O36" s="297"/>
      <c r="P36" s="297"/>
      <c r="Q36" s="297"/>
      <c r="R36" s="295"/>
      <c r="S36" s="137"/>
      <c r="T36" s="298"/>
      <c r="U36" s="137"/>
      <c r="V36" s="137"/>
      <c r="W36" s="137"/>
      <c r="X36" s="137"/>
      <c r="Y36" s="137"/>
      <c r="Z36" s="137"/>
    </row>
    <row r="37">
      <c r="A37" s="301" t="s">
        <v>644</v>
      </c>
      <c r="B37" s="288" t="s">
        <v>1193</v>
      </c>
      <c r="C37" s="280" t="s">
        <v>646</v>
      </c>
      <c r="D37" s="289">
        <f>ROUND((F37*'Pawn Weights'!$H$40)+(G37*'Pawn Weights'!$H$41)+(H37*'Pawn Weights'!$H$42)+(I37*'Pawn Weights'!$H$43)+(J37*'Pawn Weights'!$H$44)+(K37*'Pawn Weights'!$H$45)+(L37*'Pawn Weights'!$H$46)+(M37*'Pawn Weights'!$H$47)+(N37*'Pawn Weights'!$H$48)+(O37*'Pawn Weights'!$H$49)+(P37*'Pawn Weights'!$H$50)+(Q37*'Pawn Weights'!$H$51), 2)</f>
        <v>201.46</v>
      </c>
      <c r="E37" s="280">
        <v>49.0</v>
      </c>
      <c r="F37" s="280"/>
      <c r="G37" s="280">
        <v>34.0</v>
      </c>
      <c r="H37" s="280">
        <v>30.0</v>
      </c>
      <c r="I37" s="280">
        <v>27.0</v>
      </c>
      <c r="J37" s="280"/>
      <c r="K37" s="280"/>
      <c r="L37" s="280"/>
      <c r="M37" s="281"/>
      <c r="N37" s="280"/>
      <c r="O37" s="280">
        <v>1.0</v>
      </c>
      <c r="P37" s="280">
        <v>1.0</v>
      </c>
      <c r="R37" s="290" t="s">
        <v>1189</v>
      </c>
      <c r="S37" s="281"/>
      <c r="T37" s="290"/>
      <c r="U37" s="281"/>
      <c r="V37" s="281"/>
      <c r="W37" s="281"/>
    </row>
    <row r="38">
      <c r="A38" s="301" t="s">
        <v>647</v>
      </c>
      <c r="B38" s="288" t="s">
        <v>1194</v>
      </c>
      <c r="C38" s="280" t="s">
        <v>1195</v>
      </c>
      <c r="D38" s="289">
        <f>ROUND((F38*'Pawn Weights'!$H$40)+(G38*'Pawn Weights'!$H$41)+(H38*'Pawn Weights'!$H$42)+(I38*'Pawn Weights'!$H$43)+(J38*'Pawn Weights'!$H$44)+(K38*'Pawn Weights'!$H$45)+(L38*'Pawn Weights'!$H$46)+(M38*'Pawn Weights'!$H$47)+(N38*'Pawn Weights'!$H$48)+(O38*'Pawn Weights'!$H$49)+(P38*'Pawn Weights'!$H$50)+(Q38*'Pawn Weights'!$H$51), 2)</f>
        <v>200.82</v>
      </c>
      <c r="E38" s="280">
        <v>37.0</v>
      </c>
      <c r="F38" s="280"/>
      <c r="G38" s="280">
        <v>34.0</v>
      </c>
      <c r="H38" s="280">
        <v>54.0</v>
      </c>
      <c r="I38" s="280">
        <v>13.0</v>
      </c>
      <c r="J38" s="280"/>
      <c r="K38" s="280"/>
      <c r="L38" s="280"/>
      <c r="M38" s="281"/>
      <c r="N38" s="280"/>
      <c r="O38" s="280">
        <v>1.0</v>
      </c>
      <c r="P38" s="280"/>
      <c r="Q38" s="280">
        <v>1.0</v>
      </c>
      <c r="R38" s="290" t="s">
        <v>702</v>
      </c>
      <c r="S38" s="281"/>
      <c r="T38" s="290"/>
      <c r="U38" s="281"/>
      <c r="V38" s="281"/>
      <c r="W38" s="281"/>
      <c r="X38" s="281"/>
    </row>
    <row r="39">
      <c r="A39" s="301" t="s">
        <v>1068</v>
      </c>
      <c r="B39" s="288" t="s">
        <v>1196</v>
      </c>
      <c r="C39" s="280" t="s">
        <v>997</v>
      </c>
      <c r="D39" s="289">
        <f>ROUND((F39*'Pawn Weights'!$H$40)+(G39*'Pawn Weights'!$H$41)+(H39*'Pawn Weights'!$H$42)+(I39*'Pawn Weights'!$H$43)+(J39*'Pawn Weights'!$H$44)+(K39*'Pawn Weights'!$H$45)+(L39*'Pawn Weights'!$H$46)+(M39*'Pawn Weights'!$H$47)+(N39*'Pawn Weights'!$H$48)+(O39*'Pawn Weights'!$H$49)+(P39*'Pawn Weights'!$H$50)+(Q39*'Pawn Weights'!$H$51), 2)</f>
        <v>185.76</v>
      </c>
      <c r="E39" s="280">
        <v>45.0</v>
      </c>
      <c r="F39" s="280"/>
      <c r="G39" s="280">
        <v>32.0</v>
      </c>
      <c r="H39" s="280">
        <v>24.0</v>
      </c>
      <c r="I39" s="280">
        <v>24.0</v>
      </c>
      <c r="J39" s="280"/>
      <c r="K39" s="280"/>
      <c r="L39" s="280"/>
      <c r="M39" s="281"/>
      <c r="N39" s="280"/>
      <c r="O39" s="280">
        <v>1.0</v>
      </c>
      <c r="P39" s="280">
        <v>1.0</v>
      </c>
      <c r="Q39" s="280"/>
      <c r="R39" s="290" t="s">
        <v>1189</v>
      </c>
      <c r="S39" s="281"/>
      <c r="T39" s="290"/>
      <c r="U39" s="281"/>
      <c r="V39" s="281"/>
      <c r="W39" s="281"/>
    </row>
    <row r="40">
      <c r="A40" s="301"/>
      <c r="B40" s="288" t="s">
        <v>1197</v>
      </c>
      <c r="C40" s="280" t="s">
        <v>1198</v>
      </c>
      <c r="D40" s="289">
        <f>ROUND((F40*'Pawn Weights'!$H$40)+(G40*'Pawn Weights'!$H$41)+(H40*'Pawn Weights'!$H$42)+(I40*'Pawn Weights'!$H$43)+(J40*'Pawn Weights'!$H$44)+(K40*'Pawn Weights'!$H$45)+(L40*'Pawn Weights'!$H$46)+(M40*'Pawn Weights'!$H$47)+(N40*'Pawn Weights'!$H$48)+(O40*'Pawn Weights'!$H$49)+(P40*'Pawn Weights'!$H$50)+(Q40*'Pawn Weights'!$H$51), 2)</f>
        <v>179.97</v>
      </c>
      <c r="E40" s="280">
        <v>39.0</v>
      </c>
      <c r="F40" s="280"/>
      <c r="G40" s="280">
        <v>33.0</v>
      </c>
      <c r="H40" s="280">
        <v>68.0</v>
      </c>
      <c r="I40" s="280"/>
      <c r="J40" s="280">
        <v>16.0</v>
      </c>
      <c r="K40" s="280"/>
      <c r="L40" s="280"/>
      <c r="M40" s="281"/>
      <c r="N40" s="280"/>
      <c r="O40" s="280"/>
      <c r="P40" s="280"/>
      <c r="Q40" s="280"/>
      <c r="R40" s="290"/>
      <c r="S40" s="281"/>
      <c r="T40" s="290"/>
      <c r="U40" s="281"/>
      <c r="V40" s="281"/>
      <c r="W40" s="281"/>
    </row>
    <row r="41">
      <c r="A41" s="301"/>
      <c r="B41" s="288" t="s">
        <v>1199</v>
      </c>
      <c r="C41" s="280" t="s">
        <v>842</v>
      </c>
      <c r="D41" s="289">
        <f>ROUND((F41*'Pawn Weights'!$H$40)+(G41*'Pawn Weights'!$H$41)+(H41*'Pawn Weights'!$H$42)+(I41*'Pawn Weights'!$H$43)+(J41*'Pawn Weights'!$H$44)+(K41*'Pawn Weights'!$H$45)+(L41*'Pawn Weights'!$H$46)+(M41*'Pawn Weights'!$H$47)+(N41*'Pawn Weights'!$H$48)+(O41*'Pawn Weights'!$H$49)+(P41*'Pawn Weights'!$H$50)+(Q41*'Pawn Weights'!$H$51), 2)</f>
        <v>178.36</v>
      </c>
      <c r="E41" s="280">
        <v>55.0</v>
      </c>
      <c r="F41" s="280"/>
      <c r="G41" s="280">
        <v>28.0</v>
      </c>
      <c r="H41" s="280">
        <v>76.0</v>
      </c>
      <c r="I41" s="280">
        <v>23.0</v>
      </c>
      <c r="J41" s="280"/>
      <c r="K41" s="280"/>
      <c r="L41" s="280"/>
      <c r="M41" s="281"/>
      <c r="N41" s="280"/>
      <c r="O41" s="280"/>
      <c r="P41" s="280"/>
      <c r="Q41" s="280"/>
      <c r="R41" s="290"/>
      <c r="S41" s="281"/>
      <c r="T41" s="290"/>
      <c r="U41" s="281"/>
      <c r="V41" s="281"/>
      <c r="W41" s="281"/>
    </row>
    <row r="42">
      <c r="A42" s="301" t="s">
        <v>1439</v>
      </c>
      <c r="B42" s="311" t="s">
        <v>1440</v>
      </c>
      <c r="C42" s="280" t="s">
        <v>1441</v>
      </c>
      <c r="D42" s="289">
        <f>ROUND((F42*'Pawn Weights'!$H$40)+(G42*'Pawn Weights'!$H$41)+(H42*'Pawn Weights'!$H$42)+(I42*'Pawn Weights'!$H$43)+(J42*'Pawn Weights'!$H$44)+(K42*'Pawn Weights'!$H$45)+(L42*'Pawn Weights'!$H$46)+(M42*'Pawn Weights'!$H$47)+(N42*'Pawn Weights'!$H$48)+(O42*'Pawn Weights'!$H$49)+(P42*'Pawn Weights'!$H$50)+(Q42*'Pawn Weights'!$H$51), 2)</f>
        <v>177.09</v>
      </c>
      <c r="E42" s="280">
        <v>13.0</v>
      </c>
      <c r="F42" s="280"/>
      <c r="G42" s="280">
        <v>25.0</v>
      </c>
      <c r="H42" s="280">
        <v>34.0</v>
      </c>
      <c r="I42" s="280"/>
      <c r="J42" s="280">
        <v>16.0</v>
      </c>
      <c r="K42" s="280"/>
      <c r="L42" s="280"/>
      <c r="M42" s="281"/>
      <c r="N42" s="280"/>
      <c r="O42" s="280">
        <v>1.0</v>
      </c>
      <c r="P42" s="280"/>
      <c r="Q42" s="280">
        <v>1.0</v>
      </c>
      <c r="R42" s="290" t="s">
        <v>702</v>
      </c>
      <c r="S42" s="281"/>
      <c r="T42" s="290" t="s">
        <v>1442</v>
      </c>
      <c r="U42" s="281"/>
      <c r="V42" s="281"/>
      <c r="W42" s="281"/>
    </row>
    <row r="43" ht="7.5" customHeight="1">
      <c r="A43" s="301" t="s">
        <v>654</v>
      </c>
      <c r="B43" s="288" t="s">
        <v>1443</v>
      </c>
      <c r="C43" s="280" t="s">
        <v>790</v>
      </c>
      <c r="D43" s="289">
        <f>ROUND((F43*'Pawn Weights'!$H$40)+(G43*'Pawn Weights'!$H$41)+(H43*'Pawn Weights'!$H$42)+(I43*'Pawn Weights'!$H$43)+(J43*'Pawn Weights'!$H$44)+(K43*'Pawn Weights'!$H$45)+(L43*'Pawn Weights'!$H$46)+(M43*'Pawn Weights'!$H$47)+(N43*'Pawn Weights'!$H$48)+(O43*'Pawn Weights'!$H$49)+(P43*'Pawn Weights'!$H$50)+(Q43*'Pawn Weights'!$H$51), 2)</f>
        <v>176.72</v>
      </c>
      <c r="E43" s="280">
        <v>38.0</v>
      </c>
      <c r="F43" s="280"/>
      <c r="G43" s="280">
        <v>20.0</v>
      </c>
      <c r="H43" s="280">
        <v>52.0</v>
      </c>
      <c r="I43" s="280"/>
      <c r="J43" s="280">
        <v>13.0</v>
      </c>
      <c r="K43" s="280"/>
      <c r="L43" s="280"/>
      <c r="M43" s="281"/>
      <c r="N43" s="280"/>
      <c r="O43" s="280">
        <v>2.0</v>
      </c>
      <c r="P43" s="280"/>
      <c r="Q43" s="280"/>
      <c r="R43" s="290" t="s">
        <v>812</v>
      </c>
      <c r="S43" s="281"/>
      <c r="T43" s="290"/>
      <c r="U43" s="281"/>
      <c r="V43" s="281"/>
      <c r="W43" s="281"/>
    </row>
    <row r="44">
      <c r="A44" s="272" t="s">
        <v>724</v>
      </c>
      <c r="B44" s="281"/>
      <c r="C44" s="281"/>
      <c r="D44" s="360"/>
      <c r="E44" s="281"/>
      <c r="F44" s="281"/>
      <c r="G44" s="281"/>
      <c r="H44" s="281"/>
      <c r="I44" s="281"/>
      <c r="J44" s="281"/>
      <c r="K44" s="281"/>
      <c r="L44" s="281"/>
      <c r="M44" s="281"/>
      <c r="N44" s="281"/>
      <c r="O44" s="281"/>
      <c r="P44" s="281"/>
      <c r="Q44" s="280"/>
      <c r="R44" s="282"/>
      <c r="S44" s="281"/>
      <c r="T44" s="282"/>
      <c r="U44" s="281"/>
      <c r="V44" s="281"/>
      <c r="W44" s="281"/>
    </row>
    <row r="45">
      <c r="A45" s="137"/>
      <c r="B45" s="296" t="s">
        <v>726</v>
      </c>
      <c r="C45" s="297" t="s">
        <v>727</v>
      </c>
      <c r="D45" s="289">
        <f>ROUND((F45*'Pawn Weights'!$H$40)+(G45*'Pawn Weights'!$H$41)+(H45*'Pawn Weights'!$H$42)+(I45*'Pawn Weights'!$H$43)+(J45*'Pawn Weights'!$H$44)+(K45*'Pawn Weights'!$H$45)+(L45*'Pawn Weights'!$H$46)+(M45*'Pawn Weights'!$H$47)+(N45*'Pawn Weights'!$H$48)+(O45*'Pawn Weights'!$H$49)+(P45*'Pawn Weights'!$H$50)+(Q45*'Pawn Weights'!$H$51), 2)</f>
        <v>155.72</v>
      </c>
      <c r="E45" s="298">
        <v>24.0</v>
      </c>
      <c r="F45" s="297"/>
      <c r="G45" s="297"/>
      <c r="H45" s="298">
        <v>72.0</v>
      </c>
      <c r="I45" s="298">
        <v>24.0</v>
      </c>
      <c r="J45" s="298">
        <v>17.0</v>
      </c>
      <c r="K45" s="297"/>
      <c r="L45" s="297"/>
      <c r="M45" s="361"/>
      <c r="N45" s="297"/>
      <c r="O45" s="297"/>
      <c r="P45" s="297"/>
      <c r="Q45" s="297"/>
      <c r="R45" s="295"/>
      <c r="S45" s="137"/>
      <c r="T45" s="359"/>
      <c r="U45" s="137"/>
      <c r="V45" s="137"/>
      <c r="W45" s="137"/>
      <c r="X45" s="137"/>
      <c r="Y45" s="137"/>
      <c r="Z45" s="137"/>
    </row>
    <row r="46">
      <c r="A46" s="137"/>
      <c r="B46" s="296" t="s">
        <v>732</v>
      </c>
      <c r="C46" s="297" t="s">
        <v>733</v>
      </c>
      <c r="D46" s="289">
        <f>ROUND((F46*'Pawn Weights'!$H$40)+(G46*'Pawn Weights'!$H$41)+(H46*'Pawn Weights'!$H$42)+(I46*'Pawn Weights'!$H$43)+(J46*'Pawn Weights'!$H$44)+(K46*'Pawn Weights'!$H$45)+(L46*'Pawn Weights'!$H$46)+(M46*'Pawn Weights'!$H$47)+(N46*'Pawn Weights'!$H$48)+(O46*'Pawn Weights'!$H$49)+(P46*'Pawn Weights'!$H$50)+(Q46*'Pawn Weights'!$H$51), 2)</f>
        <v>147.45</v>
      </c>
      <c r="E46" s="298">
        <v>22.0</v>
      </c>
      <c r="F46" s="295"/>
      <c r="G46" s="298">
        <v>20.0</v>
      </c>
      <c r="H46" s="298">
        <v>46.0</v>
      </c>
      <c r="I46" s="295"/>
      <c r="J46" s="295"/>
      <c r="K46" s="298">
        <v>25.0</v>
      </c>
      <c r="L46" s="295"/>
      <c r="M46" s="295"/>
      <c r="N46" s="295"/>
      <c r="O46" s="295"/>
      <c r="P46" s="295"/>
      <c r="Q46" s="295"/>
      <c r="R46" s="295"/>
      <c r="S46" s="137"/>
      <c r="T46" s="359"/>
      <c r="U46" s="137"/>
      <c r="V46" s="137"/>
      <c r="W46" s="137"/>
      <c r="X46" s="137"/>
      <c r="Y46" s="137"/>
      <c r="Z46" s="137"/>
    </row>
    <row r="47" ht="1.5" customHeight="1">
      <c r="A47" s="281"/>
      <c r="B47" s="302" t="s">
        <v>740</v>
      </c>
      <c r="C47" s="280" t="s">
        <v>741</v>
      </c>
      <c r="D47" s="289">
        <f>ROUND((F47*'Pawn Weights'!$H$40)+(G47*'Pawn Weights'!$H$41)+(H47*'Pawn Weights'!$H$42)+(I47*'Pawn Weights'!$H$43)+(J47*'Pawn Weights'!$H$44)+(K47*'Pawn Weights'!$H$45)+(L47*'Pawn Weights'!$H$46)+(M47*'Pawn Weights'!$H$47)+(N47*'Pawn Weights'!$H$48)+(O47*'Pawn Weights'!$H$49)+(P47*'Pawn Weights'!$H$50)+(Q47*'Pawn Weights'!$H$51), 2)</f>
        <v>129.88</v>
      </c>
      <c r="E47" s="280">
        <v>28.0</v>
      </c>
      <c r="F47" s="280"/>
      <c r="G47" s="280">
        <v>28.0</v>
      </c>
      <c r="H47" s="280">
        <v>68.0</v>
      </c>
      <c r="I47" s="280"/>
      <c r="J47" s="280"/>
      <c r="K47" s="280"/>
      <c r="L47" s="280"/>
      <c r="M47" s="280"/>
      <c r="N47" s="280"/>
      <c r="O47" s="280"/>
      <c r="P47" s="280"/>
      <c r="Q47" s="280"/>
      <c r="R47" s="290"/>
      <c r="S47" s="281"/>
      <c r="T47" s="380"/>
      <c r="U47" s="281"/>
      <c r="V47" s="281"/>
      <c r="W47" s="281"/>
      <c r="X47" s="281"/>
    </row>
    <row r="48">
      <c r="A48" s="281"/>
      <c r="B48" s="302" t="s">
        <v>1200</v>
      </c>
      <c r="C48" s="280" t="s">
        <v>1201</v>
      </c>
      <c r="D48" s="289">
        <f>ROUND((F48*'Pawn Weights'!$H$40)+(G48*'Pawn Weights'!$H$41)+(H48*'Pawn Weights'!$H$42)+(I48*'Pawn Weights'!$H$43)+(J48*'Pawn Weights'!$H$44)+(K48*'Pawn Weights'!$H$45)+(L48*'Pawn Weights'!$H$46)+(M48*'Pawn Weights'!$H$47)+(N48*'Pawn Weights'!$H$48)+(O48*'Pawn Weights'!$H$49)+(P48*'Pawn Weights'!$H$50)+(Q48*'Pawn Weights'!$H$51), 2)</f>
        <v>128.52</v>
      </c>
      <c r="E48" s="280">
        <v>21.0</v>
      </c>
      <c r="F48" s="280"/>
      <c r="G48" s="280">
        <v>24.0</v>
      </c>
      <c r="H48" s="280">
        <v>34.0</v>
      </c>
      <c r="I48" s="280"/>
      <c r="J48" s="280">
        <v>17.0</v>
      </c>
      <c r="K48" s="280"/>
      <c r="L48" s="280"/>
      <c r="M48" s="280"/>
      <c r="N48" s="280"/>
      <c r="O48" s="280"/>
      <c r="P48" s="280"/>
      <c r="Q48" s="280"/>
      <c r="R48" s="290"/>
      <c r="S48" s="281"/>
      <c r="T48" s="380"/>
      <c r="U48" s="281"/>
      <c r="V48" s="281"/>
      <c r="W48" s="281"/>
      <c r="X48" s="281"/>
    </row>
    <row r="49">
      <c r="A49" s="292" t="s">
        <v>627</v>
      </c>
      <c r="B49" s="288" t="s">
        <v>729</v>
      </c>
      <c r="C49" s="280" t="s">
        <v>730</v>
      </c>
      <c r="D49" s="289">
        <f>ROUND((F49*'Pawn Weights'!$H$40)+(G49*'Pawn Weights'!$H$41)+(H49*'Pawn Weights'!$H$42)+(I49*'Pawn Weights'!$H$43)+(J49*'Pawn Weights'!$H$44)+(K49*'Pawn Weights'!$H$45)+(L49*'Pawn Weights'!$H$46)+(M49*'Pawn Weights'!$H$47)+(N49*'Pawn Weights'!$H$48)+(O49*'Pawn Weights'!$H$49)+(P49*'Pawn Weights'!$H$50)+(Q49*'Pawn Weights'!$H$51)-24.4+23.25+4.88, 2)</f>
        <v>120.61</v>
      </c>
      <c r="E49" s="280"/>
      <c r="F49" s="280"/>
      <c r="G49" s="280"/>
      <c r="H49" s="280">
        <v>52.0</v>
      </c>
      <c r="I49" s="280">
        <v>23.0</v>
      </c>
      <c r="J49" s="280"/>
      <c r="K49" s="280"/>
      <c r="L49" s="280"/>
      <c r="M49" s="281"/>
      <c r="N49" s="280"/>
      <c r="O49" s="280">
        <v>1.0</v>
      </c>
      <c r="P49" s="280"/>
      <c r="Q49" s="280"/>
      <c r="R49" s="290" t="s">
        <v>731</v>
      </c>
      <c r="S49" s="281"/>
      <c r="T49" s="380"/>
      <c r="U49" s="281"/>
      <c r="V49" s="281"/>
      <c r="W49" s="281"/>
      <c r="X49" s="281"/>
    </row>
    <row r="50">
      <c r="A50" s="137"/>
      <c r="B50" s="296" t="s">
        <v>728</v>
      </c>
      <c r="C50" s="318" t="s">
        <v>718</v>
      </c>
      <c r="D50" s="289">
        <f>ROUND((F50*'Pawn Weights'!$H$40)+(G50*'Pawn Weights'!$H$41)+(H50*'Pawn Weights'!$H$42)+(I50*'Pawn Weights'!$H$43)+(J50*'Pawn Weights'!$H$44)+(K50*'Pawn Weights'!$H$45)+(L50*'Pawn Weights'!$H$46)+(M50*'Pawn Weights'!$H$47)+(N50*'Pawn Weights'!$H$48)+(O50*'Pawn Weights'!$H$49)+(P50*'Pawn Weights'!$H$50)+(Q50*'Pawn Weights'!$H$51), 2)</f>
        <v>119.28</v>
      </c>
      <c r="E50" s="298">
        <v>34.0</v>
      </c>
      <c r="F50" s="297"/>
      <c r="G50" s="297"/>
      <c r="H50" s="298">
        <v>46.0</v>
      </c>
      <c r="I50" s="298">
        <v>20.0</v>
      </c>
      <c r="J50" s="297"/>
      <c r="K50" s="297"/>
      <c r="L50" s="297"/>
      <c r="M50" s="359">
        <v>112.0</v>
      </c>
      <c r="N50" s="297"/>
      <c r="O50" s="297"/>
      <c r="P50" s="297"/>
      <c r="Q50" s="297"/>
      <c r="R50" s="295"/>
      <c r="S50" s="137"/>
      <c r="T50" s="359" t="s">
        <v>704</v>
      </c>
      <c r="U50" s="137"/>
      <c r="V50" s="137"/>
      <c r="W50" s="137"/>
      <c r="X50" s="137"/>
      <c r="Y50" s="137"/>
      <c r="Z50" s="137"/>
    </row>
    <row r="51">
      <c r="A51" s="281"/>
      <c r="B51" s="302" t="s">
        <v>738</v>
      </c>
      <c r="C51" s="280" t="s">
        <v>739</v>
      </c>
      <c r="D51" s="289">
        <f>ROUND((F51*'Pawn Weights'!$H$40)+(G51*'Pawn Weights'!$H$41)+(H51*'Pawn Weights'!$H$42)+(I51*'Pawn Weights'!$H$43)+(J51*'Pawn Weights'!$H$44)+(K51*'Pawn Weights'!$H$45)+(L51*'Pawn Weights'!$H$46)+(M51*'Pawn Weights'!$H$47)+(N51*'Pawn Weights'!$H$48)+(O51*'Pawn Weights'!$H$49)+(P51*'Pawn Weights'!$H$50)+(Q51*'Pawn Weights'!$H$51), 2)</f>
        <v>112.8</v>
      </c>
      <c r="E51" s="280"/>
      <c r="F51" s="280"/>
      <c r="G51" s="280"/>
      <c r="H51" s="280">
        <v>60.0</v>
      </c>
      <c r="I51" s="280">
        <v>30.0</v>
      </c>
      <c r="J51" s="280"/>
      <c r="K51" s="280"/>
      <c r="L51" s="280"/>
      <c r="M51" s="280"/>
      <c r="N51" s="280"/>
      <c r="O51" s="280"/>
      <c r="P51" s="280"/>
      <c r="Q51" s="280"/>
      <c r="R51" s="290"/>
      <c r="S51" s="281"/>
      <c r="T51" s="380"/>
      <c r="U51" s="281"/>
      <c r="V51" s="281"/>
      <c r="W51" s="281"/>
      <c r="X51" s="281"/>
    </row>
    <row r="52">
      <c r="A52" s="272" t="s">
        <v>742</v>
      </c>
      <c r="B52" s="281"/>
      <c r="C52" s="281"/>
      <c r="D52" s="360"/>
      <c r="E52" s="281"/>
      <c r="F52" s="281"/>
      <c r="G52" s="281"/>
      <c r="H52" s="281"/>
      <c r="I52" s="281"/>
      <c r="J52" s="281"/>
      <c r="K52" s="281"/>
      <c r="L52" s="281"/>
      <c r="M52" s="281"/>
      <c r="N52" s="281"/>
      <c r="O52" s="281"/>
      <c r="P52" s="281"/>
      <c r="Q52" s="281"/>
      <c r="R52" s="282"/>
      <c r="S52" s="281"/>
      <c r="T52" s="380"/>
      <c r="U52" s="281"/>
      <c r="V52" s="281"/>
      <c r="W52" s="281"/>
    </row>
    <row r="53">
      <c r="A53" s="137"/>
      <c r="B53" s="381" t="s">
        <v>749</v>
      </c>
      <c r="C53" s="361" t="s">
        <v>750</v>
      </c>
      <c r="D53" s="289">
        <f>ROUND((F53*'Pawn Weights'!$H$40)+(G53*'Pawn Weights'!$H$41)+(H53*'Pawn Weights'!$H$42)+(I53*'Pawn Weights'!$H$43)+(J53*'Pawn Weights'!$H$44)+(K53*'Pawn Weights'!$H$45)+(L53*'Pawn Weights'!$H$46)+(M53*'Pawn Weights'!$H$47)+(N53*'Pawn Weights'!$H$48)+(O53*'Pawn Weights'!$H$49)+(P53*'Pawn Weights'!$H$50)+(Q53*'Pawn Weights'!$H$51)-48.8+46.5+8, 2)</f>
        <v>451.94</v>
      </c>
      <c r="E53" s="359">
        <v>45.0</v>
      </c>
      <c r="F53" s="361"/>
      <c r="G53" s="359">
        <v>42.0</v>
      </c>
      <c r="H53" s="359">
        <v>120.0</v>
      </c>
      <c r="I53" s="361"/>
      <c r="J53" s="359">
        <v>30.0</v>
      </c>
      <c r="K53" s="359">
        <v>38.0</v>
      </c>
      <c r="L53" s="361"/>
      <c r="M53" s="137"/>
      <c r="N53" s="361"/>
      <c r="O53" s="359">
        <v>2.0</v>
      </c>
      <c r="P53" s="359">
        <v>1.0</v>
      </c>
      <c r="Q53" s="361"/>
      <c r="R53" s="359" t="s">
        <v>745</v>
      </c>
      <c r="S53" s="137"/>
      <c r="T53" s="406" t="s">
        <v>748</v>
      </c>
      <c r="U53" s="137"/>
      <c r="V53" s="137"/>
      <c r="W53" s="137"/>
      <c r="X53" s="137"/>
      <c r="Y53" s="137"/>
      <c r="Z53" s="137"/>
    </row>
    <row r="54">
      <c r="A54" s="301" t="s">
        <v>640</v>
      </c>
      <c r="B54" s="305" t="s">
        <v>1202</v>
      </c>
      <c r="C54" s="307" t="s">
        <v>632</v>
      </c>
      <c r="D54" s="289">
        <f>ROUND((F54*'Pawn Weights'!$H$40)+(G54*'Pawn Weights'!$H$41)+(H54*'Pawn Weights'!$H$42)+(I54*'Pawn Weights'!$H$43)+(J54*'Pawn Weights'!$H$44)+(K54*'Pawn Weights'!$H$45)+(L54*'Pawn Weights'!$H$46)+(M54*'Pawn Weights'!$H$47)+(N54*'Pawn Weights'!$H$48)+(O54*'Pawn Weights'!$H$49)+(P54*'Pawn Weights'!$H$50)+(Q54*'Pawn Weights'!$H$51), 2)</f>
        <v>350.53</v>
      </c>
      <c r="E54" s="280">
        <v>55.0</v>
      </c>
      <c r="F54" s="280"/>
      <c r="G54" s="280">
        <v>45.0</v>
      </c>
      <c r="H54" s="280">
        <v>92.0</v>
      </c>
      <c r="I54" s="280">
        <v>28.0</v>
      </c>
      <c r="J54" s="280">
        <v>15.0</v>
      </c>
      <c r="K54" s="280"/>
      <c r="L54" s="280"/>
      <c r="M54" s="281"/>
      <c r="N54" s="280"/>
      <c r="O54" s="280"/>
      <c r="P54" s="280">
        <v>2.0</v>
      </c>
      <c r="Q54" s="280">
        <v>1.0</v>
      </c>
      <c r="R54" s="290" t="s">
        <v>745</v>
      </c>
      <c r="S54" s="281"/>
      <c r="T54" s="290"/>
      <c r="U54" s="281"/>
      <c r="V54" s="281"/>
      <c r="W54" s="281"/>
    </row>
    <row r="55">
      <c r="A55" s="295"/>
      <c r="B55" s="308" t="s">
        <v>758</v>
      </c>
      <c r="C55" s="297" t="s">
        <v>642</v>
      </c>
      <c r="D55" s="289">
        <f>ROUND((F55*'Pawn Weights'!$H$40)+(G55*'Pawn Weights'!$H$41)+(H55*'Pawn Weights'!$H$42)+(I55*'Pawn Weights'!$H$43)+(J55*'Pawn Weights'!$H$44)+(K55*'Pawn Weights'!$H$45)+(L55*'Pawn Weights'!$H$46)+(M55*'Pawn Weights'!$H$47)+(N55*'Pawn Weights'!$H$48)+(O55*'Pawn Weights'!$H$49)+(P55*'Pawn Weights'!$H$50)+(Q55*'Pawn Weights'!$H$51), 2)</f>
        <v>330.92</v>
      </c>
      <c r="E55" s="298">
        <v>64.0</v>
      </c>
      <c r="F55" s="297"/>
      <c r="G55" s="297"/>
      <c r="H55" s="298">
        <v>106.0</v>
      </c>
      <c r="I55" s="298">
        <v>46.0</v>
      </c>
      <c r="J55" s="298">
        <v>29.0</v>
      </c>
      <c r="K55" s="297"/>
      <c r="L55" s="297"/>
      <c r="M55" s="137"/>
      <c r="N55" s="297"/>
      <c r="O55" s="298">
        <v>1.0</v>
      </c>
      <c r="P55" s="298">
        <v>1.0</v>
      </c>
      <c r="Q55" s="298">
        <v>1.0</v>
      </c>
      <c r="R55" s="298" t="s">
        <v>745</v>
      </c>
      <c r="S55" s="137"/>
      <c r="T55" s="298"/>
      <c r="U55" s="137"/>
      <c r="V55" s="137"/>
      <c r="W55" s="137"/>
      <c r="X55" s="137"/>
      <c r="Y55" s="137"/>
      <c r="Z55" s="137"/>
    </row>
    <row r="56">
      <c r="A56" s="295" t="s">
        <v>635</v>
      </c>
      <c r="B56" s="308" t="s">
        <v>1203</v>
      </c>
      <c r="C56" s="297" t="s">
        <v>637</v>
      </c>
      <c r="D56" s="289">
        <f>ROUND((F56*'Pawn Weights'!$H$40)+(G56*'Pawn Weights'!$H$41)+(H56*'Pawn Weights'!$H$42)+(I56*'Pawn Weights'!$H$43)+(J56*'Pawn Weights'!$H$44)+(K56*'Pawn Weights'!$H$45)+(L56*'Pawn Weights'!$H$46)+(M56*'Pawn Weights'!$H$47)+(N56*'Pawn Weights'!$H$48)+(O56*'Pawn Weights'!$H$49)+(P56*'Pawn Weights'!$H$50)+(Q56*'Pawn Weights'!$H$51)-48.8+46.5+7.04, 2)</f>
        <v>324.26</v>
      </c>
      <c r="E56" s="298">
        <v>71.0</v>
      </c>
      <c r="F56" s="295"/>
      <c r="G56" s="298">
        <v>36.0</v>
      </c>
      <c r="H56" s="298">
        <v>58.0</v>
      </c>
      <c r="I56" s="298">
        <v>22.0</v>
      </c>
      <c r="J56" s="298">
        <v>17.0</v>
      </c>
      <c r="K56" s="295"/>
      <c r="L56" s="295"/>
      <c r="M56" s="359">
        <v>84.0</v>
      </c>
      <c r="N56" s="295"/>
      <c r="O56" s="298">
        <v>2.0</v>
      </c>
      <c r="P56" s="298">
        <v>1.0</v>
      </c>
      <c r="Q56" s="295"/>
      <c r="R56" s="298" t="s">
        <v>624</v>
      </c>
      <c r="S56" s="137"/>
      <c r="T56" s="295"/>
      <c r="U56" s="137"/>
      <c r="V56" s="137"/>
      <c r="W56" s="137"/>
      <c r="X56" s="137"/>
      <c r="Y56" s="137"/>
      <c r="Z56" s="137"/>
    </row>
    <row r="57" ht="15.0" customHeight="1">
      <c r="A57" s="295"/>
      <c r="B57" s="308" t="s">
        <v>767</v>
      </c>
      <c r="C57" s="297" t="s">
        <v>665</v>
      </c>
      <c r="D57" s="289">
        <f>ROUND((F57*'Pawn Weights'!$H$40)+(G57*'Pawn Weights'!$H$41)+(H57*'Pawn Weights'!$H$42)+(I57*'Pawn Weights'!$H$43)+(J57*'Pawn Weights'!$H$44)+(K57*'Pawn Weights'!$H$45)+(L57*'Pawn Weights'!$H$46)+(M57*'Pawn Weights'!$H$47)+(N57*'Pawn Weights'!$H$48)+(O57*'Pawn Weights'!$H$49)+(P57*'Pawn Weights'!$H$50)+(Q57*'Pawn Weights'!$H$51), 2)</f>
        <v>324.16</v>
      </c>
      <c r="E57" s="298">
        <v>52.0</v>
      </c>
      <c r="F57" s="297"/>
      <c r="G57" s="298">
        <v>36.0</v>
      </c>
      <c r="H57" s="298">
        <v>86.0</v>
      </c>
      <c r="I57" s="297"/>
      <c r="J57" s="298">
        <v>35.0</v>
      </c>
      <c r="K57" s="297"/>
      <c r="L57" s="297"/>
      <c r="M57" s="137"/>
      <c r="N57" s="297"/>
      <c r="O57" s="298">
        <v>1.0</v>
      </c>
      <c r="P57" s="298">
        <v>1.0</v>
      </c>
      <c r="Q57" s="298">
        <v>1.0</v>
      </c>
      <c r="R57" s="298" t="s">
        <v>745</v>
      </c>
      <c r="S57" s="137"/>
      <c r="T57" s="298"/>
      <c r="U57" s="137"/>
      <c r="V57" s="137"/>
      <c r="W57" s="137"/>
      <c r="X57" s="137"/>
      <c r="Y57" s="137"/>
      <c r="Z57" s="137"/>
    </row>
    <row r="58" ht="15.0" customHeight="1">
      <c r="A58" s="295"/>
      <c r="B58" s="308" t="s">
        <v>777</v>
      </c>
      <c r="C58" s="297" t="s">
        <v>775</v>
      </c>
      <c r="D58" s="289">
        <f>ROUND((F58*'Pawn Weights'!$H$40)+(G58*'Pawn Weights'!$H$41)+(H58*'Pawn Weights'!$H$42)+(I58*'Pawn Weights'!$H$43)+(J58*'Pawn Weights'!$H$44)+(K58*'Pawn Weights'!$H$45)+(L58*'Pawn Weights'!$H$46)+(M58*'Pawn Weights'!$H$47)+(N58*'Pawn Weights'!$H$48)+(O58*'Pawn Weights'!$H$49)+(P58*'Pawn Weights'!$H$50)+(Q58*'Pawn Weights'!$H$51), 2)</f>
        <v>306.6</v>
      </c>
      <c r="E58" s="298">
        <v>51.0</v>
      </c>
      <c r="F58" s="297"/>
      <c r="G58" s="298">
        <v>44.0</v>
      </c>
      <c r="H58" s="298">
        <v>102.0</v>
      </c>
      <c r="I58" s="297"/>
      <c r="J58" s="298">
        <v>34.0</v>
      </c>
      <c r="K58" s="297"/>
      <c r="L58" s="297"/>
      <c r="M58" s="137"/>
      <c r="N58" s="297"/>
      <c r="O58" s="298">
        <v>1.0</v>
      </c>
      <c r="P58" s="297"/>
      <c r="Q58" s="297"/>
      <c r="R58" s="298" t="s">
        <v>674</v>
      </c>
      <c r="S58" s="137"/>
      <c r="T58" s="295"/>
      <c r="U58" s="137"/>
      <c r="V58" s="137"/>
      <c r="W58" s="137"/>
      <c r="X58" s="137"/>
      <c r="Y58" s="137"/>
      <c r="Z58" s="137"/>
    </row>
    <row r="59">
      <c r="A59" s="281"/>
      <c r="B59" s="305" t="s">
        <v>764</v>
      </c>
      <c r="C59" s="307" t="s">
        <v>765</v>
      </c>
      <c r="D59" s="289">
        <f>ROUND((F59*'Pawn Weights'!$H$40)+(G59*'Pawn Weights'!$H$41)+(H59*'Pawn Weights'!$H$42)+(I59*'Pawn Weights'!$H$43)+(J59*'Pawn Weights'!$H$44)+(K59*'Pawn Weights'!$H$45)+(L59*'Pawn Weights'!$H$46)+(M59*'Pawn Weights'!$H$47)+(N59*'Pawn Weights'!$H$48)+(O59*'Pawn Weights'!$H$49)+(P59*'Pawn Weights'!$H$50)+(Q59*'Pawn Weights'!$H$51), 2)</f>
        <v>294.44</v>
      </c>
      <c r="E59" s="280">
        <v>24.0</v>
      </c>
      <c r="F59" s="280"/>
      <c r="G59" s="280"/>
      <c r="H59" s="280">
        <v>92.0</v>
      </c>
      <c r="I59" s="280">
        <v>36.0</v>
      </c>
      <c r="J59" s="280">
        <v>27.0</v>
      </c>
      <c r="K59" s="280"/>
      <c r="L59" s="280"/>
      <c r="M59" s="281"/>
      <c r="N59" s="280"/>
      <c r="O59" s="280"/>
      <c r="P59" s="280">
        <v>2.0</v>
      </c>
      <c r="Q59" s="280">
        <v>1.0</v>
      </c>
      <c r="R59" s="298" t="s">
        <v>745</v>
      </c>
      <c r="S59" s="281"/>
      <c r="T59" s="290"/>
      <c r="U59" s="281"/>
      <c r="V59" s="281"/>
      <c r="W59" s="281"/>
    </row>
    <row r="60">
      <c r="A60" s="219" t="s">
        <v>644</v>
      </c>
      <c r="B60" s="382" t="s">
        <v>1204</v>
      </c>
      <c r="C60" s="318" t="s">
        <v>646</v>
      </c>
      <c r="D60" s="289">
        <f>ROUND((F60*'Pawn Weights'!$H$40)+(G60*'Pawn Weights'!$H$41)+(H60*'Pawn Weights'!$H$42)+(I60*'Pawn Weights'!$H$43)+(J60*'Pawn Weights'!$H$44)+(K60*'Pawn Weights'!$H$45)+(L60*'Pawn Weights'!$H$46)+(M60*'Pawn Weights'!$H$47)+(N60*'Pawn Weights'!$H$48)+(O60*'Pawn Weights'!$H$49)+(P60*'Pawn Weights'!$H$50)+(Q60*'Pawn Weights'!$H$51)-48.8+46.5+7.04, 2)</f>
        <v>282.21</v>
      </c>
      <c r="E60" s="316">
        <v>64.0</v>
      </c>
      <c r="F60" s="298"/>
      <c r="G60" s="316">
        <v>31.0</v>
      </c>
      <c r="H60" s="318">
        <v>48.0</v>
      </c>
      <c r="I60" s="318">
        <v>17.0</v>
      </c>
      <c r="J60" s="318">
        <v>12.0</v>
      </c>
      <c r="K60" s="297"/>
      <c r="L60" s="297"/>
      <c r="M60" s="316">
        <v>84.0</v>
      </c>
      <c r="N60" s="297"/>
      <c r="O60" s="318">
        <v>2.0</v>
      </c>
      <c r="P60" s="318">
        <v>1.0</v>
      </c>
      <c r="Q60" s="297"/>
      <c r="R60" s="316" t="s">
        <v>624</v>
      </c>
      <c r="S60" s="137"/>
      <c r="T60" s="298"/>
      <c r="U60" s="137"/>
      <c r="V60" s="137"/>
      <c r="W60" s="137"/>
      <c r="X60" s="137"/>
      <c r="Y60" s="137"/>
      <c r="Z60" s="137"/>
    </row>
    <row r="61" ht="14.25" customHeight="1">
      <c r="A61" s="292"/>
      <c r="B61" s="305" t="s">
        <v>776</v>
      </c>
      <c r="C61" s="280" t="s">
        <v>739</v>
      </c>
      <c r="D61" s="289">
        <f>ROUND((F61*'Pawn Weights'!$H$40)+(G61*'Pawn Weights'!$H$41)+(H61*'Pawn Weights'!$H$42)+(I61*'Pawn Weights'!$H$43)+(J61*'Pawn Weights'!$H$44)+(K61*'Pawn Weights'!$H$45)+(L61*'Pawn Weights'!$H$46)+(M61*'Pawn Weights'!$H$47)+(N61*'Pawn Weights'!$H$48)+(O61*'Pawn Weights'!$H$49)+(P61*'Pawn Weights'!$H$50)+(Q61*'Pawn Weights'!$H$51)-24.4+23.25+7.04, 2)</f>
        <v>270.33</v>
      </c>
      <c r="E61" s="280"/>
      <c r="F61" s="280"/>
      <c r="G61" s="280"/>
      <c r="H61" s="280">
        <v>96.0</v>
      </c>
      <c r="I61" s="280">
        <v>25.0</v>
      </c>
      <c r="J61" s="280">
        <v>21.0</v>
      </c>
      <c r="K61" s="280"/>
      <c r="L61" s="280"/>
      <c r="M61" s="281"/>
      <c r="N61" s="280"/>
      <c r="O61" s="280">
        <v>1.0</v>
      </c>
      <c r="P61" s="280">
        <v>2.0</v>
      </c>
      <c r="Q61" s="280"/>
      <c r="R61" s="290" t="s">
        <v>624</v>
      </c>
      <c r="S61" s="281"/>
      <c r="T61" s="290"/>
      <c r="U61" s="281"/>
      <c r="V61" s="281"/>
      <c r="W61" s="281"/>
    </row>
    <row r="62">
      <c r="A62" s="292" t="s">
        <v>647</v>
      </c>
      <c r="B62" s="305" t="s">
        <v>1205</v>
      </c>
      <c r="C62" s="280" t="s">
        <v>741</v>
      </c>
      <c r="D62" s="289">
        <f>ROUND((F62*'Pawn Weights'!$H$40)+(G62*'Pawn Weights'!$H$41)+(H62*'Pawn Weights'!$H$42)+(I62*'Pawn Weights'!$H$43)+(J62*'Pawn Weights'!$H$44)+(K62*'Pawn Weights'!$H$45)+(L62*'Pawn Weights'!$H$46)+(M62*'Pawn Weights'!$H$47)+(N62*'Pawn Weights'!$H$48)+(O62*'Pawn Weights'!$H$49)+(P62*'Pawn Weights'!$H$50)+(Q62*'Pawn Weights'!$H$51), 2)</f>
        <v>270.05</v>
      </c>
      <c r="E62" s="280">
        <v>57.0</v>
      </c>
      <c r="F62" s="280"/>
      <c r="G62" s="280">
        <v>33.0</v>
      </c>
      <c r="H62" s="280">
        <v>94.0</v>
      </c>
      <c r="I62" s="280">
        <v>17.0</v>
      </c>
      <c r="J62" s="280"/>
      <c r="K62" s="280"/>
      <c r="L62" s="280"/>
      <c r="M62" s="281"/>
      <c r="N62" s="280"/>
      <c r="O62" s="280"/>
      <c r="P62" s="280">
        <v>2.0</v>
      </c>
      <c r="Q62" s="280">
        <v>1.0</v>
      </c>
      <c r="R62" s="290" t="s">
        <v>622</v>
      </c>
      <c r="S62" s="281"/>
      <c r="T62" s="290"/>
      <c r="U62" s="281"/>
      <c r="V62" s="281"/>
      <c r="W62" s="281"/>
    </row>
    <row r="63" ht="9.0" customHeight="1">
      <c r="A63" s="295"/>
      <c r="B63" s="308" t="s">
        <v>768</v>
      </c>
      <c r="C63" s="297" t="s">
        <v>769</v>
      </c>
      <c r="D63" s="289">
        <f>ROUND((F63*'Pawn Weights'!$H$40)+(G63*'Pawn Weights'!$H$41)+(H63*'Pawn Weights'!$H$42)+(I63*'Pawn Weights'!$H$43)+(J63*'Pawn Weights'!$H$44)+(K63*'Pawn Weights'!$H$45)+(L63*'Pawn Weights'!$H$46)+(M63*'Pawn Weights'!$H$47)+(N63*'Pawn Weights'!$H$48)+(O63*'Pawn Weights'!$H$49)+(P63*'Pawn Weights'!$H$50)+(Q63*'Pawn Weights'!$H$51), 2)</f>
        <v>262.85</v>
      </c>
      <c r="E63" s="298">
        <v>46.0</v>
      </c>
      <c r="F63" s="297"/>
      <c r="G63" s="298">
        <v>45.0</v>
      </c>
      <c r="H63" s="298">
        <v>92.0</v>
      </c>
      <c r="I63" s="297"/>
      <c r="J63" s="297"/>
      <c r="K63" s="297"/>
      <c r="L63" s="297"/>
      <c r="M63" s="359">
        <v>210.0</v>
      </c>
      <c r="N63" s="297"/>
      <c r="O63" s="297"/>
      <c r="P63" s="297"/>
      <c r="Q63" s="297"/>
      <c r="R63" s="295"/>
      <c r="S63" s="137"/>
      <c r="T63" s="298"/>
      <c r="U63" s="137"/>
      <c r="V63" s="137"/>
      <c r="W63" s="137"/>
      <c r="X63" s="137"/>
      <c r="Y63" s="137"/>
      <c r="Z63" s="137"/>
    </row>
    <row r="64">
      <c r="A64" s="292" t="s">
        <v>654</v>
      </c>
      <c r="B64" s="305" t="s">
        <v>1444</v>
      </c>
      <c r="C64" s="280" t="s">
        <v>1163</v>
      </c>
      <c r="D64" s="289">
        <f>ROUND((F64*'Pawn Weights'!$H$40)+(G64*'Pawn Weights'!$H$41)+(H64*'Pawn Weights'!$H$42)+(I64*'Pawn Weights'!$H$43)+(J64*'Pawn Weights'!$H$44)+(K64*'Pawn Weights'!$H$45)+(L64*'Pawn Weights'!$H$46)+(M64*'Pawn Weights'!$H$47)+(N64*'Pawn Weights'!$H$48)+(O64*'Pawn Weights'!$H$49)+(P64*'Pawn Weights'!$H$50)+(Q64*'Pawn Weights'!$H$51), 2)</f>
        <v>251.39</v>
      </c>
      <c r="E64" s="280">
        <v>39.0</v>
      </c>
      <c r="F64" s="280"/>
      <c r="G64" s="280">
        <v>35.0</v>
      </c>
      <c r="H64" s="280">
        <v>74.0</v>
      </c>
      <c r="I64" s="280"/>
      <c r="J64" s="280">
        <v>11.0</v>
      </c>
      <c r="K64" s="280"/>
      <c r="L64" s="280"/>
      <c r="M64" s="281"/>
      <c r="N64" s="280"/>
      <c r="O64" s="280">
        <v>1.0</v>
      </c>
      <c r="P64" s="280">
        <v>1.0</v>
      </c>
      <c r="Q64" s="280">
        <v>1.0</v>
      </c>
      <c r="R64" s="290" t="s">
        <v>622</v>
      </c>
      <c r="S64" s="281"/>
      <c r="T64" s="290"/>
      <c r="U64" s="281"/>
      <c r="V64" s="281"/>
      <c r="W64" s="281"/>
    </row>
    <row r="65">
      <c r="A65" s="281"/>
      <c r="B65" s="305" t="s">
        <v>1445</v>
      </c>
      <c r="C65" s="307" t="s">
        <v>1106</v>
      </c>
      <c r="D65" s="289">
        <f>ROUND((F65*'Pawn Weights'!$H$40)+(G65*'Pawn Weights'!$H$41)+(H65*'Pawn Weights'!$H$42)+(I65*'Pawn Weights'!$H$43)+(J65*'Pawn Weights'!$H$44)+(K65*'Pawn Weights'!$H$45)+(L65*'Pawn Weights'!$H$46)+(M65*'Pawn Weights'!$H$47)+(N65*'Pawn Weights'!$H$48)+(O65*'Pawn Weights'!$H$49)+(P65*'Pawn Weights'!$H$50)+(Q65*'Pawn Weights'!$H$51), 2)</f>
        <v>225.45</v>
      </c>
      <c r="E65" s="280">
        <v>36.0</v>
      </c>
      <c r="F65" s="280"/>
      <c r="G65" s="280">
        <v>37.0</v>
      </c>
      <c r="H65" s="280">
        <v>90.0</v>
      </c>
      <c r="I65" s="280"/>
      <c r="J65" s="280">
        <v>22.0</v>
      </c>
      <c r="K65" s="280"/>
      <c r="L65" s="280"/>
      <c r="M65" s="281"/>
      <c r="N65" s="280"/>
      <c r="O65" s="280"/>
      <c r="P65" s="280"/>
      <c r="Q65" s="280"/>
      <c r="R65" s="290"/>
      <c r="S65" s="281"/>
      <c r="T65" s="290"/>
      <c r="U65" s="281"/>
      <c r="V65" s="281"/>
      <c r="W65" s="281"/>
    </row>
    <row r="66">
      <c r="A66" s="292" t="s">
        <v>1068</v>
      </c>
      <c r="B66" s="305" t="s">
        <v>1446</v>
      </c>
      <c r="C66" s="280" t="s">
        <v>997</v>
      </c>
      <c r="D66" s="289">
        <f>ROUND((F66*'Pawn Weights'!$H$40)+(G66*'Pawn Weights'!$H$41)+(H66*'Pawn Weights'!$H$42)+(I66*'Pawn Weights'!$H$43)+(J66*'Pawn Weights'!$H$44)+(K66*'Pawn Weights'!$H$45)+(L66*'Pawn Weights'!$H$46)+(M66*'Pawn Weights'!$H$47)+(N66*'Pawn Weights'!$H$48)+(O66*'Pawn Weights'!$H$49)+(P66*'Pawn Weights'!$H$50)+(Q66*'Pawn Weights'!$H$51)-48.8+46.5+7.04, 2)</f>
        <v>222.59</v>
      </c>
      <c r="E66" s="280">
        <v>57.0</v>
      </c>
      <c r="F66" s="280"/>
      <c r="G66" s="280">
        <v>37.0</v>
      </c>
      <c r="H66" s="280">
        <v>40.0</v>
      </c>
      <c r="I66" s="280">
        <v>13.0</v>
      </c>
      <c r="J66" s="280"/>
      <c r="K66" s="280"/>
      <c r="L66" s="280"/>
      <c r="M66" s="281"/>
      <c r="N66" s="280"/>
      <c r="O66" s="280">
        <v>2.0</v>
      </c>
      <c r="P66" s="280">
        <v>1.0</v>
      </c>
      <c r="Q66" s="280"/>
      <c r="R66" s="290" t="s">
        <v>624</v>
      </c>
      <c r="S66" s="281"/>
      <c r="T66" s="290"/>
      <c r="U66" s="281"/>
      <c r="V66" s="281"/>
      <c r="W66" s="281"/>
    </row>
    <row r="67">
      <c r="A67" s="301" t="s">
        <v>627</v>
      </c>
      <c r="B67" s="305" t="s">
        <v>1447</v>
      </c>
      <c r="C67" s="307" t="s">
        <v>1448</v>
      </c>
      <c r="D67" s="289">
        <f>ROUND((F67*'Pawn Weights'!$H$40)+(G67*'Pawn Weights'!$H$41)+(H67*'Pawn Weights'!$H$42)+(I67*'Pawn Weights'!$H$43)+(J67*'Pawn Weights'!$H$44)+(K67*'Pawn Weights'!$H$45)+(L67*'Pawn Weights'!$H$46)+(M67*'Pawn Weights'!$H$47)+(N67*'Pawn Weights'!$H$48)+(O67*'Pawn Weights'!$H$49)+(P67*'Pawn Weights'!$H$50)+(Q67*'Pawn Weights'!$H$51), 2)</f>
        <v>221.26</v>
      </c>
      <c r="E67" s="280">
        <v>39.0</v>
      </c>
      <c r="F67" s="280"/>
      <c r="G67" s="280">
        <v>38.0</v>
      </c>
      <c r="H67" s="280">
        <v>108.0</v>
      </c>
      <c r="I67" s="280"/>
      <c r="J67" s="280">
        <v>12.0</v>
      </c>
      <c r="K67" s="280"/>
      <c r="L67" s="280"/>
      <c r="M67" s="281"/>
      <c r="N67" s="280"/>
      <c r="O67" s="280"/>
      <c r="P67" s="280"/>
      <c r="Q67" s="280"/>
      <c r="R67" s="290"/>
      <c r="S67" s="281"/>
      <c r="T67" s="290"/>
      <c r="U67" s="281"/>
      <c r="V67" s="281"/>
      <c r="W67" s="281"/>
    </row>
    <row r="68">
      <c r="A68" s="272" t="s">
        <v>779</v>
      </c>
      <c r="B68" s="281"/>
      <c r="C68" s="281"/>
      <c r="D68" s="360"/>
      <c r="E68" s="281"/>
      <c r="F68" s="281"/>
      <c r="G68" s="281"/>
      <c r="H68" s="281"/>
      <c r="I68" s="281"/>
      <c r="J68" s="281"/>
      <c r="K68" s="281"/>
      <c r="L68" s="281"/>
      <c r="M68" s="281"/>
      <c r="N68" s="281"/>
      <c r="O68" s="281"/>
      <c r="P68" s="281"/>
      <c r="Q68" s="281"/>
      <c r="R68" s="282"/>
      <c r="S68" s="281"/>
      <c r="T68" s="282"/>
      <c r="U68" s="281"/>
      <c r="V68" s="281"/>
      <c r="W68" s="281"/>
    </row>
    <row r="69">
      <c r="A69" s="137"/>
      <c r="B69" s="296" t="s">
        <v>785</v>
      </c>
      <c r="C69" s="297" t="s">
        <v>727</v>
      </c>
      <c r="D69" s="289">
        <f>ROUND((F69*'Pawn Weights'!$H$40)+(G69*'Pawn Weights'!$H$41)+(H69*'Pawn Weights'!$H$42)+(I69*'Pawn Weights'!$H$43)+(J69*'Pawn Weights'!$H$44)+(K69*'Pawn Weights'!$H$45)+(L69*'Pawn Weights'!$H$46)+(M69*'Pawn Weights'!$H$47)+(N69*'Pawn Weights'!$H$48)+(O69*'Pawn Weights'!$H$49)+(P69*'Pawn Weights'!$H$50)+(Q69*'Pawn Weights'!$H$51)+4.42, 2)</f>
        <v>177.98</v>
      </c>
      <c r="E69" s="298">
        <v>28.0</v>
      </c>
      <c r="F69" s="297"/>
      <c r="G69" s="298">
        <v>28.0</v>
      </c>
      <c r="H69" s="298">
        <v>58.0</v>
      </c>
      <c r="I69" s="297"/>
      <c r="J69" s="298">
        <v>12.0</v>
      </c>
      <c r="K69" s="297"/>
      <c r="L69" s="297"/>
      <c r="M69" s="297"/>
      <c r="N69" s="297"/>
      <c r="O69" s="297"/>
      <c r="P69" s="298">
        <v>1.0</v>
      </c>
      <c r="Q69" s="297"/>
      <c r="R69" s="316" t="s">
        <v>711</v>
      </c>
      <c r="S69" s="137"/>
      <c r="T69" s="359"/>
      <c r="U69" s="137"/>
      <c r="V69" s="137"/>
      <c r="W69" s="137"/>
      <c r="X69" s="137"/>
      <c r="Y69" s="137"/>
      <c r="Z69" s="137"/>
    </row>
    <row r="70">
      <c r="A70" s="137"/>
      <c r="B70" s="296" t="s">
        <v>782</v>
      </c>
      <c r="C70" s="297" t="s">
        <v>706</v>
      </c>
      <c r="D70" s="289">
        <f>ROUND((F70*'Pawn Weights'!$H$40)+(G70*'Pawn Weights'!$H$41)+(H70*'Pawn Weights'!$H$42)+(I70*'Pawn Weights'!$H$43)+(J70*'Pawn Weights'!$H$44)+(K70*'Pawn Weights'!$H$45)+(L70*'Pawn Weights'!$H$46)+(M70*'Pawn Weights'!$H$47)+(N70*'Pawn Weights'!$H$48)+(O70*'Pawn Weights'!$H$49)+(P70*'Pawn Weights'!$H$50)+(Q70*'Pawn Weights'!$H$51), 2)</f>
        <v>160.96</v>
      </c>
      <c r="E70" s="298">
        <v>28.0</v>
      </c>
      <c r="F70" s="297"/>
      <c r="G70" s="297"/>
      <c r="H70" s="298">
        <v>58.0</v>
      </c>
      <c r="I70" s="298">
        <v>28.0</v>
      </c>
      <c r="J70" s="298">
        <v>12.0</v>
      </c>
      <c r="K70" s="297"/>
      <c r="L70" s="297"/>
      <c r="M70" s="297"/>
      <c r="N70" s="297"/>
      <c r="O70" s="297"/>
      <c r="P70" s="298">
        <v>1.0</v>
      </c>
      <c r="Q70" s="297"/>
      <c r="R70" s="316" t="s">
        <v>674</v>
      </c>
      <c r="S70" s="137"/>
      <c r="T70" s="359"/>
      <c r="U70" s="137"/>
      <c r="V70" s="137"/>
      <c r="W70" s="137"/>
      <c r="X70" s="137"/>
      <c r="Y70" s="137"/>
      <c r="Z70" s="137"/>
    </row>
    <row r="71">
      <c r="A71" s="137" t="s">
        <v>627</v>
      </c>
      <c r="B71" s="296" t="s">
        <v>796</v>
      </c>
      <c r="C71" s="297" t="s">
        <v>788</v>
      </c>
      <c r="D71" s="289">
        <f>ROUND((F71*'Pawn Weights'!$H$40)+(G71*'Pawn Weights'!$H$41)+(H71*'Pawn Weights'!$H$42)+(I71*'Pawn Weights'!$H$43)+(J71*'Pawn Weights'!$H$44)+(K71*'Pawn Weights'!$H$45)+(L71*'Pawn Weights'!$H$46)+(M71*'Pawn Weights'!$H$47)+(N71*'Pawn Weights'!$H$48)+(O71*'Pawn Weights'!$H$49)+(P71*'Pawn Weights'!$H$50)+(Q71*'Pawn Weights'!$H$51), 2)</f>
        <v>156.03</v>
      </c>
      <c r="E71" s="298">
        <v>34.0</v>
      </c>
      <c r="F71" s="297"/>
      <c r="G71" s="298">
        <v>20.0</v>
      </c>
      <c r="H71" s="298">
        <v>50.0</v>
      </c>
      <c r="I71" s="297"/>
      <c r="J71" s="297"/>
      <c r="K71" s="298">
        <v>27.0</v>
      </c>
      <c r="L71" s="297"/>
      <c r="M71" s="297"/>
      <c r="N71" s="297"/>
      <c r="O71" s="297"/>
      <c r="P71" s="297"/>
      <c r="Q71" s="297"/>
      <c r="R71" s="295"/>
      <c r="S71" s="137"/>
      <c r="T71" s="359"/>
      <c r="U71" s="137"/>
      <c r="V71" s="137"/>
      <c r="W71" s="137"/>
      <c r="X71" s="137"/>
      <c r="Y71" s="137"/>
      <c r="Z71" s="137"/>
    </row>
    <row r="72">
      <c r="A72" s="137"/>
      <c r="B72" s="296" t="s">
        <v>795</v>
      </c>
      <c r="C72" s="297" t="s">
        <v>691</v>
      </c>
      <c r="D72" s="289">
        <f>ROUND((F72*'Pawn Weights'!$H$40)+(G72*'Pawn Weights'!$H$41)+(H72*'Pawn Weights'!$H$42)+(I72*'Pawn Weights'!$H$43)+(J72*'Pawn Weights'!$H$44)+(K72*'Pawn Weights'!$H$45)+(L72*'Pawn Weights'!$H$46)+(M72*'Pawn Weights'!$H$47)+(N72*'Pawn Weights'!$H$48)+(O72*'Pawn Weights'!$H$49)+(P72*'Pawn Weights'!$H$50)+(Q72*'Pawn Weights'!$H$51)+3.52, 2)</f>
        <v>147.17</v>
      </c>
      <c r="E72" s="298">
        <v>22.0</v>
      </c>
      <c r="F72" s="297"/>
      <c r="G72" s="298">
        <v>17.0</v>
      </c>
      <c r="H72" s="298">
        <v>50.0</v>
      </c>
      <c r="I72" s="298">
        <v>18.0</v>
      </c>
      <c r="J72" s="297"/>
      <c r="K72" s="297"/>
      <c r="L72" s="297"/>
      <c r="M72" s="297"/>
      <c r="N72" s="297"/>
      <c r="O72" s="297"/>
      <c r="P72" s="298">
        <v>1.0</v>
      </c>
      <c r="Q72" s="297"/>
      <c r="R72" s="298" t="s">
        <v>736</v>
      </c>
      <c r="S72" s="137"/>
      <c r="T72" s="359"/>
      <c r="U72" s="137"/>
      <c r="V72" s="137"/>
      <c r="W72" s="137"/>
      <c r="X72" s="137"/>
      <c r="Y72" s="137"/>
      <c r="Z72" s="137"/>
    </row>
    <row r="73">
      <c r="A73" s="281"/>
      <c r="B73" s="288" t="s">
        <v>1207</v>
      </c>
      <c r="C73" s="307" t="s">
        <v>871</v>
      </c>
      <c r="D73" s="289">
        <f>ROUND((F73*'Pawn Weights'!$H$40)+(G73*'Pawn Weights'!$H$41)+(H73*'Pawn Weights'!$H$42)+(I73*'Pawn Weights'!$H$43)+(J73*'Pawn Weights'!$H$44)+(K73*'Pawn Weights'!$H$45)+(L73*'Pawn Weights'!$H$46)+(M73*'Pawn Weights'!$H$47)+(N73*'Pawn Weights'!$H$48)+(O73*'Pawn Weights'!$H$49)+(P73*'Pawn Weights'!$H$50)+(Q73*'Pawn Weights'!$H$51), 2)</f>
        <v>129.44</v>
      </c>
      <c r="E73" s="280">
        <v>24.0</v>
      </c>
      <c r="F73" s="280"/>
      <c r="G73" s="280">
        <v>24.0</v>
      </c>
      <c r="H73" s="280">
        <v>52.0</v>
      </c>
      <c r="I73" s="280"/>
      <c r="J73" s="280"/>
      <c r="K73" s="280"/>
      <c r="L73" s="280"/>
      <c r="M73" s="280"/>
      <c r="N73" s="280"/>
      <c r="O73" s="280"/>
      <c r="P73" s="280"/>
      <c r="Q73" s="280">
        <v>1.0</v>
      </c>
      <c r="R73" s="290" t="s">
        <v>660</v>
      </c>
      <c r="S73" s="281"/>
      <c r="T73" s="310"/>
      <c r="U73" s="281"/>
      <c r="V73" s="281"/>
      <c r="W73" s="281"/>
      <c r="X73" s="281"/>
    </row>
    <row r="74" ht="14.25" customHeight="1">
      <c r="A74" s="281"/>
      <c r="B74" s="288" t="s">
        <v>1208</v>
      </c>
      <c r="C74" s="280" t="s">
        <v>1209</v>
      </c>
      <c r="D74" s="289">
        <f>ROUND((F74*'Pawn Weights'!$H$40)+(G74*'Pawn Weights'!$H$41)+(H74*'Pawn Weights'!$H$42)+(I74*'Pawn Weights'!$H$43)+(J74*'Pawn Weights'!$H$44)+(K74*'Pawn Weights'!$H$45)+(L74*'Pawn Weights'!$H$46)+(M74*'Pawn Weights'!$H$47)+(N74*'Pawn Weights'!$H$48)+(O74*'Pawn Weights'!$H$49)+(P74*'Pawn Weights'!$H$50)+(Q74*'Pawn Weights'!$H$51), 2)</f>
        <v>110.6</v>
      </c>
      <c r="E74" s="280">
        <v>18.0</v>
      </c>
      <c r="F74" s="280"/>
      <c r="G74" s="280">
        <v>20.0</v>
      </c>
      <c r="H74" s="280">
        <v>42.0</v>
      </c>
      <c r="I74" s="280"/>
      <c r="J74" s="280"/>
      <c r="K74" s="280"/>
      <c r="L74" s="280"/>
      <c r="M74" s="280"/>
      <c r="N74" s="280"/>
      <c r="O74" s="280"/>
      <c r="P74" s="280"/>
      <c r="Q74" s="280">
        <v>1.0</v>
      </c>
      <c r="R74" s="290" t="s">
        <v>660</v>
      </c>
      <c r="S74" s="281"/>
      <c r="T74" s="380"/>
      <c r="U74" s="281"/>
      <c r="V74" s="281"/>
      <c r="W74" s="281"/>
      <c r="X74" s="281"/>
    </row>
    <row r="75">
      <c r="A75" s="281"/>
      <c r="B75" s="311" t="s">
        <v>1210</v>
      </c>
      <c r="C75" s="280" t="s">
        <v>1211</v>
      </c>
      <c r="D75" s="289">
        <f>ROUND((F75*'Pawn Weights'!$H$40)+(G75*'Pawn Weights'!$H$41)+(H75*'Pawn Weights'!$H$42)+(I75*'Pawn Weights'!$H$43)+(J75*'Pawn Weights'!$H$44)+(K75*'Pawn Weights'!$H$45)+(L75*'Pawn Weights'!$H$46)+(M75*'Pawn Weights'!$H$47)+(N75*'Pawn Weights'!$H$48)+(O75*'Pawn Weights'!$H$49)+(P75*'Pawn Weights'!$H$50)+(Q75*'Pawn Weights'!$H$51), 2)</f>
        <v>100.78</v>
      </c>
      <c r="E75" s="280">
        <v>15.0</v>
      </c>
      <c r="F75" s="280"/>
      <c r="G75" s="280">
        <v>18.0</v>
      </c>
      <c r="H75" s="280"/>
      <c r="I75" s="280"/>
      <c r="J75" s="280">
        <v>15.0</v>
      </c>
      <c r="K75" s="280"/>
      <c r="L75" s="280"/>
      <c r="M75" s="280"/>
      <c r="N75" s="280"/>
      <c r="O75" s="280">
        <v>1.0</v>
      </c>
      <c r="P75" s="280"/>
      <c r="Q75" s="280"/>
      <c r="R75" s="290" t="s">
        <v>1212</v>
      </c>
      <c r="S75" s="281"/>
      <c r="T75" s="380"/>
      <c r="U75" s="281"/>
      <c r="V75" s="281"/>
      <c r="W75" s="281"/>
      <c r="X75" s="281"/>
    </row>
    <row r="76">
      <c r="A76" s="281"/>
      <c r="B76" s="288" t="s">
        <v>1213</v>
      </c>
      <c r="C76" s="280" t="s">
        <v>1214</v>
      </c>
      <c r="D76" s="289">
        <f>ROUND((F76*'Pawn Weights'!$H$40)+(G76*'Pawn Weights'!$H$41)+(H76*'Pawn Weights'!$H$42)+(I76*'Pawn Weights'!$H$43)+(J76*'Pawn Weights'!$H$44)+(K76*'Pawn Weights'!$H$45)+(L76*'Pawn Weights'!$H$46)+(M76*'Pawn Weights'!$H$47)+(N76*'Pawn Weights'!$H$48)+(O76*'Pawn Weights'!$H$49)+(P76*'Pawn Weights'!$H$50)+(Q76*'Pawn Weights'!$H$51), 2)</f>
        <v>99.04</v>
      </c>
      <c r="E76" s="280">
        <v>22.0</v>
      </c>
      <c r="F76" s="280"/>
      <c r="G76" s="280">
        <v>24.0</v>
      </c>
      <c r="H76" s="280">
        <v>46.0</v>
      </c>
      <c r="I76" s="280"/>
      <c r="J76" s="280"/>
      <c r="K76" s="280"/>
      <c r="L76" s="280"/>
      <c r="M76" s="280"/>
      <c r="N76" s="280"/>
      <c r="O76" s="280"/>
      <c r="P76" s="280"/>
      <c r="Q76" s="280"/>
      <c r="R76" s="290"/>
      <c r="S76" s="281"/>
      <c r="T76" s="380"/>
      <c r="U76" s="281"/>
      <c r="V76" s="281"/>
      <c r="W76" s="281"/>
      <c r="X76" s="281"/>
    </row>
    <row r="77" ht="4.5" customHeight="1">
      <c r="A77" s="292" t="s">
        <v>627</v>
      </c>
      <c r="B77" s="288" t="s">
        <v>1215</v>
      </c>
      <c r="C77" s="307" t="s">
        <v>1216</v>
      </c>
      <c r="D77" s="289">
        <f>ROUND((F77*'Pawn Weights'!$H$40)+(G77*'Pawn Weights'!$H$41)+(H77*'Pawn Weights'!$H$42)+(I77*'Pawn Weights'!$H$43)+(J77*'Pawn Weights'!$H$44)+(K77*'Pawn Weights'!$H$45)+(L77*'Pawn Weights'!$H$46)+(M77*'Pawn Weights'!$H$47)+(N77*'Pawn Weights'!$H$48)+(O77*'Pawn Weights'!$H$49)+(P77*'Pawn Weights'!$H$50)+(Q77*'Pawn Weights'!$H$51), 2)</f>
        <v>97.15</v>
      </c>
      <c r="E77" s="280">
        <v>21.0</v>
      </c>
      <c r="F77" s="280"/>
      <c r="G77" s="280">
        <v>15.0</v>
      </c>
      <c r="H77" s="280">
        <v>64.0</v>
      </c>
      <c r="I77" s="280"/>
      <c r="J77" s="280"/>
      <c r="K77" s="280"/>
      <c r="L77" s="280"/>
      <c r="M77" s="280"/>
      <c r="N77" s="280"/>
      <c r="O77" s="280"/>
      <c r="P77" s="280"/>
      <c r="Q77" s="280"/>
      <c r="R77" s="290"/>
      <c r="S77" s="281"/>
      <c r="T77" s="310"/>
      <c r="U77" s="281"/>
      <c r="V77" s="281"/>
      <c r="W77" s="281"/>
      <c r="X77" s="281"/>
    </row>
    <row r="78">
      <c r="A78" s="272" t="s">
        <v>800</v>
      </c>
      <c r="B78" s="281"/>
      <c r="C78" s="281"/>
      <c r="D78" s="360"/>
      <c r="E78" s="281"/>
      <c r="F78" s="281"/>
      <c r="G78" s="281"/>
      <c r="H78" s="281"/>
      <c r="I78" s="281"/>
      <c r="J78" s="281"/>
      <c r="K78" s="281"/>
      <c r="L78" s="281"/>
      <c r="M78" s="281"/>
      <c r="N78" s="281"/>
      <c r="O78" s="281"/>
      <c r="P78" s="281"/>
      <c r="Q78" s="281"/>
      <c r="R78" s="282"/>
      <c r="S78" s="281"/>
      <c r="T78" s="282"/>
      <c r="U78" s="281"/>
      <c r="V78" s="281"/>
      <c r="W78" s="281"/>
    </row>
    <row r="79">
      <c r="A79" s="137" t="s">
        <v>627</v>
      </c>
      <c r="B79" s="341" t="s">
        <v>801</v>
      </c>
      <c r="C79" s="361" t="s">
        <v>802</v>
      </c>
      <c r="D79" s="289">
        <f>ROUND((F79*'Pawn Weights'!$H$40)+(G79*'Pawn Weights'!$H$41)+(H79*'Pawn Weights'!$H$42)+(I79*'Pawn Weights'!$H$43)+(J79*'Pawn Weights'!$H$44)+(K79*'Pawn Weights'!$H$45)+(L79*'Pawn Weights'!$H$46)+(M79*'Pawn Weights'!$H$47)+(N79*'Pawn Weights'!$H$48)+(O79*'Pawn Weights'!$H$49)+(P79*'Pawn Weights'!$H$50)+(Q79*'Pawn Weights'!$H$51)-48.8+46.5+5.28, 2)</f>
        <v>313.24</v>
      </c>
      <c r="E79" s="359">
        <v>33.0</v>
      </c>
      <c r="F79" s="361"/>
      <c r="G79" s="359">
        <v>30.0</v>
      </c>
      <c r="H79" s="359">
        <v>90.0</v>
      </c>
      <c r="I79" s="359">
        <v>30.0</v>
      </c>
      <c r="J79" s="361"/>
      <c r="K79" s="361"/>
      <c r="L79" s="361"/>
      <c r="M79" s="359">
        <v>154.0</v>
      </c>
      <c r="N79" s="361"/>
      <c r="O79" s="359">
        <v>2.0</v>
      </c>
      <c r="P79" s="361"/>
      <c r="Q79" s="361"/>
      <c r="R79" s="359" t="s">
        <v>702</v>
      </c>
      <c r="S79" s="137"/>
      <c r="T79" s="137"/>
      <c r="U79" s="137"/>
      <c r="V79" s="137"/>
      <c r="W79" s="137"/>
      <c r="X79" s="137"/>
      <c r="Y79" s="137"/>
      <c r="Z79" s="137"/>
    </row>
    <row r="80">
      <c r="A80" s="25" t="s">
        <v>640</v>
      </c>
      <c r="B80" s="288" t="s">
        <v>1217</v>
      </c>
      <c r="C80" s="280" t="s">
        <v>814</v>
      </c>
      <c r="D80" s="289">
        <f>ROUND((F80*'Pawn Weights'!$H$40)+(G80*'Pawn Weights'!$H$41)+(H80*'Pawn Weights'!$H$42)+(I80*'Pawn Weights'!$H$43)+(J80*'Pawn Weights'!$H$44)+(K80*'Pawn Weights'!$H$45)+(L80*'Pawn Weights'!$H$46)+(M80*'Pawn Weights'!$H$47)+(N80*'Pawn Weights'!$H$48)+(O80*'Pawn Weights'!$H$49)+(P80*'Pawn Weights'!$H$50)+(Q80*'Pawn Weights'!$H$51), 2)</f>
        <v>270.96</v>
      </c>
      <c r="E80" s="280">
        <v>36.0</v>
      </c>
      <c r="F80" s="280"/>
      <c r="G80" s="280">
        <v>34.0</v>
      </c>
      <c r="H80" s="280">
        <v>68.0</v>
      </c>
      <c r="I80" s="280"/>
      <c r="J80" s="280">
        <v>18.0</v>
      </c>
      <c r="K80" s="280"/>
      <c r="L80" s="280"/>
      <c r="M80" s="280">
        <v>175.0</v>
      </c>
      <c r="N80" s="280"/>
      <c r="O80" s="280"/>
      <c r="P80" s="280"/>
      <c r="Q80" s="280">
        <v>1.0</v>
      </c>
      <c r="R80" s="290" t="s">
        <v>660</v>
      </c>
      <c r="S80" s="281"/>
      <c r="T80" s="290"/>
      <c r="U80" s="281"/>
      <c r="V80" s="281"/>
      <c r="W80" s="281"/>
    </row>
    <row r="81" ht="15.0" customHeight="1">
      <c r="A81" s="295"/>
      <c r="B81" s="296" t="s">
        <v>815</v>
      </c>
      <c r="C81" s="297" t="s">
        <v>816</v>
      </c>
      <c r="D81" s="289">
        <f>ROUND((F81*'Pawn Weights'!$H$40)+(G81*'Pawn Weights'!$H$41)+(H81*'Pawn Weights'!$H$42)+(I81*'Pawn Weights'!$H$43)+(J81*'Pawn Weights'!$H$44)+(K81*'Pawn Weights'!$H$45)+(L81*'Pawn Weights'!$H$46)+(M81*'Pawn Weights'!$H$47)+(N81*'Pawn Weights'!$H$48)+(O81*'Pawn Weights'!$H$49)+(P81*'Pawn Weights'!$H$50)+(Q81*'Pawn Weights'!$H$51), 2)</f>
        <v>220.4</v>
      </c>
      <c r="E81" s="298">
        <v>38.0</v>
      </c>
      <c r="F81" s="297"/>
      <c r="G81" s="298">
        <v>27.0</v>
      </c>
      <c r="H81" s="298">
        <v>76.0</v>
      </c>
      <c r="I81" s="297"/>
      <c r="J81" s="297"/>
      <c r="K81" s="298">
        <v>37.0</v>
      </c>
      <c r="L81" s="297"/>
      <c r="M81" s="361"/>
      <c r="N81" s="297"/>
      <c r="O81" s="297"/>
      <c r="P81" s="297"/>
      <c r="Q81" s="297"/>
      <c r="R81" s="295"/>
      <c r="S81" s="137"/>
      <c r="T81" s="298"/>
      <c r="U81" s="137"/>
      <c r="V81" s="137"/>
      <c r="W81" s="137"/>
      <c r="X81" s="137"/>
      <c r="Y81" s="137"/>
      <c r="Z81" s="137"/>
    </row>
    <row r="82">
      <c r="A82" s="301" t="s">
        <v>647</v>
      </c>
      <c r="B82" s="288" t="s">
        <v>1218</v>
      </c>
      <c r="C82" s="280" t="s">
        <v>957</v>
      </c>
      <c r="D82" s="289">
        <f>ROUND((F82*'Pawn Weights'!$H$40)+(G82*'Pawn Weights'!$H$41)+(H82*'Pawn Weights'!$H$42)+(I82*'Pawn Weights'!$H$43)+(J82*'Pawn Weights'!$H$44)+(K82*'Pawn Weights'!$H$45)+(L82*'Pawn Weights'!$H$46)+(M82*'Pawn Weights'!$H$47)+(N82*'Pawn Weights'!$H$48)+(O82*'Pawn Weights'!$H$49)+(P82*'Pawn Weights'!$H$50)+(Q82*'Pawn Weights'!$H$51), 2)</f>
        <v>208.12</v>
      </c>
      <c r="E82" s="280">
        <v>34.0</v>
      </c>
      <c r="F82" s="280"/>
      <c r="G82" s="280">
        <v>36.0</v>
      </c>
      <c r="H82" s="280">
        <v>70.0</v>
      </c>
      <c r="I82" s="280"/>
      <c r="J82" s="280">
        <v>24.0</v>
      </c>
      <c r="K82" s="280"/>
      <c r="L82" s="280"/>
      <c r="M82" s="281"/>
      <c r="N82" s="280"/>
      <c r="O82" s="280"/>
      <c r="P82" s="280"/>
      <c r="Q82" s="280"/>
      <c r="R82" s="290"/>
      <c r="S82" s="281"/>
      <c r="T82" s="290"/>
      <c r="U82" s="281"/>
      <c r="V82" s="281"/>
      <c r="W82" s="281"/>
    </row>
    <row r="83">
      <c r="A83" s="301"/>
      <c r="B83" s="288" t="s">
        <v>1219</v>
      </c>
      <c r="C83" s="280" t="s">
        <v>718</v>
      </c>
      <c r="D83" s="289">
        <f>ROUND((F83*'Pawn Weights'!$H$40)+(G83*'Pawn Weights'!$H$41)+(H83*'Pawn Weights'!$H$42)+(I83*'Pawn Weights'!$H$43)+(J83*'Pawn Weights'!$H$44)+(K83*'Pawn Weights'!$H$45)+(L83*'Pawn Weights'!$H$46)+(M83*'Pawn Weights'!$H$47)+(N83*'Pawn Weights'!$H$48)+(O83*'Pawn Weights'!$H$49)+(P83*'Pawn Weights'!$H$50)+(Q83*'Pawn Weights'!$H$51), 2)</f>
        <v>191.55</v>
      </c>
      <c r="E83" s="280">
        <v>28.0</v>
      </c>
      <c r="F83" s="280"/>
      <c r="G83" s="280">
        <v>30.0</v>
      </c>
      <c r="H83" s="280">
        <v>68.0</v>
      </c>
      <c r="I83" s="280"/>
      <c r="J83" s="280"/>
      <c r="K83" s="280">
        <v>25.0</v>
      </c>
      <c r="L83" s="280"/>
      <c r="M83" s="281"/>
      <c r="N83" s="280"/>
      <c r="O83" s="280"/>
      <c r="P83" s="280"/>
      <c r="Q83" s="280"/>
      <c r="R83" s="290"/>
      <c r="S83" s="281"/>
      <c r="T83" s="290"/>
      <c r="U83" s="281"/>
      <c r="V83" s="281"/>
      <c r="W83" s="281"/>
    </row>
    <row r="84">
      <c r="B84" s="288" t="s">
        <v>1094</v>
      </c>
      <c r="C84" s="280" t="s">
        <v>1025</v>
      </c>
      <c r="D84" s="289">
        <f>ROUND((F84*'Pawn Weights'!$H$40)+(G84*'Pawn Weights'!$H$41)+(H84*'Pawn Weights'!$H$42)+(I84*'Pawn Weights'!$H$43)+(J84*'Pawn Weights'!$H$44)+(K84*'Pawn Weights'!$H$45)+(L84*'Pawn Weights'!$H$46)+(M84*'Pawn Weights'!$H$47)+(N84*'Pawn Weights'!$H$48)+(O84*'Pawn Weights'!$H$49)+(P84*'Pawn Weights'!$H$50)+(Q84*'Pawn Weights'!$H$51), 2)</f>
        <v>186.81</v>
      </c>
      <c r="E84" s="280">
        <v>37.0</v>
      </c>
      <c r="F84" s="280"/>
      <c r="G84" s="280">
        <v>33.0</v>
      </c>
      <c r="H84" s="280">
        <v>66.0</v>
      </c>
      <c r="I84" s="280"/>
      <c r="J84" s="280"/>
      <c r="K84" s="280"/>
      <c r="L84" s="280">
        <v>18.0</v>
      </c>
      <c r="M84" s="281"/>
      <c r="N84" s="280"/>
      <c r="O84" s="280"/>
      <c r="P84" s="280"/>
      <c r="Q84" s="280"/>
      <c r="R84" s="290"/>
      <c r="S84" s="281"/>
      <c r="T84" s="290" t="s">
        <v>1192</v>
      </c>
      <c r="U84" s="281"/>
      <c r="V84" s="281"/>
      <c r="W84" s="281"/>
    </row>
    <row r="85">
      <c r="A85" s="25" t="s">
        <v>627</v>
      </c>
      <c r="B85" s="311" t="s">
        <v>1097</v>
      </c>
      <c r="C85" s="280" t="s">
        <v>904</v>
      </c>
      <c r="D85" s="289">
        <f>ROUND((F85*'Pawn Weights'!$H$40)+(G85*'Pawn Weights'!$H$41)+(H85*'Pawn Weights'!$H$42)+(I85*'Pawn Weights'!$H$43)+(J85*'Pawn Weights'!$H$44)+(K85*'Pawn Weights'!$H$45)+(L85*'Pawn Weights'!$H$46)+(M85*'Pawn Weights'!$H$47)+(N85*'Pawn Weights'!$H$48)+(O85*'Pawn Weights'!$H$49)+(P85*'Pawn Weights'!$H$50)+(Q85*'Pawn Weights'!$H$51)-24.4+23.25+6, 2)</f>
        <v>173.37</v>
      </c>
      <c r="E85" s="280"/>
      <c r="F85" s="280"/>
      <c r="G85" s="280"/>
      <c r="H85" s="280">
        <v>36.0</v>
      </c>
      <c r="I85" s="280">
        <v>24.0</v>
      </c>
      <c r="J85" s="280">
        <v>17.0</v>
      </c>
      <c r="K85" s="280"/>
      <c r="L85" s="280"/>
      <c r="M85" s="281"/>
      <c r="N85" s="280"/>
      <c r="O85" s="280">
        <v>1.0</v>
      </c>
      <c r="P85" s="280">
        <v>1.0</v>
      </c>
      <c r="Q85" s="280"/>
      <c r="R85" s="290" t="s">
        <v>809</v>
      </c>
      <c r="S85" s="281"/>
      <c r="T85" s="290"/>
      <c r="U85" s="281"/>
      <c r="V85" s="281"/>
      <c r="W85" s="281"/>
    </row>
    <row r="86">
      <c r="A86" s="137" t="s">
        <v>635</v>
      </c>
      <c r="B86" s="296" t="s">
        <v>1220</v>
      </c>
      <c r="C86" s="297" t="s">
        <v>637</v>
      </c>
      <c r="D86" s="289">
        <f>ROUND((F86*'Pawn Weights'!$H$40)+(G86*'Pawn Weights'!$H$41)+(H86*'Pawn Weights'!$H$42)+(I86*'Pawn Weights'!$H$43)+(J86*'Pawn Weights'!$H$44)+(K86*'Pawn Weights'!$H$45)+(L86*'Pawn Weights'!$H$46)+(M86*'Pawn Weights'!$H$47)+(N86*'Pawn Weights'!$H$48)+(O86*'Pawn Weights'!$H$49)+(P86*'Pawn Weights'!$H$50)+(Q86*'Pawn Weights'!$H$51), 2)</f>
        <v>172.01</v>
      </c>
      <c r="E86" s="298">
        <v>55.0</v>
      </c>
      <c r="F86" s="295"/>
      <c r="G86" s="298">
        <v>37.0</v>
      </c>
      <c r="H86" s="298">
        <v>48.0</v>
      </c>
      <c r="I86" s="298">
        <v>24.0</v>
      </c>
      <c r="J86" s="295"/>
      <c r="K86" s="295"/>
      <c r="L86" s="295"/>
      <c r="M86" s="137"/>
      <c r="N86" s="295"/>
      <c r="O86" s="295"/>
      <c r="P86" s="295"/>
      <c r="Q86" s="295"/>
      <c r="R86" s="295"/>
      <c r="S86" s="137"/>
      <c r="T86" s="295"/>
      <c r="U86" s="137"/>
      <c r="V86" s="137"/>
      <c r="W86" s="137"/>
      <c r="X86" s="137"/>
      <c r="Y86" s="137"/>
      <c r="Z86" s="137"/>
    </row>
    <row r="87">
      <c r="B87" s="288" t="s">
        <v>1221</v>
      </c>
      <c r="C87" s="280" t="s">
        <v>1222</v>
      </c>
      <c r="D87" s="289">
        <f>ROUND((F87*'Pawn Weights'!$H$40)+(G87*'Pawn Weights'!$H$41)+(H87*'Pawn Weights'!$H$42)+(I87*'Pawn Weights'!$H$43)+(J87*'Pawn Weights'!$H$44)+(K87*'Pawn Weights'!$H$45)+(L87*'Pawn Weights'!$H$46)+(M87*'Pawn Weights'!$H$47)+(N87*'Pawn Weights'!$H$48)+(O87*'Pawn Weights'!$H$49)+(P87*'Pawn Weights'!$H$50)+(Q87*'Pawn Weights'!$H$51), 2)</f>
        <v>168.15</v>
      </c>
      <c r="E87" s="280">
        <v>22.0</v>
      </c>
      <c r="F87" s="280"/>
      <c r="G87" s="280">
        <v>35.0</v>
      </c>
      <c r="H87" s="280">
        <v>42.0</v>
      </c>
      <c r="I87" s="280"/>
      <c r="J87" s="280"/>
      <c r="K87" s="280"/>
      <c r="L87" s="280"/>
      <c r="M87" s="281"/>
      <c r="N87" s="280"/>
      <c r="O87" s="280">
        <v>1.0</v>
      </c>
      <c r="P87" s="280"/>
      <c r="Q87" s="280">
        <v>1.0</v>
      </c>
      <c r="R87" s="290" t="s">
        <v>702</v>
      </c>
      <c r="S87" s="281"/>
      <c r="T87" s="290"/>
      <c r="U87" s="281"/>
      <c r="V87" s="281"/>
      <c r="W87" s="281"/>
    </row>
    <row r="88">
      <c r="A88" s="301"/>
      <c r="B88" s="288" t="s">
        <v>824</v>
      </c>
      <c r="C88" s="280" t="s">
        <v>825</v>
      </c>
      <c r="D88" s="289">
        <f>ROUND((F88*'Pawn Weights'!$H$40)+(G88*'Pawn Weights'!$H$41)+(H88*'Pawn Weights'!$H$42)+(I88*'Pawn Weights'!$H$43)+(J88*'Pawn Weights'!$H$44)+(K88*'Pawn Weights'!$H$45)+(L88*'Pawn Weights'!$H$46)+(M88*'Pawn Weights'!$H$47)+(N88*'Pawn Weights'!$H$48)+(O88*'Pawn Weights'!$H$49)+(P88*'Pawn Weights'!$H$50)+(Q88*'Pawn Weights'!$H$51), 2)</f>
        <v>166.56</v>
      </c>
      <c r="E88" s="280">
        <v>31.0</v>
      </c>
      <c r="F88" s="280"/>
      <c r="G88" s="280"/>
      <c r="H88" s="280">
        <v>72.0</v>
      </c>
      <c r="I88" s="280">
        <v>26.0</v>
      </c>
      <c r="J88" s="280"/>
      <c r="K88" s="280"/>
      <c r="L88" s="280"/>
      <c r="M88" s="281"/>
      <c r="N88" s="280"/>
      <c r="O88" s="280"/>
      <c r="P88" s="280"/>
      <c r="Q88" s="280">
        <v>2.0</v>
      </c>
      <c r="R88" s="290" t="s">
        <v>702</v>
      </c>
      <c r="S88" s="281"/>
      <c r="T88" s="290"/>
      <c r="U88" s="281"/>
      <c r="V88" s="281"/>
      <c r="W88" s="281"/>
    </row>
    <row r="89">
      <c r="B89" s="288" t="s">
        <v>1223</v>
      </c>
      <c r="C89" s="280" t="s">
        <v>1224</v>
      </c>
      <c r="D89" s="289">
        <f>ROUND((F89*'Pawn Weights'!$H$40)+(G89*'Pawn Weights'!$H$41)+(H89*'Pawn Weights'!$H$42)+(I89*'Pawn Weights'!$H$43)+(J89*'Pawn Weights'!$H$44)+(K89*'Pawn Weights'!$H$45)+(L89*'Pawn Weights'!$H$46)+(M89*'Pawn Weights'!$H$47)+(N89*'Pawn Weights'!$H$48)+(O89*'Pawn Weights'!$H$49)+(P89*'Pawn Weights'!$H$50)+(Q89*'Pawn Weights'!$H$51), 2)</f>
        <v>163.99</v>
      </c>
      <c r="E89" s="280">
        <v>34.0</v>
      </c>
      <c r="F89" s="280"/>
      <c r="G89" s="280">
        <v>29.0</v>
      </c>
      <c r="H89" s="280">
        <v>60.0</v>
      </c>
      <c r="I89" s="280"/>
      <c r="J89" s="280"/>
      <c r="K89" s="280"/>
      <c r="L89" s="280">
        <v>15.0</v>
      </c>
      <c r="M89" s="281"/>
      <c r="N89" s="280"/>
      <c r="O89" s="280"/>
      <c r="P89" s="280"/>
      <c r="Q89" s="280"/>
      <c r="R89" s="290"/>
      <c r="S89" s="281"/>
      <c r="T89" s="290"/>
      <c r="U89" s="281"/>
      <c r="V89" s="281"/>
      <c r="W89" s="281"/>
    </row>
    <row r="90">
      <c r="A90" s="301" t="s">
        <v>654</v>
      </c>
      <c r="B90" s="288" t="s">
        <v>1225</v>
      </c>
      <c r="C90" s="280" t="s">
        <v>1116</v>
      </c>
      <c r="D90" s="289">
        <f>ROUND((F90*'Pawn Weights'!$H$40)+(G90*'Pawn Weights'!$H$41)+(H90*'Pawn Weights'!$H$42)+(I90*'Pawn Weights'!$H$43)+(J90*'Pawn Weights'!$H$44)+(K90*'Pawn Weights'!$H$45)+(L90*'Pawn Weights'!$H$46)+(M90*'Pawn Weights'!$H$47)+(N90*'Pawn Weights'!$H$48)+(O90*'Pawn Weights'!$H$49)+(P90*'Pawn Weights'!$H$50)+(Q90*'Pawn Weights'!$H$51), 2)</f>
        <v>157.48</v>
      </c>
      <c r="E90" s="280">
        <v>34.0</v>
      </c>
      <c r="F90" s="280"/>
      <c r="G90" s="280"/>
      <c r="H90" s="280">
        <v>72.0</v>
      </c>
      <c r="I90" s="280">
        <v>25.0</v>
      </c>
      <c r="J90" s="280">
        <v>17.0</v>
      </c>
      <c r="K90" s="280"/>
      <c r="L90" s="280"/>
      <c r="M90" s="281"/>
      <c r="N90" s="280"/>
      <c r="O90" s="280"/>
      <c r="P90" s="280"/>
      <c r="Q90" s="280"/>
      <c r="R90" s="290"/>
      <c r="S90" s="281"/>
      <c r="T90" s="290"/>
      <c r="U90" s="281"/>
      <c r="V90" s="281"/>
      <c r="W90" s="281"/>
    </row>
    <row r="91">
      <c r="A91" s="25" t="s">
        <v>644</v>
      </c>
      <c r="B91" s="288" t="s">
        <v>1226</v>
      </c>
      <c r="C91" s="280" t="s">
        <v>646</v>
      </c>
      <c r="D91" s="289">
        <f>ROUND((F91*'Pawn Weights'!$H$40)+(G91*'Pawn Weights'!$H$41)+(H91*'Pawn Weights'!$H$42)+(I91*'Pawn Weights'!$H$43)+(J91*'Pawn Weights'!$H$44)+(K91*'Pawn Weights'!$H$45)+(L91*'Pawn Weights'!$H$46)+(M91*'Pawn Weights'!$H$47)+(N91*'Pawn Weights'!$H$48)+(O91*'Pawn Weights'!$H$49)+(P91*'Pawn Weights'!$H$50)+(Q91*'Pawn Weights'!$H$51), 2)</f>
        <v>155.17</v>
      </c>
      <c r="E91" s="280">
        <v>49.0</v>
      </c>
      <c r="F91" s="280"/>
      <c r="G91" s="280">
        <v>33.0</v>
      </c>
      <c r="H91" s="280">
        <v>40.0</v>
      </c>
      <c r="I91" s="280">
        <v>24.0</v>
      </c>
      <c r="J91" s="280"/>
      <c r="K91" s="280"/>
      <c r="L91" s="280"/>
      <c r="M91" s="281"/>
      <c r="N91" s="280"/>
      <c r="O91" s="280"/>
      <c r="P91" s="280"/>
      <c r="Q91" s="280"/>
      <c r="R91" s="290"/>
      <c r="S91" s="281"/>
      <c r="T91" s="290"/>
      <c r="U91" s="281"/>
      <c r="V91" s="281"/>
      <c r="W91" s="281"/>
    </row>
    <row r="92">
      <c r="A92" s="272" t="s">
        <v>828</v>
      </c>
      <c r="B92" s="281"/>
      <c r="C92" s="281"/>
      <c r="D92" s="360"/>
      <c r="E92" s="281"/>
      <c r="F92" s="281"/>
      <c r="G92" s="281"/>
      <c r="H92" s="281"/>
      <c r="I92" s="281"/>
      <c r="J92" s="281"/>
      <c r="K92" s="281"/>
      <c r="L92" s="281"/>
      <c r="M92" s="281"/>
      <c r="N92" s="281"/>
      <c r="O92" s="281"/>
      <c r="P92" s="281"/>
      <c r="Q92" s="281"/>
      <c r="R92" s="282"/>
      <c r="S92" s="281"/>
      <c r="T92" s="282"/>
      <c r="U92" s="281"/>
      <c r="V92" s="281"/>
      <c r="W92" s="281"/>
    </row>
    <row r="93">
      <c r="A93" s="292"/>
      <c r="B93" s="288" t="s">
        <v>830</v>
      </c>
      <c r="C93" s="280" t="s">
        <v>649</v>
      </c>
      <c r="D93" s="289">
        <f>ROUND((F93*'Pawn Weights'!$H$40)+(G93*'Pawn Weights'!$H$41)+(H93*'Pawn Weights'!$H$42)+(I93*'Pawn Weights'!$H$43)+(J93*'Pawn Weights'!$H$44)+(K93*'Pawn Weights'!$H$45)+(L93*'Pawn Weights'!$H$46)+(M93*'Pawn Weights'!$H$47)+(N93*'Pawn Weights'!$H$48)+(O93*'Pawn Weights'!$H$49)+(P93*'Pawn Weights'!$H$50)+(Q93*'Pawn Weights'!$H$51), 2)</f>
        <v>253.39</v>
      </c>
      <c r="E93" s="280">
        <v>25.0</v>
      </c>
      <c r="F93" s="280"/>
      <c r="G93" s="280">
        <v>29.0</v>
      </c>
      <c r="H93" s="280">
        <v>74.0</v>
      </c>
      <c r="I93" s="280"/>
      <c r="J93" s="280"/>
      <c r="K93" s="280"/>
      <c r="L93" s="280">
        <v>25.0</v>
      </c>
      <c r="M93" s="281"/>
      <c r="N93" s="280"/>
      <c r="O93" s="280">
        <v>1.0</v>
      </c>
      <c r="P93" s="280"/>
      <c r="Q93" s="280">
        <v>1.0</v>
      </c>
      <c r="R93" s="290" t="s">
        <v>695</v>
      </c>
      <c r="S93" s="281"/>
      <c r="T93" s="290"/>
      <c r="U93" s="281"/>
      <c r="V93" s="281"/>
      <c r="W93" s="281"/>
    </row>
    <row r="94">
      <c r="A94" s="295"/>
      <c r="B94" s="296" t="s">
        <v>843</v>
      </c>
      <c r="C94" s="297" t="s">
        <v>844</v>
      </c>
      <c r="D94" s="289">
        <f>ROUND((F94*'Pawn Weights'!$H$40)+(G94*'Pawn Weights'!$H$41)+(H94*'Pawn Weights'!$H$42)+(I94*'Pawn Weights'!$H$43)+(J94*'Pawn Weights'!$H$44)+(K94*'Pawn Weights'!$H$45)+(L94*'Pawn Weights'!$H$46)+(M94*'Pawn Weights'!$H$47)+(N94*'Pawn Weights'!$H$48)+(O94*'Pawn Weights'!$H$49)+(P94*'Pawn Weights'!$H$50)+(Q94*'Pawn Weights'!$H$51)+4.42, 2)</f>
        <v>238.08</v>
      </c>
      <c r="E94" s="298">
        <v>33.0</v>
      </c>
      <c r="F94" s="297"/>
      <c r="G94" s="298">
        <v>34.0</v>
      </c>
      <c r="H94" s="298">
        <v>78.0</v>
      </c>
      <c r="I94" s="297"/>
      <c r="J94" s="298">
        <v>23.0</v>
      </c>
      <c r="K94" s="297"/>
      <c r="L94" s="297"/>
      <c r="M94" s="137"/>
      <c r="N94" s="297"/>
      <c r="O94" s="297"/>
      <c r="P94" s="298">
        <v>1.0</v>
      </c>
      <c r="Q94" s="297"/>
      <c r="R94" s="298" t="s">
        <v>711</v>
      </c>
      <c r="S94" s="137"/>
      <c r="T94" s="295"/>
      <c r="U94" s="137"/>
      <c r="V94" s="137"/>
      <c r="W94" s="137"/>
      <c r="X94" s="137"/>
      <c r="Y94" s="137"/>
      <c r="Z94" s="137"/>
    </row>
    <row r="95">
      <c r="A95" s="292" t="s">
        <v>627</v>
      </c>
      <c r="B95" s="288" t="s">
        <v>845</v>
      </c>
      <c r="C95" s="280" t="s">
        <v>846</v>
      </c>
      <c r="D95" s="289">
        <f>ROUND((F95*'Pawn Weights'!$H$40)+(G95*'Pawn Weights'!$H$41)+(H95*'Pawn Weights'!$H$42)+(I95*'Pawn Weights'!$H$43)+(J95*'Pawn Weights'!$H$44)+(K95*'Pawn Weights'!$H$45)+(L95*'Pawn Weights'!$H$46)+(M95*'Pawn Weights'!$H$47)+(N95*'Pawn Weights'!$H$48)+(O95*'Pawn Weights'!$H$49)+(P95*'Pawn Weights'!$H$50)+(Q95*'Pawn Weights'!$H$51), 2)</f>
        <v>229.44</v>
      </c>
      <c r="E95" s="280">
        <v>14.0</v>
      </c>
      <c r="F95" s="280"/>
      <c r="G95" s="280">
        <v>32.0</v>
      </c>
      <c r="H95" s="280">
        <v>66.0</v>
      </c>
      <c r="I95" s="280"/>
      <c r="J95" s="280">
        <v>18.0</v>
      </c>
      <c r="K95" s="280"/>
      <c r="L95" s="280"/>
      <c r="M95" s="281"/>
      <c r="N95" s="280"/>
      <c r="O95" s="280"/>
      <c r="P95" s="280"/>
      <c r="Q95" s="280">
        <v>2.0</v>
      </c>
      <c r="R95" s="290" t="s">
        <v>695</v>
      </c>
      <c r="S95" s="281"/>
      <c r="T95" s="290"/>
      <c r="U95" s="281"/>
      <c r="V95" s="281"/>
      <c r="W95" s="281"/>
    </row>
    <row r="96">
      <c r="A96" s="137"/>
      <c r="B96" s="296" t="s">
        <v>834</v>
      </c>
      <c r="C96" s="297" t="s">
        <v>835</v>
      </c>
      <c r="D96" s="289">
        <f>ROUND((F96*'Pawn Weights'!$H$40)+(G96*'Pawn Weights'!$H$41)+(H96*'Pawn Weights'!$H$42)+(I96*'Pawn Weights'!$H$43)+(J96*'Pawn Weights'!$H$44)+(K96*'Pawn Weights'!$H$45)+(L96*'Pawn Weights'!$H$46)+(M96*'Pawn Weights'!$H$47)+(N96*'Pawn Weights'!$H$48)+(O96*'Pawn Weights'!$H$49)+(P96*'Pawn Weights'!$H$50)+(Q96*'Pawn Weights'!$H$51), 2)</f>
        <v>222.33</v>
      </c>
      <c r="E96" s="298">
        <v>37.0</v>
      </c>
      <c r="F96" s="297"/>
      <c r="G96" s="298">
        <v>29.0</v>
      </c>
      <c r="H96" s="298">
        <v>76.0</v>
      </c>
      <c r="I96" s="298">
        <v>19.0</v>
      </c>
      <c r="J96" s="297"/>
      <c r="K96" s="297"/>
      <c r="L96" s="297"/>
      <c r="M96" s="137"/>
      <c r="N96" s="297"/>
      <c r="O96" s="298">
        <v>1.0</v>
      </c>
      <c r="P96" s="298">
        <v>1.0</v>
      </c>
      <c r="Q96" s="297"/>
      <c r="R96" s="316" t="s">
        <v>812</v>
      </c>
      <c r="S96" s="137"/>
      <c r="T96" s="298"/>
      <c r="U96" s="137"/>
      <c r="V96" s="137"/>
      <c r="W96" s="137"/>
      <c r="X96" s="137"/>
      <c r="Y96" s="137"/>
      <c r="Z96" s="137"/>
    </row>
    <row r="97">
      <c r="A97" s="295"/>
      <c r="B97" s="296" t="s">
        <v>840</v>
      </c>
      <c r="C97" s="297" t="s">
        <v>723</v>
      </c>
      <c r="D97" s="289">
        <f>ROUND((F97*'Pawn Weights'!$H$40)+(G97*'Pawn Weights'!$H$41)+(H97*'Pawn Weights'!$H$42)+(I97*'Pawn Weights'!$H$43)+(J97*'Pawn Weights'!$H$44)+(K97*'Pawn Weights'!$H$45)+(L97*'Pawn Weights'!$H$46)+(M97*'Pawn Weights'!$H$47)+(N97*'Pawn Weights'!$H$48)+(O97*'Pawn Weights'!$H$49)+(P97*'Pawn Weights'!$H$50)+(Q97*'Pawn Weights'!$H$51), 2)</f>
        <v>220.4</v>
      </c>
      <c r="E97" s="298">
        <v>38.0</v>
      </c>
      <c r="F97" s="297"/>
      <c r="G97" s="298">
        <v>27.0</v>
      </c>
      <c r="H97" s="298">
        <v>76.0</v>
      </c>
      <c r="I97" s="297"/>
      <c r="J97" s="297"/>
      <c r="K97" s="298">
        <v>37.0</v>
      </c>
      <c r="L97" s="297"/>
      <c r="M97" s="137"/>
      <c r="N97" s="297"/>
      <c r="O97" s="297"/>
      <c r="P97" s="297"/>
      <c r="Q97" s="297"/>
      <c r="R97" s="295"/>
      <c r="S97" s="137"/>
      <c r="T97" s="298"/>
      <c r="U97" s="137"/>
      <c r="V97" s="137"/>
      <c r="W97" s="137"/>
      <c r="X97" s="137"/>
      <c r="Y97" s="137"/>
      <c r="Z97" s="137"/>
    </row>
    <row r="98">
      <c r="A98" s="137"/>
      <c r="B98" s="296" t="s">
        <v>838</v>
      </c>
      <c r="C98" s="297" t="s">
        <v>839</v>
      </c>
      <c r="D98" s="289">
        <f>ROUND((F98*'Pawn Weights'!$H$40)+(G98*'Pawn Weights'!$H$41)+(H98*'Pawn Weights'!$H$42)+(I98*'Pawn Weights'!$H$43)+(J98*'Pawn Weights'!$H$44)+(K98*'Pawn Weights'!$H$45)+(L98*'Pawn Weights'!$H$46)+(M98*'Pawn Weights'!$H$47)+(N98*'Pawn Weights'!$H$48)+(O98*'Pawn Weights'!$H$49)+(P98*'Pawn Weights'!$H$50)+(Q98*'Pawn Weights'!$H$51), 2)</f>
        <v>200.79</v>
      </c>
      <c r="E98" s="298">
        <v>27.0</v>
      </c>
      <c r="F98" s="297"/>
      <c r="G98" s="298">
        <v>25.0</v>
      </c>
      <c r="H98" s="298">
        <v>58.0</v>
      </c>
      <c r="I98" s="298">
        <v>21.0</v>
      </c>
      <c r="J98" s="297"/>
      <c r="K98" s="297"/>
      <c r="L98" s="297"/>
      <c r="M98" s="359">
        <v>77.0</v>
      </c>
      <c r="N98" s="297"/>
      <c r="O98" s="297"/>
      <c r="P98" s="297"/>
      <c r="Q98" s="298">
        <v>1.0</v>
      </c>
      <c r="R98" s="298" t="s">
        <v>660</v>
      </c>
      <c r="S98" s="137"/>
      <c r="T98" s="298"/>
      <c r="U98" s="137"/>
      <c r="V98" s="137"/>
      <c r="W98" s="137"/>
      <c r="X98" s="137"/>
      <c r="Y98" s="137"/>
      <c r="Z98" s="137"/>
    </row>
    <row r="99">
      <c r="A99" s="281"/>
      <c r="B99" s="288" t="s">
        <v>1228</v>
      </c>
      <c r="C99" s="280" t="s">
        <v>1229</v>
      </c>
      <c r="D99" s="289">
        <f>ROUND((F99*'Pawn Weights'!$H$40)+(G99*'Pawn Weights'!$H$41)+(H99*'Pawn Weights'!$H$42)+(I99*'Pawn Weights'!$H$43)+(J99*'Pawn Weights'!$H$44)+(K99*'Pawn Weights'!$H$45)+(L99*'Pawn Weights'!$H$46)+(M99*'Pawn Weights'!$H$47)+(N99*'Pawn Weights'!$H$48)+(O99*'Pawn Weights'!$H$49)+(P99*'Pawn Weights'!$H$50)+(Q99*'Pawn Weights'!$H$51), 2)</f>
        <v>166.68</v>
      </c>
      <c r="E99" s="280">
        <v>28.0</v>
      </c>
      <c r="F99" s="280"/>
      <c r="G99" s="280">
        <v>28.0</v>
      </c>
      <c r="H99" s="280">
        <v>56.0</v>
      </c>
      <c r="I99" s="280"/>
      <c r="J99" s="280">
        <v>20.0</v>
      </c>
      <c r="K99" s="280"/>
      <c r="L99" s="280"/>
      <c r="M99" s="281"/>
      <c r="N99" s="280"/>
      <c r="O99" s="280"/>
      <c r="P99" s="280"/>
      <c r="Q99" s="280"/>
      <c r="R99" s="290"/>
      <c r="S99" s="281"/>
      <c r="T99" s="290"/>
      <c r="U99" s="281"/>
      <c r="V99" s="281"/>
      <c r="W99" s="281"/>
    </row>
    <row r="100">
      <c r="A100" s="281"/>
      <c r="B100" s="288" t="s">
        <v>1100</v>
      </c>
      <c r="C100" s="280" t="s">
        <v>823</v>
      </c>
      <c r="D100" s="289">
        <f>ROUND((F100*'Pawn Weights'!$H$40)+(G100*'Pawn Weights'!$H$41)+(H100*'Pawn Weights'!$H$42)+(I100*'Pawn Weights'!$H$43)+(J100*'Pawn Weights'!$H$44)+(K100*'Pawn Weights'!$H$45)+(L100*'Pawn Weights'!$H$46)+(M100*'Pawn Weights'!$H$47)+(N100*'Pawn Weights'!$H$48)+(O100*'Pawn Weights'!$H$49)+(P100*'Pawn Weights'!$H$50)+(Q100*'Pawn Weights'!$H$51), 2)</f>
        <v>164.8</v>
      </c>
      <c r="E100" s="280">
        <v>27.0</v>
      </c>
      <c r="F100" s="280"/>
      <c r="G100" s="280"/>
      <c r="H100" s="280">
        <v>72.0</v>
      </c>
      <c r="I100" s="280">
        <v>25.0</v>
      </c>
      <c r="J100" s="280"/>
      <c r="K100" s="280"/>
      <c r="L100" s="280"/>
      <c r="M100" s="281"/>
      <c r="N100" s="280"/>
      <c r="O100" s="280"/>
      <c r="P100" s="280">
        <v>1.0</v>
      </c>
      <c r="Q100" s="280">
        <v>1.0</v>
      </c>
      <c r="R100" s="290" t="s">
        <v>702</v>
      </c>
      <c r="S100" s="281"/>
      <c r="T100" s="290"/>
      <c r="U100" s="281"/>
      <c r="V100" s="281"/>
      <c r="W100" s="281"/>
    </row>
    <row r="101">
      <c r="A101" s="272" t="s">
        <v>852</v>
      </c>
      <c r="B101" s="281"/>
      <c r="C101" s="281"/>
      <c r="D101" s="360"/>
      <c r="E101" s="281"/>
      <c r="F101" s="281"/>
      <c r="G101" s="281"/>
      <c r="H101" s="281"/>
      <c r="I101" s="281"/>
      <c r="J101" s="281"/>
      <c r="K101" s="281"/>
      <c r="L101" s="281"/>
      <c r="M101" s="281"/>
      <c r="N101" s="281"/>
      <c r="O101" s="281"/>
      <c r="P101" s="281"/>
      <c r="Q101" s="281"/>
      <c r="R101" s="282"/>
      <c r="S101" s="281"/>
      <c r="T101" s="282"/>
      <c r="U101" s="281"/>
      <c r="V101" s="281"/>
      <c r="W101" s="281"/>
    </row>
    <row r="102">
      <c r="A102" s="137"/>
      <c r="B102" s="341" t="s">
        <v>869</v>
      </c>
      <c r="C102" s="361" t="s">
        <v>865</v>
      </c>
      <c r="D102" s="289">
        <f>ROUND((F102*'Pawn Weights'!$H$40)+(G102*'Pawn Weights'!$H$41)+(H102*'Pawn Weights'!$H$42)+(I102*'Pawn Weights'!$H$43)+(J102*'Pawn Weights'!$H$44)+(K102*'Pawn Weights'!$H$45)+(L102*'Pawn Weights'!$H$46)+(M102*'Pawn Weights'!$H$47)+(N102*'Pawn Weights'!$H$48)+(O102*'Pawn Weights'!$H$49)+(P102*'Pawn Weights'!$H$50)+(Q102*'Pawn Weights'!$H$51), 2)</f>
        <v>321.03</v>
      </c>
      <c r="E102" s="359">
        <v>45.0</v>
      </c>
      <c r="F102" s="361"/>
      <c r="G102" s="359">
        <v>43.0</v>
      </c>
      <c r="H102" s="359">
        <v>104.0</v>
      </c>
      <c r="I102" s="361"/>
      <c r="J102" s="359">
        <v>30.0</v>
      </c>
      <c r="K102" s="361"/>
      <c r="L102" s="361"/>
      <c r="M102" s="361"/>
      <c r="N102" s="361"/>
      <c r="O102" s="361"/>
      <c r="P102" s="359">
        <v>1.0</v>
      </c>
      <c r="Q102" s="359">
        <v>1.0</v>
      </c>
      <c r="R102" s="359" t="s">
        <v>832</v>
      </c>
      <c r="S102" s="137"/>
      <c r="T102" s="137"/>
      <c r="U102" s="137"/>
      <c r="V102" s="137"/>
      <c r="W102" s="137"/>
      <c r="X102" s="137"/>
      <c r="Y102" s="137"/>
      <c r="Z102" s="137"/>
    </row>
    <row r="103">
      <c r="A103" s="301" t="s">
        <v>640</v>
      </c>
      <c r="B103" s="288" t="s">
        <v>1230</v>
      </c>
      <c r="C103" s="280" t="s">
        <v>639</v>
      </c>
      <c r="D103" s="289">
        <f>ROUND((F103*'Pawn Weights'!$H$40)+(G103*'Pawn Weights'!$H$41)+(H103*'Pawn Weights'!$H$42)+(I103*'Pawn Weights'!$H$43)+(J103*'Pawn Weights'!$H$44)+(K103*'Pawn Weights'!$H$45)+(L103*'Pawn Weights'!$H$46)+(M103*'Pawn Weights'!$H$47)+(N103*'Pawn Weights'!$H$48)+(O103*'Pawn Weights'!$H$49)+(P103*'Pawn Weights'!$H$50)+(Q103*'Pawn Weights'!$H$51), 2)</f>
        <v>299.26</v>
      </c>
      <c r="E103" s="280">
        <v>54.0</v>
      </c>
      <c r="F103" s="280"/>
      <c r="G103" s="280">
        <v>46.0</v>
      </c>
      <c r="H103" s="280">
        <v>94.0</v>
      </c>
      <c r="I103" s="280">
        <v>45.0</v>
      </c>
      <c r="J103" s="280"/>
      <c r="K103" s="280"/>
      <c r="L103" s="280"/>
      <c r="M103" s="280"/>
      <c r="N103" s="280"/>
      <c r="O103" s="280"/>
      <c r="P103" s="280"/>
      <c r="Q103" s="280">
        <v>1.0</v>
      </c>
      <c r="R103" s="290" t="s">
        <v>660</v>
      </c>
      <c r="S103" s="281"/>
      <c r="T103" s="310"/>
      <c r="U103" s="281"/>
      <c r="V103" s="281"/>
      <c r="W103" s="281"/>
      <c r="X103" s="281"/>
    </row>
    <row r="104">
      <c r="A104" s="301"/>
      <c r="B104" s="288" t="s">
        <v>880</v>
      </c>
      <c r="C104" s="280" t="s">
        <v>881</v>
      </c>
      <c r="D104" s="289">
        <f>ROUND((F104*'Pawn Weights'!$H$40)+(G104*'Pawn Weights'!$H$41)+(H104*'Pawn Weights'!$H$42)+(I104*'Pawn Weights'!$H$43)+(J104*'Pawn Weights'!$H$44)+(K104*'Pawn Weights'!$H$45)+(L104*'Pawn Weights'!$H$46)+(M104*'Pawn Weights'!$H$47)+(N104*'Pawn Weights'!$H$48)+(O104*'Pawn Weights'!$H$49)+(P104*'Pawn Weights'!$H$50)+(Q104*'Pawn Weights'!$H$51), 2)</f>
        <v>276.24</v>
      </c>
      <c r="E104" s="280">
        <v>28.0</v>
      </c>
      <c r="F104" s="280"/>
      <c r="G104" s="280">
        <v>32.0</v>
      </c>
      <c r="H104" s="280">
        <v>64.0</v>
      </c>
      <c r="I104" s="280"/>
      <c r="J104" s="280">
        <v>28.0</v>
      </c>
      <c r="K104" s="280"/>
      <c r="L104" s="280"/>
      <c r="M104" s="280"/>
      <c r="N104" s="280"/>
      <c r="O104" s="280">
        <v>2.0</v>
      </c>
      <c r="P104" s="280"/>
      <c r="Q104" s="280">
        <v>1.0</v>
      </c>
      <c r="R104" s="290" t="s">
        <v>882</v>
      </c>
      <c r="S104" s="281"/>
      <c r="T104" s="310"/>
      <c r="U104" s="281"/>
      <c r="V104" s="281"/>
      <c r="W104" s="281"/>
      <c r="X104" s="281"/>
    </row>
    <row r="105">
      <c r="A105" s="295"/>
      <c r="B105" s="296" t="s">
        <v>868</v>
      </c>
      <c r="C105" s="297" t="s">
        <v>814</v>
      </c>
      <c r="D105" s="289">
        <f>ROUND((F105*'Pawn Weights'!$H$40)+(G105*'Pawn Weights'!$H$41)+(H105*'Pawn Weights'!$H$42)+(I105*'Pawn Weights'!$H$43)+(J105*'Pawn Weights'!$H$44)+(K105*'Pawn Weights'!$H$45)+(L105*'Pawn Weights'!$H$46)+(M105*'Pawn Weights'!$H$47)+(N105*'Pawn Weights'!$H$48)+(O105*'Pawn Weights'!$H$49)+(P105*'Pawn Weights'!$H$50)+(Q105*'Pawn Weights'!$H$51), 2)</f>
        <v>272</v>
      </c>
      <c r="E105" s="298">
        <v>61.0</v>
      </c>
      <c r="F105" s="297"/>
      <c r="G105" s="298">
        <v>50.0</v>
      </c>
      <c r="H105" s="298">
        <v>102.0</v>
      </c>
      <c r="I105" s="297"/>
      <c r="J105" s="297"/>
      <c r="K105" s="297"/>
      <c r="L105" s="297"/>
      <c r="M105" s="298">
        <v>175.0</v>
      </c>
      <c r="N105" s="297"/>
      <c r="O105" s="297"/>
      <c r="P105" s="297"/>
      <c r="Q105" s="297"/>
      <c r="R105" s="295"/>
      <c r="S105" s="137"/>
      <c r="T105" s="298"/>
      <c r="U105" s="137"/>
      <c r="V105" s="137"/>
      <c r="W105" s="137"/>
      <c r="X105" s="137"/>
      <c r="Y105" s="137"/>
      <c r="Z105" s="137"/>
    </row>
    <row r="106">
      <c r="A106" s="295" t="s">
        <v>635</v>
      </c>
      <c r="B106" s="296" t="s">
        <v>1231</v>
      </c>
      <c r="C106" s="297" t="s">
        <v>637</v>
      </c>
      <c r="D106" s="289">
        <f>ROUND((F106*'Pawn Weights'!$H$40)+(G106*'Pawn Weights'!$H$41)+(H106*'Pawn Weights'!$H$42)+(I106*'Pawn Weights'!$H$43)+(J106*'Pawn Weights'!$H$44)+(K106*'Pawn Weights'!$H$45)+(L106*'Pawn Weights'!$H$46)+(M106*'Pawn Weights'!$H$47)+(N106*'Pawn Weights'!$H$48)+(O106*'Pawn Weights'!$H$49)+(P106*'Pawn Weights'!$H$50)+(Q106*'Pawn Weights'!$H$51), 2)</f>
        <v>271.24</v>
      </c>
      <c r="E106" s="298">
        <v>74.0</v>
      </c>
      <c r="F106" s="295"/>
      <c r="G106" s="298">
        <v>40.0</v>
      </c>
      <c r="H106" s="298">
        <v>60.0</v>
      </c>
      <c r="I106" s="298">
        <v>30.0</v>
      </c>
      <c r="J106" s="298">
        <v>17.0</v>
      </c>
      <c r="K106" s="297"/>
      <c r="L106" s="297"/>
      <c r="M106" s="295">
        <v>84.0</v>
      </c>
      <c r="N106" s="297"/>
      <c r="O106" s="297"/>
      <c r="P106" s="297"/>
      <c r="Q106" s="297"/>
      <c r="R106" s="295"/>
      <c r="S106" s="137"/>
      <c r="T106" s="297" t="s">
        <v>861</v>
      </c>
      <c r="U106" s="137"/>
      <c r="V106" s="137"/>
      <c r="W106" s="137"/>
      <c r="X106" s="137"/>
      <c r="Y106" s="137"/>
      <c r="Z106" s="137"/>
    </row>
    <row r="107">
      <c r="A107" s="295"/>
      <c r="B107" s="296" t="s">
        <v>1234</v>
      </c>
      <c r="C107" s="297" t="s">
        <v>879</v>
      </c>
      <c r="D107" s="289">
        <f>ROUND((F107*'Pawn Weights'!$H$40)+(G107*'Pawn Weights'!$H$41)+(H107*'Pawn Weights'!$H$42)+(I107*'Pawn Weights'!$H$43)+(J107*'Pawn Weights'!$H$44)+(K107*'Pawn Weights'!$H$45)+(L107*'Pawn Weights'!$H$46)+(M107*'Pawn Weights'!$H$47)+(N107*'Pawn Weights'!$H$48)+(O107*'Pawn Weights'!$H$49)+(P107*'Pawn Weights'!$H$50)+(Q107*'Pawn Weights'!$H$51), 2)</f>
        <v>260.15</v>
      </c>
      <c r="E107" s="298">
        <v>46.0</v>
      </c>
      <c r="F107" s="297"/>
      <c r="G107" s="298">
        <v>45.0</v>
      </c>
      <c r="H107" s="298">
        <v>92.0</v>
      </c>
      <c r="I107" s="297"/>
      <c r="J107" s="297"/>
      <c r="K107" s="298">
        <v>30.0</v>
      </c>
      <c r="L107" s="297"/>
      <c r="M107" s="297"/>
      <c r="N107" s="297"/>
      <c r="O107" s="297"/>
      <c r="P107" s="297"/>
      <c r="Q107" s="297"/>
      <c r="R107" s="295"/>
      <c r="S107" s="137"/>
      <c r="T107" s="298"/>
      <c r="U107" s="137"/>
      <c r="V107" s="137"/>
      <c r="W107" s="137"/>
      <c r="X107" s="137"/>
      <c r="Y107" s="137"/>
      <c r="Z107" s="137"/>
    </row>
    <row r="108">
      <c r="A108" s="301" t="s">
        <v>647</v>
      </c>
      <c r="B108" s="288" t="s">
        <v>1232</v>
      </c>
      <c r="C108" s="280" t="s">
        <v>1233</v>
      </c>
      <c r="D108" s="289">
        <f>ROUND((F108*'Pawn Weights'!$H$40)+(G108*'Pawn Weights'!$H$41)+(H108*'Pawn Weights'!$H$42)+(I108*'Pawn Weights'!$H$43)+(J108*'Pawn Weights'!$H$44)+(K108*'Pawn Weights'!$H$45)+(L108*'Pawn Weights'!$H$46)+(M108*'Pawn Weights'!$H$47)+(N108*'Pawn Weights'!$H$48)+(O108*'Pawn Weights'!$H$49)+(P108*'Pawn Weights'!$H$50)+(Q108*'Pawn Weights'!$H$51), 2)</f>
        <v>260.03</v>
      </c>
      <c r="E108" s="280">
        <v>49.0</v>
      </c>
      <c r="F108" s="280"/>
      <c r="G108" s="280">
        <v>47.0</v>
      </c>
      <c r="H108" s="280">
        <v>86.0</v>
      </c>
      <c r="I108" s="280">
        <v>26.0</v>
      </c>
      <c r="J108" s="280"/>
      <c r="K108" s="280"/>
      <c r="L108" s="280"/>
      <c r="M108" s="280"/>
      <c r="N108" s="280"/>
      <c r="O108" s="280"/>
      <c r="P108" s="280"/>
      <c r="Q108" s="280">
        <v>1.0</v>
      </c>
      <c r="R108" s="290" t="s">
        <v>660</v>
      </c>
      <c r="S108" s="281"/>
      <c r="T108" s="310"/>
      <c r="U108" s="281"/>
      <c r="V108" s="281"/>
      <c r="W108" s="281"/>
      <c r="X108" s="281"/>
    </row>
    <row r="109">
      <c r="A109" s="301"/>
      <c r="B109" s="288" t="s">
        <v>874</v>
      </c>
      <c r="C109" s="280" t="s">
        <v>741</v>
      </c>
      <c r="D109" s="289">
        <f>ROUND((F109*'Pawn Weights'!$H$40)+(G109*'Pawn Weights'!$H$41)+(H109*'Pawn Weights'!$H$42)+(I109*'Pawn Weights'!$H$43)+(J109*'Pawn Weights'!$H$44)+(K109*'Pawn Weights'!$H$45)+(L109*'Pawn Weights'!$H$46)+(M109*'Pawn Weights'!$H$47)+(N109*'Pawn Weights'!$H$48)+(O109*'Pawn Weights'!$H$49)+(P109*'Pawn Weights'!$H$50)+(Q109*'Pawn Weights'!$H$51), 2)</f>
        <v>256.57</v>
      </c>
      <c r="E109" s="280">
        <v>31.0</v>
      </c>
      <c r="F109" s="280"/>
      <c r="G109" s="280">
        <v>45.0</v>
      </c>
      <c r="H109" s="280">
        <v>92.0</v>
      </c>
      <c r="I109" s="280">
        <v>37.0</v>
      </c>
      <c r="J109" s="280"/>
      <c r="K109" s="280"/>
      <c r="L109" s="280"/>
      <c r="M109" s="280"/>
      <c r="N109" s="280"/>
      <c r="O109" s="280"/>
      <c r="P109" s="280"/>
      <c r="Q109" s="280"/>
      <c r="R109" s="290"/>
      <c r="S109" s="281"/>
      <c r="T109" s="310"/>
      <c r="U109" s="281"/>
      <c r="V109" s="281"/>
      <c r="W109" s="281"/>
      <c r="X109" s="281"/>
    </row>
    <row r="110">
      <c r="A110" s="301" t="s">
        <v>654</v>
      </c>
      <c r="B110" s="288" t="s">
        <v>1236</v>
      </c>
      <c r="C110" s="280" t="s">
        <v>823</v>
      </c>
      <c r="D110" s="289">
        <f>ROUND((F110*'Pawn Weights'!$H$40)+(G110*'Pawn Weights'!$H$41)+(H110*'Pawn Weights'!$H$42)+(I110*'Pawn Weights'!$H$43)+(J110*'Pawn Weights'!$H$44)+(K110*'Pawn Weights'!$H$45)+(L110*'Pawn Weights'!$H$46)+(M110*'Pawn Weights'!$H$47)+(N110*'Pawn Weights'!$H$48)+(O110*'Pawn Weights'!$H$49)+(P110*'Pawn Weights'!$H$50)+(Q110*'Pawn Weights'!$H$51), 2)</f>
        <v>242.47</v>
      </c>
      <c r="E110" s="280">
        <v>40.0</v>
      </c>
      <c r="F110" s="280"/>
      <c r="G110" s="280">
        <v>43.0</v>
      </c>
      <c r="H110" s="280">
        <v>84.0</v>
      </c>
      <c r="I110" s="280"/>
      <c r="J110" s="280">
        <v>26.0</v>
      </c>
      <c r="K110" s="280"/>
      <c r="L110" s="280"/>
      <c r="M110" s="280"/>
      <c r="N110" s="280"/>
      <c r="O110" s="280"/>
      <c r="P110" s="280"/>
      <c r="Q110" s="280"/>
      <c r="R110" s="290"/>
      <c r="S110" s="281"/>
      <c r="T110" s="310"/>
      <c r="U110" s="281"/>
      <c r="V110" s="281"/>
      <c r="W110" s="281"/>
      <c r="X110" s="281"/>
    </row>
    <row r="111">
      <c r="A111" s="301" t="s">
        <v>627</v>
      </c>
      <c r="B111" s="311" t="s">
        <v>1235</v>
      </c>
      <c r="C111" s="280" t="s">
        <v>904</v>
      </c>
      <c r="D111" s="289">
        <f>ROUND((F111*'Pawn Weights'!$H$40)+(G111*'Pawn Weights'!$H$41)+(H111*'Pawn Weights'!$H$42)+(I111*'Pawn Weights'!$H$43)+(J111*'Pawn Weights'!$H$44)+(K111*'Pawn Weights'!$H$45)+(L111*'Pawn Weights'!$H$46)+(M111*'Pawn Weights'!$H$47)+(N111*'Pawn Weights'!$H$48)+(O111*'Pawn Weights'!$H$49)+(P111*'Pawn Weights'!$H$50)+(Q111*'Pawn Weights'!$H$51)-24.4+23.25+8, 2)</f>
        <v>237.05</v>
      </c>
      <c r="E111" s="280"/>
      <c r="F111" s="280"/>
      <c r="G111" s="280"/>
      <c r="H111" s="280">
        <v>52.0</v>
      </c>
      <c r="I111" s="280">
        <v>25.0</v>
      </c>
      <c r="J111" s="280">
        <v>25.0</v>
      </c>
      <c r="K111" s="280"/>
      <c r="L111" s="280"/>
      <c r="M111" s="280"/>
      <c r="N111" s="280"/>
      <c r="O111" s="280">
        <v>1.0</v>
      </c>
      <c r="P111" s="280">
        <v>2.0</v>
      </c>
      <c r="Q111" s="280"/>
      <c r="R111" s="290" t="s">
        <v>745</v>
      </c>
      <c r="S111" s="281"/>
      <c r="T111" s="310"/>
      <c r="U111" s="281"/>
      <c r="V111" s="281"/>
      <c r="W111" s="281"/>
      <c r="X111" s="281"/>
    </row>
    <row r="112">
      <c r="A112" s="295"/>
      <c r="B112" s="296" t="s">
        <v>876</v>
      </c>
      <c r="C112" s="297" t="s">
        <v>865</v>
      </c>
      <c r="D112" s="289">
        <f>ROUND((F112*'Pawn Weights'!$H$40)+(G112*'Pawn Weights'!$H$41)+(H112*'Pawn Weights'!$H$42)+(I112*'Pawn Weights'!$H$43)+(J112*'Pawn Weights'!$H$44)+(K112*'Pawn Weights'!$H$45)+(L112*'Pawn Weights'!$H$46)+(M112*'Pawn Weights'!$H$47)+(N112*'Pawn Weights'!$H$48)+(O112*'Pawn Weights'!$H$49)+(P112*'Pawn Weights'!$H$50)+(Q112*'Pawn Weights'!$H$51), 2)</f>
        <v>232.63</v>
      </c>
      <c r="E112" s="298">
        <v>52.0</v>
      </c>
      <c r="F112" s="298">
        <v>39.0</v>
      </c>
      <c r="G112" s="298">
        <v>45.0</v>
      </c>
      <c r="H112" s="297"/>
      <c r="I112" s="297"/>
      <c r="J112" s="298">
        <v>17.0</v>
      </c>
      <c r="K112" s="297"/>
      <c r="L112" s="297"/>
      <c r="M112" s="297"/>
      <c r="N112" s="297"/>
      <c r="O112" s="298">
        <v>1.0</v>
      </c>
      <c r="P112" s="298">
        <v>1.0</v>
      </c>
      <c r="Q112" s="297"/>
      <c r="R112" s="298" t="s">
        <v>812</v>
      </c>
      <c r="S112" s="137"/>
      <c r="T112" s="295"/>
      <c r="U112" s="137"/>
      <c r="V112" s="137"/>
      <c r="W112" s="137"/>
      <c r="X112" s="137"/>
      <c r="Y112" s="137"/>
      <c r="Z112" s="137"/>
    </row>
    <row r="113">
      <c r="A113" s="301" t="s">
        <v>644</v>
      </c>
      <c r="B113" s="288" t="s">
        <v>1237</v>
      </c>
      <c r="C113" s="280" t="s">
        <v>646</v>
      </c>
      <c r="D113" s="289">
        <f>ROUND((F113*'Pawn Weights'!$H$40)+(G113*'Pawn Weights'!$H$41)+(H113*'Pawn Weights'!$H$42)+(I113*'Pawn Weights'!$H$43)+(J113*'Pawn Weights'!$H$44)+(K113*'Pawn Weights'!$H$45)+(L113*'Pawn Weights'!$H$46)+(M113*'Pawn Weights'!$H$47)+(N113*'Pawn Weights'!$H$48)+(O113*'Pawn Weights'!$H$49)+(P113*'Pawn Weights'!$H$50)+(Q113*'Pawn Weights'!$H$51), 2)</f>
        <v>229.19</v>
      </c>
      <c r="E113" s="280">
        <v>67.0</v>
      </c>
      <c r="F113" s="280"/>
      <c r="G113" s="280">
        <v>35.0</v>
      </c>
      <c r="H113" s="280">
        <v>50.0</v>
      </c>
      <c r="I113" s="280">
        <v>25.0</v>
      </c>
      <c r="J113" s="280">
        <v>12.0</v>
      </c>
      <c r="K113" s="280"/>
      <c r="L113" s="280"/>
      <c r="M113" s="280">
        <v>84.0</v>
      </c>
      <c r="N113" s="280"/>
      <c r="O113" s="280"/>
      <c r="P113" s="280"/>
      <c r="Q113" s="280"/>
      <c r="R113" s="290"/>
      <c r="S113" s="281"/>
      <c r="T113" s="310"/>
      <c r="U113" s="281"/>
      <c r="V113" s="281"/>
      <c r="W113" s="281"/>
      <c r="X113" s="281"/>
    </row>
    <row r="114">
      <c r="A114" s="309"/>
      <c r="B114" s="288" t="s">
        <v>1238</v>
      </c>
      <c r="C114" s="280" t="s">
        <v>1239</v>
      </c>
      <c r="D114" s="289">
        <f>ROUND((F114*'Pawn Weights'!$H$40)+(G114*'Pawn Weights'!$H$41)+(H114*'Pawn Weights'!$H$42)+(I114*'Pawn Weights'!$H$43)+(J114*'Pawn Weights'!$H$44)+(K114*'Pawn Weights'!$H$45)+(L114*'Pawn Weights'!$H$46)+(M114*'Pawn Weights'!$H$47)+(N114*'Pawn Weights'!$H$48)+(O114*'Pawn Weights'!$H$49)+(P114*'Pawn Weights'!$H$50)+(Q114*'Pawn Weights'!$H$51), 2)</f>
        <v>226.2</v>
      </c>
      <c r="E114" s="280">
        <v>30.0</v>
      </c>
      <c r="F114" s="280"/>
      <c r="G114" s="280"/>
      <c r="H114" s="280">
        <v>64.0</v>
      </c>
      <c r="I114" s="280">
        <v>27.0</v>
      </c>
      <c r="J114" s="280">
        <v>17.0</v>
      </c>
      <c r="K114" s="280"/>
      <c r="L114" s="280"/>
      <c r="M114" s="281"/>
      <c r="N114" s="280"/>
      <c r="O114" s="280">
        <v>2.0</v>
      </c>
      <c r="P114" s="280"/>
      <c r="Q114" s="280">
        <v>1.0</v>
      </c>
      <c r="R114" s="290" t="s">
        <v>626</v>
      </c>
      <c r="S114" s="281"/>
      <c r="T114" s="290"/>
      <c r="U114" s="281"/>
      <c r="V114" s="281"/>
      <c r="W114" s="281"/>
    </row>
    <row r="115">
      <c r="A115" s="272" t="s">
        <v>883</v>
      </c>
      <c r="B115" s="281"/>
      <c r="C115" s="281"/>
      <c r="D115" s="360"/>
      <c r="E115" s="281"/>
      <c r="F115" s="281"/>
      <c r="G115" s="281"/>
      <c r="H115" s="281"/>
      <c r="I115" s="281"/>
      <c r="J115" s="281"/>
      <c r="K115" s="281"/>
      <c r="L115" s="281"/>
      <c r="M115" s="281"/>
      <c r="N115" s="281"/>
      <c r="O115" s="281"/>
      <c r="P115" s="281"/>
      <c r="Q115" s="281"/>
      <c r="R115" s="282"/>
      <c r="S115" s="281"/>
      <c r="T115" s="282"/>
      <c r="U115" s="281"/>
      <c r="V115" s="281"/>
      <c r="W115" s="281"/>
    </row>
    <row r="116">
      <c r="A116" s="137"/>
      <c r="B116" s="296" t="s">
        <v>888</v>
      </c>
      <c r="C116" s="297" t="s">
        <v>889</v>
      </c>
      <c r="D116" s="289">
        <f>ROUND((F116*'Pawn Weights'!$H$40)+(G116*'Pawn Weights'!$H$41)+(H116*'Pawn Weights'!$H$42)+(I116*'Pawn Weights'!$H$43)+(J116*'Pawn Weights'!$H$44)+(K116*'Pawn Weights'!$H$45)+(L116*'Pawn Weights'!$H$46)+(M116*'Pawn Weights'!$H$47)+(N116*'Pawn Weights'!$H$48)+(O116*'Pawn Weights'!$H$49)+(P116*'Pawn Weights'!$H$50)+(Q116*'Pawn Weights'!$H$51), 2)</f>
        <v>226.57</v>
      </c>
      <c r="E116" s="298">
        <v>21.0</v>
      </c>
      <c r="F116" s="297"/>
      <c r="G116" s="298">
        <v>29.0</v>
      </c>
      <c r="H116" s="298">
        <v>60.0</v>
      </c>
      <c r="I116" s="297"/>
      <c r="J116" s="298">
        <v>22.0</v>
      </c>
      <c r="K116" s="297"/>
      <c r="L116" s="297"/>
      <c r="M116" s="137"/>
      <c r="N116" s="297"/>
      <c r="O116" s="298">
        <v>1.0</v>
      </c>
      <c r="P116" s="297"/>
      <c r="Q116" s="298">
        <v>1.0</v>
      </c>
      <c r="R116" s="298" t="s">
        <v>832</v>
      </c>
      <c r="S116" s="137"/>
      <c r="T116" s="298"/>
      <c r="U116" s="137"/>
      <c r="V116" s="137"/>
      <c r="W116" s="137"/>
      <c r="X116" s="137"/>
      <c r="Y116" s="137"/>
      <c r="Z116" s="137"/>
    </row>
    <row r="117">
      <c r="A117" s="137"/>
      <c r="B117" s="296" t="s">
        <v>886</v>
      </c>
      <c r="C117" s="297" t="s">
        <v>701</v>
      </c>
      <c r="D117" s="289">
        <f>ROUND((F117*'Pawn Weights'!$H$40)+(G117*'Pawn Weights'!$H$41)+(H117*'Pawn Weights'!$H$42)+(I117*'Pawn Weights'!$H$43)+(J117*'Pawn Weights'!$H$44)+(K117*'Pawn Weights'!$H$45)+(L117*'Pawn Weights'!$H$46)+(M117*'Pawn Weights'!$H$47)+(N117*'Pawn Weights'!$H$48)+(O117*'Pawn Weights'!$H$49)+(P117*'Pawn Weights'!$H$50)+(Q117*'Pawn Weights'!$H$51)-24.4+23.25+5.28, 2)</f>
        <v>225.15</v>
      </c>
      <c r="E117" s="298">
        <v>38.0</v>
      </c>
      <c r="F117" s="297"/>
      <c r="G117" s="298">
        <v>30.0</v>
      </c>
      <c r="H117" s="298">
        <v>76.0</v>
      </c>
      <c r="I117" s="298">
        <v>17.0</v>
      </c>
      <c r="J117" s="297"/>
      <c r="K117" s="297"/>
      <c r="L117" s="297"/>
      <c r="M117" s="137"/>
      <c r="N117" s="297"/>
      <c r="O117" s="298">
        <v>1.0</v>
      </c>
      <c r="P117" s="298">
        <v>1.0</v>
      </c>
      <c r="Q117" s="297"/>
      <c r="R117" s="298" t="s">
        <v>702</v>
      </c>
      <c r="S117" s="137"/>
      <c r="T117" s="298"/>
      <c r="U117" s="137"/>
      <c r="V117" s="137"/>
      <c r="W117" s="137"/>
      <c r="X117" s="137"/>
      <c r="Y117" s="137"/>
      <c r="Z117" s="137"/>
    </row>
    <row r="118">
      <c r="A118" s="309"/>
      <c r="B118" s="288" t="s">
        <v>1103</v>
      </c>
      <c r="C118" s="280" t="s">
        <v>1104</v>
      </c>
      <c r="D118" s="289">
        <f>ROUND((F118*'Pawn Weights'!$H$40)+(G118*'Pawn Weights'!$H$41)+(H118*'Pawn Weights'!$H$42)+(I118*'Pawn Weights'!$H$43)+(J118*'Pawn Weights'!$H$44)+(K118*'Pawn Weights'!$H$45)+(L118*'Pawn Weights'!$H$46)+(M118*'Pawn Weights'!$H$47)+(N118*'Pawn Weights'!$H$48)+(O118*'Pawn Weights'!$H$49)+(P118*'Pawn Weights'!$H$50)+(Q118*'Pawn Weights'!$H$51)-24.4+23.25+7.32, 2)</f>
        <v>194.78</v>
      </c>
      <c r="E118" s="280">
        <v>28.0</v>
      </c>
      <c r="F118" s="280"/>
      <c r="G118" s="280">
        <v>29.0</v>
      </c>
      <c r="H118" s="280">
        <v>44.0</v>
      </c>
      <c r="I118" s="280"/>
      <c r="J118" s="280">
        <v>13.0</v>
      </c>
      <c r="K118" s="280"/>
      <c r="L118" s="280"/>
      <c r="M118" s="281"/>
      <c r="N118" s="280"/>
      <c r="O118" s="280">
        <v>1.0</v>
      </c>
      <c r="P118" s="280">
        <v>1.0</v>
      </c>
      <c r="Q118" s="280"/>
      <c r="R118" s="290" t="s">
        <v>832</v>
      </c>
      <c r="S118" s="281"/>
      <c r="T118" s="290"/>
      <c r="U118" s="281"/>
      <c r="V118" s="281"/>
      <c r="W118" s="281"/>
    </row>
    <row r="119">
      <c r="A119" s="137"/>
      <c r="B119" s="296" t="s">
        <v>890</v>
      </c>
      <c r="C119" s="297" t="s">
        <v>773</v>
      </c>
      <c r="D119" s="289">
        <f>ROUND((F119*'Pawn Weights'!$H$40)+(G119*'Pawn Weights'!$H$41)+(H119*'Pawn Weights'!$H$42)+(I119*'Pawn Weights'!$H$43)+(J119*'Pawn Weights'!$H$44)+(K119*'Pawn Weights'!$H$45)+(L119*'Pawn Weights'!$H$46)+(M119*'Pawn Weights'!$H$47)+(N119*'Pawn Weights'!$H$48)+(O119*'Pawn Weights'!$H$49)+(P119*'Pawn Weights'!$H$50)+(Q119*'Pawn Weights'!$H$51), 2)</f>
        <v>187.12</v>
      </c>
      <c r="E119" s="298">
        <v>28.0</v>
      </c>
      <c r="F119" s="297"/>
      <c r="G119" s="298">
        <v>28.0</v>
      </c>
      <c r="H119" s="298">
        <v>58.0</v>
      </c>
      <c r="I119" s="297"/>
      <c r="J119" s="297"/>
      <c r="K119" s="297"/>
      <c r="L119" s="297"/>
      <c r="M119" s="359">
        <v>126.0</v>
      </c>
      <c r="N119" s="297"/>
      <c r="O119" s="298">
        <v>1.0</v>
      </c>
      <c r="P119" s="297"/>
      <c r="Q119" s="297"/>
      <c r="R119" s="298" t="s">
        <v>674</v>
      </c>
      <c r="S119" s="137"/>
      <c r="T119" s="295"/>
      <c r="U119" s="137"/>
      <c r="V119" s="137"/>
      <c r="W119" s="137"/>
      <c r="X119" s="137"/>
      <c r="Y119" s="137"/>
      <c r="Z119" s="137"/>
    </row>
    <row r="120">
      <c r="A120" s="137"/>
      <c r="B120" s="296" t="s">
        <v>1107</v>
      </c>
      <c r="C120" s="297" t="s">
        <v>842</v>
      </c>
      <c r="D120" s="289">
        <f>ROUND((F120*'Pawn Weights'!$H$40)+(G120*'Pawn Weights'!$H$41)+(H120*'Pawn Weights'!$H$42)+(I120*'Pawn Weights'!$H$43)+(J120*'Pawn Weights'!$H$44)+(K120*'Pawn Weights'!$H$45)+(L120*'Pawn Weights'!$H$46)+(M120*'Pawn Weights'!$H$47)+(N120*'Pawn Weights'!$H$48)+(O120*'Pawn Weights'!$H$49)+(P120*'Pawn Weights'!$H$50)+(Q120*'Pawn Weights'!$H$51), 2)</f>
        <v>180.96</v>
      </c>
      <c r="E120" s="298">
        <v>41.0</v>
      </c>
      <c r="F120" s="297"/>
      <c r="G120" s="297"/>
      <c r="H120" s="298">
        <v>98.0</v>
      </c>
      <c r="I120" s="297"/>
      <c r="J120" s="298">
        <v>34.0</v>
      </c>
      <c r="K120" s="297"/>
      <c r="L120" s="297"/>
      <c r="M120" s="137"/>
      <c r="N120" s="297"/>
      <c r="O120" s="297"/>
      <c r="P120" s="297"/>
      <c r="Q120" s="297"/>
      <c r="R120" s="295"/>
      <c r="S120" s="137"/>
      <c r="T120" s="298"/>
      <c r="U120" s="137"/>
      <c r="V120" s="137"/>
      <c r="W120" s="137"/>
      <c r="X120" s="137"/>
      <c r="Y120" s="137"/>
      <c r="Z120" s="137"/>
    </row>
    <row r="121">
      <c r="A121" s="301" t="s">
        <v>627</v>
      </c>
      <c r="B121" s="311" t="s">
        <v>903</v>
      </c>
      <c r="C121" s="280" t="s">
        <v>904</v>
      </c>
      <c r="D121" s="289">
        <f>ROUND((F121*'Pawn Weights'!$H$40)+(G121*'Pawn Weights'!$H$41)+(H121*'Pawn Weights'!$H$42)+(I121*'Pawn Weights'!$H$43)+(J121*'Pawn Weights'!$H$44)+(K121*'Pawn Weights'!$H$45)+(L121*'Pawn Weights'!$H$46)+(M121*'Pawn Weights'!$H$47)+(N121*'Pawn Weights'!$H$48)+(O121*'Pawn Weights'!$H$49)+(P121*'Pawn Weights'!$H$50)+(Q121*'Pawn Weights'!$H$51)-24.4+23.25+6, 2)</f>
        <v>180.57</v>
      </c>
      <c r="E121" s="280"/>
      <c r="F121" s="280"/>
      <c r="G121" s="280"/>
      <c r="H121" s="280">
        <v>36.0</v>
      </c>
      <c r="I121" s="280">
        <v>17.0</v>
      </c>
      <c r="J121" s="280">
        <v>25.0</v>
      </c>
      <c r="K121" s="280"/>
      <c r="L121" s="280"/>
      <c r="M121" s="281"/>
      <c r="N121" s="280"/>
      <c r="O121" s="280">
        <v>1.0</v>
      </c>
      <c r="P121" s="280">
        <v>1.0</v>
      </c>
      <c r="Q121" s="280"/>
      <c r="R121" s="290" t="s">
        <v>809</v>
      </c>
      <c r="S121" s="281"/>
      <c r="T121" s="290"/>
      <c r="U121" s="281"/>
      <c r="V121" s="281"/>
      <c r="W121" s="281"/>
    </row>
    <row r="122">
      <c r="A122" s="301" t="s">
        <v>627</v>
      </c>
      <c r="B122" s="288" t="s">
        <v>897</v>
      </c>
      <c r="C122" s="280" t="s">
        <v>898</v>
      </c>
      <c r="D122" s="289">
        <f>ROUND((F122*'Pawn Weights'!$H$40)+(G122*'Pawn Weights'!$H$41)+(H122*'Pawn Weights'!$H$42)+(I122*'Pawn Weights'!$H$43)+(J122*'Pawn Weights'!$H$44)+(K122*'Pawn Weights'!$H$45)+(L122*'Pawn Weights'!$H$46)+(M122*'Pawn Weights'!$H$47)+(N122*'Pawn Weights'!$H$48)+(O122*'Pawn Weights'!$H$49)+(P122*'Pawn Weights'!$H$50)+(Q122*'Pawn Weights'!$H$51), 2)</f>
        <v>178.44</v>
      </c>
      <c r="E122" s="280">
        <v>34.0</v>
      </c>
      <c r="F122" s="280"/>
      <c r="G122" s="280"/>
      <c r="H122" s="280">
        <v>66.0</v>
      </c>
      <c r="I122" s="280">
        <v>32.0</v>
      </c>
      <c r="J122" s="280">
        <v>23.0</v>
      </c>
      <c r="K122" s="280"/>
      <c r="L122" s="280"/>
      <c r="M122" s="281"/>
      <c r="N122" s="280"/>
      <c r="O122" s="280"/>
      <c r="P122" s="280"/>
      <c r="Q122" s="280"/>
      <c r="R122" s="290"/>
      <c r="S122" s="281"/>
      <c r="T122" s="290"/>
      <c r="U122" s="281"/>
      <c r="V122" s="281"/>
      <c r="W122" s="281"/>
    </row>
    <row r="123">
      <c r="A123" s="309"/>
      <c r="B123" s="288" t="s">
        <v>1241</v>
      </c>
      <c r="C123" s="280" t="s">
        <v>683</v>
      </c>
      <c r="D123" s="289">
        <f>ROUND((F123*'Pawn Weights'!$H$40)+(G123*'Pawn Weights'!$H$41)+(H123*'Pawn Weights'!$H$42)+(I123*'Pawn Weights'!$H$43)+(J123*'Pawn Weights'!$H$44)+(K123*'Pawn Weights'!$H$45)+(L123*'Pawn Weights'!$H$46)+(M123*'Pawn Weights'!$H$47)+(N123*'Pawn Weights'!$H$48)+(O123*'Pawn Weights'!$H$49)+(P123*'Pawn Weights'!$H$50)+(Q123*'Pawn Weights'!$H$51), 2)</f>
        <v>150.82</v>
      </c>
      <c r="E123" s="280">
        <v>41.0</v>
      </c>
      <c r="F123" s="280"/>
      <c r="G123" s="280">
        <v>42.0</v>
      </c>
      <c r="H123" s="280">
        <v>58.0</v>
      </c>
      <c r="I123" s="280"/>
      <c r="J123" s="280"/>
      <c r="K123" s="280"/>
      <c r="L123" s="280"/>
      <c r="M123" s="281"/>
      <c r="N123" s="280"/>
      <c r="O123" s="280"/>
      <c r="P123" s="280"/>
      <c r="Q123" s="280"/>
      <c r="R123" s="290"/>
      <c r="S123" s="281"/>
      <c r="T123" s="290"/>
      <c r="U123" s="281"/>
      <c r="V123" s="281"/>
      <c r="W123" s="281"/>
    </row>
    <row r="124">
      <c r="A124" s="224" t="s">
        <v>905</v>
      </c>
      <c r="B124" s="281"/>
      <c r="C124" s="281"/>
      <c r="D124" s="360"/>
      <c r="E124" s="281"/>
      <c r="F124" s="281"/>
      <c r="G124" s="281"/>
      <c r="H124" s="281"/>
      <c r="I124" s="281"/>
      <c r="J124" s="281"/>
      <c r="K124" s="281"/>
      <c r="L124" s="281"/>
      <c r="M124" s="281"/>
      <c r="N124" s="281"/>
      <c r="O124" s="281"/>
      <c r="P124" s="281"/>
      <c r="Q124" s="281"/>
      <c r="R124" s="282"/>
      <c r="S124" s="281"/>
      <c r="T124" s="282"/>
      <c r="U124" s="281"/>
      <c r="V124" s="281"/>
      <c r="W124" s="281"/>
    </row>
    <row r="125">
      <c r="A125" s="137" t="s">
        <v>627</v>
      </c>
      <c r="B125" s="296" t="s">
        <v>910</v>
      </c>
      <c r="C125" s="297" t="s">
        <v>911</v>
      </c>
      <c r="D125" s="289">
        <f>ROUND((F125*'Pawn Weights'!$H$40)+(G125*'Pawn Weights'!$H$41)+(H125*'Pawn Weights'!$H$42)+(I125*'Pawn Weights'!$H$43)+(J125*'Pawn Weights'!$H$44)+(K125*'Pawn Weights'!$H$45)+(L125*'Pawn Weights'!$H$46)+(M125*'Pawn Weights'!$H$47)+(N125*'Pawn Weights'!$H$48)+(O125*'Pawn Weights'!$H$49)+(P125*'Pawn Weights'!$H$50)+(Q125*'Pawn Weights'!$H$51), 2)</f>
        <v>188.42</v>
      </c>
      <c r="E125" s="298">
        <v>42.0</v>
      </c>
      <c r="F125" s="297"/>
      <c r="G125" s="298">
        <v>30.0</v>
      </c>
      <c r="H125" s="298">
        <v>58.0</v>
      </c>
      <c r="I125" s="297"/>
      <c r="J125" s="297"/>
      <c r="K125" s="298">
        <v>28.0</v>
      </c>
      <c r="L125" s="297"/>
      <c r="M125" s="137"/>
      <c r="N125" s="297"/>
      <c r="O125" s="297"/>
      <c r="P125" s="297"/>
      <c r="Q125" s="297"/>
      <c r="R125" s="295"/>
      <c r="S125" s="137"/>
      <c r="T125" s="295"/>
      <c r="U125" s="137"/>
      <c r="V125" s="137"/>
      <c r="W125" s="137"/>
      <c r="X125" s="137"/>
      <c r="Y125" s="137"/>
      <c r="Z125" s="137"/>
    </row>
    <row r="126">
      <c r="A126" s="137"/>
      <c r="B126" s="296" t="s">
        <v>907</v>
      </c>
      <c r="C126" s="297" t="s">
        <v>632</v>
      </c>
      <c r="D126" s="289">
        <f>ROUND((F126*'Pawn Weights'!$H$40)+(G126*'Pawn Weights'!$H$41)+(H126*'Pawn Weights'!$H$42)+(I126*'Pawn Weights'!$H$43)+(J126*'Pawn Weights'!$H$44)+(K126*'Pawn Weights'!$H$45)+(L126*'Pawn Weights'!$H$46)+(M126*'Pawn Weights'!$H$47)+(N126*'Pawn Weights'!$H$48)+(O126*'Pawn Weights'!$H$49)+(P126*'Pawn Weights'!$H$50)+(Q126*'Pawn Weights'!$H$51), 2)</f>
        <v>182.04</v>
      </c>
      <c r="E126" s="298">
        <v>33.0</v>
      </c>
      <c r="F126" s="297"/>
      <c r="G126" s="297"/>
      <c r="H126" s="298">
        <v>66.0</v>
      </c>
      <c r="I126" s="297"/>
      <c r="J126" s="298">
        <v>30.0</v>
      </c>
      <c r="K126" s="297"/>
      <c r="L126" s="297"/>
      <c r="M126" s="359">
        <v>126.0</v>
      </c>
      <c r="N126" s="297"/>
      <c r="O126" s="297"/>
      <c r="P126" s="297"/>
      <c r="Q126" s="297"/>
      <c r="R126" s="295"/>
      <c r="S126" s="137"/>
      <c r="T126" s="298"/>
      <c r="U126" s="137"/>
      <c r="V126" s="137"/>
      <c r="W126" s="137"/>
      <c r="X126" s="137"/>
      <c r="Y126" s="137"/>
      <c r="Z126" s="137"/>
    </row>
    <row r="127">
      <c r="A127" s="137"/>
      <c r="B127" s="296" t="s">
        <v>908</v>
      </c>
      <c r="C127" s="297" t="s">
        <v>909</v>
      </c>
      <c r="D127" s="289">
        <f>ROUND((F127*'Pawn Weights'!$H$40)+(G127*'Pawn Weights'!$H$41)+(H127*'Pawn Weights'!$H$42)+(I127*'Pawn Weights'!$H$43)+(J127*'Pawn Weights'!$H$44)+(K127*'Pawn Weights'!$H$45)+(L127*'Pawn Weights'!$H$46)+(M127*'Pawn Weights'!$H$47)+(N127*'Pawn Weights'!$H$48)+(O127*'Pawn Weights'!$H$49)+(P127*'Pawn Weights'!$H$50)+(Q127*'Pawn Weights'!$H$51), 2)</f>
        <v>164.93</v>
      </c>
      <c r="E127" s="298">
        <v>28.0</v>
      </c>
      <c r="F127" s="297"/>
      <c r="G127" s="298">
        <v>29.0</v>
      </c>
      <c r="H127" s="298">
        <v>58.0</v>
      </c>
      <c r="I127" s="297"/>
      <c r="J127" s="297"/>
      <c r="K127" s="297"/>
      <c r="L127" s="297"/>
      <c r="M127" s="359">
        <v>126.0</v>
      </c>
      <c r="N127" s="297"/>
      <c r="O127" s="297"/>
      <c r="P127" s="297"/>
      <c r="Q127" s="297"/>
      <c r="R127" s="295"/>
      <c r="S127" s="137"/>
      <c r="T127" s="295"/>
      <c r="U127" s="137"/>
      <c r="V127" s="137"/>
      <c r="W127" s="137"/>
      <c r="X127" s="137"/>
      <c r="Y127" s="137"/>
      <c r="Z127" s="137"/>
    </row>
    <row r="128">
      <c r="A128" s="137"/>
      <c r="B128" s="296" t="s">
        <v>912</v>
      </c>
      <c r="C128" s="297" t="s">
        <v>913</v>
      </c>
      <c r="D128" s="289">
        <f>ROUND((F128*'Pawn Weights'!$H$40)+(G128*'Pawn Weights'!$H$41)+(H128*'Pawn Weights'!$H$42)+(I128*'Pawn Weights'!$H$43)+(J128*'Pawn Weights'!$H$44)+(K128*'Pawn Weights'!$H$45)+(L128*'Pawn Weights'!$H$46)+(M128*'Pawn Weights'!$H$47)+(N128*'Pawn Weights'!$H$48)+(O128*'Pawn Weights'!$H$49)+(P128*'Pawn Weights'!$H$50)+(Q128*'Pawn Weights'!$H$51), 2)</f>
        <v>162.72</v>
      </c>
      <c r="E128" s="298">
        <v>30.0</v>
      </c>
      <c r="F128" s="297"/>
      <c r="G128" s="298">
        <v>28.0</v>
      </c>
      <c r="H128" s="298">
        <v>58.0</v>
      </c>
      <c r="I128" s="297"/>
      <c r="J128" s="297"/>
      <c r="K128" s="297"/>
      <c r="L128" s="297"/>
      <c r="M128" s="359">
        <v>126.0</v>
      </c>
      <c r="N128" s="297"/>
      <c r="O128" s="297"/>
      <c r="P128" s="297"/>
      <c r="Q128" s="297"/>
      <c r="R128" s="295"/>
      <c r="S128" s="137"/>
      <c r="T128" s="298"/>
      <c r="U128" s="137"/>
      <c r="V128" s="137"/>
      <c r="W128" s="137"/>
      <c r="X128" s="137"/>
      <c r="Y128" s="137"/>
      <c r="Z128" s="137"/>
    </row>
    <row r="129">
      <c r="A129" s="137"/>
      <c r="B129" s="296" t="s">
        <v>926</v>
      </c>
      <c r="C129" s="297" t="s">
        <v>723</v>
      </c>
      <c r="D129" s="289">
        <f>ROUND((F129*'Pawn Weights'!$H$40)+(G129*'Pawn Weights'!$H$41)+(H129*'Pawn Weights'!$H$42)+(I129*'Pawn Weights'!$H$43)+(J129*'Pawn Weights'!$H$44)+(K129*'Pawn Weights'!$H$45)+(L129*'Pawn Weights'!$H$46)+(M129*'Pawn Weights'!$H$47)+(N129*'Pawn Weights'!$H$48)+(O129*'Pawn Weights'!$H$49)+(P129*'Pawn Weights'!$H$50)+(Q129*'Pawn Weights'!$H$51), 2)</f>
        <v>150.77</v>
      </c>
      <c r="E129" s="298">
        <v>42.0</v>
      </c>
      <c r="F129" s="297"/>
      <c r="G129" s="298">
        <v>21.0</v>
      </c>
      <c r="H129" s="298">
        <v>58.0</v>
      </c>
      <c r="I129" s="297"/>
      <c r="J129" s="298">
        <v>19.0</v>
      </c>
      <c r="K129" s="297"/>
      <c r="L129" s="297"/>
      <c r="M129" s="137"/>
      <c r="N129" s="297"/>
      <c r="O129" s="297"/>
      <c r="P129" s="297"/>
      <c r="Q129" s="297"/>
      <c r="R129" s="295"/>
      <c r="S129" s="137"/>
      <c r="T129" s="298"/>
      <c r="U129" s="137"/>
      <c r="V129" s="137"/>
      <c r="W129" s="137"/>
      <c r="X129" s="137"/>
      <c r="Y129" s="137"/>
      <c r="Z129" s="137"/>
    </row>
    <row r="130">
      <c r="A130" s="137"/>
      <c r="B130" s="296" t="s">
        <v>918</v>
      </c>
      <c r="C130" s="318" t="s">
        <v>919</v>
      </c>
      <c r="D130" s="289">
        <f>ROUND((F130*'Pawn Weights'!$H$40)+(G130*'Pawn Weights'!$H$41)+(H130*'Pawn Weights'!$H$42)+(I130*'Pawn Weights'!$H$43)+(J130*'Pawn Weights'!$H$44)+(K130*'Pawn Weights'!$H$45)+(L130*'Pawn Weights'!$H$46)+(M130*'Pawn Weights'!$H$47)+(N130*'Pawn Weights'!$H$48)+(O130*'Pawn Weights'!$H$49)+(P130*'Pawn Weights'!$H$50)+(Q130*'Pawn Weights'!$H$51)+26.6, 2)</f>
        <v>150.69</v>
      </c>
      <c r="E130" s="298">
        <v>43.0</v>
      </c>
      <c r="F130" s="297"/>
      <c r="G130" s="298">
        <v>29.0</v>
      </c>
      <c r="H130" s="298">
        <v>60.0</v>
      </c>
      <c r="I130" s="297"/>
      <c r="J130" s="297"/>
      <c r="K130" s="297"/>
      <c r="L130" s="297"/>
      <c r="M130" s="137"/>
      <c r="N130" s="297"/>
      <c r="O130" s="297"/>
      <c r="P130" s="297"/>
      <c r="Q130" s="297"/>
      <c r="R130" s="295"/>
      <c r="S130" s="137"/>
      <c r="T130" s="298" t="s">
        <v>920</v>
      </c>
      <c r="U130" s="137"/>
      <c r="V130" s="137"/>
      <c r="W130" s="137"/>
      <c r="X130" s="137"/>
      <c r="Y130" s="137"/>
      <c r="Z130" s="137"/>
    </row>
    <row r="131">
      <c r="A131" s="281"/>
      <c r="B131" s="288" t="s">
        <v>927</v>
      </c>
      <c r="C131" s="280" t="s">
        <v>710</v>
      </c>
      <c r="D131" s="289">
        <f>ROUND((F131*'Pawn Weights'!$H$40)+(G131*'Pawn Weights'!$H$41)+(H131*'Pawn Weights'!$H$42)+(I131*'Pawn Weights'!$H$43)+(J131*'Pawn Weights'!$H$44)+(K131*'Pawn Weights'!$H$45)+(L131*'Pawn Weights'!$H$46)+(M131*'Pawn Weights'!$H$47)+(N131*'Pawn Weights'!$H$48)+(O131*'Pawn Weights'!$H$49)+(P131*'Pawn Weights'!$H$50)+(Q131*'Pawn Weights'!$H$51), 2)</f>
        <v>149.4</v>
      </c>
      <c r="E131" s="280">
        <v>19.0</v>
      </c>
      <c r="F131" s="280"/>
      <c r="G131" s="280">
        <v>24.0</v>
      </c>
      <c r="H131" s="280">
        <v>50.0</v>
      </c>
      <c r="I131" s="280"/>
      <c r="J131" s="280">
        <v>19.0</v>
      </c>
      <c r="K131" s="280"/>
      <c r="L131" s="280"/>
      <c r="M131" s="281"/>
      <c r="N131" s="280"/>
      <c r="O131" s="280"/>
      <c r="P131" s="280"/>
      <c r="Q131" s="280"/>
      <c r="R131" s="290"/>
      <c r="S131" s="281"/>
      <c r="T131" s="290"/>
      <c r="U131" s="281"/>
      <c r="V131" s="281"/>
      <c r="W131" s="281"/>
    </row>
    <row r="132">
      <c r="A132" s="281"/>
      <c r="B132" s="288" t="s">
        <v>917</v>
      </c>
      <c r="C132" s="280" t="s">
        <v>741</v>
      </c>
      <c r="D132" s="289">
        <f>ROUND((F132*'Pawn Weights'!$H$40)+(G132*'Pawn Weights'!$H$41)+(H132*'Pawn Weights'!$H$42)+(I132*'Pawn Weights'!$H$43)+(J132*'Pawn Weights'!$H$44)+(K132*'Pawn Weights'!$H$45)+(L132*'Pawn Weights'!$H$46)+(M132*'Pawn Weights'!$H$47)+(N132*'Pawn Weights'!$H$48)+(O132*'Pawn Weights'!$H$49)+(P132*'Pawn Weights'!$H$50)+(Q132*'Pawn Weights'!$H$51), 2)</f>
        <v>149.2</v>
      </c>
      <c r="E132" s="280">
        <v>27.0</v>
      </c>
      <c r="F132" s="280"/>
      <c r="G132" s="280"/>
      <c r="H132" s="280">
        <v>56.0</v>
      </c>
      <c r="I132" s="280">
        <v>28.0</v>
      </c>
      <c r="J132" s="280">
        <v>18.0</v>
      </c>
      <c r="K132" s="280"/>
      <c r="L132" s="280"/>
      <c r="M132" s="281"/>
      <c r="N132" s="280"/>
      <c r="O132" s="280"/>
      <c r="P132" s="280"/>
      <c r="Q132" s="280"/>
      <c r="R132" s="290"/>
      <c r="S132" s="281"/>
      <c r="T132" s="290"/>
      <c r="U132" s="281"/>
      <c r="V132" s="281"/>
      <c r="W132" s="281"/>
    </row>
    <row r="133">
      <c r="A133" s="137"/>
      <c r="B133" s="296" t="s">
        <v>921</v>
      </c>
      <c r="C133" s="297" t="s">
        <v>821</v>
      </c>
      <c r="D133" s="289">
        <f>ROUND((F133*'Pawn Weights'!$H$40)+(G133*'Pawn Weights'!$H$41)+(H133*'Pawn Weights'!$H$42)+(I133*'Pawn Weights'!$H$43)+(J133*'Pawn Weights'!$H$44)+(K133*'Pawn Weights'!$H$45)+(L133*'Pawn Weights'!$H$46)+(M133*'Pawn Weights'!$H$47)+(N133*'Pawn Weights'!$H$48)+(O133*'Pawn Weights'!$H$49)+(P133*'Pawn Weights'!$H$50)+(Q133*'Pawn Weights'!$H$51), 2)</f>
        <v>136.99</v>
      </c>
      <c r="E133" s="297"/>
      <c r="F133" s="297"/>
      <c r="G133" s="297"/>
      <c r="H133" s="298">
        <v>66.0</v>
      </c>
      <c r="I133" s="297"/>
      <c r="J133" s="297"/>
      <c r="K133" s="298">
        <v>31.0</v>
      </c>
      <c r="L133" s="297"/>
      <c r="M133" s="137"/>
      <c r="N133" s="297"/>
      <c r="O133" s="297"/>
      <c r="P133" s="297"/>
      <c r="Q133" s="297"/>
      <c r="R133" s="295"/>
      <c r="S133" s="137"/>
      <c r="T133" s="295"/>
      <c r="U133" s="137"/>
      <c r="V133" s="137"/>
      <c r="W133" s="137"/>
      <c r="X133" s="137"/>
      <c r="Y133" s="137"/>
      <c r="Z133" s="137"/>
    </row>
    <row r="134">
      <c r="A134" s="281"/>
      <c r="B134" s="288" t="s">
        <v>922</v>
      </c>
      <c r="C134" s="280" t="s">
        <v>708</v>
      </c>
      <c r="D134" s="289">
        <f>ROUND((F134*'Pawn Weights'!$H$40)+(G134*'Pawn Weights'!$H$41)+(H134*'Pawn Weights'!$H$42)+(I134*'Pawn Weights'!$H$43)+(J134*'Pawn Weights'!$H$44)+(K134*'Pawn Weights'!$H$45)+(L134*'Pawn Weights'!$H$46)+(M134*'Pawn Weights'!$H$47)+(N134*'Pawn Weights'!$H$48)+(O134*'Pawn Weights'!$H$49)+(P134*'Pawn Weights'!$H$50)+(Q134*'Pawn Weights'!$H$51), 2)</f>
        <v>132.04</v>
      </c>
      <c r="E134" s="280"/>
      <c r="F134" s="280"/>
      <c r="G134" s="280"/>
      <c r="H134" s="280">
        <v>62.0</v>
      </c>
      <c r="I134" s="280">
        <v>19.0</v>
      </c>
      <c r="J134" s="280">
        <v>15.0</v>
      </c>
      <c r="K134" s="280"/>
      <c r="L134" s="280"/>
      <c r="M134" s="281"/>
      <c r="N134" s="280"/>
      <c r="O134" s="280"/>
      <c r="P134" s="280"/>
      <c r="Q134" s="280"/>
      <c r="R134" s="290"/>
      <c r="S134" s="281"/>
      <c r="T134" s="290"/>
      <c r="U134" s="281"/>
      <c r="V134" s="281"/>
      <c r="W134" s="281"/>
    </row>
    <row r="135">
      <c r="A135" s="281"/>
      <c r="B135" s="288" t="s">
        <v>923</v>
      </c>
      <c r="C135" s="280" t="s">
        <v>656</v>
      </c>
      <c r="D135" s="289">
        <f>ROUND((F135*'Pawn Weights'!$H$40)+(G135*'Pawn Weights'!$H$41)+(H135*'Pawn Weights'!$H$42)+(I135*'Pawn Weights'!$H$43)+(J135*'Pawn Weights'!$H$44)+(K135*'Pawn Weights'!$H$45)+(L135*'Pawn Weights'!$H$46)+(M135*'Pawn Weights'!$H$47)+(N135*'Pawn Weights'!$H$48)+(O135*'Pawn Weights'!$H$49)+(P135*'Pawn Weights'!$H$50)+(Q135*'Pawn Weights'!$H$51), 2)</f>
        <v>130.84</v>
      </c>
      <c r="E135" s="280">
        <v>21.0</v>
      </c>
      <c r="F135" s="280"/>
      <c r="G135" s="280"/>
      <c r="H135" s="280">
        <v>44.0</v>
      </c>
      <c r="I135" s="280">
        <v>23.0</v>
      </c>
      <c r="J135" s="280">
        <v>19.0</v>
      </c>
      <c r="K135" s="280"/>
      <c r="L135" s="280"/>
      <c r="M135" s="281"/>
      <c r="N135" s="280"/>
      <c r="O135" s="280"/>
      <c r="P135" s="280"/>
      <c r="Q135" s="280"/>
      <c r="R135" s="290"/>
      <c r="S135" s="281"/>
      <c r="T135" s="290"/>
      <c r="U135" s="281"/>
      <c r="V135" s="281"/>
      <c r="W135" s="281"/>
    </row>
    <row r="136">
      <c r="A136" s="281"/>
      <c r="B136" s="288" t="s">
        <v>1115</v>
      </c>
      <c r="C136" s="280" t="s">
        <v>1116</v>
      </c>
      <c r="D136" s="289">
        <f>ROUND((F136*'Pawn Weights'!$H$40)+(G136*'Pawn Weights'!$H$41)+(H136*'Pawn Weights'!$H$42)+(I136*'Pawn Weights'!$H$43)+(J136*'Pawn Weights'!$H$44)+(K136*'Pawn Weights'!$H$45)+(L136*'Pawn Weights'!$H$46)+(M136*'Pawn Weights'!$H$47)+(N136*'Pawn Weights'!$H$48)+(O136*'Pawn Weights'!$H$49)+(P136*'Pawn Weights'!$H$50)+(Q136*'Pawn Weights'!$H$51), 2)</f>
        <v>128.12</v>
      </c>
      <c r="E136" s="280">
        <v>25.0</v>
      </c>
      <c r="F136" s="280"/>
      <c r="G136" s="280">
        <v>20.0</v>
      </c>
      <c r="H136" s="280">
        <v>40.0</v>
      </c>
      <c r="I136" s="280"/>
      <c r="J136" s="280">
        <v>18.0</v>
      </c>
      <c r="K136" s="280"/>
      <c r="L136" s="280"/>
      <c r="M136" s="281"/>
      <c r="N136" s="280"/>
      <c r="O136" s="280"/>
      <c r="P136" s="280"/>
      <c r="Q136" s="280"/>
      <c r="R136" s="290"/>
      <c r="S136" s="281"/>
      <c r="T136" s="290"/>
      <c r="U136" s="281"/>
      <c r="V136" s="281"/>
      <c r="W136" s="281"/>
    </row>
    <row r="137">
      <c r="A137" s="137" t="s">
        <v>671</v>
      </c>
      <c r="B137" s="296" t="s">
        <v>915</v>
      </c>
      <c r="C137" s="297" t="s">
        <v>916</v>
      </c>
      <c r="D137" s="289">
        <f>ROUND((F137*'Pawn Weights'!$H$40)+(G137*'Pawn Weights'!$H$41)+(H137*'Pawn Weights'!$H$42)+(I137*'Pawn Weights'!$H$43)+(J137*'Pawn Weights'!$H$44)+(K137*'Pawn Weights'!$H$45)+(L137*'Pawn Weights'!$H$46)+(M137*'Pawn Weights'!$H$47)+(N137*'Pawn Weights'!$H$48)+(O137*'Pawn Weights'!$H$49)+(P137*'Pawn Weights'!$H$50)+(Q137*'Pawn Weights'!$H$51), 2)</f>
        <v>123.84</v>
      </c>
      <c r="E137" s="298">
        <v>38.0</v>
      </c>
      <c r="F137" s="297"/>
      <c r="G137" s="297"/>
      <c r="H137" s="298">
        <v>52.0</v>
      </c>
      <c r="I137" s="298">
        <v>30.0</v>
      </c>
      <c r="J137" s="297"/>
      <c r="K137" s="297"/>
      <c r="L137" s="297"/>
      <c r="M137" s="359">
        <v>56.0</v>
      </c>
      <c r="N137" s="297"/>
      <c r="O137" s="297"/>
      <c r="P137" s="297"/>
      <c r="Q137" s="297"/>
      <c r="R137" s="295"/>
      <c r="S137" s="137"/>
      <c r="T137" s="297" t="s">
        <v>861</v>
      </c>
      <c r="U137" s="137"/>
      <c r="V137" s="137"/>
      <c r="W137" s="137"/>
      <c r="X137" s="137"/>
      <c r="Y137" s="137"/>
      <c r="Z137" s="137"/>
    </row>
    <row r="138">
      <c r="A138" s="281"/>
      <c r="B138" s="288" t="s">
        <v>1111</v>
      </c>
      <c r="C138" s="280" t="s">
        <v>1112</v>
      </c>
      <c r="D138" s="289">
        <f>ROUND((F138*'Pawn Weights'!$H$40)+(G138*'Pawn Weights'!$H$41)+(H138*'Pawn Weights'!$H$42)+(I138*'Pawn Weights'!$H$43)+(J138*'Pawn Weights'!$H$44)+(K138*'Pawn Weights'!$H$45)+(L138*'Pawn Weights'!$H$46)+(M138*'Pawn Weights'!$H$47)+(N138*'Pawn Weights'!$H$48)+(O138*'Pawn Weights'!$H$49)+(P138*'Pawn Weights'!$H$50)+(Q138*'Pawn Weights'!$H$51), 2)</f>
        <v>121.56</v>
      </c>
      <c r="E138" s="280"/>
      <c r="F138" s="280"/>
      <c r="G138" s="280"/>
      <c r="H138" s="280">
        <v>40.0</v>
      </c>
      <c r="I138" s="280">
        <v>20.0</v>
      </c>
      <c r="J138" s="280">
        <v>19.0</v>
      </c>
      <c r="K138" s="280"/>
      <c r="L138" s="280"/>
      <c r="M138" s="281"/>
      <c r="N138" s="280"/>
      <c r="O138" s="280"/>
      <c r="P138" s="280"/>
      <c r="Q138" s="280"/>
      <c r="R138" s="290"/>
      <c r="S138" s="281"/>
      <c r="T138" s="290"/>
      <c r="U138" s="281"/>
      <c r="V138" s="281"/>
      <c r="W138" s="281"/>
    </row>
    <row r="139">
      <c r="A139" s="281"/>
      <c r="B139" s="288" t="s">
        <v>1242</v>
      </c>
      <c r="C139" s="280" t="s">
        <v>1243</v>
      </c>
      <c r="D139" s="289">
        <f>ROUND((F139*'Pawn Weights'!$H$40)+(G139*'Pawn Weights'!$H$41)+(H139*'Pawn Weights'!$H$42)+(I139*'Pawn Weights'!$H$43)+(J139*'Pawn Weights'!$H$44)+(K139*'Pawn Weights'!$H$45)+(L139*'Pawn Weights'!$H$46)+(M139*'Pawn Weights'!$H$47)+(N139*'Pawn Weights'!$H$48)+(O139*'Pawn Weights'!$H$49)+(P139*'Pawn Weights'!$H$50)+(Q139*'Pawn Weights'!$H$51), 2)</f>
        <v>117</v>
      </c>
      <c r="E139" s="280">
        <v>28.0</v>
      </c>
      <c r="F139" s="280"/>
      <c r="G139" s="280"/>
      <c r="H139" s="280">
        <v>56.0</v>
      </c>
      <c r="I139" s="280"/>
      <c r="J139" s="280">
        <v>25.0</v>
      </c>
      <c r="K139" s="280"/>
      <c r="L139" s="280"/>
      <c r="M139" s="281"/>
      <c r="N139" s="280"/>
      <c r="O139" s="280"/>
      <c r="P139" s="280"/>
      <c r="Q139" s="280"/>
      <c r="R139" s="290"/>
      <c r="S139" s="281"/>
      <c r="T139" s="290"/>
      <c r="U139" s="281"/>
      <c r="V139" s="281"/>
      <c r="W139" s="281"/>
    </row>
    <row r="140">
      <c r="A140" s="137" t="s">
        <v>991</v>
      </c>
      <c r="B140" s="296" t="s">
        <v>1109</v>
      </c>
      <c r="C140" s="297" t="s">
        <v>1110</v>
      </c>
      <c r="D140" s="289">
        <f>ROUND((F140*'Pawn Weights'!$H$40)+(G140*'Pawn Weights'!$H$41)+(H140*'Pawn Weights'!$H$42)+(I140*'Pawn Weights'!$H$43)+(J140*'Pawn Weights'!$H$44)+(K140*'Pawn Weights'!$H$45)+(L140*'Pawn Weights'!$H$46)+(M140*'Pawn Weights'!$H$47)+(N140*'Pawn Weights'!$H$48)+(O140*'Pawn Weights'!$H$49)+(P140*'Pawn Weights'!$H$50)+(Q140*'Pawn Weights'!$H$51), 2)</f>
        <v>108.8</v>
      </c>
      <c r="E140" s="298">
        <v>34.0</v>
      </c>
      <c r="F140" s="297"/>
      <c r="G140" s="297"/>
      <c r="H140" s="298">
        <v>44.0</v>
      </c>
      <c r="I140" s="298">
        <v>26.0</v>
      </c>
      <c r="J140" s="297"/>
      <c r="K140" s="297"/>
      <c r="L140" s="297"/>
      <c r="M140" s="359">
        <v>56.0</v>
      </c>
      <c r="N140" s="297"/>
      <c r="O140" s="297"/>
      <c r="P140" s="297"/>
      <c r="Q140" s="295"/>
      <c r="R140" s="295"/>
      <c r="S140" s="137"/>
      <c r="T140" s="298" t="s">
        <v>861</v>
      </c>
      <c r="U140" s="137"/>
      <c r="V140" s="137"/>
      <c r="W140" s="137"/>
      <c r="X140" s="137"/>
      <c r="Y140" s="137"/>
      <c r="Z140" s="137"/>
    </row>
    <row r="141">
      <c r="A141" s="281"/>
      <c r="B141" s="288" t="s">
        <v>1244</v>
      </c>
      <c r="C141" s="280" t="s">
        <v>1245</v>
      </c>
      <c r="D141" s="289">
        <f>ROUND((F141*'Pawn Weights'!$H$40)+(G141*'Pawn Weights'!$H$41)+(H141*'Pawn Weights'!$H$42)+(I141*'Pawn Weights'!$H$43)+(J141*'Pawn Weights'!$H$44)+(K141*'Pawn Weights'!$H$45)+(L141*'Pawn Weights'!$H$46)+(M141*'Pawn Weights'!$H$47)+(N141*'Pawn Weights'!$H$48)+(O141*'Pawn Weights'!$H$49)+(P141*'Pawn Weights'!$H$50)+(Q141*'Pawn Weights'!$H$51), 2)</f>
        <v>108.45</v>
      </c>
      <c r="E141" s="280">
        <v>18.0</v>
      </c>
      <c r="F141" s="280"/>
      <c r="G141" s="280">
        <v>25.0</v>
      </c>
      <c r="H141" s="280"/>
      <c r="I141" s="280"/>
      <c r="J141" s="280"/>
      <c r="K141" s="280"/>
      <c r="L141" s="280">
        <v>20.0</v>
      </c>
      <c r="M141" s="281"/>
      <c r="N141" s="280"/>
      <c r="O141" s="280"/>
      <c r="P141" s="280"/>
      <c r="Q141" s="280"/>
      <c r="R141" s="290"/>
      <c r="S141" s="281"/>
      <c r="T141" s="290" t="s">
        <v>1246</v>
      </c>
      <c r="U141" s="281"/>
      <c r="V141" s="281"/>
      <c r="W141" s="281"/>
    </row>
    <row r="142">
      <c r="A142" s="224" t="s">
        <v>928</v>
      </c>
      <c r="B142" s="312" t="s">
        <v>929</v>
      </c>
      <c r="C142" s="281"/>
      <c r="D142" s="360"/>
      <c r="E142" s="313" t="s">
        <v>607</v>
      </c>
      <c r="F142" s="314" t="s">
        <v>608</v>
      </c>
      <c r="G142" s="314" t="s">
        <v>561</v>
      </c>
      <c r="H142" s="314" t="s">
        <v>930</v>
      </c>
      <c r="I142" s="314" t="s">
        <v>330</v>
      </c>
      <c r="J142" s="314" t="s">
        <v>344</v>
      </c>
      <c r="K142" s="314" t="s">
        <v>356</v>
      </c>
      <c r="L142" s="314" t="s">
        <v>563</v>
      </c>
      <c r="M142" s="314" t="s">
        <v>564</v>
      </c>
      <c r="N142" s="281"/>
      <c r="O142" s="281"/>
      <c r="P142" s="281"/>
      <c r="Q142" s="281"/>
      <c r="R142" s="282"/>
      <c r="S142" s="281"/>
      <c r="T142" s="282"/>
      <c r="U142" s="281"/>
      <c r="V142" s="281"/>
      <c r="W142" s="281"/>
    </row>
    <row r="143">
      <c r="A143" s="137"/>
      <c r="B143" s="296" t="s">
        <v>936</v>
      </c>
      <c r="C143" s="297" t="s">
        <v>823</v>
      </c>
      <c r="D143" s="289">
        <f>ROUND((F143*'Pawn Weights'!$H$40)+(G143*'Pawn Weights'!$H$41)+(H143*'Pawn Weights'!$H$42)+(I143*'Pawn Weights'!$H$43)+(J143*'Pawn Weights'!$H$44)+(K143*'Pawn Weights'!$H$45)+(L143*'Pawn Weights'!$H$46)+(M143*'Pawn Weights'!$H$47)+(N143*'Pawn Weights'!$H$48)+(O143*'Pawn Weights'!$H$49)+(P143*'Pawn Weights'!$H$50)+(Q143*'Pawn Weights'!$H$51), 2)</f>
        <v>255.83</v>
      </c>
      <c r="E143" s="297"/>
      <c r="F143" s="297"/>
      <c r="G143" s="297"/>
      <c r="H143" s="298">
        <v>40.0</v>
      </c>
      <c r="I143" s="297"/>
      <c r="J143" s="297"/>
      <c r="K143" s="298">
        <v>94.25</v>
      </c>
      <c r="L143" s="297"/>
      <c r="M143" s="137"/>
      <c r="N143" s="297"/>
      <c r="O143" s="297"/>
      <c r="P143" s="297"/>
      <c r="Q143" s="297"/>
      <c r="R143" s="295"/>
      <c r="S143" s="137"/>
      <c r="T143" s="298" t="s">
        <v>937</v>
      </c>
      <c r="U143" s="295"/>
      <c r="V143" s="137"/>
      <c r="W143" s="137"/>
      <c r="X143" s="137"/>
      <c r="Y143" s="137"/>
      <c r="Z143" s="137"/>
    </row>
    <row r="144">
      <c r="A144" s="295"/>
      <c r="B144" s="296" t="s">
        <v>938</v>
      </c>
      <c r="C144" s="361" t="s">
        <v>939</v>
      </c>
      <c r="D144" s="289">
        <f>ROUND((F144*'Pawn Weights'!$H$40)+(G144*'Pawn Weights'!$H$41)+(H144*'Pawn Weights'!$H$42)+(I144*'Pawn Weights'!$H$43)+(J144*'Pawn Weights'!$H$44)+(K144*'Pawn Weights'!$H$45)+(L144*'Pawn Weights'!$H$46)+(M144*'Pawn Weights'!$H$47)+(N144*'Pawn Weights'!$H$48)+(O144*'Pawn Weights'!$H$49)+(P144*'Pawn Weights'!$H$50)+(Q144*'Pawn Weights'!$H$51), 2)</f>
        <v>209.04</v>
      </c>
      <c r="E144" s="361"/>
      <c r="F144" s="297"/>
      <c r="G144" s="297"/>
      <c r="H144" s="298">
        <v>92.0</v>
      </c>
      <c r="I144" s="297"/>
      <c r="J144" s="297"/>
      <c r="K144" s="297"/>
      <c r="L144" s="298">
        <v>44.0</v>
      </c>
      <c r="M144" s="295"/>
      <c r="N144" s="361"/>
      <c r="O144" s="361"/>
      <c r="P144" s="361"/>
      <c r="Q144" s="361"/>
      <c r="R144" s="137"/>
      <c r="S144" s="137"/>
      <c r="T144" s="359" t="s">
        <v>940</v>
      </c>
      <c r="U144" s="137"/>
      <c r="V144" s="137"/>
      <c r="W144" s="137"/>
      <c r="X144" s="137"/>
      <c r="Y144" s="137"/>
      <c r="Z144" s="137"/>
    </row>
    <row r="145">
      <c r="A145" s="281"/>
      <c r="B145" s="288" t="s">
        <v>1247</v>
      </c>
      <c r="C145" s="280" t="s">
        <v>1248</v>
      </c>
      <c r="D145" s="289">
        <f>ROUND((F145*'Pawn Weights'!$H$40)+(G145*'Pawn Weights'!$H$41)+(H145*'Pawn Weights'!$H$42)+(I145*'Pawn Weights'!$H$43)+(J145*'Pawn Weights'!$H$44)+(K145*'Pawn Weights'!$H$45)+(L145*'Pawn Weights'!$H$46)+(M145*'Pawn Weights'!$H$47)+(N145*'Pawn Weights'!$H$48)+(O145*'Pawn Weights'!$H$49)+(P145*'Pawn Weights'!$H$50)+(Q145*'Pawn Weights'!$H$51), 2)</f>
        <v>191.84</v>
      </c>
      <c r="E145" s="280"/>
      <c r="F145" s="280"/>
      <c r="G145" s="280"/>
      <c r="H145" s="280"/>
      <c r="I145" s="280">
        <v>109.0</v>
      </c>
      <c r="J145" s="280"/>
      <c r="K145" s="280"/>
      <c r="L145" s="280"/>
      <c r="M145" s="280"/>
      <c r="N145" s="280"/>
      <c r="O145" s="280"/>
      <c r="P145" s="280"/>
      <c r="Q145" s="280"/>
      <c r="R145" s="290"/>
      <c r="S145" s="281"/>
      <c r="T145" s="290"/>
      <c r="U145" s="281"/>
      <c r="V145" s="281"/>
      <c r="W145" s="281"/>
      <c r="X145" s="281"/>
    </row>
    <row r="146">
      <c r="A146" s="301" t="s">
        <v>943</v>
      </c>
      <c r="B146" s="288" t="s">
        <v>1249</v>
      </c>
      <c r="C146" s="280" t="s">
        <v>1195</v>
      </c>
      <c r="D146" s="289">
        <f>ROUND((F146*'Pawn Weights'!$H$40)+(G146*'Pawn Weights'!$H$41)+(H146*'Pawn Weights'!$H$42)+(I146*'Pawn Weights'!$H$43)+(J146*'Pawn Weights'!$H$44)+(K146*'Pawn Weights'!$H$45)+(L146*'Pawn Weights'!$H$46)+(M146*'Pawn Weights'!$H$47)+(N146*'Pawn Weights'!$H$48)+(O146*'Pawn Weights'!$H$49)+(P146*'Pawn Weights'!$H$50)+(Q146*'Pawn Weights'!$H$51), 2)</f>
        <v>183.84</v>
      </c>
      <c r="E146" s="280"/>
      <c r="F146" s="280"/>
      <c r="G146" s="280"/>
      <c r="H146" s="280"/>
      <c r="I146" s="280"/>
      <c r="J146" s="280">
        <v>21.0</v>
      </c>
      <c r="K146" s="280"/>
      <c r="L146" s="280"/>
      <c r="M146" s="280">
        <v>390.0</v>
      </c>
      <c r="N146" s="280"/>
      <c r="O146" s="280"/>
      <c r="P146" s="280"/>
      <c r="Q146" s="280"/>
      <c r="R146" s="290"/>
      <c r="S146" s="281"/>
      <c r="T146" s="290" t="s">
        <v>1250</v>
      </c>
      <c r="U146" s="280"/>
      <c r="V146" s="281"/>
      <c r="W146" s="281"/>
    </row>
    <row r="147">
      <c r="A147" s="137"/>
      <c r="B147" s="296" t="s">
        <v>941</v>
      </c>
      <c r="C147" s="297" t="s">
        <v>639</v>
      </c>
      <c r="D147" s="289">
        <f>ROUND((F147*'Pawn Weights'!$H$40)+(G147*'Pawn Weights'!$H$41)+(H147*'Pawn Weights'!$H$42)+(I147*'Pawn Weights'!$H$43)+(J147*'Pawn Weights'!$H$44)+(K147*'Pawn Weights'!$H$45)+(L147*'Pawn Weights'!$H$46)+(M147*'Pawn Weights'!$H$47)+(N147*'Pawn Weights'!$H$48)+(O147*'Pawn Weights'!$H$49)+(P147*'Pawn Weights'!$H$50)+(Q147*'Pawn Weights'!$H$51), 2)</f>
        <v>183.8</v>
      </c>
      <c r="E147" s="297"/>
      <c r="F147" s="297"/>
      <c r="G147" s="297"/>
      <c r="H147" s="298">
        <v>84.0</v>
      </c>
      <c r="I147" s="297"/>
      <c r="J147" s="298">
        <v>20.0</v>
      </c>
      <c r="K147" s="297"/>
      <c r="L147" s="297"/>
      <c r="M147" s="316">
        <v>150.0</v>
      </c>
      <c r="N147" s="297"/>
      <c r="O147" s="297"/>
      <c r="P147" s="297"/>
      <c r="Q147" s="297"/>
      <c r="R147" s="295"/>
      <c r="S147" s="137"/>
      <c r="T147" s="298" t="s">
        <v>942</v>
      </c>
      <c r="U147" s="137"/>
      <c r="V147" s="137"/>
      <c r="W147" s="137"/>
      <c r="X147" s="137"/>
      <c r="Y147" s="137"/>
      <c r="Z147" s="137"/>
    </row>
    <row r="148">
      <c r="A148" s="137"/>
      <c r="B148" s="296" t="s">
        <v>946</v>
      </c>
      <c r="C148" s="297" t="s">
        <v>947</v>
      </c>
      <c r="D148" s="289">
        <f>ROUND((F148*'Pawn Weights'!$H$40)+(G148*'Pawn Weights'!$H$41)+(H148*'Pawn Weights'!$H$42)+(I148*'Pawn Weights'!$H$43)+(J148*'Pawn Weights'!$H$44)+(K148*'Pawn Weights'!$H$45)+(L148*'Pawn Weights'!$H$46)+(M148*'Pawn Weights'!$H$47)+(N148*'Pawn Weights'!$H$48)+(O148*'Pawn Weights'!$H$49)+(P148*'Pawn Weights'!$H$50)+(Q148*'Pawn Weights'!$H$51), 2)</f>
        <v>150</v>
      </c>
      <c r="E148" s="297"/>
      <c r="F148" s="297"/>
      <c r="G148" s="297"/>
      <c r="H148" s="298">
        <v>150.0</v>
      </c>
      <c r="I148" s="297"/>
      <c r="J148" s="297"/>
      <c r="K148" s="297"/>
      <c r="L148" s="297"/>
      <c r="M148" s="137"/>
      <c r="N148" s="297"/>
      <c r="O148" s="297"/>
      <c r="P148" s="297"/>
      <c r="Q148" s="297"/>
      <c r="R148" s="295"/>
      <c r="S148" s="137"/>
      <c r="T148" s="298" t="s">
        <v>948</v>
      </c>
      <c r="U148" s="137"/>
      <c r="V148" s="137"/>
      <c r="W148" s="137"/>
      <c r="X148" s="137"/>
      <c r="Y148" s="137"/>
      <c r="Z148" s="137"/>
    </row>
    <row r="149">
      <c r="A149" s="292" t="s">
        <v>949</v>
      </c>
      <c r="B149" s="288" t="s">
        <v>950</v>
      </c>
      <c r="C149" s="280" t="s">
        <v>951</v>
      </c>
      <c r="D149" s="289">
        <f>ROUND((F149*'Pawn Weights'!$H$40)+(G149*'Pawn Weights'!$H$41)+(H149*'Pawn Weights'!$H$42)+(I149*'Pawn Weights'!$H$43)+(J149*'Pawn Weights'!$H$44)+(K149*'Pawn Weights'!$H$45)+(L149*'Pawn Weights'!$H$46)+(M149*'Pawn Weights'!$H$47)+(N149*'Pawn Weights'!$H$48)+(O149*'Pawn Weights'!$H$49)+(P149*'Pawn Weights'!$H$50)+(Q149*'Pawn Weights'!$H$51), 2)</f>
        <v>150</v>
      </c>
      <c r="E149" s="280"/>
      <c r="F149" s="280"/>
      <c r="G149" s="280"/>
      <c r="H149" s="280">
        <v>150.0</v>
      </c>
      <c r="I149" s="280"/>
      <c r="J149" s="280"/>
      <c r="K149" s="280"/>
      <c r="L149" s="280"/>
      <c r="M149" s="281"/>
      <c r="N149" s="280"/>
      <c r="O149" s="280"/>
      <c r="P149" s="280"/>
      <c r="Q149" s="280"/>
      <c r="R149" s="290"/>
      <c r="S149" s="281"/>
      <c r="T149" s="290" t="s">
        <v>952</v>
      </c>
      <c r="U149" s="281"/>
      <c r="V149" s="281"/>
      <c r="W149" s="281"/>
    </row>
    <row r="150">
      <c r="A150" s="281"/>
      <c r="B150" s="288" t="s">
        <v>956</v>
      </c>
      <c r="C150" s="280" t="s">
        <v>957</v>
      </c>
      <c r="D150" s="289">
        <f>ROUND((F150*'Pawn Weights'!$H$40)+(G150*'Pawn Weights'!$H$41)+(H150*'Pawn Weights'!$H$42)+(I150*'Pawn Weights'!$H$43)+(J150*'Pawn Weights'!$H$44)+(K150*'Pawn Weights'!$H$45)+(L150*'Pawn Weights'!$H$46)+(M150*'Pawn Weights'!$H$47)+(N150*'Pawn Weights'!$H$48)+(O150*'Pawn Weights'!$H$49)+(P150*'Pawn Weights'!$H$50)+(Q150*'Pawn Weights'!$H$51), 2)</f>
        <v>135.28</v>
      </c>
      <c r="E150" s="280"/>
      <c r="F150" s="280"/>
      <c r="G150" s="280"/>
      <c r="H150" s="280">
        <v>44.0</v>
      </c>
      <c r="I150" s="280">
        <v>38.0</v>
      </c>
      <c r="J150" s="280">
        <v>10.0</v>
      </c>
      <c r="K150" s="280"/>
      <c r="L150" s="280"/>
      <c r="M150" s="281"/>
      <c r="N150" s="280"/>
      <c r="O150" s="280"/>
      <c r="P150" s="280"/>
      <c r="Q150" s="280"/>
      <c r="R150" s="290"/>
      <c r="S150" s="281"/>
      <c r="T150" s="290" t="s">
        <v>958</v>
      </c>
      <c r="U150" s="281"/>
      <c r="V150" s="281"/>
      <c r="W150" s="281"/>
    </row>
    <row r="151">
      <c r="A151" s="137" t="s">
        <v>627</v>
      </c>
      <c r="B151" s="296" t="s">
        <v>953</v>
      </c>
      <c r="C151" s="297" t="s">
        <v>954</v>
      </c>
      <c r="D151" s="289">
        <f>ROUND((F151*'Pawn Weights'!$H$40)+(G151*'Pawn Weights'!$H$41)+(H151*'Pawn Weights'!$H$42)+(I151*'Pawn Weights'!$H$43)+(J151*'Pawn Weights'!$H$44)+(K151*'Pawn Weights'!$H$45)+(L151*'Pawn Weights'!$H$46)+(M151*'Pawn Weights'!$H$47)+(N151*'Pawn Weights'!$H$48)+(O151*'Pawn Weights'!$H$49)+(P151*'Pawn Weights'!$H$50)+(Q151*'Pawn Weights'!$H$51), 2)</f>
        <v>133.33</v>
      </c>
      <c r="E151" s="295"/>
      <c r="F151" s="295"/>
      <c r="G151" s="295"/>
      <c r="H151" s="298">
        <v>133.33</v>
      </c>
      <c r="I151" s="295"/>
      <c r="J151" s="295"/>
      <c r="K151" s="295"/>
      <c r="L151" s="295"/>
      <c r="M151" s="137"/>
      <c r="N151" s="295"/>
      <c r="O151" s="295"/>
      <c r="P151" s="295"/>
      <c r="Q151" s="295"/>
      <c r="R151" s="295"/>
      <c r="S151" s="137"/>
      <c r="T151" s="298" t="s">
        <v>955</v>
      </c>
      <c r="U151" s="137"/>
      <c r="V151" s="137"/>
      <c r="W151" s="137"/>
      <c r="X151" s="137"/>
      <c r="Y151" s="137"/>
      <c r="Z151" s="137"/>
    </row>
    <row r="152">
      <c r="A152" s="281"/>
      <c r="B152" s="288" t="s">
        <v>959</v>
      </c>
      <c r="C152" s="154" t="s">
        <v>960</v>
      </c>
      <c r="D152" s="289">
        <f>ROUND((F152*'Pawn Weights'!$H$40)+(G152*'Pawn Weights'!$H$41)+(H152*'Pawn Weights'!$H$42)+(I152*'Pawn Weights'!$H$43)+(J152*'Pawn Weights'!$H$44)+(K152*'Pawn Weights'!$H$45)+(L152*'Pawn Weights'!$H$46)+(M152*'Pawn Weights'!$H$47)+(N152*'Pawn Weights'!$H$48)+(O152*'Pawn Weights'!$H$49)+(P152*'Pawn Weights'!$H$50)+(Q152*'Pawn Weights'!$H$51), 2)</f>
        <v>120</v>
      </c>
      <c r="E152" s="280"/>
      <c r="F152" s="280"/>
      <c r="G152" s="280"/>
      <c r="H152" s="280">
        <v>120.0</v>
      </c>
      <c r="I152" s="280"/>
      <c r="J152" s="280"/>
      <c r="K152" s="280"/>
      <c r="L152" s="280"/>
      <c r="M152" s="280"/>
      <c r="N152" s="280"/>
      <c r="O152" s="280"/>
      <c r="P152" s="280"/>
      <c r="Q152" s="280"/>
      <c r="R152" s="290"/>
      <c r="S152" s="281"/>
      <c r="T152" s="290" t="s">
        <v>961</v>
      </c>
      <c r="U152" s="281"/>
      <c r="V152" s="281"/>
      <c r="W152" s="281"/>
      <c r="X152" s="281"/>
    </row>
    <row r="153">
      <c r="A153" s="281"/>
      <c r="B153" s="288" t="s">
        <v>962</v>
      </c>
      <c r="C153" s="280" t="s">
        <v>963</v>
      </c>
      <c r="D153" s="289">
        <f>ROUND((F153*'Pawn Weights'!$H$40)+(G153*'Pawn Weights'!$H$41)+(H153*'Pawn Weights'!$H$42)+(I153*'Pawn Weights'!$H$43)+(J153*'Pawn Weights'!$H$44)+(K153*'Pawn Weights'!$H$45)+(L153*'Pawn Weights'!$H$46)+(M153*'Pawn Weights'!$H$47)+(N153*'Pawn Weights'!$H$48)+(O153*'Pawn Weights'!$H$49)+(P153*'Pawn Weights'!$H$50)+(Q153*'Pawn Weights'!$H$51), 2)</f>
        <v>118</v>
      </c>
      <c r="E153" s="280"/>
      <c r="F153" s="280"/>
      <c r="G153" s="280"/>
      <c r="H153" s="280">
        <v>118.0</v>
      </c>
      <c r="I153" s="280"/>
      <c r="J153" s="280"/>
      <c r="K153" s="280"/>
      <c r="L153" s="280"/>
      <c r="M153" s="280"/>
      <c r="N153" s="280"/>
      <c r="O153" s="280"/>
      <c r="P153" s="280"/>
      <c r="Q153" s="280"/>
      <c r="R153" s="290"/>
      <c r="S153" s="281"/>
      <c r="T153" s="290" t="s">
        <v>964</v>
      </c>
      <c r="U153" s="281"/>
      <c r="V153" s="281"/>
      <c r="W153" s="281"/>
      <c r="X153" s="281"/>
    </row>
    <row r="154">
      <c r="A154" s="224" t="s">
        <v>972</v>
      </c>
      <c r="B154" s="281"/>
      <c r="C154" s="281"/>
      <c r="D154" s="301"/>
      <c r="E154" s="281"/>
      <c r="F154" s="281"/>
      <c r="G154" s="281"/>
      <c r="H154" s="281"/>
      <c r="I154" s="281"/>
      <c r="J154" s="281"/>
      <c r="K154" s="281"/>
      <c r="L154" s="281"/>
      <c r="M154" s="281"/>
      <c r="N154" s="281"/>
      <c r="O154" s="281"/>
      <c r="P154" s="281"/>
      <c r="Q154" s="281"/>
      <c r="R154" s="282"/>
      <c r="S154" s="281"/>
      <c r="T154" s="282"/>
      <c r="U154" s="281"/>
      <c r="V154" s="281"/>
      <c r="W154" s="281"/>
    </row>
    <row r="155">
      <c r="A155" s="295"/>
      <c r="B155" s="341" t="s">
        <v>979</v>
      </c>
      <c r="C155" s="361" t="s">
        <v>980</v>
      </c>
      <c r="D155" s="289">
        <f>ROUND((F155*'Pawn Weights'!$H$40)+(G155*'Pawn Weights'!$H$41)+(H155*'Pawn Weights'!$H$42)+(I155*'Pawn Weights'!$H$43)+(J155*'Pawn Weights'!$H$44)+(K155*'Pawn Weights'!$H$45)+(L155*'Pawn Weights'!$H$46)+(M155*'Pawn Weights'!$H$47)+(N155*'Pawn Weights'!$H$48)+(O155*'Pawn Weights'!$H$49)+(P155*'Pawn Weights'!$H$50)+(Q155*'Pawn Weights'!$H$51), 2)</f>
        <v>97.84</v>
      </c>
      <c r="E155" s="137"/>
      <c r="F155" s="137"/>
      <c r="G155" s="137"/>
      <c r="H155" s="359">
        <v>32.0</v>
      </c>
      <c r="I155" s="359">
        <v>18.0</v>
      </c>
      <c r="J155" s="359">
        <v>14.0</v>
      </c>
      <c r="K155" s="137"/>
      <c r="L155" s="137"/>
      <c r="M155" s="137"/>
      <c r="N155" s="137"/>
      <c r="O155" s="137"/>
      <c r="P155" s="137"/>
      <c r="Q155" s="137"/>
      <c r="R155" s="137"/>
      <c r="S155" s="137"/>
      <c r="T155" s="137"/>
      <c r="U155" s="137"/>
      <c r="V155" s="137"/>
      <c r="W155" s="137"/>
      <c r="X155" s="137"/>
      <c r="Y155" s="137"/>
      <c r="Z155" s="137"/>
    </row>
    <row r="156">
      <c r="A156" s="137"/>
      <c r="B156" s="296" t="s">
        <v>1123</v>
      </c>
      <c r="C156" s="297" t="s">
        <v>1025</v>
      </c>
      <c r="D156" s="289">
        <f>ROUND((F156*'Pawn Weights'!$H$40)+(G156*'Pawn Weights'!$H$41)+(H156*'Pawn Weights'!$H$42)+(I156*'Pawn Weights'!$H$43)+(J156*'Pawn Weights'!$H$44)+(K156*'Pawn Weights'!$H$45)+(L156*'Pawn Weights'!$H$46)+(M156*'Pawn Weights'!$H$47)+(N156*'Pawn Weights'!$H$48)+(O156*'Pawn Weights'!$H$49)+(P156*'Pawn Weights'!$H$50)+(Q156*'Pawn Weights'!$H$51), 2)</f>
        <v>90.56</v>
      </c>
      <c r="E156" s="297"/>
      <c r="F156" s="297"/>
      <c r="G156" s="298">
        <v>20.0</v>
      </c>
      <c r="H156" s="297"/>
      <c r="I156" s="297"/>
      <c r="J156" s="298">
        <v>19.0</v>
      </c>
      <c r="K156" s="295"/>
      <c r="L156" s="295"/>
      <c r="M156" s="137"/>
      <c r="N156" s="295"/>
      <c r="O156" s="297"/>
      <c r="P156" s="295"/>
      <c r="Q156" s="295"/>
      <c r="R156" s="295"/>
      <c r="S156" s="137"/>
      <c r="T156" s="298"/>
      <c r="U156" s="137"/>
      <c r="V156" s="137"/>
      <c r="W156" s="137"/>
      <c r="X156" s="137"/>
      <c r="Y156" s="137"/>
      <c r="Z156" s="137"/>
    </row>
    <row r="157">
      <c r="A157" s="137"/>
      <c r="B157" s="296" t="s">
        <v>981</v>
      </c>
      <c r="C157" s="297" t="s">
        <v>982</v>
      </c>
      <c r="D157" s="289">
        <f>ROUND((F157*'Pawn Weights'!$H$40)+(G157*'Pawn Weights'!$H$41)+(H157*'Pawn Weights'!$H$42)+(I157*'Pawn Weights'!$H$43)+(J157*'Pawn Weights'!$H$44)+(K157*'Pawn Weights'!$H$45)+(L157*'Pawn Weights'!$H$46)+(M157*'Pawn Weights'!$H$47)+(N157*'Pawn Weights'!$H$48)+(O157*'Pawn Weights'!$H$49)+(P157*'Pawn Weights'!$H$50)+(Q157*'Pawn Weights'!$H$51), 2)</f>
        <v>84.16</v>
      </c>
      <c r="E157" s="297"/>
      <c r="F157" s="297"/>
      <c r="G157" s="298">
        <v>16.0</v>
      </c>
      <c r="H157" s="297"/>
      <c r="I157" s="297"/>
      <c r="J157" s="297"/>
      <c r="K157" s="137"/>
      <c r="L157" s="137"/>
      <c r="M157" s="137"/>
      <c r="N157" s="137"/>
      <c r="O157" s="298">
        <v>2.0</v>
      </c>
      <c r="P157" s="137"/>
      <c r="Q157" s="137"/>
      <c r="R157" s="298" t="s">
        <v>702</v>
      </c>
      <c r="S157" s="137"/>
      <c r="T157" s="298"/>
      <c r="U157" s="137"/>
      <c r="V157" s="137"/>
      <c r="W157" s="137"/>
      <c r="X157" s="137"/>
      <c r="Y157" s="137"/>
      <c r="Z157" s="137"/>
    </row>
    <row r="158">
      <c r="A158" s="137"/>
      <c r="B158" s="296" t="s">
        <v>976</v>
      </c>
      <c r="C158" s="297" t="s">
        <v>947</v>
      </c>
      <c r="D158" s="289">
        <f>ROUND((F158*'Pawn Weights'!$H$40)+(G158*'Pawn Weights'!$H$41)+(H158*'Pawn Weights'!$H$42)+(I158*'Pawn Weights'!$H$43)+(J158*'Pawn Weights'!$H$44)+(K158*'Pawn Weights'!$H$45)+(L158*'Pawn Weights'!$H$46)+(M158*'Pawn Weights'!$H$47)+(N158*'Pawn Weights'!$H$48)+(O158*'Pawn Weights'!$H$49)+(P158*'Pawn Weights'!$H$50)+(Q158*'Pawn Weights'!$H$51), 2)</f>
        <v>80.84</v>
      </c>
      <c r="E158" s="297"/>
      <c r="F158" s="297"/>
      <c r="G158" s="297"/>
      <c r="H158" s="298">
        <v>38.0</v>
      </c>
      <c r="I158" s="297"/>
      <c r="J158" s="297"/>
      <c r="K158" s="137"/>
      <c r="L158" s="137"/>
      <c r="M158" s="359">
        <v>126.0</v>
      </c>
      <c r="N158" s="137"/>
      <c r="O158" s="297"/>
      <c r="P158" s="137"/>
      <c r="Q158" s="137"/>
      <c r="R158" s="295"/>
      <c r="S158" s="137"/>
      <c r="T158" s="298"/>
      <c r="U158" s="137"/>
      <c r="V158" s="137"/>
      <c r="W158" s="137"/>
      <c r="X158" s="137"/>
      <c r="Y158" s="137"/>
      <c r="Z158" s="137"/>
    </row>
    <row r="159">
      <c r="A159" s="137"/>
      <c r="B159" s="296" t="s">
        <v>989</v>
      </c>
      <c r="C159" s="297" t="s">
        <v>990</v>
      </c>
      <c r="D159" s="289">
        <f>ROUND((F159*'Pawn Weights'!$H$40)+(G159*'Pawn Weights'!$H$41)+(H159*'Pawn Weights'!$H$42)+(I159*'Pawn Weights'!$H$43)+(J159*'Pawn Weights'!$H$44)+(K159*'Pawn Weights'!$H$45)+(L159*'Pawn Weights'!$H$46)+(M159*'Pawn Weights'!$H$47)+(N159*'Pawn Weights'!$H$48)+(O159*'Pawn Weights'!$H$49)+(P159*'Pawn Weights'!$H$50)+(Q159*'Pawn Weights'!$H$51), 2)</f>
        <v>79.84</v>
      </c>
      <c r="E159" s="295"/>
      <c r="F159" s="295"/>
      <c r="G159" s="298">
        <v>14.0</v>
      </c>
      <c r="H159" s="298">
        <v>26.0</v>
      </c>
      <c r="I159" s="295"/>
      <c r="J159" s="295"/>
      <c r="K159" s="298">
        <v>10.0</v>
      </c>
      <c r="L159" s="295"/>
      <c r="M159" s="137"/>
      <c r="N159" s="295"/>
      <c r="O159" s="295"/>
      <c r="P159" s="295"/>
      <c r="Q159" s="295"/>
      <c r="R159" s="295"/>
      <c r="S159" s="137"/>
      <c r="T159" s="295"/>
      <c r="U159" s="137"/>
      <c r="V159" s="137"/>
      <c r="W159" s="137"/>
      <c r="X159" s="137"/>
      <c r="Y159" s="137"/>
      <c r="Z159" s="137"/>
    </row>
    <row r="160">
      <c r="A160" s="137"/>
      <c r="B160" s="296" t="s">
        <v>983</v>
      </c>
      <c r="C160" s="297" t="s">
        <v>984</v>
      </c>
      <c r="D160" s="289">
        <f>ROUND((F160*'Pawn Weights'!$H$40)+(G160*'Pawn Weights'!$H$41)+(H160*'Pawn Weights'!$H$42)+(I160*'Pawn Weights'!$H$43)+(J160*'Pawn Weights'!$H$44)+(K160*'Pawn Weights'!$H$45)+(L160*'Pawn Weights'!$H$46)+(M160*'Pawn Weights'!$H$47)+(N160*'Pawn Weights'!$H$48)+(O160*'Pawn Weights'!$H$49)+(P160*'Pawn Weights'!$H$50)+(Q160*'Pawn Weights'!$H$51), 2)</f>
        <v>79.22</v>
      </c>
      <c r="E160" s="297"/>
      <c r="F160" s="297"/>
      <c r="G160" s="297"/>
      <c r="H160" s="298">
        <v>38.0</v>
      </c>
      <c r="I160" s="297"/>
      <c r="J160" s="297"/>
      <c r="K160" s="359">
        <v>18.0</v>
      </c>
      <c r="L160" s="137"/>
      <c r="M160" s="137"/>
      <c r="N160" s="137"/>
      <c r="O160" s="297"/>
      <c r="P160" s="137"/>
      <c r="Q160" s="137"/>
      <c r="R160" s="295"/>
      <c r="S160" s="137"/>
      <c r="T160" s="298"/>
      <c r="U160" s="137"/>
      <c r="V160" s="137"/>
      <c r="W160" s="137"/>
      <c r="X160" s="137"/>
      <c r="Y160" s="137"/>
      <c r="Z160" s="137"/>
    </row>
    <row r="161">
      <c r="A161" s="375"/>
      <c r="B161" s="296" t="s">
        <v>988</v>
      </c>
      <c r="C161" s="297" t="s">
        <v>727</v>
      </c>
      <c r="D161" s="289">
        <f>ROUND((F161*'Pawn Weights'!$H$40)+(G161*'Pawn Weights'!$H$41)+(H161*'Pawn Weights'!$H$42)+(I161*'Pawn Weights'!$H$43)+(J161*'Pawn Weights'!$H$44)+(K161*'Pawn Weights'!$H$45)+(L161*'Pawn Weights'!$H$46)+(M161*'Pawn Weights'!$H$47)+(N161*'Pawn Weights'!$H$48)+(O161*'Pawn Weights'!$H$49)+(P161*'Pawn Weights'!$H$50)+(Q161*'Pawn Weights'!$H$51), 2)</f>
        <v>78.99</v>
      </c>
      <c r="E161" s="297"/>
      <c r="F161" s="297"/>
      <c r="G161" s="298">
        <v>23.0</v>
      </c>
      <c r="H161" s="297"/>
      <c r="I161" s="298">
        <v>16.0</v>
      </c>
      <c r="J161" s="297"/>
      <c r="K161" s="137"/>
      <c r="L161" s="137"/>
      <c r="M161" s="137"/>
      <c r="N161" s="137"/>
      <c r="O161" s="297"/>
      <c r="P161" s="137"/>
      <c r="Q161" s="137"/>
      <c r="R161" s="295"/>
      <c r="S161" s="137"/>
      <c r="T161" s="298"/>
      <c r="U161" s="137"/>
      <c r="V161" s="137"/>
      <c r="W161" s="137"/>
      <c r="X161" s="137"/>
      <c r="Y161" s="137"/>
      <c r="Z161" s="137"/>
    </row>
    <row r="162">
      <c r="A162" s="137"/>
      <c r="B162" s="296" t="s">
        <v>994</v>
      </c>
      <c r="C162" s="297" t="s">
        <v>656</v>
      </c>
      <c r="D162" s="289">
        <f>ROUND((F162*'Pawn Weights'!$H$40)+(G162*'Pawn Weights'!$H$41)+(H162*'Pawn Weights'!$H$42)+(I162*'Pawn Weights'!$H$43)+(J162*'Pawn Weights'!$H$44)+(K162*'Pawn Weights'!$H$45)+(L162*'Pawn Weights'!$H$46)+(M162*'Pawn Weights'!$H$47)+(N162*'Pawn Weights'!$H$48)+(O162*'Pawn Weights'!$H$49)+(P162*'Pawn Weights'!$H$50)+(Q162*'Pawn Weights'!$H$51), 2)</f>
        <v>75.99</v>
      </c>
      <c r="E162" s="297"/>
      <c r="F162" s="297"/>
      <c r="G162" s="298">
        <v>19.0</v>
      </c>
      <c r="H162" s="298">
        <v>34.0</v>
      </c>
      <c r="I162" s="297"/>
      <c r="J162" s="297"/>
      <c r="K162" s="137"/>
      <c r="L162" s="137"/>
      <c r="M162" s="137"/>
      <c r="N162" s="137"/>
      <c r="O162" s="295"/>
      <c r="P162" s="137"/>
      <c r="Q162" s="137"/>
      <c r="R162" s="295"/>
      <c r="S162" s="137"/>
      <c r="T162" s="298"/>
      <c r="U162" s="137"/>
      <c r="V162" s="137"/>
      <c r="W162" s="137"/>
      <c r="X162" s="137"/>
      <c r="Y162" s="137"/>
      <c r="Z162" s="137"/>
    </row>
    <row r="163">
      <c r="A163" s="137"/>
      <c r="B163" s="296" t="s">
        <v>1251</v>
      </c>
      <c r="C163" s="297" t="s">
        <v>1252</v>
      </c>
      <c r="D163" s="289">
        <f>ROUND((F163*'Pawn Weights'!$H$40)+(G163*'Pawn Weights'!$H$41)+(H163*'Pawn Weights'!$H$42)+(I163*'Pawn Weights'!$H$43)+(J163*'Pawn Weights'!$H$44)+(K163*'Pawn Weights'!$H$45)+(L163*'Pawn Weights'!$H$46)+(M163*'Pawn Weights'!$H$47)+(N163*'Pawn Weights'!$H$48)+(O163*'Pawn Weights'!$H$49)+(P163*'Pawn Weights'!$H$50)+(Q163*'Pawn Weights'!$H$51), 2)</f>
        <v>75.36</v>
      </c>
      <c r="E163" s="297"/>
      <c r="F163" s="297"/>
      <c r="G163" s="298">
        <v>12.0</v>
      </c>
      <c r="H163" s="298">
        <v>22.0</v>
      </c>
      <c r="I163" s="295"/>
      <c r="J163" s="298">
        <v>11.0</v>
      </c>
      <c r="K163" s="295"/>
      <c r="L163" s="295"/>
      <c r="M163" s="137"/>
      <c r="N163" s="295"/>
      <c r="O163" s="295"/>
      <c r="P163" s="295"/>
      <c r="Q163" s="295"/>
      <c r="R163" s="295"/>
      <c r="S163" s="137"/>
      <c r="T163" s="298"/>
      <c r="U163" s="137"/>
      <c r="V163" s="137"/>
      <c r="W163" s="137"/>
      <c r="X163" s="137"/>
      <c r="Y163" s="137"/>
      <c r="Z163" s="137"/>
    </row>
    <row r="164">
      <c r="A164" s="137"/>
      <c r="B164" s="296" t="s">
        <v>1253</v>
      </c>
      <c r="C164" s="297" t="s">
        <v>1078</v>
      </c>
      <c r="D164" s="289">
        <f>ROUND((F164*'Pawn Weights'!$H$40)+(G164*'Pawn Weights'!$H$41)+(H164*'Pawn Weights'!$H$42)+(I164*'Pawn Weights'!$H$43)+(J164*'Pawn Weights'!$H$44)+(K164*'Pawn Weights'!$H$45)+(L164*'Pawn Weights'!$H$46)+(M164*'Pawn Weights'!$H$47)+(N164*'Pawn Weights'!$H$48)+(O164*'Pawn Weights'!$H$49)+(P164*'Pawn Weights'!$H$50)+(Q164*'Pawn Weights'!$H$51), 2)</f>
        <v>69.04</v>
      </c>
      <c r="E164" s="297"/>
      <c r="F164" s="297"/>
      <c r="G164" s="297"/>
      <c r="H164" s="316">
        <v>30.0</v>
      </c>
      <c r="I164" s="297"/>
      <c r="J164" s="298">
        <v>16.0</v>
      </c>
      <c r="K164" s="295"/>
      <c r="L164" s="295"/>
      <c r="M164" s="137"/>
      <c r="N164" s="295"/>
      <c r="O164" s="295"/>
      <c r="P164" s="295"/>
      <c r="Q164" s="295"/>
      <c r="R164" s="295"/>
      <c r="S164" s="137"/>
      <c r="T164" s="298"/>
      <c r="U164" s="137"/>
      <c r="V164" s="137"/>
      <c r="W164" s="137"/>
      <c r="X164" s="137"/>
      <c r="Y164" s="137"/>
      <c r="Z164" s="137"/>
    </row>
    <row r="165">
      <c r="A165" s="137"/>
      <c r="B165" s="296" t="s">
        <v>987</v>
      </c>
      <c r="C165" s="297" t="s">
        <v>649</v>
      </c>
      <c r="D165" s="289">
        <f>ROUND((F165*'Pawn Weights'!$H$40)+(G165*'Pawn Weights'!$H$41)+(H165*'Pawn Weights'!$H$42)+(I165*'Pawn Weights'!$H$43)+(J165*'Pawn Weights'!$H$44)+(K165*'Pawn Weights'!$H$45)+(L165*'Pawn Weights'!$H$46)+(M165*'Pawn Weights'!$H$47)+(N165*'Pawn Weights'!$H$48)+(O165*'Pawn Weights'!$H$49)+(P165*'Pawn Weights'!$H$50)+(Q165*'Pawn Weights'!$H$51), 2)</f>
        <v>66.16</v>
      </c>
      <c r="E165" s="298">
        <v>17.0</v>
      </c>
      <c r="F165" s="297"/>
      <c r="G165" s="297"/>
      <c r="H165" s="298">
        <v>38.0</v>
      </c>
      <c r="I165" s="298">
        <v>16.0</v>
      </c>
      <c r="J165" s="297"/>
      <c r="K165" s="137"/>
      <c r="L165" s="137"/>
      <c r="M165" s="137"/>
      <c r="N165" s="137"/>
      <c r="O165" s="297"/>
      <c r="P165" s="137"/>
      <c r="Q165" s="137"/>
      <c r="R165" s="295"/>
      <c r="S165" s="137"/>
      <c r="T165" s="298"/>
      <c r="U165" s="137"/>
      <c r="V165" s="137"/>
      <c r="W165" s="137"/>
      <c r="X165" s="137"/>
      <c r="Y165" s="137"/>
      <c r="Z165" s="137"/>
    </row>
    <row r="166">
      <c r="A166" s="137" t="s">
        <v>671</v>
      </c>
      <c r="B166" s="296" t="s">
        <v>985</v>
      </c>
      <c r="C166" s="297" t="s">
        <v>637</v>
      </c>
      <c r="D166" s="289">
        <f>ROUND((F166*'Pawn Weights'!$H$40)+(G166*'Pawn Weights'!$H$41)+(H166*'Pawn Weights'!$H$42)+(I166*'Pawn Weights'!$H$43)+(J166*'Pawn Weights'!$H$44)+(K166*'Pawn Weights'!$H$45)+(L166*'Pawn Weights'!$H$46)+(M166*'Pawn Weights'!$H$47)+(N166*'Pawn Weights'!$H$48)+(O166*'Pawn Weights'!$H$49)+(P166*'Pawn Weights'!$H$50)+(Q166*'Pawn Weights'!$H$51), 2)</f>
        <v>65.68</v>
      </c>
      <c r="E166" s="298">
        <v>27.0</v>
      </c>
      <c r="F166" s="295"/>
      <c r="G166" s="295"/>
      <c r="H166" s="298">
        <v>34.0</v>
      </c>
      <c r="I166" s="298">
        <v>18.0</v>
      </c>
      <c r="J166" s="295"/>
      <c r="K166" s="137"/>
      <c r="L166" s="137"/>
      <c r="M166" s="137"/>
      <c r="N166" s="137"/>
      <c r="O166" s="295"/>
      <c r="P166" s="137"/>
      <c r="Q166" s="137"/>
      <c r="R166" s="295"/>
      <c r="S166" s="137"/>
      <c r="T166" s="297" t="s">
        <v>986</v>
      </c>
      <c r="U166" s="137"/>
      <c r="V166" s="137"/>
      <c r="W166" s="137"/>
      <c r="X166" s="137"/>
      <c r="Y166" s="137"/>
      <c r="Z166" s="137"/>
    </row>
    <row r="167" ht="7.5" customHeight="1">
      <c r="A167" s="219" t="s">
        <v>991</v>
      </c>
      <c r="B167" s="296" t="s">
        <v>992</v>
      </c>
      <c r="C167" s="318" t="s">
        <v>646</v>
      </c>
      <c r="D167" s="289">
        <f>ROUND((F167*'Pawn Weights'!$H$40)+(G167*'Pawn Weights'!$H$41)+(H167*'Pawn Weights'!$H$42)+(I167*'Pawn Weights'!$H$43)+(J167*'Pawn Weights'!$H$44)+(K167*'Pawn Weights'!$H$45)+(L167*'Pawn Weights'!$H$46)+(M167*'Pawn Weights'!$H$47)+(N167*'Pawn Weights'!$H$48)+(O167*'Pawn Weights'!$H$49)+(P167*'Pawn Weights'!$H$50)+(Q167*'Pawn Weights'!$H$51), 2)</f>
        <v>59.92</v>
      </c>
      <c r="E167" s="298">
        <v>24.0</v>
      </c>
      <c r="F167" s="297"/>
      <c r="G167" s="297"/>
      <c r="H167" s="298">
        <v>30.0</v>
      </c>
      <c r="I167" s="298">
        <v>17.0</v>
      </c>
      <c r="J167" s="297"/>
      <c r="K167" s="297"/>
      <c r="L167" s="297"/>
      <c r="M167" s="137"/>
      <c r="N167" s="297"/>
      <c r="O167" s="297"/>
      <c r="P167" s="297"/>
      <c r="Q167" s="297"/>
      <c r="R167" s="295"/>
      <c r="S167" s="137"/>
      <c r="T167" s="298" t="s">
        <v>986</v>
      </c>
      <c r="U167" s="137"/>
      <c r="V167" s="137"/>
      <c r="W167" s="137"/>
      <c r="X167" s="137"/>
      <c r="Y167" s="137"/>
      <c r="Z167" s="137"/>
    </row>
    <row r="168" ht="7.5" customHeight="1">
      <c r="A168" s="295"/>
      <c r="B168" s="383" t="s">
        <v>1000</v>
      </c>
      <c r="C168" s="297" t="s">
        <v>1001</v>
      </c>
      <c r="D168" s="289">
        <f>ROUND((F168*'Pawn Weights'!$H$40)+(G168*'Pawn Weights'!$H$41)+(H168*'Pawn Weights'!$H$42)+(I168*'Pawn Weights'!$H$43)+(J168*'Pawn Weights'!$H$44)+(K168*'Pawn Weights'!$H$45)+(L168*'Pawn Weights'!$H$46)+(M168*'Pawn Weights'!$H$47)+(N168*'Pawn Weights'!$H$48)+(O168*'Pawn Weights'!$H$49)+(P168*'Pawn Weights'!$H$50)+(Q168*'Pawn Weights'!$H$51), 2)</f>
        <v>51</v>
      </c>
      <c r="E168" s="298">
        <v>16.0</v>
      </c>
      <c r="F168" s="297"/>
      <c r="G168" s="297"/>
      <c r="H168" s="297"/>
      <c r="I168" s="297"/>
      <c r="J168" s="298">
        <v>10.0</v>
      </c>
      <c r="K168" s="297"/>
      <c r="L168" s="298">
        <v>10.0</v>
      </c>
      <c r="M168" s="361"/>
      <c r="N168" s="297"/>
      <c r="O168" s="297"/>
      <c r="P168" s="297"/>
      <c r="Q168" s="297"/>
      <c r="R168" s="295"/>
      <c r="S168" s="137"/>
      <c r="T168" s="297" t="s">
        <v>971</v>
      </c>
      <c r="U168" s="137"/>
      <c r="V168" s="137"/>
      <c r="W168" s="137"/>
      <c r="X168" s="137"/>
      <c r="Y168" s="137"/>
      <c r="Z168" s="137"/>
    </row>
    <row r="169">
      <c r="A169" s="224" t="s">
        <v>1002</v>
      </c>
      <c r="B169" s="323" t="s">
        <v>604</v>
      </c>
      <c r="C169" s="323" t="s">
        <v>605</v>
      </c>
      <c r="D169" s="386" t="s">
        <v>606</v>
      </c>
      <c r="E169" s="224" t="s">
        <v>1003</v>
      </c>
      <c r="F169" s="224" t="s">
        <v>1004</v>
      </c>
      <c r="G169" s="224" t="s">
        <v>561</v>
      </c>
      <c r="H169" s="224" t="s">
        <v>562</v>
      </c>
      <c r="I169" s="224" t="s">
        <v>330</v>
      </c>
      <c r="J169" s="224" t="s">
        <v>563</v>
      </c>
      <c r="K169" s="272" t="s">
        <v>344</v>
      </c>
      <c r="L169" s="224" t="s">
        <v>607</v>
      </c>
      <c r="M169" s="224" t="s">
        <v>564</v>
      </c>
      <c r="N169" s="224" t="s">
        <v>1006</v>
      </c>
      <c r="O169" s="274" t="s">
        <v>610</v>
      </c>
      <c r="P169" s="275" t="s">
        <v>611</v>
      </c>
      <c r="Q169" s="276" t="s">
        <v>612</v>
      </c>
      <c r="R169" s="277" t="s">
        <v>613</v>
      </c>
      <c r="S169" s="323" t="s">
        <v>356</v>
      </c>
      <c r="T169" s="277" t="s">
        <v>615</v>
      </c>
      <c r="U169" s="324"/>
      <c r="V169" s="324"/>
      <c r="W169" s="366" t="s">
        <v>1254</v>
      </c>
    </row>
    <row r="170">
      <c r="A170" s="292"/>
      <c r="B170" s="376" t="s">
        <v>1255</v>
      </c>
      <c r="C170" s="326"/>
      <c r="D170" s="387"/>
      <c r="E170" s="326"/>
      <c r="F170" s="326"/>
      <c r="G170" s="154"/>
      <c r="H170" s="326"/>
      <c r="I170" s="326"/>
      <c r="J170" s="326"/>
      <c r="K170" s="326"/>
      <c r="L170" s="326"/>
      <c r="M170" s="326"/>
      <c r="N170" s="326"/>
      <c r="O170" s="326"/>
      <c r="P170" s="326"/>
      <c r="Q170" s="326"/>
      <c r="R170" s="327"/>
      <c r="S170" s="326"/>
      <c r="T170" s="327"/>
      <c r="U170" s="326"/>
      <c r="V170" s="326"/>
      <c r="W170" s="329"/>
    </row>
    <row r="171">
      <c r="A171" s="295" t="s">
        <v>973</v>
      </c>
      <c r="B171" s="364" t="s">
        <v>1009</v>
      </c>
      <c r="C171" s="330" t="s">
        <v>632</v>
      </c>
      <c r="D171" s="315">
        <f>ROUND((E171*'Pawn Weights'!$H$52)+(G171*'Pawn Weights'!$H$41)+(H171*'Pawn Weights'!$H$42)+(I171*'Pawn Weights'!$H$43)+(J171*'Pawn Weights'!$H$46)+(K171*'Pawn Weights'!$H$44)+(M171*'Pawn Weights'!$H$47)+(N171*'Pawn Weights'!$H$40)+(O171*'Pawn Weights'!$H$49)+(P171*'Pawn Weights'!$H$50)+(Q171*'Pawn Weights'!$H$51)+(F171*'Pawn Weights'!$H$53), 2)</f>
        <v>1102.26</v>
      </c>
      <c r="E171" s="332">
        <v>109.3</v>
      </c>
      <c r="F171" s="332">
        <v>2.8</v>
      </c>
      <c r="G171" s="332">
        <v>22.0</v>
      </c>
      <c r="H171" s="332">
        <v>44.0</v>
      </c>
      <c r="I171" s="330"/>
      <c r="J171" s="330"/>
      <c r="K171" s="332">
        <v>21.0</v>
      </c>
      <c r="L171" s="332">
        <v>29.0</v>
      </c>
      <c r="M171" s="330"/>
      <c r="N171" s="330"/>
      <c r="O171" s="330"/>
      <c r="P171" s="330"/>
      <c r="Q171" s="330"/>
      <c r="R171" s="295"/>
      <c r="S171" s="330"/>
      <c r="T171" s="298" t="s">
        <v>1010</v>
      </c>
      <c r="U171" s="330"/>
      <c r="V171" s="330"/>
      <c r="W171" s="137"/>
      <c r="X171" s="137"/>
      <c r="Y171" s="137"/>
      <c r="Z171" s="137"/>
    </row>
    <row r="172">
      <c r="A172" s="137" t="s">
        <v>671</v>
      </c>
      <c r="B172" s="296" t="s">
        <v>1011</v>
      </c>
      <c r="C172" s="330" t="s">
        <v>637</v>
      </c>
      <c r="D172" s="315">
        <f>ROUND((E172*'Pawn Weights'!$H$52)+(G172*'Pawn Weights'!$H$41)+(H172*'Pawn Weights'!$H$42)+(I172*'Pawn Weights'!$H$43)+(J172*'Pawn Weights'!$H$46)+(K172*'Pawn Weights'!$H$44)+(M172*'Pawn Weights'!$H$47)+(N172*'Pawn Weights'!$H$40)+(O172*'Pawn Weights'!$H$49)+(P172*'Pawn Weights'!$H$50)+(Q172*'Pawn Weights'!$H$51)+(F172*'Pawn Weights'!$H$53), 2)</f>
        <v>1056.54</v>
      </c>
      <c r="E172" s="332">
        <v>107.9</v>
      </c>
      <c r="F172" s="332">
        <v>2.6</v>
      </c>
      <c r="G172" s="330"/>
      <c r="H172" s="332">
        <v>38.0</v>
      </c>
      <c r="I172" s="332">
        <v>22.0</v>
      </c>
      <c r="J172" s="330"/>
      <c r="K172" s="332">
        <v>9.0</v>
      </c>
      <c r="L172" s="332">
        <v>31.0</v>
      </c>
      <c r="M172" s="332">
        <v>49.0</v>
      </c>
      <c r="N172" s="330"/>
      <c r="O172" s="330"/>
      <c r="P172" s="330"/>
      <c r="Q172" s="330"/>
      <c r="R172" s="295"/>
      <c r="S172" s="330"/>
      <c r="T172" s="330" t="s">
        <v>986</v>
      </c>
      <c r="U172" s="330"/>
      <c r="V172" s="330"/>
      <c r="W172" s="137"/>
      <c r="X172" s="137"/>
      <c r="Y172" s="137"/>
      <c r="Z172" s="137"/>
    </row>
    <row r="173">
      <c r="A173" s="219" t="s">
        <v>991</v>
      </c>
      <c r="B173" s="296" t="s">
        <v>1018</v>
      </c>
      <c r="C173" s="330" t="s">
        <v>646</v>
      </c>
      <c r="D173" s="315">
        <f>ROUND((E173*'Pawn Weights'!$H$52)+(G173*'Pawn Weights'!$H$41)+(H173*'Pawn Weights'!$H$42)+(I173*'Pawn Weights'!$H$43)+(J173*'Pawn Weights'!$H$46)+(K173*'Pawn Weights'!$H$44)+(M173*'Pawn Weights'!$H$47)+(N173*'Pawn Weights'!$H$40)+(O173*'Pawn Weights'!$H$49)+(P173*'Pawn Weights'!$H$50)+(Q173*'Pawn Weights'!$H$51)+(F173*'Pawn Weights'!$H$53), 2)</f>
        <v>1009.94</v>
      </c>
      <c r="E173" s="332">
        <v>103.1</v>
      </c>
      <c r="F173" s="332">
        <v>2.6</v>
      </c>
      <c r="G173" s="330"/>
      <c r="H173" s="332">
        <v>34.0</v>
      </c>
      <c r="I173" s="332">
        <v>21.0</v>
      </c>
      <c r="J173" s="330"/>
      <c r="K173" s="332">
        <v>8.0</v>
      </c>
      <c r="L173" s="332">
        <v>30.0</v>
      </c>
      <c r="M173" s="332">
        <v>49.0</v>
      </c>
      <c r="N173" s="330"/>
      <c r="O173" s="330"/>
      <c r="P173" s="330"/>
      <c r="Q173" s="330"/>
      <c r="R173" s="295"/>
      <c r="S173" s="330"/>
      <c r="T173" s="298" t="s">
        <v>986</v>
      </c>
      <c r="U173" s="330"/>
      <c r="V173" s="330"/>
      <c r="W173" s="137"/>
      <c r="X173" s="137"/>
      <c r="Y173" s="137"/>
      <c r="Z173" s="137"/>
    </row>
    <row r="174">
      <c r="A174" s="137"/>
      <c r="B174" s="296" t="s">
        <v>1019</v>
      </c>
      <c r="C174" s="330" t="s">
        <v>835</v>
      </c>
      <c r="D174" s="315">
        <f>ROUND((E174*'Pawn Weights'!$H$52)+(G174*'Pawn Weights'!$H$41)+(H174*'Pawn Weights'!$H$42)+(I174*'Pawn Weights'!$H$43)+(J174*'Pawn Weights'!$H$46)+(K174*'Pawn Weights'!$H$44)+(M174*'Pawn Weights'!$H$47)+(N174*'Pawn Weights'!$H$40)+(O174*'Pawn Weights'!$H$49)+(P174*'Pawn Weights'!$H$50)+(Q174*'Pawn Weights'!$H$51)+(F174*'Pawn Weights'!$H$53), 2)</f>
        <v>997.48</v>
      </c>
      <c r="E174" s="332">
        <v>100.2</v>
      </c>
      <c r="F174" s="332">
        <v>2.6</v>
      </c>
      <c r="G174" s="332">
        <v>28.0</v>
      </c>
      <c r="H174" s="332">
        <v>56.0</v>
      </c>
      <c r="I174" s="330"/>
      <c r="J174" s="330"/>
      <c r="K174" s="330"/>
      <c r="L174" s="330"/>
      <c r="M174" s="330"/>
      <c r="N174" s="330"/>
      <c r="O174" s="330"/>
      <c r="P174" s="330"/>
      <c r="Q174" s="330"/>
      <c r="R174" s="295"/>
      <c r="S174" s="330"/>
      <c r="T174" s="298"/>
      <c r="U174" s="330"/>
      <c r="V174" s="330"/>
      <c r="W174" s="137"/>
      <c r="X174" s="137"/>
      <c r="Y174" s="137"/>
      <c r="Z174" s="137"/>
    </row>
    <row r="175">
      <c r="A175" s="137"/>
      <c r="B175" s="296" t="s">
        <v>1035</v>
      </c>
      <c r="C175" s="330" t="s">
        <v>900</v>
      </c>
      <c r="D175" s="315">
        <f>ROUND((E175*'Pawn Weights'!$H$52)+(G175*'Pawn Weights'!$H$41)+(H175*'Pawn Weights'!$H$42)+(I175*'Pawn Weights'!$H$43)+(J175*'Pawn Weights'!$H$46)+(K175*'Pawn Weights'!$H$44)+(M175*'Pawn Weights'!$H$47)+(N175*'Pawn Weights'!$H$40)+(O175*'Pawn Weights'!$H$49)+(P175*'Pawn Weights'!$H$50)+(Q175*'Pawn Weights'!$H$51)+(F175*'Pawn Weights'!$H$53), 2)</f>
        <v>974.95</v>
      </c>
      <c r="E175" s="332">
        <v>96.5</v>
      </c>
      <c r="F175" s="332">
        <v>2.7</v>
      </c>
      <c r="G175" s="332">
        <v>15.0</v>
      </c>
      <c r="H175" s="332">
        <v>40.0</v>
      </c>
      <c r="I175" s="330"/>
      <c r="J175" s="330"/>
      <c r="K175" s="332">
        <v>20.0</v>
      </c>
      <c r="L175" s="330"/>
      <c r="M175" s="330"/>
      <c r="N175" s="330"/>
      <c r="O175" s="330"/>
      <c r="P175" s="330"/>
      <c r="Q175" s="330"/>
      <c r="R175" s="295"/>
      <c r="S175" s="330"/>
      <c r="T175" s="298" t="s">
        <v>1036</v>
      </c>
      <c r="U175" s="330"/>
      <c r="V175" s="330"/>
      <c r="W175" s="137"/>
      <c r="X175" s="137"/>
      <c r="Y175" s="137"/>
      <c r="Z175" s="137"/>
    </row>
    <row r="176">
      <c r="A176" s="219" t="s">
        <v>995</v>
      </c>
      <c r="B176" s="288" t="s">
        <v>1033</v>
      </c>
      <c r="C176" s="326" t="s">
        <v>997</v>
      </c>
      <c r="D176" s="315">
        <f>ROUND((E176*'Pawn Weights'!$H$52)+(G176*'Pawn Weights'!$H$41)+(H176*'Pawn Weights'!$H$42)+(I176*'Pawn Weights'!$H$43)+(J176*'Pawn Weights'!$H$46)+(K176*'Pawn Weights'!$H$44)+(M176*'Pawn Weights'!$H$47)+(N176*'Pawn Weights'!$H$40)+(O176*'Pawn Weights'!$H$49)+(P176*'Pawn Weights'!$H$50)+(Q176*'Pawn Weights'!$H$51)+(F176*'Pawn Weights'!$H$53), 2)</f>
        <v>947.44</v>
      </c>
      <c r="E176" s="326">
        <v>97.7</v>
      </c>
      <c r="F176" s="326">
        <v>2.6</v>
      </c>
      <c r="G176" s="326"/>
      <c r="H176" s="326">
        <v>30.0</v>
      </c>
      <c r="I176" s="326">
        <v>19.0</v>
      </c>
      <c r="J176" s="326"/>
      <c r="K176" s="326">
        <v>10.0</v>
      </c>
      <c r="L176" s="326">
        <v>27.0</v>
      </c>
      <c r="M176" s="326"/>
      <c r="N176" s="326"/>
      <c r="O176" s="326"/>
      <c r="P176" s="326"/>
      <c r="Q176" s="326"/>
      <c r="R176" s="327"/>
      <c r="S176" s="326"/>
      <c r="T176" s="327" t="s">
        <v>1034</v>
      </c>
      <c r="U176" s="326"/>
      <c r="V176" s="326"/>
      <c r="W176" s="329"/>
    </row>
    <row r="177" ht="17.25" customHeight="1">
      <c r="A177" s="295"/>
      <c r="B177" s="296" t="s">
        <v>1258</v>
      </c>
      <c r="C177" s="330" t="s">
        <v>1259</v>
      </c>
      <c r="D177" s="315">
        <f>ROUND((E177*'Pawn Weights'!$H$52)+(G177*'Pawn Weights'!$H$41)+(H177*'Pawn Weights'!$H$42)+(I177*'Pawn Weights'!$H$43)+(J177*'Pawn Weights'!$H$46)+(K177*'Pawn Weights'!$H$44)+(M177*'Pawn Weights'!$H$47)+(N177*'Pawn Weights'!$H$40)+(O177*'Pawn Weights'!$H$49)+(P177*'Pawn Weights'!$H$50)+(Q177*'Pawn Weights'!$H$51)+(F177*'Pawn Weights'!$H$53), 2)</f>
        <v>884.8</v>
      </c>
      <c r="E177" s="332">
        <v>95.6</v>
      </c>
      <c r="F177" s="332">
        <v>2.6</v>
      </c>
      <c r="G177" s="330"/>
      <c r="H177" s="332">
        <v>42.0</v>
      </c>
      <c r="I177" s="330"/>
      <c r="J177" s="330"/>
      <c r="K177" s="330"/>
      <c r="L177" s="332">
        <v>30.0</v>
      </c>
      <c r="M177" s="330"/>
      <c r="N177" s="330"/>
      <c r="O177" s="330"/>
      <c r="P177" s="330"/>
      <c r="Q177" s="330"/>
      <c r="R177" s="295"/>
      <c r="S177" s="332">
        <v>20.0</v>
      </c>
      <c r="T177" s="298"/>
      <c r="U177" s="330"/>
      <c r="V177" s="330"/>
      <c r="W177" s="137"/>
      <c r="X177" s="137"/>
      <c r="Y177" s="137"/>
      <c r="Z177" s="137"/>
    </row>
    <row r="178">
      <c r="A178" s="219" t="s">
        <v>1449</v>
      </c>
      <c r="B178" s="288" t="s">
        <v>1256</v>
      </c>
      <c r="C178" s="326" t="s">
        <v>1159</v>
      </c>
      <c r="D178" s="315">
        <f>ROUND((E178*'Pawn Weights'!$H$52)+(G178*'Pawn Weights'!$H$41)+(H178*'Pawn Weights'!$H$42)+(I178*'Pawn Weights'!$H$43)+(J178*'Pawn Weights'!$H$46)+(K178*'Pawn Weights'!$H$44)+(M178*'Pawn Weights'!$H$47)+(N178*'Pawn Weights'!$H$40)+(O178*'Pawn Weights'!$H$49)+(P178*'Pawn Weights'!$H$50)+(Q178*'Pawn Weights'!$H$51)+(F178*'Pawn Weights'!$H$53), 2)</f>
        <v>883.96</v>
      </c>
      <c r="E178" s="326">
        <v>91.2</v>
      </c>
      <c r="F178" s="326">
        <v>2.6</v>
      </c>
      <c r="G178" s="326"/>
      <c r="H178" s="326">
        <v>28.0</v>
      </c>
      <c r="I178" s="326">
        <v>15.0</v>
      </c>
      <c r="J178" s="326"/>
      <c r="K178" s="326">
        <v>9.0</v>
      </c>
      <c r="L178" s="326">
        <v>21.0</v>
      </c>
      <c r="M178" s="326"/>
      <c r="N178" s="326"/>
      <c r="O178" s="326"/>
      <c r="P178" s="326"/>
      <c r="Q178" s="326"/>
      <c r="R178" s="327"/>
      <c r="S178" s="326"/>
      <c r="T178" s="327" t="s">
        <v>1257</v>
      </c>
      <c r="U178" s="326"/>
      <c r="V178" s="326"/>
      <c r="W178" s="329"/>
    </row>
    <row r="179">
      <c r="A179" s="137"/>
      <c r="B179" s="296" t="s">
        <v>1260</v>
      </c>
      <c r="C179" s="330" t="s">
        <v>708</v>
      </c>
      <c r="D179" s="315">
        <f>ROUND((E179*'Pawn Weights'!$H$52)+(G179*'Pawn Weights'!$H$41)+(H179*'Pawn Weights'!$H$42)+(I179*'Pawn Weights'!$H$43)+(J179*'Pawn Weights'!$H$46)+(K179*'Pawn Weights'!$H$44)+(M179*'Pawn Weights'!$H$47)+(N179*'Pawn Weights'!$H$40)+(O179*'Pawn Weights'!$H$49)+(P179*'Pawn Weights'!$H$50)+(Q179*'Pawn Weights'!$H$51)+(F179*'Pawn Weights'!$H$53), 2)</f>
        <v>866.4</v>
      </c>
      <c r="E179" s="332">
        <v>89.8</v>
      </c>
      <c r="F179" s="332">
        <v>2.6</v>
      </c>
      <c r="G179" s="295"/>
      <c r="H179" s="332">
        <v>70.0</v>
      </c>
      <c r="I179" s="330"/>
      <c r="J179" s="330"/>
      <c r="K179" s="330"/>
      <c r="L179" s="330"/>
      <c r="M179" s="330"/>
      <c r="N179" s="330"/>
      <c r="O179" s="330"/>
      <c r="P179" s="330"/>
      <c r="Q179" s="330"/>
      <c r="R179" s="295"/>
      <c r="S179" s="330"/>
      <c r="T179" s="298"/>
      <c r="U179" s="330"/>
      <c r="V179" s="330"/>
      <c r="W179" s="137"/>
      <c r="X179" s="137"/>
      <c r="Y179" s="137"/>
      <c r="Z179" s="137"/>
    </row>
    <row r="180">
      <c r="A180" s="295"/>
      <c r="B180" s="296" t="s">
        <v>1261</v>
      </c>
      <c r="C180" s="330" t="s">
        <v>881</v>
      </c>
      <c r="D180" s="315">
        <f>ROUND((E180*'Pawn Weights'!$H$52)+(G180*'Pawn Weights'!$H$41)+(H180*'Pawn Weights'!$H$42)+(I180*'Pawn Weights'!$H$43)+(J180*'Pawn Weights'!$H$46)+(K180*'Pawn Weights'!$H$44)+(M180*'Pawn Weights'!$H$47)+(N180*'Pawn Weights'!$H$40)+(O180*'Pawn Weights'!$H$49)+(P180*'Pawn Weights'!$H$50)+(Q180*'Pawn Weights'!$H$51)+(F180*'Pawn Weights'!$H$53), 2)</f>
        <v>858.74</v>
      </c>
      <c r="E180" s="332">
        <v>87.6</v>
      </c>
      <c r="F180" s="332">
        <v>2.7</v>
      </c>
      <c r="G180" s="298">
        <v>14.0</v>
      </c>
      <c r="H180" s="332">
        <v>46.0</v>
      </c>
      <c r="I180" s="330"/>
      <c r="J180" s="330"/>
      <c r="K180" s="330"/>
      <c r="L180" s="332">
        <v>16.0</v>
      </c>
      <c r="M180" s="330"/>
      <c r="N180" s="330"/>
      <c r="O180" s="330"/>
      <c r="P180" s="330"/>
      <c r="Q180" s="330"/>
      <c r="R180" s="295"/>
      <c r="S180" s="330"/>
      <c r="T180" s="298"/>
      <c r="U180" s="330"/>
      <c r="V180" s="330"/>
      <c r="W180" s="137"/>
      <c r="X180" s="137"/>
      <c r="Y180" s="137"/>
      <c r="Z180" s="137"/>
    </row>
    <row r="181">
      <c r="A181" s="315"/>
      <c r="B181" s="296" t="s">
        <v>1262</v>
      </c>
      <c r="C181" s="330" t="s">
        <v>1263</v>
      </c>
      <c r="D181" s="315">
        <f>ROUND((E181*'Pawn Weights'!$H$52)+(G181*'Pawn Weights'!$H$41)+(H181*'Pawn Weights'!$H$42)+(I181*'Pawn Weights'!$H$43)+(J181*'Pawn Weights'!$H$46)+(K181*'Pawn Weights'!$H$44)+(M181*'Pawn Weights'!$H$47)+(N181*'Pawn Weights'!$H$40)+(O181*'Pawn Weights'!$H$49)+(P181*'Pawn Weights'!$H$50)+(Q181*'Pawn Weights'!$H$51)+(F181*'Pawn Weights'!$H$53), 2)</f>
        <v>811.96</v>
      </c>
      <c r="E181" s="332">
        <v>81.2</v>
      </c>
      <c r="F181" s="332">
        <v>2.6</v>
      </c>
      <c r="G181" s="295"/>
      <c r="H181" s="332">
        <v>38.0</v>
      </c>
      <c r="I181" s="330"/>
      <c r="J181" s="330"/>
      <c r="K181" s="332">
        <v>19.0</v>
      </c>
      <c r="L181" s="330"/>
      <c r="M181" s="330"/>
      <c r="N181" s="330"/>
      <c r="O181" s="330"/>
      <c r="P181" s="330"/>
      <c r="Q181" s="330"/>
      <c r="R181" s="295"/>
      <c r="S181" s="330"/>
      <c r="T181" s="298"/>
      <c r="U181" s="330"/>
      <c r="V181" s="330"/>
      <c r="W181" s="137"/>
      <c r="X181" s="137"/>
      <c r="Y181" s="137"/>
      <c r="Z181" s="137"/>
    </row>
    <row r="182">
      <c r="A182" s="219" t="s">
        <v>943</v>
      </c>
      <c r="B182" s="296" t="s">
        <v>1264</v>
      </c>
      <c r="C182" s="330" t="s">
        <v>1265</v>
      </c>
      <c r="D182" s="315">
        <f>ROUND((E182*'Pawn Weights'!$H$52)+(G182*'Pawn Weights'!$H$41)+(H182*'Pawn Weights'!$H$42)+(I182*'Pawn Weights'!$H$43)+(J182*'Pawn Weights'!$H$46)+(K182*'Pawn Weights'!$H$44)+(M182*'Pawn Weights'!$H$47)+(N182*'Pawn Weights'!$H$40)+(O182*'Pawn Weights'!$H$49)+(P182*'Pawn Weights'!$H$50)+(Q182*'Pawn Weights'!$H$51)+(F182*'Pawn Weights'!$H$53), 2)</f>
        <v>727.6</v>
      </c>
      <c r="E182" s="332">
        <v>81.2</v>
      </c>
      <c r="F182" s="332">
        <v>2.6</v>
      </c>
      <c r="G182" s="295"/>
      <c r="H182" s="330"/>
      <c r="I182" s="330"/>
      <c r="J182" s="330"/>
      <c r="K182" s="330"/>
      <c r="L182" s="330"/>
      <c r="M182" s="330"/>
      <c r="N182" s="330"/>
      <c r="O182" s="330"/>
      <c r="P182" s="330"/>
      <c r="Q182" s="330"/>
      <c r="R182" s="295"/>
      <c r="S182" s="330"/>
      <c r="T182" s="316" t="s">
        <v>1266</v>
      </c>
      <c r="U182" s="330"/>
      <c r="V182" s="330"/>
      <c r="W182" s="137"/>
      <c r="X182" s="137"/>
      <c r="Y182" s="137"/>
      <c r="Z182" s="137"/>
    </row>
    <row r="183">
      <c r="A183" s="295" t="s">
        <v>627</v>
      </c>
      <c r="B183" s="296" t="s">
        <v>1267</v>
      </c>
      <c r="C183" s="330" t="s">
        <v>1268</v>
      </c>
      <c r="D183" s="315">
        <f>ROUND((E183*'Pawn Weights'!$H$52)+(G183*'Pawn Weights'!$H$41)+(H183*'Pawn Weights'!$H$42)+(I183*'Pawn Weights'!$H$43)+(J183*'Pawn Weights'!$H$46)+(K183*'Pawn Weights'!$H$44)+(M183*'Pawn Weights'!$H$47)+(N183*'Pawn Weights'!$H$40)+(O183*'Pawn Weights'!$H$49)+(P183*'Pawn Weights'!$H$50)+(Q183*'Pawn Weights'!$H$51)+(F183*'Pawn Weights'!$H$53), 2)</f>
        <v>790.66</v>
      </c>
      <c r="E183" s="332">
        <v>83.4</v>
      </c>
      <c r="F183" s="332">
        <v>2.2</v>
      </c>
      <c r="G183" s="298">
        <v>26.0</v>
      </c>
      <c r="H183" s="330"/>
      <c r="I183" s="330"/>
      <c r="J183" s="330"/>
      <c r="K183" s="330"/>
      <c r="L183" s="332">
        <v>15.0</v>
      </c>
      <c r="M183" s="330"/>
      <c r="N183" s="330"/>
      <c r="O183" s="330"/>
      <c r="P183" s="330"/>
      <c r="Q183" s="330"/>
      <c r="R183" s="295"/>
      <c r="S183" s="389"/>
      <c r="T183" s="298"/>
      <c r="U183" s="330"/>
      <c r="V183" s="330"/>
      <c r="W183" s="137"/>
      <c r="X183" s="137"/>
      <c r="Y183" s="137"/>
      <c r="Z183" s="137"/>
    </row>
    <row r="184">
      <c r="A184" s="271" t="s">
        <v>1040</v>
      </c>
      <c r="B184" s="407" t="s">
        <v>604</v>
      </c>
      <c r="C184" s="407" t="s">
        <v>605</v>
      </c>
      <c r="D184" s="409" t="s">
        <v>606</v>
      </c>
      <c r="E184" s="271" t="s">
        <v>1003</v>
      </c>
      <c r="F184" s="271" t="s">
        <v>1004</v>
      </c>
      <c r="G184" s="271" t="s">
        <v>561</v>
      </c>
      <c r="H184" s="271" t="s">
        <v>562</v>
      </c>
      <c r="I184" s="271" t="s">
        <v>330</v>
      </c>
      <c r="J184" s="271" t="s">
        <v>563</v>
      </c>
      <c r="K184" s="410" t="s">
        <v>344</v>
      </c>
      <c r="L184" s="271" t="s">
        <v>607</v>
      </c>
      <c r="M184" s="271" t="s">
        <v>564</v>
      </c>
      <c r="N184" s="271" t="s">
        <v>1006</v>
      </c>
      <c r="O184" s="411" t="s">
        <v>610</v>
      </c>
      <c r="P184" s="412" t="s">
        <v>611</v>
      </c>
      <c r="Q184" s="413" t="s">
        <v>612</v>
      </c>
      <c r="R184" s="414" t="s">
        <v>613</v>
      </c>
      <c r="S184" s="407" t="s">
        <v>356</v>
      </c>
      <c r="T184" s="414" t="s">
        <v>615</v>
      </c>
      <c r="U184" s="415"/>
      <c r="V184" s="415"/>
      <c r="W184" s="415"/>
      <c r="X184" s="416"/>
      <c r="Y184" s="416"/>
      <c r="Z184" s="416"/>
    </row>
    <row r="185" ht="14.25" customHeight="1">
      <c r="A185" s="281"/>
      <c r="B185" s="350" t="s">
        <v>1269</v>
      </c>
      <c r="C185" s="326"/>
      <c r="D185" s="387"/>
      <c r="E185" s="326"/>
      <c r="F185" s="326"/>
      <c r="G185" s="326"/>
      <c r="H185" s="326"/>
      <c r="I185" s="326"/>
      <c r="J185" s="326"/>
      <c r="K185" s="326"/>
      <c r="L185" s="326"/>
      <c r="M185" s="326"/>
      <c r="N185" s="326"/>
      <c r="O185" s="326"/>
      <c r="P185" s="326"/>
      <c r="Q185" s="326"/>
      <c r="R185" s="327"/>
      <c r="S185" s="326"/>
      <c r="T185" s="327"/>
      <c r="U185" s="326"/>
      <c r="V185" s="326"/>
      <c r="W185" s="329"/>
    </row>
    <row r="186">
      <c r="A186" s="137" t="s">
        <v>973</v>
      </c>
      <c r="B186" s="364" t="s">
        <v>1009</v>
      </c>
      <c r="C186" s="330" t="s">
        <v>632</v>
      </c>
      <c r="D186" s="315">
        <f>ROUND((E186*'Pawn Weights'!$H$54)+(G186*'Pawn Weights'!$H$41)+(H186*'Pawn Weights'!$H$42)+(I186*'Pawn Weights'!$H$43)+(J186*'Pawn Weights'!$H$46)+(K186*'Pawn Weights'!$H$44)+(M186*'Pawn Weights'!$H$47)+(N186*'Pawn Weights'!$H$40)+(O186*'Pawn Weights'!$H$49)+(P186*'Pawn Weights'!$H$50)+(Q186*'Pawn Weights'!$H$51)+(F186*'Pawn Weights'!$H$55)+'Pawn Weights'!$H$56, 2)</f>
        <v>406.95</v>
      </c>
      <c r="E186" s="332">
        <v>109.3</v>
      </c>
      <c r="F186" s="332">
        <v>1.4</v>
      </c>
      <c r="G186" s="332">
        <v>21.0</v>
      </c>
      <c r="H186" s="332">
        <v>44.0</v>
      </c>
      <c r="I186" s="332">
        <v>23.0</v>
      </c>
      <c r="J186" s="330"/>
      <c r="K186" s="330"/>
      <c r="L186" s="332">
        <v>28.0</v>
      </c>
      <c r="M186" s="330"/>
      <c r="N186" s="330"/>
      <c r="O186" s="330"/>
      <c r="P186" s="330"/>
      <c r="Q186" s="330"/>
      <c r="R186" s="295"/>
      <c r="S186" s="330"/>
      <c r="T186" s="298" t="s">
        <v>1010</v>
      </c>
      <c r="U186" s="330"/>
      <c r="V186" s="330"/>
      <c r="W186" s="137"/>
      <c r="X186" s="137"/>
      <c r="Y186" s="137"/>
      <c r="Z186" s="137"/>
    </row>
    <row r="187">
      <c r="A187" s="137"/>
      <c r="B187" s="296" t="s">
        <v>1053</v>
      </c>
      <c r="C187" s="330" t="s">
        <v>701</v>
      </c>
      <c r="D187" s="315">
        <f>ROUND((E187*'Pawn Weights'!$H$54)+(G187*'Pawn Weights'!$H$41)+(H187*'Pawn Weights'!$H$42)+(I187*'Pawn Weights'!$H$43)+(J187*'Pawn Weights'!$H$46)+(K187*'Pawn Weights'!$H$44)+(M187*'Pawn Weights'!$H$47)+(N187*'Pawn Weights'!$H$40)+(O187*'Pawn Weights'!$H$49)+(P187*'Pawn Weights'!$H$50)+(Q187*'Pawn Weights'!$H$51)+(F187*'Pawn Weights'!$H$55)+'Pawn Weights'!$H$56, 2)</f>
        <v>373.31</v>
      </c>
      <c r="E187" s="332">
        <v>100.4</v>
      </c>
      <c r="F187" s="332">
        <v>1.4</v>
      </c>
      <c r="G187" s="330"/>
      <c r="H187" s="332">
        <v>44.0</v>
      </c>
      <c r="I187" s="332">
        <v>22.0</v>
      </c>
      <c r="J187" s="330"/>
      <c r="K187" s="332">
        <v>15.0</v>
      </c>
      <c r="L187" s="332">
        <v>19.0</v>
      </c>
      <c r="M187" s="330"/>
      <c r="N187" s="330"/>
      <c r="O187" s="330"/>
      <c r="P187" s="330"/>
      <c r="Q187" s="330"/>
      <c r="R187" s="295"/>
      <c r="S187" s="330"/>
      <c r="T187" s="298"/>
      <c r="U187" s="330"/>
      <c r="V187" s="330"/>
      <c r="W187" s="137"/>
      <c r="X187" s="137"/>
      <c r="Y187" s="137"/>
      <c r="Z187" s="137"/>
    </row>
    <row r="188">
      <c r="A188" s="219" t="s">
        <v>671</v>
      </c>
      <c r="B188" s="296" t="s">
        <v>1045</v>
      </c>
      <c r="C188" s="330" t="s">
        <v>637</v>
      </c>
      <c r="D188" s="315">
        <f>ROUND((E188*'Pawn Weights'!$H$54)+(G188*'Pawn Weights'!$H$41)+(H188*'Pawn Weights'!$H$42)+(I188*'Pawn Weights'!$H$43)+(J188*'Pawn Weights'!$H$46)+(K188*'Pawn Weights'!$H$44)+(M188*'Pawn Weights'!$H$47)+(N188*'Pawn Weights'!$H$40)+(O188*'Pawn Weights'!$H$49)+(P188*'Pawn Weights'!$H$50)+(Q188*'Pawn Weights'!$H$51)+(F188*'Pawn Weights'!$H$55)+'Pawn Weights'!$H$56, 2)</f>
        <v>370.68</v>
      </c>
      <c r="E188" s="332">
        <v>108.0</v>
      </c>
      <c r="F188" s="332">
        <v>1.5</v>
      </c>
      <c r="G188" s="330"/>
      <c r="H188" s="332">
        <v>38.0</v>
      </c>
      <c r="I188" s="332">
        <v>22.0</v>
      </c>
      <c r="J188" s="330"/>
      <c r="K188" s="332">
        <v>9.0</v>
      </c>
      <c r="L188" s="332">
        <v>31.0</v>
      </c>
      <c r="M188" s="332">
        <v>49.0</v>
      </c>
      <c r="N188" s="330"/>
      <c r="O188" s="330"/>
      <c r="P188" s="330"/>
      <c r="Q188" s="330"/>
      <c r="R188" s="295"/>
      <c r="S188" s="330"/>
      <c r="T188" s="330" t="s">
        <v>986</v>
      </c>
      <c r="U188" s="330"/>
      <c r="V188" s="330"/>
      <c r="W188" s="137"/>
      <c r="X188" s="137"/>
      <c r="Y188" s="137"/>
      <c r="Z188" s="137"/>
    </row>
    <row r="189">
      <c r="A189" s="219" t="s">
        <v>991</v>
      </c>
      <c r="B189" s="317" t="s">
        <v>1051</v>
      </c>
      <c r="C189" s="368" t="s">
        <v>646</v>
      </c>
      <c r="D189" s="315">
        <f>ROUND((E189*'Pawn Weights'!$H$54)+(G189*'Pawn Weights'!$H$41)+(H189*'Pawn Weights'!$H$42)+(I189*'Pawn Weights'!$H$43)+(J189*'Pawn Weights'!$H$46)+(K189*'Pawn Weights'!$H$44)+(M189*'Pawn Weights'!$H$47)+(N189*'Pawn Weights'!$H$40)+(O189*'Pawn Weights'!$H$49)+(P189*'Pawn Weights'!$H$50)+(Q189*'Pawn Weights'!$H$51)+(F189*'Pawn Weights'!$H$55)+'Pawn Weights'!$H$56, 2)</f>
        <v>350.08</v>
      </c>
      <c r="E189" s="331">
        <v>103.0</v>
      </c>
      <c r="F189" s="331">
        <v>1.5</v>
      </c>
      <c r="G189" s="330"/>
      <c r="H189" s="331">
        <v>34.0</v>
      </c>
      <c r="I189" s="331">
        <v>21.0</v>
      </c>
      <c r="J189" s="330"/>
      <c r="K189" s="331">
        <v>8.0</v>
      </c>
      <c r="L189" s="331">
        <v>30.0</v>
      </c>
      <c r="M189" s="368">
        <v>49.0</v>
      </c>
      <c r="N189" s="330"/>
      <c r="O189" s="330"/>
      <c r="P189" s="330"/>
      <c r="Q189" s="330"/>
      <c r="R189" s="295"/>
      <c r="S189" s="330"/>
      <c r="T189" s="298"/>
      <c r="U189" s="330"/>
      <c r="V189" s="330"/>
      <c r="W189" s="137"/>
      <c r="X189" s="137"/>
      <c r="Y189" s="137"/>
      <c r="Z189" s="137"/>
    </row>
    <row r="190">
      <c r="A190" s="219" t="s">
        <v>995</v>
      </c>
      <c r="B190" s="317" t="s">
        <v>1058</v>
      </c>
      <c r="C190" s="330" t="s">
        <v>997</v>
      </c>
      <c r="D190" s="315">
        <f>ROUND((E190*'Pawn Weights'!$H$54)+(G190*'Pawn Weights'!$H$41)+(H190*'Pawn Weights'!$H$42)+(I190*'Pawn Weights'!$H$43)+(J190*'Pawn Weights'!$H$46)+(K190*'Pawn Weights'!$H$44)+(M190*'Pawn Weights'!$H$47)+(N190*'Pawn Weights'!$H$40)+(O190*'Pawn Weights'!$H$49)+(P190*'Pawn Weights'!$H$50)+(Q190*'Pawn Weights'!$H$51)+(F190*'Pawn Weights'!$H$55)+'Pawn Weights'!$H$56, 2)</f>
        <v>317.64</v>
      </c>
      <c r="E190" s="332">
        <v>97.7</v>
      </c>
      <c r="F190" s="331">
        <v>1.5</v>
      </c>
      <c r="G190" s="330"/>
      <c r="H190" s="332">
        <v>30.0</v>
      </c>
      <c r="I190" s="332">
        <v>19.0</v>
      </c>
      <c r="J190" s="330"/>
      <c r="K190" s="332">
        <v>10.0</v>
      </c>
      <c r="L190" s="332">
        <v>27.0</v>
      </c>
      <c r="M190" s="330"/>
      <c r="N190" s="330"/>
      <c r="O190" s="330"/>
      <c r="P190" s="330"/>
      <c r="Q190" s="330"/>
      <c r="R190" s="295"/>
      <c r="S190" s="330"/>
      <c r="T190" s="316"/>
      <c r="U190" s="330"/>
      <c r="V190" s="330"/>
      <c r="W190" s="137"/>
      <c r="X190" s="137"/>
      <c r="Y190" s="137"/>
      <c r="Z190" s="137"/>
    </row>
    <row r="191">
      <c r="A191" s="295" t="s">
        <v>627</v>
      </c>
      <c r="B191" s="296" t="s">
        <v>1061</v>
      </c>
      <c r="C191" s="330" t="s">
        <v>1062</v>
      </c>
      <c r="D191" s="315">
        <f>ROUND((E191*'Pawn Weights'!$H$54)+(G191*'Pawn Weights'!$H$41)+(H191*'Pawn Weights'!$H$42)+(I191*'Pawn Weights'!$H$43)+(J191*'Pawn Weights'!$H$46)+(K191*'Pawn Weights'!$H$44)+(M191*'Pawn Weights'!$H$47)+(N191*'Pawn Weights'!$H$40)+(O191*'Pawn Weights'!$H$49)+(P191*'Pawn Weights'!$H$50)+(Q191*'Pawn Weights'!$H$51)+(F191*'Pawn Weights'!$H$55)+'Pawn Weights'!$H$56, 2)</f>
        <v>297.71</v>
      </c>
      <c r="E191" s="332">
        <v>97.5</v>
      </c>
      <c r="F191" s="332">
        <v>1.6</v>
      </c>
      <c r="G191" s="332">
        <v>19.0</v>
      </c>
      <c r="H191" s="330"/>
      <c r="I191" s="330"/>
      <c r="J191" s="330"/>
      <c r="K191" s="332">
        <v>18.0</v>
      </c>
      <c r="L191" s="332">
        <v>28.0</v>
      </c>
      <c r="M191" s="330"/>
      <c r="N191" s="330"/>
      <c r="O191" s="330"/>
      <c r="P191" s="330"/>
      <c r="Q191" s="330"/>
      <c r="R191" s="295"/>
      <c r="S191" s="330"/>
      <c r="T191" s="298"/>
      <c r="U191" s="330"/>
      <c r="V191" s="330"/>
      <c r="W191" s="137"/>
      <c r="X191" s="137"/>
      <c r="Y191" s="137"/>
      <c r="Z191" s="137"/>
    </row>
    <row r="192">
      <c r="A192" s="219" t="s">
        <v>1449</v>
      </c>
      <c r="B192" s="296" t="s">
        <v>1270</v>
      </c>
      <c r="C192" s="368" t="s">
        <v>1159</v>
      </c>
      <c r="D192" s="315">
        <f>ROUND((E192*'Pawn Weights'!$H$54)+(G192*'Pawn Weights'!$H$41)+(H192*'Pawn Weights'!$H$42)+(I192*'Pawn Weights'!$H$43)+(J192*'Pawn Weights'!$H$46)+(K192*'Pawn Weights'!$H$44)+(M192*'Pawn Weights'!$H$47)+(N192*'Pawn Weights'!$H$40)+(O192*'Pawn Weights'!$H$49)+(P192*'Pawn Weights'!$H$50)+(Q192*'Pawn Weights'!$H$51)+(F192*'Pawn Weights'!$H$55)+'Pawn Weights'!$H$56, 2)</f>
        <v>289.54</v>
      </c>
      <c r="E192" s="332">
        <v>91.0</v>
      </c>
      <c r="F192" s="332">
        <v>1.5</v>
      </c>
      <c r="G192" s="330"/>
      <c r="H192" s="332">
        <v>28.0</v>
      </c>
      <c r="I192" s="332">
        <v>15.0</v>
      </c>
      <c r="J192" s="330"/>
      <c r="K192" s="332">
        <v>9.0</v>
      </c>
      <c r="L192" s="332">
        <v>21.0</v>
      </c>
      <c r="M192" s="330"/>
      <c r="N192" s="330"/>
      <c r="O192" s="330"/>
      <c r="P192" s="330"/>
      <c r="Q192" s="330"/>
      <c r="R192" s="295"/>
      <c r="S192" s="330"/>
      <c r="T192" s="298"/>
      <c r="U192" s="330"/>
      <c r="V192" s="330"/>
      <c r="W192" s="137"/>
      <c r="X192" s="137"/>
      <c r="Y192" s="137"/>
      <c r="Z192" s="137"/>
    </row>
    <row r="193" ht="14.25" customHeight="1">
      <c r="A193" s="281"/>
      <c r="B193" s="311" t="s">
        <v>1271</v>
      </c>
      <c r="C193" s="326" t="s">
        <v>1272</v>
      </c>
      <c r="D193" s="315">
        <f>ROUND((E193*'Pawn Weights'!$H$54)+(G193*'Pawn Weights'!$H$41)+(H193*'Pawn Weights'!$H$42)+(I193*'Pawn Weights'!$H$43)+(J193*'Pawn Weights'!$H$46)+(K193*'Pawn Weights'!$H$44)+(M193*'Pawn Weights'!$H$47)+(N193*'Pawn Weights'!$H$40)+(O193*'Pawn Weights'!$H$49)+(P193*'Pawn Weights'!$H$50)+(Q193*'Pawn Weights'!$H$51)+(F193*'Pawn Weights'!$H$55)+'Pawn Weights'!$H$56, 2)</f>
        <v>279.45</v>
      </c>
      <c r="E193" s="326">
        <v>71.8</v>
      </c>
      <c r="F193" s="326">
        <v>1.4</v>
      </c>
      <c r="G193" s="326">
        <v>15.0</v>
      </c>
      <c r="H193" s="326">
        <v>26.0</v>
      </c>
      <c r="I193" s="326"/>
      <c r="J193" s="326">
        <v>14.0</v>
      </c>
      <c r="K193" s="326"/>
      <c r="L193" s="326"/>
      <c r="M193" s="326"/>
      <c r="N193" s="326"/>
      <c r="O193" s="326"/>
      <c r="P193" s="326"/>
      <c r="Q193" s="326"/>
      <c r="R193" s="327"/>
      <c r="S193" s="326"/>
      <c r="T193" s="327"/>
      <c r="U193" s="326"/>
      <c r="V193" s="326"/>
      <c r="W193" s="329"/>
    </row>
    <row r="194">
      <c r="A194" s="295" t="s">
        <v>627</v>
      </c>
      <c r="B194" s="296" t="s">
        <v>1273</v>
      </c>
      <c r="C194" s="330" t="s">
        <v>1274</v>
      </c>
      <c r="D194" s="315">
        <f>ROUND((E194*'Pawn Weights'!$H$54)+(G194*'Pawn Weights'!$H$41)+(H194*'Pawn Weights'!$H$42)+(I194*'Pawn Weights'!$H$43)+(J194*'Pawn Weights'!$H$46)+(K194*'Pawn Weights'!$H$44)+(M194*'Pawn Weights'!$H$47)+(N194*'Pawn Weights'!$H$40)+(O194*'Pawn Weights'!$H$49)+(P194*'Pawn Weights'!$H$50)+(Q194*'Pawn Weights'!$H$51)+(F194*'Pawn Weights'!$H$55)+'Pawn Weights'!$H$56, 2)</f>
        <v>275.47</v>
      </c>
      <c r="E194" s="332">
        <v>91.3</v>
      </c>
      <c r="F194" s="331">
        <v>1.6</v>
      </c>
      <c r="G194" s="332">
        <v>17.0</v>
      </c>
      <c r="H194" s="330"/>
      <c r="I194" s="330"/>
      <c r="J194" s="330"/>
      <c r="K194" s="332">
        <v>17.0</v>
      </c>
      <c r="L194" s="332">
        <v>25.0</v>
      </c>
      <c r="M194" s="330"/>
      <c r="N194" s="330"/>
      <c r="O194" s="330"/>
      <c r="P194" s="330"/>
      <c r="Q194" s="330"/>
      <c r="R194" s="295"/>
      <c r="S194" s="330"/>
      <c r="T194" s="298"/>
      <c r="U194" s="330"/>
      <c r="V194" s="330"/>
      <c r="W194" s="137"/>
      <c r="X194" s="137"/>
      <c r="Y194" s="137"/>
      <c r="Z194" s="137"/>
    </row>
    <row r="195">
      <c r="A195" s="295" t="s">
        <v>627</v>
      </c>
      <c r="B195" s="296" t="s">
        <v>1275</v>
      </c>
      <c r="C195" s="390" t="s">
        <v>1276</v>
      </c>
      <c r="D195" s="315">
        <f>ROUND((E195*'Pawn Weights'!$H$54)+(G195*'Pawn Weights'!$H$41)+(H195*'Pawn Weights'!$H$42)+(I195*'Pawn Weights'!$H$43)+(J195*'Pawn Weights'!$H$46)+(K195*'Pawn Weights'!$H$44)+(M195*'Pawn Weights'!$H$47)+(N195*'Pawn Weights'!$H$40)+(O195*'Pawn Weights'!$H$49)+(P195*'Pawn Weights'!$H$50)+(Q195*'Pawn Weights'!$H$51)+(F195*'Pawn Weights'!$H$55)+'Pawn Weights'!$H$56, 2)</f>
        <v>253.71</v>
      </c>
      <c r="E195" s="332">
        <v>84.4</v>
      </c>
      <c r="F195" s="332">
        <v>1.6</v>
      </c>
      <c r="G195" s="332">
        <v>16.0</v>
      </c>
      <c r="H195" s="295"/>
      <c r="I195" s="295"/>
      <c r="J195" s="295"/>
      <c r="K195" s="332">
        <v>16.0</v>
      </c>
      <c r="L195" s="332">
        <v>23.0</v>
      </c>
      <c r="M195" s="295"/>
      <c r="N195" s="295"/>
      <c r="O195" s="295"/>
      <c r="P195" s="295"/>
      <c r="Q195" s="295"/>
      <c r="R195" s="295"/>
      <c r="S195" s="295"/>
      <c r="T195" s="298"/>
      <c r="U195" s="295"/>
      <c r="V195" s="295"/>
      <c r="W195" s="137"/>
      <c r="X195" s="137"/>
      <c r="Y195" s="137"/>
      <c r="Z195" s="137"/>
    </row>
    <row r="196">
      <c r="A196" s="295"/>
      <c r="B196" s="296" t="s">
        <v>1277</v>
      </c>
      <c r="C196" s="297" t="s">
        <v>1278</v>
      </c>
      <c r="D196" s="315">
        <f>ROUND((E196*'Pawn Weights'!$H$54)+(G196*'Pawn Weights'!$H$41)+(H196*'Pawn Weights'!$H$42)+(I196*'Pawn Weights'!$H$43)+(J196*'Pawn Weights'!$H$46)+(K196*'Pawn Weights'!$H$44)+(M196*'Pawn Weights'!$H$47)+(N196*'Pawn Weights'!$H$40)+(O196*'Pawn Weights'!$H$49)+(P196*'Pawn Weights'!$H$50)+(Q196*'Pawn Weights'!$H$51)+(F196*'Pawn Weights'!$H$55)+'Pawn Weights'!$H$56, 2)</f>
        <v>228.48</v>
      </c>
      <c r="E196" s="332">
        <v>87.5</v>
      </c>
      <c r="F196" s="332">
        <v>1.6</v>
      </c>
      <c r="G196" s="295"/>
      <c r="H196" s="295"/>
      <c r="I196" s="295"/>
      <c r="J196" s="295"/>
      <c r="K196" s="332">
        <v>17.0</v>
      </c>
      <c r="L196" s="332">
        <v>28.0</v>
      </c>
      <c r="M196" s="295"/>
      <c r="N196" s="295"/>
      <c r="O196" s="295"/>
      <c r="P196" s="295"/>
      <c r="Q196" s="295"/>
      <c r="R196" s="295"/>
      <c r="S196" s="295"/>
      <c r="T196" s="298"/>
      <c r="U196" s="295"/>
      <c r="V196" s="295"/>
      <c r="W196" s="137"/>
      <c r="X196" s="137"/>
      <c r="Y196" s="137"/>
      <c r="Z196" s="137"/>
    </row>
    <row r="197">
      <c r="A197" s="295"/>
      <c r="B197" s="296" t="s">
        <v>1279</v>
      </c>
      <c r="C197" s="330" t="s">
        <v>1280</v>
      </c>
      <c r="D197" s="315">
        <f>ROUND((E197*'Pawn Weights'!$H$54)+(G197*'Pawn Weights'!$H$41)+(H197*'Pawn Weights'!$H$42)+(I197*'Pawn Weights'!$H$43)+(J197*'Pawn Weights'!$H$46)+(K197*'Pawn Weights'!$H$44)+(M197*'Pawn Weights'!$H$47)+(N197*'Pawn Weights'!$H$40)+(O197*'Pawn Weights'!$H$49)+(P197*'Pawn Weights'!$H$50)+(Q197*'Pawn Weights'!$H$51)+(F197*'Pawn Weights'!$H$55)+'Pawn Weights'!$H$56, 2)</f>
        <v>176.83</v>
      </c>
      <c r="E197" s="332">
        <v>83.4</v>
      </c>
      <c r="F197" s="332">
        <v>1.6</v>
      </c>
      <c r="G197" s="295"/>
      <c r="H197" s="330"/>
      <c r="I197" s="330"/>
      <c r="J197" s="330"/>
      <c r="K197" s="330"/>
      <c r="L197" s="332">
        <v>22.0</v>
      </c>
      <c r="M197" s="330"/>
      <c r="N197" s="330"/>
      <c r="O197" s="330"/>
      <c r="P197" s="330"/>
      <c r="Q197" s="330"/>
      <c r="R197" s="295"/>
      <c r="S197" s="330"/>
      <c r="T197" s="298"/>
      <c r="U197" s="330"/>
      <c r="V197" s="330"/>
      <c r="W197" s="137"/>
      <c r="X197" s="137"/>
      <c r="Y197" s="137"/>
      <c r="Z197" s="137"/>
    </row>
    <row r="198">
      <c r="A198" s="219" t="s">
        <v>943</v>
      </c>
      <c r="B198" s="391" t="s">
        <v>1281</v>
      </c>
      <c r="C198" s="368" t="s">
        <v>1282</v>
      </c>
      <c r="D198" s="315">
        <f>ROUND((E198*'Pawn Weights'!$H$54)+(G198*'Pawn Weights'!$H$41)+(H198*'Pawn Weights'!$H$42)+(I198*'Pawn Weights'!$H$43)+(J198*'Pawn Weights'!$H$46)+(K198*'Pawn Weights'!$H$44)+(M198*'Pawn Weights'!$H$47)+(N198*'Pawn Weights'!$H$40)+(O198*'Pawn Weights'!$H$49)+(P198*'Pawn Weights'!$H$50)+(Q198*'Pawn Weights'!$H$51)+(F198*'Pawn Weights'!$H$55)+'Pawn Weights'!$H$56, 2)</f>
        <v>165.32</v>
      </c>
      <c r="E198" s="331">
        <v>71.7</v>
      </c>
      <c r="F198" s="331">
        <v>1.5</v>
      </c>
      <c r="G198" s="295"/>
      <c r="H198" s="330"/>
      <c r="I198" s="330"/>
      <c r="J198" s="330"/>
      <c r="K198" s="330"/>
      <c r="L198" s="332"/>
      <c r="M198" s="330"/>
      <c r="N198" s="330"/>
      <c r="O198" s="330"/>
      <c r="P198" s="330"/>
      <c r="Q198" s="330"/>
      <c r="R198" s="295"/>
      <c r="S198" s="330"/>
      <c r="T198" s="316" t="s">
        <v>1283</v>
      </c>
      <c r="U198" s="330"/>
      <c r="V198" s="330"/>
      <c r="W198" s="137"/>
      <c r="X198" s="137"/>
      <c r="Y198" s="137"/>
      <c r="Z198" s="137"/>
    </row>
    <row r="199">
      <c r="A199" s="224" t="s">
        <v>1284</v>
      </c>
      <c r="B199" s="323" t="s">
        <v>604</v>
      </c>
      <c r="C199" s="323" t="s">
        <v>605</v>
      </c>
      <c r="D199" s="386" t="s">
        <v>606</v>
      </c>
      <c r="E199" s="224" t="s">
        <v>1003</v>
      </c>
      <c r="F199" s="224" t="s">
        <v>1004</v>
      </c>
      <c r="G199" s="224" t="s">
        <v>561</v>
      </c>
      <c r="H199" s="224" t="s">
        <v>562</v>
      </c>
      <c r="I199" s="224" t="s">
        <v>330</v>
      </c>
      <c r="J199" s="224" t="s">
        <v>563</v>
      </c>
      <c r="K199" s="272" t="s">
        <v>344</v>
      </c>
      <c r="L199" s="224" t="s">
        <v>607</v>
      </c>
      <c r="M199" s="224" t="s">
        <v>564</v>
      </c>
      <c r="N199" s="224" t="s">
        <v>1006</v>
      </c>
      <c r="O199" s="274" t="s">
        <v>610</v>
      </c>
      <c r="P199" s="275" t="s">
        <v>611</v>
      </c>
      <c r="Q199" s="276" t="s">
        <v>612</v>
      </c>
      <c r="R199" s="277" t="s">
        <v>613</v>
      </c>
      <c r="S199" s="366"/>
      <c r="T199" s="277" t="s">
        <v>615</v>
      </c>
      <c r="U199" s="324"/>
      <c r="V199" s="324"/>
      <c r="W199" s="324"/>
    </row>
    <row r="200">
      <c r="A200" s="333"/>
      <c r="B200" s="376" t="s">
        <v>1285</v>
      </c>
      <c r="C200" s="354"/>
      <c r="D200" s="392"/>
      <c r="E200" s="354"/>
      <c r="F200" s="354"/>
      <c r="G200" s="354"/>
      <c r="H200" s="354"/>
      <c r="I200" s="354"/>
      <c r="J200" s="354"/>
      <c r="K200" s="354"/>
      <c r="L200" s="354"/>
      <c r="M200" s="354"/>
      <c r="N200" s="354"/>
      <c r="O200" s="354"/>
      <c r="P200" s="354"/>
      <c r="Q200" s="354"/>
      <c r="R200" s="355"/>
      <c r="S200" s="354"/>
      <c r="T200" s="355"/>
      <c r="U200" s="354"/>
      <c r="V200" s="357"/>
      <c r="W200" s="357"/>
      <c r="X200" s="304"/>
      <c r="Y200" s="304"/>
      <c r="Z200" s="304"/>
    </row>
    <row r="201">
      <c r="A201" s="292"/>
      <c r="B201" s="288" t="s">
        <v>1289</v>
      </c>
      <c r="C201" s="326" t="s">
        <v>1122</v>
      </c>
      <c r="D201" s="387"/>
      <c r="E201" s="326">
        <v>87.5</v>
      </c>
      <c r="F201" s="326">
        <v>2.6</v>
      </c>
      <c r="G201" s="154"/>
      <c r="H201" s="326">
        <v>30.0</v>
      </c>
      <c r="I201" s="326">
        <v>24.0</v>
      </c>
      <c r="J201" s="326"/>
      <c r="K201" s="326"/>
      <c r="L201" s="326"/>
      <c r="M201" s="326"/>
      <c r="N201" s="326"/>
      <c r="O201" s="326"/>
      <c r="P201" s="326">
        <v>1.0</v>
      </c>
      <c r="Q201" s="326"/>
      <c r="R201" s="327" t="s">
        <v>674</v>
      </c>
      <c r="S201" s="326"/>
      <c r="T201" s="327"/>
      <c r="U201" s="326"/>
      <c r="V201" s="326"/>
      <c r="W201" s="329"/>
    </row>
    <row r="202">
      <c r="A202" s="281"/>
      <c r="B202" s="288" t="s">
        <v>1290</v>
      </c>
      <c r="C202" s="326" t="s">
        <v>1291</v>
      </c>
      <c r="D202" s="387"/>
      <c r="E202" s="326">
        <v>83.7</v>
      </c>
      <c r="F202" s="326">
        <v>2.6</v>
      </c>
      <c r="G202" s="154"/>
      <c r="H202" s="326"/>
      <c r="I202" s="326"/>
      <c r="J202" s="326"/>
      <c r="K202" s="326"/>
      <c r="L202" s="326"/>
      <c r="M202" s="326"/>
      <c r="N202" s="326"/>
      <c r="O202" s="326"/>
      <c r="P202" s="326"/>
      <c r="Q202" s="326"/>
      <c r="R202" s="327"/>
      <c r="S202" s="326"/>
      <c r="T202" s="327" t="s">
        <v>1292</v>
      </c>
      <c r="U202" s="326"/>
      <c r="V202" s="326"/>
      <c r="W202" s="329"/>
    </row>
    <row r="203">
      <c r="A203" s="281"/>
      <c r="B203" s="288" t="s">
        <v>1024</v>
      </c>
      <c r="C203" s="326" t="s">
        <v>1025</v>
      </c>
      <c r="D203" s="387"/>
      <c r="E203" s="326">
        <v>96.5</v>
      </c>
      <c r="F203" s="326">
        <v>2.7</v>
      </c>
      <c r="G203" s="326"/>
      <c r="H203" s="326">
        <v>52.0</v>
      </c>
      <c r="I203" s="326">
        <v>19.0</v>
      </c>
      <c r="J203" s="326"/>
      <c r="K203" s="326">
        <v>15.0</v>
      </c>
      <c r="L203" s="326"/>
      <c r="M203" s="326"/>
      <c r="N203" s="326"/>
      <c r="O203" s="326"/>
      <c r="P203" s="326"/>
      <c r="Q203" s="326"/>
      <c r="R203" s="327"/>
      <c r="S203" s="326"/>
      <c r="T203" s="327"/>
      <c r="U203" s="326"/>
      <c r="V203" s="326"/>
      <c r="W203" s="329"/>
    </row>
    <row r="204">
      <c r="A204" s="292"/>
      <c r="B204" s="288" t="s">
        <v>1293</v>
      </c>
      <c r="C204" s="326" t="s">
        <v>1294</v>
      </c>
      <c r="D204" s="387"/>
      <c r="E204" s="326">
        <v>87.6</v>
      </c>
      <c r="F204" s="326">
        <v>2.5</v>
      </c>
      <c r="G204" s="154">
        <v>17.0</v>
      </c>
      <c r="H204" s="326"/>
      <c r="I204" s="326">
        <v>20.0</v>
      </c>
      <c r="J204" s="326"/>
      <c r="K204" s="326"/>
      <c r="L204" s="326">
        <v>18.0</v>
      </c>
      <c r="M204" s="326"/>
      <c r="N204" s="326"/>
      <c r="O204" s="326"/>
      <c r="P204" s="326"/>
      <c r="Q204" s="326"/>
      <c r="R204" s="327"/>
      <c r="S204" s="326"/>
      <c r="T204" s="327"/>
      <c r="U204" s="326"/>
      <c r="V204" s="326"/>
      <c r="W204" s="329"/>
    </row>
    <row r="205">
      <c r="A205" s="292" t="s">
        <v>627</v>
      </c>
      <c r="B205" s="288" t="s">
        <v>1295</v>
      </c>
      <c r="C205" s="326" t="s">
        <v>1296</v>
      </c>
      <c r="D205" s="387"/>
      <c r="E205" s="326">
        <v>91.1</v>
      </c>
      <c r="F205" s="326">
        <v>2.7</v>
      </c>
      <c r="G205" s="154"/>
      <c r="H205" s="326"/>
      <c r="I205" s="326"/>
      <c r="J205" s="326"/>
      <c r="K205" s="326"/>
      <c r="L205" s="326">
        <v>9.0</v>
      </c>
      <c r="M205" s="326"/>
      <c r="N205" s="326"/>
      <c r="O205" s="326"/>
      <c r="P205" s="326"/>
      <c r="Q205" s="326"/>
      <c r="R205" s="327"/>
      <c r="S205" s="326"/>
      <c r="T205" s="327" t="s">
        <v>1297</v>
      </c>
      <c r="U205" s="326"/>
      <c r="V205" s="326"/>
      <c r="W205" s="329"/>
    </row>
    <row r="206">
      <c r="A206" s="292" t="s">
        <v>627</v>
      </c>
      <c r="B206" s="288" t="s">
        <v>1055</v>
      </c>
      <c r="C206" s="326" t="s">
        <v>1016</v>
      </c>
      <c r="D206" s="387"/>
      <c r="E206" s="326">
        <v>97.6</v>
      </c>
      <c r="F206" s="326">
        <v>2.7</v>
      </c>
      <c r="G206" s="326"/>
      <c r="H206" s="326"/>
      <c r="I206" s="326"/>
      <c r="J206" s="326"/>
      <c r="K206" s="326"/>
      <c r="L206" s="326">
        <v>19.0</v>
      </c>
      <c r="M206" s="326"/>
      <c r="N206" s="326"/>
      <c r="O206" s="326"/>
      <c r="P206" s="326"/>
      <c r="Q206" s="326"/>
      <c r="R206" s="327"/>
      <c r="S206" s="326"/>
      <c r="T206" s="327" t="s">
        <v>1297</v>
      </c>
      <c r="U206" s="326"/>
      <c r="V206" s="326"/>
      <c r="W206" s="329"/>
    </row>
    <row r="207" ht="14.25" customHeight="1">
      <c r="A207" s="292" t="s">
        <v>627</v>
      </c>
      <c r="B207" s="288" t="s">
        <v>1298</v>
      </c>
      <c r="C207" s="326" t="s">
        <v>1299</v>
      </c>
      <c r="D207" s="387"/>
      <c r="E207" s="326">
        <v>84.3</v>
      </c>
      <c r="F207" s="326">
        <v>2.7</v>
      </c>
      <c r="G207" s="154"/>
      <c r="H207" s="326"/>
      <c r="I207" s="326"/>
      <c r="J207" s="326"/>
      <c r="K207" s="326"/>
      <c r="L207" s="326"/>
      <c r="M207" s="326"/>
      <c r="N207" s="326"/>
      <c r="O207" s="326"/>
      <c r="P207" s="326"/>
      <c r="Q207" s="326"/>
      <c r="R207" s="327"/>
      <c r="S207" s="326"/>
      <c r="T207" s="327" t="s">
        <v>1297</v>
      </c>
      <c r="U207" s="326"/>
      <c r="V207" s="326"/>
      <c r="W207" s="329"/>
    </row>
    <row r="208" ht="15.0" customHeight="1">
      <c r="A208" s="292" t="s">
        <v>627</v>
      </c>
      <c r="B208" s="288" t="s">
        <v>1300</v>
      </c>
      <c r="C208" s="326" t="s">
        <v>1268</v>
      </c>
      <c r="D208" s="387"/>
      <c r="E208" s="326">
        <v>83.5</v>
      </c>
      <c r="F208" s="326">
        <v>2.4</v>
      </c>
      <c r="G208" s="154"/>
      <c r="H208" s="326">
        <v>50.0</v>
      </c>
      <c r="I208" s="326"/>
      <c r="J208" s="326"/>
      <c r="K208" s="326"/>
      <c r="L208" s="326"/>
      <c r="M208" s="326"/>
      <c r="N208" s="326"/>
      <c r="O208" s="326"/>
      <c r="P208" s="326"/>
      <c r="Q208" s="326"/>
      <c r="R208" s="327"/>
      <c r="S208" s="326"/>
      <c r="T208" s="327"/>
      <c r="U208" s="326"/>
      <c r="V208" s="326"/>
      <c r="W208" s="329"/>
    </row>
    <row r="209">
      <c r="A209" s="301"/>
      <c r="B209" s="311" t="s">
        <v>1301</v>
      </c>
      <c r="C209" s="326" t="s">
        <v>1302</v>
      </c>
      <c r="D209" s="315"/>
      <c r="E209" s="326">
        <v>71.7</v>
      </c>
      <c r="F209" s="326">
        <v>2.7</v>
      </c>
      <c r="G209" s="326"/>
      <c r="H209" s="326">
        <v>32.0</v>
      </c>
      <c r="I209" s="326"/>
      <c r="J209" s="326"/>
      <c r="K209" s="326">
        <v>16.0</v>
      </c>
      <c r="L209" s="326">
        <v>13.0</v>
      </c>
      <c r="M209" s="326"/>
      <c r="N209" s="326"/>
      <c r="O209" s="326"/>
      <c r="P209" s="326"/>
      <c r="Q209" s="326"/>
      <c r="R209" s="327"/>
      <c r="S209" s="326"/>
      <c r="T209" s="327"/>
      <c r="U209" s="326"/>
      <c r="V209" s="326"/>
      <c r="W209" s="329"/>
    </row>
    <row r="210">
      <c r="A210" s="301"/>
      <c r="B210" s="288" t="s">
        <v>1020</v>
      </c>
      <c r="C210" s="326" t="s">
        <v>741</v>
      </c>
      <c r="D210" s="387"/>
      <c r="E210" s="326">
        <v>100.2</v>
      </c>
      <c r="F210" s="326">
        <v>2.7</v>
      </c>
      <c r="G210" s="326"/>
      <c r="H210" s="326">
        <v>52.0</v>
      </c>
      <c r="I210" s="326"/>
      <c r="J210" s="326"/>
      <c r="K210" s="326"/>
      <c r="L210" s="326"/>
      <c r="M210" s="326"/>
      <c r="N210" s="326"/>
      <c r="O210" s="326"/>
      <c r="P210" s="326"/>
      <c r="Q210" s="326"/>
      <c r="R210" s="327"/>
      <c r="S210" s="326"/>
      <c r="T210" s="327" t="s">
        <v>1021</v>
      </c>
      <c r="U210" s="326"/>
      <c r="V210" s="326"/>
      <c r="W210" s="329"/>
    </row>
    <row r="211">
      <c r="A211" s="219" t="s">
        <v>1303</v>
      </c>
      <c r="B211" s="317" t="s">
        <v>1304</v>
      </c>
      <c r="C211" s="368" t="s">
        <v>1305</v>
      </c>
      <c r="D211" s="315"/>
      <c r="E211" s="331">
        <v>85.4</v>
      </c>
      <c r="F211" s="331">
        <v>1.4</v>
      </c>
      <c r="G211" s="330"/>
      <c r="H211" s="331">
        <v>34.0</v>
      </c>
      <c r="I211" s="368">
        <v>22.0</v>
      </c>
      <c r="J211" s="368"/>
      <c r="K211" s="330"/>
      <c r="L211" s="368"/>
      <c r="M211" s="330"/>
      <c r="N211" s="330"/>
      <c r="O211" s="330"/>
      <c r="P211" s="330"/>
      <c r="Q211" s="330"/>
      <c r="R211" s="295"/>
      <c r="S211" s="330"/>
      <c r="T211" s="316"/>
      <c r="U211" s="330"/>
      <c r="V211" s="330"/>
      <c r="W211" s="137"/>
      <c r="X211" s="137"/>
      <c r="Y211" s="137"/>
      <c r="Z211" s="137"/>
    </row>
    <row r="212">
      <c r="A212" s="219" t="s">
        <v>1303</v>
      </c>
      <c r="B212" s="391" t="s">
        <v>1306</v>
      </c>
      <c r="C212" s="368" t="s">
        <v>1307</v>
      </c>
      <c r="D212" s="315"/>
      <c r="E212" s="331">
        <v>71.5</v>
      </c>
      <c r="F212" s="331">
        <v>1.3</v>
      </c>
      <c r="G212" s="368">
        <v>16.0</v>
      </c>
      <c r="H212" s="331"/>
      <c r="I212" s="330"/>
      <c r="J212" s="368"/>
      <c r="K212" s="368">
        <v>15.0</v>
      </c>
      <c r="L212" s="368">
        <v>13.0</v>
      </c>
      <c r="M212" s="330"/>
      <c r="N212" s="330"/>
      <c r="O212" s="330"/>
      <c r="P212" s="330"/>
      <c r="Q212" s="330"/>
      <c r="R212" s="295"/>
      <c r="S212" s="330"/>
      <c r="T212" s="316"/>
      <c r="U212" s="330"/>
      <c r="V212" s="330"/>
      <c r="W212" s="137"/>
      <c r="X212" s="137"/>
      <c r="Y212" s="137"/>
      <c r="Z212" s="137"/>
    </row>
    <row r="213">
      <c r="A213" s="219" t="s">
        <v>1303</v>
      </c>
      <c r="B213" s="391" t="s">
        <v>1308</v>
      </c>
      <c r="C213" s="368" t="s">
        <v>1309</v>
      </c>
      <c r="D213" s="315"/>
      <c r="E213" s="331">
        <v>71.8</v>
      </c>
      <c r="F213" s="331">
        <v>1.4</v>
      </c>
      <c r="G213" s="330"/>
      <c r="H213" s="331">
        <v>30.0</v>
      </c>
      <c r="I213" s="330"/>
      <c r="J213" s="368">
        <v>15.0</v>
      </c>
      <c r="K213" s="330"/>
      <c r="L213" s="368">
        <v>13.0</v>
      </c>
      <c r="M213" s="330"/>
      <c r="N213" s="330"/>
      <c r="O213" s="330"/>
      <c r="P213" s="330"/>
      <c r="Q213" s="330"/>
      <c r="R213" s="295"/>
      <c r="S213" s="330"/>
      <c r="T213" s="316"/>
      <c r="U213" s="330"/>
      <c r="V213" s="330"/>
      <c r="W213" s="137"/>
      <c r="X213" s="137"/>
      <c r="Y213" s="137"/>
      <c r="Z213" s="137"/>
    </row>
    <row r="214">
      <c r="A214" s="345"/>
      <c r="B214" s="334" t="s">
        <v>1060</v>
      </c>
      <c r="C214" s="335" t="s">
        <v>1025</v>
      </c>
      <c r="D214" s="315"/>
      <c r="E214" s="335">
        <v>96.7</v>
      </c>
      <c r="F214" s="335">
        <v>1.5</v>
      </c>
      <c r="G214" s="335">
        <v>25.0</v>
      </c>
      <c r="H214" s="335">
        <v>40.0</v>
      </c>
      <c r="I214" s="336"/>
      <c r="J214" s="335"/>
      <c r="K214" s="336"/>
      <c r="L214" s="335">
        <v>21.0</v>
      </c>
      <c r="M214" s="336"/>
      <c r="N214" s="336"/>
      <c r="O214" s="336"/>
      <c r="P214" s="336"/>
      <c r="Q214" s="336"/>
      <c r="R214" s="337"/>
      <c r="S214" s="336"/>
      <c r="T214" s="346"/>
      <c r="U214" s="336"/>
      <c r="V214" s="348"/>
      <c r="W214" s="348"/>
      <c r="X214" s="340"/>
      <c r="Y214" s="340"/>
      <c r="Z214" s="340"/>
    </row>
    <row r="215">
      <c r="A215" s="142"/>
      <c r="B215" s="308" t="s">
        <v>1052</v>
      </c>
      <c r="C215" s="390" t="s">
        <v>821</v>
      </c>
      <c r="D215" s="393"/>
      <c r="E215" s="394">
        <v>100.3</v>
      </c>
      <c r="F215" s="394">
        <v>1.5</v>
      </c>
      <c r="G215" s="395"/>
      <c r="H215" s="394">
        <v>40.0</v>
      </c>
      <c r="I215" s="395"/>
      <c r="J215" s="395"/>
      <c r="K215" s="394">
        <v>19.0</v>
      </c>
      <c r="L215" s="395"/>
      <c r="M215" s="395"/>
      <c r="N215" s="395"/>
      <c r="O215" s="395"/>
      <c r="P215" s="395"/>
      <c r="Q215" s="395"/>
      <c r="R215" s="395"/>
      <c r="S215" s="394">
        <v>27.0</v>
      </c>
      <c r="T215" s="396"/>
      <c r="U215" s="395"/>
      <c r="V215" s="395"/>
      <c r="W215" s="142"/>
      <c r="X215" s="142"/>
      <c r="Y215" s="142"/>
      <c r="Z215" s="142"/>
    </row>
    <row r="216">
      <c r="A216" s="137"/>
      <c r="B216" s="341" t="s">
        <v>1013</v>
      </c>
      <c r="C216" s="342" t="s">
        <v>1014</v>
      </c>
      <c r="D216" s="137"/>
      <c r="E216" s="343">
        <v>103.0</v>
      </c>
      <c r="F216" s="343">
        <v>2.5</v>
      </c>
      <c r="G216" s="343">
        <v>23.0</v>
      </c>
      <c r="H216" s="343">
        <v>44.0</v>
      </c>
      <c r="I216" s="342"/>
      <c r="J216" s="342"/>
      <c r="K216" s="342"/>
      <c r="L216" s="342"/>
      <c r="M216" s="342"/>
      <c r="N216" s="342"/>
      <c r="O216" s="342"/>
      <c r="P216" s="342"/>
      <c r="Q216" s="342"/>
      <c r="R216" s="137"/>
      <c r="S216" s="343"/>
      <c r="T216" s="137"/>
      <c r="U216" s="342"/>
      <c r="V216" s="342"/>
      <c r="W216" s="137"/>
      <c r="X216" s="137"/>
      <c r="Y216" s="137"/>
      <c r="Z216" s="137"/>
    </row>
    <row r="217">
      <c r="A217" s="137"/>
      <c r="B217" s="341" t="s">
        <v>1048</v>
      </c>
      <c r="C217" s="342" t="s">
        <v>1047</v>
      </c>
      <c r="D217" s="137"/>
      <c r="E217" s="343">
        <v>103.0</v>
      </c>
      <c r="F217" s="343">
        <v>1.5</v>
      </c>
      <c r="G217" s="342"/>
      <c r="H217" s="343">
        <v>44.0</v>
      </c>
      <c r="I217" s="342"/>
      <c r="J217" s="343">
        <v>21.0</v>
      </c>
      <c r="K217" s="343"/>
      <c r="L217" s="342"/>
      <c r="M217" s="342"/>
      <c r="N217" s="342"/>
      <c r="O217" s="342"/>
      <c r="P217" s="342"/>
      <c r="Q217" s="342"/>
      <c r="R217" s="137"/>
      <c r="S217" s="343"/>
      <c r="T217" s="137"/>
      <c r="U217" s="342"/>
      <c r="V217" s="342"/>
      <c r="W217" s="137"/>
      <c r="X217" s="137"/>
      <c r="Y217" s="137"/>
      <c r="Z217" s="137"/>
    </row>
    <row r="218">
      <c r="A218" s="345"/>
      <c r="B218" s="354"/>
      <c r="C218" s="354"/>
      <c r="D218" s="392"/>
      <c r="E218" s="354"/>
      <c r="F218" s="354"/>
      <c r="G218" s="354"/>
      <c r="H218" s="354"/>
      <c r="I218" s="354"/>
      <c r="J218" s="354"/>
      <c r="K218" s="354"/>
      <c r="L218" s="354"/>
      <c r="M218" s="354"/>
      <c r="N218" s="354"/>
      <c r="O218" s="354"/>
      <c r="P218" s="354"/>
      <c r="Q218" s="354"/>
      <c r="R218" s="355"/>
      <c r="S218" s="354"/>
      <c r="T218" s="355"/>
      <c r="U218" s="354"/>
      <c r="V218" s="281"/>
      <c r="W218" s="281"/>
      <c r="X218" s="304"/>
      <c r="Y218" s="304"/>
      <c r="Z218" s="304"/>
    </row>
    <row r="219">
      <c r="A219" s="345"/>
      <c r="B219" s="281"/>
      <c r="C219" s="281"/>
      <c r="D219" s="397"/>
      <c r="E219" s="281"/>
      <c r="F219" s="281"/>
      <c r="G219" s="354"/>
      <c r="H219" s="281"/>
      <c r="I219" s="281"/>
      <c r="J219" s="281"/>
      <c r="K219" s="281"/>
      <c r="L219" s="281"/>
      <c r="M219" s="281"/>
      <c r="N219" s="281"/>
      <c r="O219" s="281"/>
      <c r="P219" s="281"/>
      <c r="Q219" s="281"/>
      <c r="R219" s="282"/>
      <c r="S219" s="281"/>
      <c r="T219" s="282"/>
      <c r="U219" s="281"/>
      <c r="V219" s="281"/>
      <c r="W219" s="281"/>
      <c r="X219" s="304"/>
      <c r="Y219" s="304"/>
      <c r="Z219" s="304"/>
    </row>
    <row r="220">
      <c r="A220" s="345"/>
      <c r="B220" s="281"/>
      <c r="C220" s="281"/>
      <c r="D220" s="397"/>
      <c r="E220" s="281"/>
      <c r="F220" s="281"/>
      <c r="G220" s="354"/>
      <c r="H220" s="281"/>
      <c r="I220" s="281"/>
      <c r="J220" s="281"/>
      <c r="K220" s="281"/>
      <c r="L220" s="281"/>
      <c r="M220" s="281"/>
      <c r="N220" s="281"/>
      <c r="O220" s="281"/>
      <c r="P220" s="281"/>
      <c r="Q220" s="281"/>
      <c r="R220" s="282"/>
      <c r="S220" s="281"/>
      <c r="T220" s="282"/>
      <c r="U220" s="281"/>
      <c r="V220" s="281"/>
      <c r="W220" s="281"/>
      <c r="X220" s="304"/>
      <c r="Y220" s="304"/>
      <c r="Z220" s="304"/>
    </row>
    <row r="221">
      <c r="A221" s="345"/>
      <c r="B221" s="281"/>
      <c r="C221" s="281"/>
      <c r="D221" s="397"/>
      <c r="E221" s="281"/>
      <c r="F221" s="281"/>
      <c r="G221" s="354"/>
      <c r="H221" s="281"/>
      <c r="I221" s="281"/>
      <c r="J221" s="281"/>
      <c r="K221" s="281"/>
      <c r="L221" s="281"/>
      <c r="M221" s="281"/>
      <c r="N221" s="281"/>
      <c r="O221" s="281"/>
      <c r="P221" s="281"/>
      <c r="Q221" s="281"/>
      <c r="R221" s="282"/>
      <c r="S221" s="281"/>
      <c r="T221" s="282"/>
      <c r="U221" s="281"/>
      <c r="V221" s="281"/>
      <c r="W221" s="281"/>
      <c r="X221" s="304"/>
      <c r="Y221" s="304"/>
      <c r="Z221" s="304"/>
    </row>
    <row r="222">
      <c r="A222" s="345"/>
      <c r="B222" s="281"/>
      <c r="C222" s="281"/>
      <c r="D222" s="397"/>
      <c r="E222" s="281"/>
      <c r="F222" s="281"/>
      <c r="G222" s="354"/>
      <c r="H222" s="281"/>
      <c r="I222" s="281"/>
      <c r="J222" s="281"/>
      <c r="K222" s="281"/>
      <c r="L222" s="281"/>
      <c r="M222" s="281"/>
      <c r="N222" s="281"/>
      <c r="O222" s="281"/>
      <c r="P222" s="281"/>
      <c r="Q222" s="281"/>
      <c r="R222" s="282"/>
      <c r="S222" s="281"/>
      <c r="T222" s="282"/>
      <c r="U222" s="281"/>
      <c r="V222" s="281"/>
      <c r="W222" s="281"/>
      <c r="X222" s="304"/>
      <c r="Y222" s="304"/>
      <c r="Z222" s="304"/>
    </row>
    <row r="223">
      <c r="A223" s="345"/>
      <c r="B223" s="281"/>
      <c r="C223" s="281"/>
      <c r="D223" s="397"/>
      <c r="E223" s="281"/>
      <c r="F223" s="281"/>
      <c r="G223" s="354"/>
      <c r="H223" s="281"/>
      <c r="I223" s="281"/>
      <c r="J223" s="281"/>
      <c r="K223" s="281"/>
      <c r="L223" s="281"/>
      <c r="M223" s="281"/>
      <c r="N223" s="281"/>
      <c r="O223" s="281"/>
      <c r="P223" s="281"/>
      <c r="Q223" s="281"/>
      <c r="R223" s="282"/>
      <c r="S223" s="281"/>
      <c r="T223" s="282"/>
      <c r="U223" s="281"/>
      <c r="V223" s="281"/>
      <c r="W223" s="281"/>
      <c r="X223" s="304"/>
      <c r="Y223" s="304"/>
      <c r="Z223" s="304"/>
    </row>
    <row r="224">
      <c r="A224" s="345"/>
      <c r="B224" s="281"/>
      <c r="C224" s="281"/>
      <c r="D224" s="397"/>
      <c r="E224" s="281"/>
      <c r="F224" s="281"/>
      <c r="G224" s="354"/>
      <c r="H224" s="281"/>
      <c r="I224" s="281"/>
      <c r="J224" s="281"/>
      <c r="K224" s="281"/>
      <c r="L224" s="281"/>
      <c r="M224" s="281"/>
      <c r="N224" s="281"/>
      <c r="O224" s="281"/>
      <c r="P224" s="281"/>
      <c r="Q224" s="281"/>
      <c r="R224" s="282"/>
      <c r="S224" s="281"/>
      <c r="T224" s="282"/>
      <c r="U224" s="281"/>
      <c r="V224" s="281"/>
      <c r="W224" s="281"/>
      <c r="X224" s="304"/>
      <c r="Y224" s="304"/>
      <c r="Z224" s="304"/>
    </row>
    <row r="225">
      <c r="A225" s="345"/>
      <c r="B225" s="281"/>
      <c r="C225" s="281"/>
      <c r="D225" s="397"/>
      <c r="E225" s="281"/>
      <c r="F225" s="281"/>
      <c r="G225" s="354"/>
      <c r="H225" s="281"/>
      <c r="I225" s="281"/>
      <c r="J225" s="281"/>
      <c r="K225" s="281"/>
      <c r="L225" s="281"/>
      <c r="M225" s="281"/>
      <c r="N225" s="281"/>
      <c r="O225" s="281"/>
      <c r="P225" s="281"/>
      <c r="Q225" s="281"/>
      <c r="R225" s="282"/>
      <c r="S225" s="281"/>
      <c r="T225" s="282"/>
      <c r="U225" s="281"/>
      <c r="V225" s="281"/>
      <c r="W225" s="281"/>
      <c r="X225" s="304"/>
      <c r="Y225" s="304"/>
      <c r="Z225" s="304"/>
    </row>
    <row r="226">
      <c r="A226" s="345"/>
      <c r="B226" s="281"/>
      <c r="C226" s="281"/>
      <c r="D226" s="397"/>
      <c r="E226" s="281"/>
      <c r="F226" s="281"/>
      <c r="G226" s="354"/>
      <c r="H226" s="281"/>
      <c r="I226" s="281"/>
      <c r="J226" s="281"/>
      <c r="K226" s="281"/>
      <c r="L226" s="281"/>
      <c r="M226" s="281"/>
      <c r="N226" s="281"/>
      <c r="O226" s="281"/>
      <c r="P226" s="281"/>
      <c r="Q226" s="281"/>
      <c r="R226" s="282"/>
      <c r="S226" s="281"/>
      <c r="T226" s="282"/>
      <c r="U226" s="281"/>
      <c r="V226" s="281"/>
      <c r="W226" s="281"/>
      <c r="X226" s="304"/>
      <c r="Y226" s="304"/>
      <c r="Z226" s="304"/>
    </row>
    <row r="227">
      <c r="A227" s="345"/>
      <c r="B227" s="281"/>
      <c r="C227" s="281"/>
      <c r="D227" s="397"/>
      <c r="E227" s="281"/>
      <c r="F227" s="281"/>
      <c r="G227" s="354"/>
      <c r="H227" s="281"/>
      <c r="I227" s="281"/>
      <c r="J227" s="281"/>
      <c r="K227" s="281"/>
      <c r="L227" s="281"/>
      <c r="M227" s="281"/>
      <c r="N227" s="281"/>
      <c r="O227" s="281"/>
      <c r="P227" s="281"/>
      <c r="Q227" s="281"/>
      <c r="R227" s="282"/>
      <c r="S227" s="281"/>
      <c r="T227" s="282"/>
      <c r="U227" s="281"/>
      <c r="V227" s="281"/>
      <c r="W227" s="281"/>
      <c r="X227" s="304"/>
      <c r="Y227" s="304"/>
      <c r="Z227" s="304"/>
    </row>
    <row r="228">
      <c r="A228" s="345"/>
      <c r="B228" s="281"/>
      <c r="C228" s="281"/>
      <c r="D228" s="397"/>
      <c r="E228" s="281"/>
      <c r="F228" s="281"/>
      <c r="G228" s="329"/>
      <c r="H228" s="281"/>
      <c r="I228" s="281"/>
      <c r="J228" s="281"/>
      <c r="K228" s="281"/>
      <c r="L228" s="281"/>
      <c r="M228" s="281"/>
      <c r="N228" s="281"/>
      <c r="O228" s="281"/>
      <c r="P228" s="281"/>
      <c r="Q228" s="281"/>
      <c r="R228" s="282"/>
      <c r="S228" s="281"/>
      <c r="T228" s="282"/>
      <c r="U228" s="281"/>
      <c r="V228" s="281"/>
      <c r="W228" s="281"/>
      <c r="X228" s="304"/>
      <c r="Y228" s="304"/>
      <c r="Z228" s="304"/>
    </row>
    <row r="229">
      <c r="A229" s="345"/>
      <c r="B229" s="281"/>
      <c r="C229" s="281"/>
      <c r="D229" s="397"/>
      <c r="E229" s="281"/>
      <c r="F229" s="281"/>
      <c r="G229" s="329"/>
      <c r="H229" s="281"/>
      <c r="I229" s="281"/>
      <c r="J229" s="281"/>
      <c r="K229" s="281"/>
      <c r="L229" s="281"/>
      <c r="M229" s="281"/>
      <c r="N229" s="281"/>
      <c r="O229" s="281"/>
      <c r="P229" s="281"/>
      <c r="Q229" s="281"/>
      <c r="R229" s="282"/>
      <c r="S229" s="281"/>
      <c r="T229" s="282"/>
      <c r="U229" s="281"/>
      <c r="V229" s="281"/>
      <c r="W229" s="281"/>
      <c r="X229" s="304"/>
      <c r="Y229" s="304"/>
      <c r="Z229" s="304"/>
    </row>
    <row r="230">
      <c r="A230" s="345"/>
      <c r="B230" s="281"/>
      <c r="C230" s="281"/>
      <c r="D230" s="397"/>
      <c r="E230" s="281"/>
      <c r="F230" s="281"/>
      <c r="G230" s="329"/>
      <c r="H230" s="281"/>
      <c r="I230" s="281"/>
      <c r="J230" s="281"/>
      <c r="K230" s="281"/>
      <c r="L230" s="281"/>
      <c r="M230" s="281"/>
      <c r="N230" s="281"/>
      <c r="O230" s="281"/>
      <c r="P230" s="281"/>
      <c r="Q230" s="281"/>
      <c r="R230" s="282"/>
      <c r="S230" s="281"/>
      <c r="T230" s="282"/>
      <c r="U230" s="281"/>
      <c r="V230" s="281"/>
      <c r="W230" s="281"/>
      <c r="X230" s="304"/>
      <c r="Y230" s="304"/>
      <c r="Z230" s="304"/>
    </row>
    <row r="231">
      <c r="A231" s="345"/>
      <c r="B231" s="281"/>
      <c r="C231" s="281"/>
      <c r="D231" s="397"/>
      <c r="E231" s="281"/>
      <c r="F231" s="281"/>
      <c r="G231" s="326"/>
      <c r="H231" s="281"/>
      <c r="I231" s="281"/>
      <c r="J231" s="281"/>
      <c r="K231" s="281"/>
      <c r="L231" s="281"/>
      <c r="M231" s="281"/>
      <c r="N231" s="281"/>
      <c r="O231" s="281"/>
      <c r="P231" s="281"/>
      <c r="Q231" s="281"/>
      <c r="R231" s="282"/>
      <c r="S231" s="281"/>
      <c r="T231" s="282"/>
      <c r="U231" s="281"/>
      <c r="V231" s="281"/>
      <c r="W231" s="281"/>
      <c r="X231" s="304"/>
      <c r="Y231" s="304"/>
      <c r="Z231" s="304"/>
    </row>
    <row r="232">
      <c r="A232" s="345"/>
      <c r="B232" s="281"/>
      <c r="C232" s="281"/>
      <c r="D232" s="397"/>
      <c r="E232" s="281"/>
      <c r="F232" s="281"/>
      <c r="G232" s="326"/>
      <c r="H232" s="281"/>
      <c r="I232" s="281"/>
      <c r="J232" s="281"/>
      <c r="K232" s="281"/>
      <c r="L232" s="281"/>
      <c r="M232" s="281"/>
      <c r="N232" s="281"/>
      <c r="O232" s="281"/>
      <c r="P232" s="281"/>
      <c r="Q232" s="281"/>
      <c r="R232" s="282"/>
      <c r="S232" s="281"/>
      <c r="T232" s="282"/>
      <c r="U232" s="281"/>
      <c r="V232" s="281"/>
      <c r="W232" s="281"/>
      <c r="X232" s="304"/>
      <c r="Y232" s="304"/>
      <c r="Z232" s="304"/>
    </row>
    <row r="233">
      <c r="A233" s="345"/>
      <c r="B233" s="281"/>
      <c r="C233" s="281"/>
      <c r="D233" s="397"/>
      <c r="E233" s="281"/>
      <c r="F233" s="281"/>
      <c r="G233" s="326"/>
      <c r="H233" s="281"/>
      <c r="I233" s="281"/>
      <c r="J233" s="281"/>
      <c r="K233" s="281"/>
      <c r="L233" s="281"/>
      <c r="M233" s="281"/>
      <c r="N233" s="281"/>
      <c r="O233" s="281"/>
      <c r="P233" s="281"/>
      <c r="Q233" s="281"/>
      <c r="R233" s="282"/>
      <c r="S233" s="281"/>
      <c r="T233" s="282"/>
      <c r="U233" s="281"/>
      <c r="V233" s="281"/>
      <c r="W233" s="281"/>
      <c r="X233" s="304"/>
      <c r="Y233" s="304"/>
      <c r="Z233" s="304"/>
    </row>
    <row r="234">
      <c r="A234" s="345"/>
      <c r="B234" s="281"/>
      <c r="C234" s="281"/>
      <c r="D234" s="397"/>
      <c r="E234" s="281"/>
      <c r="F234" s="281"/>
      <c r="G234" s="326"/>
      <c r="H234" s="281"/>
      <c r="I234" s="281"/>
      <c r="J234" s="281"/>
      <c r="K234" s="281"/>
      <c r="L234" s="281"/>
      <c r="M234" s="281"/>
      <c r="N234" s="281"/>
      <c r="O234" s="281"/>
      <c r="P234" s="281"/>
      <c r="Q234" s="281"/>
      <c r="R234" s="282"/>
      <c r="S234" s="281"/>
      <c r="T234" s="282"/>
      <c r="U234" s="281"/>
      <c r="V234" s="281"/>
      <c r="W234" s="281"/>
      <c r="X234" s="304"/>
      <c r="Y234" s="304"/>
      <c r="Z234" s="304"/>
    </row>
    <row r="235">
      <c r="A235" s="345"/>
      <c r="B235" s="281"/>
      <c r="C235" s="281"/>
      <c r="D235" s="397"/>
      <c r="E235" s="281"/>
      <c r="F235" s="281"/>
      <c r="G235" s="281"/>
      <c r="H235" s="281"/>
      <c r="I235" s="281"/>
      <c r="J235" s="281"/>
      <c r="K235" s="281"/>
      <c r="L235" s="281"/>
      <c r="M235" s="281"/>
      <c r="N235" s="281"/>
      <c r="O235" s="281"/>
      <c r="P235" s="281"/>
      <c r="Q235" s="281"/>
      <c r="R235" s="282"/>
      <c r="S235" s="281"/>
      <c r="T235" s="282"/>
      <c r="U235" s="281"/>
      <c r="V235" s="281"/>
      <c r="W235" s="281"/>
      <c r="X235" s="304"/>
      <c r="Y235" s="304"/>
      <c r="Z235" s="304"/>
    </row>
    <row r="236">
      <c r="A236" s="345"/>
      <c r="B236" s="281"/>
      <c r="C236" s="281"/>
      <c r="D236" s="397"/>
      <c r="E236" s="281"/>
      <c r="F236" s="281"/>
      <c r="G236" s="281"/>
      <c r="H236" s="281"/>
      <c r="I236" s="281"/>
      <c r="J236" s="281"/>
      <c r="K236" s="281"/>
      <c r="L236" s="281"/>
      <c r="M236" s="281"/>
      <c r="N236" s="281"/>
      <c r="O236" s="281"/>
      <c r="P236" s="281"/>
      <c r="Q236" s="281"/>
      <c r="R236" s="282"/>
      <c r="S236" s="281"/>
      <c r="T236" s="282"/>
      <c r="U236" s="281"/>
      <c r="V236" s="281"/>
      <c r="W236" s="281"/>
      <c r="X236" s="304"/>
      <c r="Y236" s="304"/>
      <c r="Z236" s="304"/>
    </row>
    <row r="237">
      <c r="A237" s="345"/>
      <c r="B237" s="281"/>
      <c r="C237" s="281"/>
      <c r="D237" s="397"/>
      <c r="E237" s="281"/>
      <c r="F237" s="281"/>
      <c r="G237" s="281"/>
      <c r="H237" s="281"/>
      <c r="I237" s="281"/>
      <c r="J237" s="281"/>
      <c r="K237" s="281"/>
      <c r="L237" s="281"/>
      <c r="M237" s="281"/>
      <c r="N237" s="281"/>
      <c r="O237" s="281"/>
      <c r="P237" s="281"/>
      <c r="Q237" s="281"/>
      <c r="R237" s="282"/>
      <c r="S237" s="281"/>
      <c r="T237" s="282"/>
      <c r="U237" s="281"/>
      <c r="V237" s="281"/>
      <c r="W237" s="281"/>
      <c r="X237" s="304"/>
      <c r="Y237" s="304"/>
      <c r="Z237" s="304"/>
    </row>
    <row r="238">
      <c r="A238" s="345"/>
      <c r="B238" s="281"/>
      <c r="C238" s="281"/>
      <c r="D238" s="397"/>
      <c r="E238" s="281"/>
      <c r="F238" s="281"/>
      <c r="G238" s="281"/>
      <c r="H238" s="281"/>
      <c r="I238" s="281"/>
      <c r="J238" s="281"/>
      <c r="K238" s="281"/>
      <c r="L238" s="281"/>
      <c r="M238" s="281"/>
      <c r="N238" s="281"/>
      <c r="O238" s="281"/>
      <c r="P238" s="281"/>
      <c r="Q238" s="281"/>
      <c r="R238" s="282"/>
      <c r="S238" s="281"/>
      <c r="T238" s="282"/>
      <c r="U238" s="281"/>
      <c r="V238" s="281"/>
      <c r="W238" s="281"/>
      <c r="X238" s="304"/>
      <c r="Y238" s="304"/>
      <c r="Z238" s="304"/>
    </row>
    <row r="239">
      <c r="A239" s="345"/>
      <c r="B239" s="281"/>
      <c r="C239" s="281"/>
      <c r="D239" s="397"/>
      <c r="E239" s="281"/>
      <c r="F239" s="281"/>
      <c r="G239" s="281"/>
      <c r="H239" s="281"/>
      <c r="I239" s="281"/>
      <c r="J239" s="281"/>
      <c r="K239" s="281"/>
      <c r="L239" s="281"/>
      <c r="M239" s="281"/>
      <c r="N239" s="281"/>
      <c r="O239" s="281"/>
      <c r="P239" s="281"/>
      <c r="Q239" s="281"/>
      <c r="R239" s="282"/>
      <c r="S239" s="281"/>
      <c r="T239" s="282"/>
      <c r="U239" s="281"/>
      <c r="V239" s="281"/>
      <c r="W239" s="281"/>
      <c r="X239" s="304"/>
      <c r="Y239" s="304"/>
      <c r="Z239" s="304"/>
    </row>
    <row r="240">
      <c r="A240" s="345"/>
      <c r="B240" s="281"/>
      <c r="C240" s="281"/>
      <c r="D240" s="397"/>
      <c r="E240" s="281"/>
      <c r="F240" s="281"/>
      <c r="G240" s="281"/>
      <c r="H240" s="281"/>
      <c r="I240" s="281"/>
      <c r="J240" s="281"/>
      <c r="K240" s="281"/>
      <c r="L240" s="281"/>
      <c r="M240" s="281"/>
      <c r="N240" s="281"/>
      <c r="O240" s="281"/>
      <c r="P240" s="281"/>
      <c r="Q240" s="281"/>
      <c r="R240" s="282"/>
      <c r="S240" s="281"/>
      <c r="T240" s="282"/>
      <c r="U240" s="281"/>
      <c r="V240" s="281"/>
      <c r="W240" s="281"/>
      <c r="X240" s="304"/>
      <c r="Y240" s="304"/>
      <c r="Z240" s="304"/>
    </row>
    <row r="241">
      <c r="A241" s="345"/>
      <c r="B241" s="281"/>
      <c r="C241" s="281"/>
      <c r="D241" s="397"/>
      <c r="E241" s="281"/>
      <c r="F241" s="281"/>
      <c r="G241" s="281"/>
      <c r="H241" s="281"/>
      <c r="I241" s="281"/>
      <c r="J241" s="281"/>
      <c r="K241" s="281"/>
      <c r="L241" s="281"/>
      <c r="M241" s="281"/>
      <c r="N241" s="281"/>
      <c r="O241" s="281"/>
      <c r="P241" s="281"/>
      <c r="Q241" s="281"/>
      <c r="R241" s="282"/>
      <c r="S241" s="281"/>
      <c r="T241" s="282"/>
      <c r="U241" s="281"/>
      <c r="V241" s="281"/>
      <c r="W241" s="281"/>
      <c r="X241" s="304"/>
      <c r="Y241" s="304"/>
      <c r="Z241" s="304"/>
    </row>
    <row r="242">
      <c r="A242" s="345"/>
      <c r="B242" s="281"/>
      <c r="C242" s="281"/>
      <c r="D242" s="397"/>
      <c r="E242" s="281"/>
      <c r="F242" s="281"/>
      <c r="G242" s="281"/>
      <c r="H242" s="281"/>
      <c r="I242" s="281"/>
      <c r="J242" s="281"/>
      <c r="K242" s="281"/>
      <c r="L242" s="281"/>
      <c r="M242" s="281"/>
      <c r="N242" s="281"/>
      <c r="O242" s="281"/>
      <c r="P242" s="281"/>
      <c r="Q242" s="281"/>
      <c r="R242" s="282"/>
      <c r="S242" s="281"/>
      <c r="T242" s="282"/>
      <c r="U242" s="281"/>
      <c r="V242" s="281"/>
      <c r="W242" s="281"/>
      <c r="X242" s="304"/>
      <c r="Y242" s="304"/>
      <c r="Z242" s="304"/>
    </row>
    <row r="243">
      <c r="A243" s="345"/>
      <c r="B243" s="281"/>
      <c r="C243" s="281"/>
      <c r="D243" s="397"/>
      <c r="E243" s="281"/>
      <c r="F243" s="281"/>
      <c r="G243" s="281"/>
      <c r="H243" s="281"/>
      <c r="I243" s="281"/>
      <c r="J243" s="281"/>
      <c r="K243" s="281"/>
      <c r="L243" s="281"/>
      <c r="M243" s="281"/>
      <c r="N243" s="281"/>
      <c r="O243" s="281"/>
      <c r="P243" s="281"/>
      <c r="Q243" s="281"/>
      <c r="R243" s="282"/>
      <c r="S243" s="281"/>
      <c r="T243" s="282"/>
      <c r="U243" s="281"/>
      <c r="V243" s="281"/>
      <c r="W243" s="281"/>
      <c r="X243" s="304"/>
      <c r="Y243" s="304"/>
      <c r="Z243" s="304"/>
    </row>
    <row r="244">
      <c r="A244" s="345"/>
      <c r="B244" s="281"/>
      <c r="C244" s="281"/>
      <c r="D244" s="397"/>
      <c r="E244" s="281"/>
      <c r="F244" s="281"/>
      <c r="G244" s="281"/>
      <c r="H244" s="281"/>
      <c r="I244" s="281"/>
      <c r="J244" s="281"/>
      <c r="K244" s="281"/>
      <c r="L244" s="281"/>
      <c r="M244" s="281"/>
      <c r="N244" s="281"/>
      <c r="O244" s="281"/>
      <c r="P244" s="281"/>
      <c r="Q244" s="281"/>
      <c r="R244" s="282"/>
      <c r="S244" s="281"/>
      <c r="T244" s="282"/>
      <c r="U244" s="281"/>
      <c r="V244" s="281"/>
      <c r="W244" s="281"/>
      <c r="X244" s="304"/>
      <c r="Y244" s="304"/>
      <c r="Z244" s="304"/>
    </row>
    <row r="245">
      <c r="A245" s="345"/>
      <c r="B245" s="281"/>
      <c r="C245" s="281"/>
      <c r="D245" s="397"/>
      <c r="E245" s="281"/>
      <c r="F245" s="281"/>
      <c r="G245" s="281"/>
      <c r="H245" s="281"/>
      <c r="I245" s="281"/>
      <c r="J245" s="281"/>
      <c r="K245" s="281"/>
      <c r="L245" s="281"/>
      <c r="M245" s="281"/>
      <c r="N245" s="281"/>
      <c r="O245" s="281"/>
      <c r="P245" s="281"/>
      <c r="Q245" s="281"/>
      <c r="R245" s="282"/>
      <c r="S245" s="281"/>
      <c r="T245" s="282"/>
      <c r="U245" s="281"/>
      <c r="V245" s="281"/>
      <c r="W245" s="281"/>
      <c r="X245" s="304"/>
      <c r="Y245" s="304"/>
      <c r="Z245" s="304"/>
    </row>
    <row r="246">
      <c r="A246" s="345"/>
      <c r="B246" s="281"/>
      <c r="C246" s="281"/>
      <c r="D246" s="397"/>
      <c r="E246" s="281"/>
      <c r="F246" s="281"/>
      <c r="G246" s="281"/>
      <c r="H246" s="281"/>
      <c r="I246" s="281"/>
      <c r="J246" s="281"/>
      <c r="K246" s="281"/>
      <c r="L246" s="281"/>
      <c r="M246" s="281"/>
      <c r="N246" s="281"/>
      <c r="O246" s="281"/>
      <c r="P246" s="281"/>
      <c r="Q246" s="281"/>
      <c r="R246" s="282"/>
      <c r="S246" s="281"/>
      <c r="T246" s="282"/>
      <c r="U246" s="281"/>
      <c r="V246" s="281"/>
      <c r="W246" s="281"/>
      <c r="X246" s="304"/>
      <c r="Y246" s="304"/>
      <c r="Z246" s="304"/>
    </row>
    <row r="247">
      <c r="A247" s="345"/>
      <c r="B247" s="281"/>
      <c r="C247" s="281"/>
      <c r="D247" s="397"/>
      <c r="E247" s="281"/>
      <c r="F247" s="281"/>
      <c r="G247" s="281"/>
      <c r="H247" s="281"/>
      <c r="I247" s="281"/>
      <c r="J247" s="281"/>
      <c r="K247" s="281"/>
      <c r="L247" s="281"/>
      <c r="M247" s="281"/>
      <c r="N247" s="281"/>
      <c r="O247" s="281"/>
      <c r="P247" s="281"/>
      <c r="Q247" s="281"/>
      <c r="R247" s="282"/>
      <c r="S247" s="281"/>
      <c r="T247" s="282"/>
      <c r="U247" s="281"/>
      <c r="V247" s="281"/>
      <c r="W247" s="281"/>
      <c r="X247" s="304"/>
      <c r="Y247" s="304"/>
      <c r="Z247" s="304"/>
    </row>
    <row r="248">
      <c r="A248" s="345"/>
      <c r="B248" s="281"/>
      <c r="C248" s="281"/>
      <c r="D248" s="397"/>
      <c r="E248" s="281"/>
      <c r="F248" s="281"/>
      <c r="G248" s="281"/>
      <c r="H248" s="281"/>
      <c r="I248" s="281"/>
      <c r="J248" s="281"/>
      <c r="K248" s="281"/>
      <c r="L248" s="281"/>
      <c r="M248" s="281"/>
      <c r="N248" s="281"/>
      <c r="O248" s="281"/>
      <c r="P248" s="281"/>
      <c r="Q248" s="281"/>
      <c r="R248" s="282"/>
      <c r="S248" s="281"/>
      <c r="T248" s="282"/>
      <c r="U248" s="281"/>
      <c r="V248" s="281"/>
      <c r="W248" s="281"/>
      <c r="X248" s="304"/>
      <c r="Y248" s="304"/>
      <c r="Z248" s="304"/>
    </row>
    <row r="249">
      <c r="A249" s="345"/>
      <c r="B249" s="281"/>
      <c r="C249" s="281"/>
      <c r="D249" s="397"/>
      <c r="E249" s="281"/>
      <c r="F249" s="281"/>
      <c r="G249" s="281"/>
      <c r="H249" s="281"/>
      <c r="I249" s="281"/>
      <c r="J249" s="281"/>
      <c r="K249" s="281"/>
      <c r="L249" s="281"/>
      <c r="M249" s="281"/>
      <c r="N249" s="281"/>
      <c r="O249" s="281"/>
      <c r="P249" s="281"/>
      <c r="Q249" s="281"/>
      <c r="R249" s="282"/>
      <c r="S249" s="281"/>
      <c r="T249" s="282"/>
      <c r="U249" s="281"/>
      <c r="V249" s="281"/>
      <c r="W249" s="281"/>
      <c r="X249" s="304"/>
      <c r="Y249" s="304"/>
      <c r="Z249" s="304"/>
    </row>
    <row r="250">
      <c r="A250" s="345"/>
      <c r="B250" s="281"/>
      <c r="C250" s="281"/>
      <c r="D250" s="397"/>
      <c r="E250" s="281"/>
      <c r="F250" s="281"/>
      <c r="G250" s="281"/>
      <c r="H250" s="281"/>
      <c r="I250" s="281"/>
      <c r="J250" s="281"/>
      <c r="K250" s="281"/>
      <c r="L250" s="281"/>
      <c r="M250" s="281"/>
      <c r="N250" s="281"/>
      <c r="O250" s="281"/>
      <c r="P250" s="281"/>
      <c r="Q250" s="281"/>
      <c r="R250" s="282"/>
      <c r="S250" s="281"/>
      <c r="T250" s="282"/>
      <c r="U250" s="281"/>
      <c r="V250" s="281"/>
      <c r="W250" s="281"/>
      <c r="X250" s="304"/>
      <c r="Y250" s="304"/>
      <c r="Z250" s="304"/>
    </row>
    <row r="251">
      <c r="A251" s="345"/>
      <c r="B251" s="281"/>
      <c r="C251" s="281"/>
      <c r="D251" s="397"/>
      <c r="E251" s="281"/>
      <c r="F251" s="281"/>
      <c r="G251" s="281"/>
      <c r="H251" s="281"/>
      <c r="I251" s="281"/>
      <c r="J251" s="281"/>
      <c r="K251" s="281"/>
      <c r="L251" s="281"/>
      <c r="M251" s="281"/>
      <c r="N251" s="281"/>
      <c r="O251" s="281"/>
      <c r="P251" s="281"/>
      <c r="Q251" s="281"/>
      <c r="R251" s="282"/>
      <c r="S251" s="281"/>
      <c r="T251" s="282"/>
      <c r="U251" s="281"/>
      <c r="V251" s="281"/>
      <c r="W251" s="281"/>
      <c r="X251" s="304"/>
      <c r="Y251" s="304"/>
      <c r="Z251" s="304"/>
    </row>
    <row r="252">
      <c r="A252" s="345"/>
      <c r="B252" s="281"/>
      <c r="C252" s="281"/>
      <c r="D252" s="397"/>
      <c r="E252" s="281"/>
      <c r="F252" s="281"/>
      <c r="G252" s="281"/>
      <c r="H252" s="281"/>
      <c r="I252" s="281"/>
      <c r="J252" s="281"/>
      <c r="K252" s="281"/>
      <c r="L252" s="281"/>
      <c r="M252" s="281"/>
      <c r="N252" s="281"/>
      <c r="O252" s="281"/>
      <c r="P252" s="281"/>
      <c r="Q252" s="281"/>
      <c r="R252" s="282"/>
      <c r="S252" s="281"/>
      <c r="T252" s="282"/>
      <c r="U252" s="281"/>
      <c r="V252" s="281"/>
      <c r="W252" s="281"/>
      <c r="X252" s="304"/>
      <c r="Y252" s="304"/>
      <c r="Z252" s="304"/>
    </row>
    <row r="253">
      <c r="A253" s="345"/>
      <c r="B253" s="281"/>
      <c r="C253" s="281"/>
      <c r="D253" s="397"/>
      <c r="E253" s="281"/>
      <c r="F253" s="281"/>
      <c r="G253" s="281"/>
      <c r="H253" s="281"/>
      <c r="I253" s="281"/>
      <c r="J253" s="281"/>
      <c r="K253" s="281"/>
      <c r="L253" s="281"/>
      <c r="M253" s="281"/>
      <c r="N253" s="281"/>
      <c r="O253" s="281"/>
      <c r="P253" s="281"/>
      <c r="Q253" s="281"/>
      <c r="R253" s="282"/>
      <c r="S253" s="281"/>
      <c r="T253" s="282"/>
      <c r="U253" s="281"/>
      <c r="V253" s="281"/>
      <c r="W253" s="281"/>
      <c r="X253" s="304"/>
      <c r="Y253" s="304"/>
      <c r="Z253" s="304"/>
    </row>
    <row r="254">
      <c r="A254" s="345"/>
      <c r="B254" s="281"/>
      <c r="C254" s="281"/>
      <c r="D254" s="397"/>
      <c r="E254" s="281"/>
      <c r="F254" s="281"/>
      <c r="G254" s="281"/>
      <c r="H254" s="281"/>
      <c r="I254" s="281"/>
      <c r="J254" s="281"/>
      <c r="K254" s="281"/>
      <c r="L254" s="281"/>
      <c r="M254" s="281"/>
      <c r="N254" s="281"/>
      <c r="O254" s="281"/>
      <c r="P254" s="281"/>
      <c r="Q254" s="281"/>
      <c r="R254" s="282"/>
      <c r="S254" s="281"/>
      <c r="T254" s="282"/>
      <c r="U254" s="281"/>
      <c r="V254" s="281"/>
      <c r="W254" s="281"/>
      <c r="X254" s="304"/>
      <c r="Y254" s="304"/>
      <c r="Z254" s="304"/>
    </row>
    <row r="255">
      <c r="A255" s="345"/>
      <c r="B255" s="281"/>
      <c r="C255" s="281"/>
      <c r="D255" s="397"/>
      <c r="E255" s="281"/>
      <c r="F255" s="281"/>
      <c r="G255" s="281"/>
      <c r="H255" s="281"/>
      <c r="I255" s="281"/>
      <c r="J255" s="281"/>
      <c r="K255" s="281"/>
      <c r="L255" s="281"/>
      <c r="M255" s="281"/>
      <c r="N255" s="281"/>
      <c r="O255" s="281"/>
      <c r="P255" s="281"/>
      <c r="Q255" s="281"/>
      <c r="R255" s="282"/>
      <c r="S255" s="281"/>
      <c r="T255" s="282"/>
      <c r="U255" s="281"/>
      <c r="V255" s="281"/>
      <c r="W255" s="281"/>
      <c r="X255" s="304"/>
      <c r="Y255" s="304"/>
      <c r="Z255" s="304"/>
    </row>
    <row r="256">
      <c r="A256" s="345"/>
      <c r="B256" s="281"/>
      <c r="C256" s="281"/>
      <c r="D256" s="397"/>
      <c r="E256" s="281"/>
      <c r="F256" s="281"/>
      <c r="G256" s="281"/>
      <c r="H256" s="281"/>
      <c r="I256" s="281"/>
      <c r="J256" s="281"/>
      <c r="K256" s="281"/>
      <c r="L256" s="281"/>
      <c r="M256" s="281"/>
      <c r="N256" s="281"/>
      <c r="O256" s="281"/>
      <c r="P256" s="281"/>
      <c r="Q256" s="281"/>
      <c r="R256" s="282"/>
      <c r="S256" s="281"/>
      <c r="T256" s="282"/>
      <c r="U256" s="281"/>
      <c r="V256" s="281"/>
      <c r="W256" s="281"/>
      <c r="X256" s="304"/>
      <c r="Y256" s="304"/>
      <c r="Z256" s="304"/>
    </row>
    <row r="257">
      <c r="A257" s="345"/>
      <c r="B257" s="281"/>
      <c r="C257" s="281"/>
      <c r="D257" s="397"/>
      <c r="E257" s="281"/>
      <c r="F257" s="281"/>
      <c r="G257" s="281"/>
      <c r="H257" s="281"/>
      <c r="I257" s="281"/>
      <c r="J257" s="281"/>
      <c r="K257" s="281"/>
      <c r="L257" s="281"/>
      <c r="M257" s="281"/>
      <c r="N257" s="281"/>
      <c r="O257" s="281"/>
      <c r="P257" s="281"/>
      <c r="Q257" s="281"/>
      <c r="R257" s="282"/>
      <c r="S257" s="281"/>
      <c r="T257" s="282"/>
      <c r="U257" s="281"/>
      <c r="V257" s="281"/>
      <c r="W257" s="281"/>
      <c r="X257" s="304"/>
      <c r="Y257" s="304"/>
      <c r="Z257" s="304"/>
    </row>
    <row r="258">
      <c r="A258" s="345"/>
      <c r="B258" s="281"/>
      <c r="C258" s="281"/>
      <c r="D258" s="397"/>
      <c r="E258" s="281"/>
      <c r="F258" s="281"/>
      <c r="G258" s="281"/>
      <c r="H258" s="281"/>
      <c r="I258" s="281"/>
      <c r="J258" s="281"/>
      <c r="K258" s="281"/>
      <c r="L258" s="281"/>
      <c r="M258" s="281"/>
      <c r="N258" s="281"/>
      <c r="O258" s="281"/>
      <c r="P258" s="281"/>
      <c r="Q258" s="281"/>
      <c r="R258" s="281"/>
      <c r="S258" s="281"/>
      <c r="T258" s="282"/>
      <c r="U258" s="281"/>
      <c r="V258" s="281"/>
      <c r="W258" s="281"/>
      <c r="X258" s="304"/>
      <c r="Y258" s="304"/>
      <c r="Z258" s="304"/>
    </row>
    <row r="259">
      <c r="A259" s="345"/>
      <c r="B259" s="281"/>
      <c r="C259" s="281"/>
      <c r="D259" s="397"/>
      <c r="E259" s="281"/>
      <c r="F259" s="281"/>
      <c r="G259" s="281"/>
      <c r="H259" s="281"/>
      <c r="I259" s="281"/>
      <c r="J259" s="281"/>
      <c r="K259" s="281"/>
      <c r="L259" s="281"/>
      <c r="M259" s="281"/>
      <c r="N259" s="281"/>
      <c r="O259" s="281"/>
      <c r="P259" s="281"/>
      <c r="Q259" s="281"/>
      <c r="R259" s="281"/>
      <c r="S259" s="281"/>
      <c r="T259" s="282"/>
      <c r="U259" s="281"/>
      <c r="V259" s="281"/>
      <c r="W259" s="281"/>
      <c r="X259" s="304"/>
      <c r="Y259" s="304"/>
      <c r="Z259" s="304"/>
    </row>
    <row r="260">
      <c r="A260" s="345"/>
      <c r="B260" s="281"/>
      <c r="C260" s="281"/>
      <c r="D260" s="397"/>
      <c r="E260" s="281"/>
      <c r="F260" s="281"/>
      <c r="G260" s="281"/>
      <c r="H260" s="281"/>
      <c r="I260" s="281"/>
      <c r="J260" s="281"/>
      <c r="K260" s="281"/>
      <c r="L260" s="281"/>
      <c r="M260" s="281"/>
      <c r="N260" s="281"/>
      <c r="O260" s="281"/>
      <c r="P260" s="281"/>
      <c r="Q260" s="281"/>
      <c r="R260" s="281"/>
      <c r="S260" s="281"/>
      <c r="T260" s="282"/>
      <c r="U260" s="281"/>
      <c r="V260" s="281"/>
      <c r="W260" s="281"/>
      <c r="X260" s="304"/>
      <c r="Y260" s="304"/>
      <c r="Z260" s="304"/>
    </row>
    <row r="261">
      <c r="A261" s="345"/>
      <c r="B261" s="281"/>
      <c r="C261" s="281"/>
      <c r="D261" s="397"/>
      <c r="E261" s="281"/>
      <c r="F261" s="281"/>
      <c r="G261" s="281"/>
      <c r="H261" s="281"/>
      <c r="I261" s="281"/>
      <c r="J261" s="281"/>
      <c r="K261" s="281"/>
      <c r="L261" s="281"/>
      <c r="M261" s="281"/>
      <c r="N261" s="281"/>
      <c r="O261" s="281"/>
      <c r="P261" s="281"/>
      <c r="Q261" s="281"/>
      <c r="R261" s="281"/>
      <c r="S261" s="281"/>
      <c r="T261" s="282"/>
      <c r="U261" s="281"/>
      <c r="V261" s="281"/>
      <c r="W261" s="281"/>
      <c r="X261" s="304"/>
      <c r="Y261" s="304"/>
      <c r="Z261" s="304"/>
    </row>
    <row r="262">
      <c r="A262" s="345"/>
      <c r="B262" s="281"/>
      <c r="C262" s="281"/>
      <c r="D262" s="397"/>
      <c r="E262" s="281"/>
      <c r="F262" s="281"/>
      <c r="G262" s="281"/>
      <c r="H262" s="281"/>
      <c r="I262" s="281"/>
      <c r="J262" s="281"/>
      <c r="K262" s="281"/>
      <c r="L262" s="281"/>
      <c r="M262" s="281"/>
      <c r="N262" s="281"/>
      <c r="O262" s="281"/>
      <c r="P262" s="281"/>
      <c r="Q262" s="281"/>
      <c r="R262" s="281"/>
      <c r="S262" s="281"/>
      <c r="T262" s="282"/>
      <c r="U262" s="281"/>
      <c r="V262" s="281"/>
      <c r="W262" s="281"/>
      <c r="X262" s="304"/>
      <c r="Y262" s="304"/>
      <c r="Z262" s="304"/>
    </row>
    <row r="263">
      <c r="A263" s="345"/>
      <c r="B263" s="281"/>
      <c r="C263" s="281"/>
      <c r="D263" s="397"/>
      <c r="E263" s="281"/>
      <c r="F263" s="281"/>
      <c r="G263" s="281"/>
      <c r="H263" s="281"/>
      <c r="I263" s="281"/>
      <c r="J263" s="281"/>
      <c r="K263" s="281"/>
      <c r="L263" s="281"/>
      <c r="M263" s="281"/>
      <c r="N263" s="281"/>
      <c r="O263" s="281"/>
      <c r="P263" s="281"/>
      <c r="Q263" s="281"/>
      <c r="R263" s="281"/>
      <c r="S263" s="281"/>
      <c r="T263" s="282"/>
      <c r="U263" s="281"/>
      <c r="V263" s="281"/>
      <c r="W263" s="281"/>
      <c r="X263" s="304"/>
      <c r="Y263" s="304"/>
      <c r="Z263" s="304"/>
    </row>
    <row r="264">
      <c r="A264" s="345"/>
      <c r="B264" s="281"/>
      <c r="C264" s="281"/>
      <c r="D264" s="397"/>
      <c r="E264" s="281"/>
      <c r="F264" s="281"/>
      <c r="G264" s="281"/>
      <c r="H264" s="281"/>
      <c r="I264" s="281"/>
      <c r="J264" s="281"/>
      <c r="K264" s="281"/>
      <c r="L264" s="281"/>
      <c r="M264" s="281"/>
      <c r="N264" s="281"/>
      <c r="O264" s="281"/>
      <c r="P264" s="281"/>
      <c r="Q264" s="281"/>
      <c r="R264" s="281"/>
      <c r="S264" s="281"/>
      <c r="T264" s="282"/>
      <c r="U264" s="281"/>
      <c r="V264" s="281"/>
      <c r="W264" s="281"/>
      <c r="X264" s="304"/>
      <c r="Y264" s="304"/>
      <c r="Z264" s="304"/>
    </row>
    <row r="265">
      <c r="A265" s="345"/>
      <c r="B265" s="281"/>
      <c r="C265" s="281"/>
      <c r="D265" s="397"/>
      <c r="E265" s="281"/>
      <c r="F265" s="281"/>
      <c r="G265" s="281"/>
      <c r="H265" s="281"/>
      <c r="I265" s="281"/>
      <c r="J265" s="281"/>
      <c r="K265" s="281"/>
      <c r="L265" s="281"/>
      <c r="M265" s="281"/>
      <c r="N265" s="281"/>
      <c r="O265" s="281"/>
      <c r="P265" s="281"/>
      <c r="Q265" s="281"/>
      <c r="R265" s="281"/>
      <c r="S265" s="281"/>
      <c r="T265" s="282"/>
      <c r="U265" s="281"/>
      <c r="V265" s="281"/>
      <c r="W265" s="281"/>
      <c r="X265" s="304"/>
      <c r="Y265" s="304"/>
      <c r="Z265" s="304"/>
    </row>
    <row r="266">
      <c r="A266" s="345"/>
      <c r="B266" s="281"/>
      <c r="C266" s="281"/>
      <c r="D266" s="397"/>
      <c r="E266" s="281"/>
      <c r="F266" s="281"/>
      <c r="G266" s="281"/>
      <c r="H266" s="281"/>
      <c r="I266" s="281"/>
      <c r="J266" s="281"/>
      <c r="K266" s="281"/>
      <c r="L266" s="281"/>
      <c r="M266" s="281"/>
      <c r="N266" s="281"/>
      <c r="O266" s="281"/>
      <c r="P266" s="281"/>
      <c r="Q266" s="281"/>
      <c r="R266" s="281"/>
      <c r="S266" s="281"/>
      <c r="T266" s="282"/>
      <c r="U266" s="281"/>
      <c r="V266" s="281"/>
      <c r="W266" s="281"/>
      <c r="X266" s="304"/>
      <c r="Y266" s="304"/>
      <c r="Z266" s="304"/>
    </row>
    <row r="267">
      <c r="A267" s="345"/>
      <c r="B267" s="281"/>
      <c r="C267" s="281"/>
      <c r="D267" s="397"/>
      <c r="E267" s="281"/>
      <c r="F267" s="281"/>
      <c r="G267" s="281"/>
      <c r="H267" s="281"/>
      <c r="I267" s="281"/>
      <c r="J267" s="281"/>
      <c r="K267" s="281"/>
      <c r="L267" s="281"/>
      <c r="M267" s="281"/>
      <c r="N267" s="281"/>
      <c r="O267" s="281"/>
      <c r="P267" s="281"/>
      <c r="Q267" s="281"/>
      <c r="R267" s="281"/>
      <c r="S267" s="281"/>
      <c r="T267" s="282"/>
      <c r="U267" s="281"/>
      <c r="V267" s="281"/>
      <c r="W267" s="281"/>
      <c r="X267" s="304"/>
      <c r="Y267" s="304"/>
      <c r="Z267" s="304"/>
    </row>
    <row r="268">
      <c r="A268" s="345"/>
      <c r="B268" s="281"/>
      <c r="C268" s="281"/>
      <c r="D268" s="397"/>
      <c r="E268" s="281"/>
      <c r="F268" s="281"/>
      <c r="G268" s="281"/>
      <c r="H268" s="281"/>
      <c r="I268" s="281"/>
      <c r="J268" s="281"/>
      <c r="K268" s="281"/>
      <c r="L268" s="281"/>
      <c r="M268" s="281"/>
      <c r="N268" s="281"/>
      <c r="O268" s="281"/>
      <c r="P268" s="281"/>
      <c r="Q268" s="281"/>
      <c r="R268" s="281"/>
      <c r="S268" s="281"/>
      <c r="T268" s="282"/>
      <c r="U268" s="281"/>
      <c r="V268" s="281"/>
      <c r="W268" s="281"/>
      <c r="X268" s="304"/>
      <c r="Y268" s="304"/>
      <c r="Z268" s="304"/>
    </row>
    <row r="269">
      <c r="A269" s="345"/>
      <c r="B269" s="281"/>
      <c r="C269" s="281"/>
      <c r="D269" s="397"/>
      <c r="E269" s="281"/>
      <c r="F269" s="281"/>
      <c r="G269" s="281"/>
      <c r="H269" s="281"/>
      <c r="I269" s="281"/>
      <c r="J269" s="281"/>
      <c r="K269" s="281"/>
      <c r="L269" s="281"/>
      <c r="M269" s="281"/>
      <c r="N269" s="281"/>
      <c r="O269" s="281"/>
      <c r="P269" s="281"/>
      <c r="Q269" s="281"/>
      <c r="R269" s="281"/>
      <c r="S269" s="281"/>
      <c r="T269" s="282"/>
      <c r="U269" s="281"/>
      <c r="V269" s="281"/>
      <c r="W269" s="281"/>
      <c r="X269" s="304"/>
      <c r="Y269" s="304"/>
      <c r="Z269" s="304"/>
    </row>
    <row r="270">
      <c r="A270" s="345"/>
      <c r="B270" s="281"/>
      <c r="C270" s="281"/>
      <c r="D270" s="397"/>
      <c r="E270" s="281"/>
      <c r="F270" s="281"/>
      <c r="G270" s="281"/>
      <c r="H270" s="281"/>
      <c r="I270" s="281"/>
      <c r="J270" s="281"/>
      <c r="K270" s="281"/>
      <c r="L270" s="281"/>
      <c r="M270" s="281"/>
      <c r="N270" s="281"/>
      <c r="O270" s="281"/>
      <c r="P270" s="281"/>
      <c r="Q270" s="281"/>
      <c r="R270" s="281"/>
      <c r="S270" s="281"/>
      <c r="T270" s="282"/>
      <c r="U270" s="281"/>
      <c r="V270" s="281"/>
      <c r="W270" s="281"/>
      <c r="X270" s="304"/>
      <c r="Y270" s="304"/>
      <c r="Z270" s="304"/>
    </row>
    <row r="271">
      <c r="A271" s="345"/>
      <c r="B271" s="281"/>
      <c r="C271" s="281"/>
      <c r="D271" s="397"/>
      <c r="E271" s="281"/>
      <c r="F271" s="281"/>
      <c r="G271" s="281"/>
      <c r="H271" s="281"/>
      <c r="I271" s="281"/>
      <c r="J271" s="281"/>
      <c r="K271" s="281"/>
      <c r="L271" s="281"/>
      <c r="M271" s="281"/>
      <c r="N271" s="281"/>
      <c r="O271" s="281"/>
      <c r="P271" s="281"/>
      <c r="Q271" s="281"/>
      <c r="R271" s="281"/>
      <c r="S271" s="281"/>
      <c r="T271" s="282"/>
      <c r="U271" s="281"/>
      <c r="V271" s="281"/>
      <c r="W271" s="281"/>
      <c r="X271" s="304"/>
      <c r="Y271" s="304"/>
      <c r="Z271" s="304"/>
    </row>
    <row r="272">
      <c r="A272" s="345"/>
      <c r="B272" s="281"/>
      <c r="C272" s="281"/>
      <c r="D272" s="397"/>
      <c r="E272" s="281"/>
      <c r="F272" s="281"/>
      <c r="G272" s="281"/>
      <c r="H272" s="281"/>
      <c r="I272" s="281"/>
      <c r="J272" s="281"/>
      <c r="K272" s="281"/>
      <c r="L272" s="281"/>
      <c r="M272" s="281"/>
      <c r="N272" s="281"/>
      <c r="O272" s="281"/>
      <c r="P272" s="281"/>
      <c r="Q272" s="281"/>
      <c r="R272" s="281"/>
      <c r="S272" s="281"/>
      <c r="T272" s="282"/>
      <c r="U272" s="281"/>
      <c r="V272" s="281"/>
      <c r="W272" s="281"/>
      <c r="X272" s="304"/>
      <c r="Y272" s="304"/>
      <c r="Z272" s="304"/>
    </row>
    <row r="273">
      <c r="A273" s="345"/>
      <c r="B273" s="281"/>
      <c r="C273" s="281"/>
      <c r="D273" s="397"/>
      <c r="E273" s="281"/>
      <c r="F273" s="281"/>
      <c r="G273" s="281"/>
      <c r="H273" s="281"/>
      <c r="I273" s="281"/>
      <c r="J273" s="281"/>
      <c r="K273" s="281"/>
      <c r="L273" s="281"/>
      <c r="M273" s="281"/>
      <c r="N273" s="281"/>
      <c r="O273" s="281"/>
      <c r="P273" s="281"/>
      <c r="Q273" s="281"/>
      <c r="R273" s="281"/>
      <c r="S273" s="281"/>
      <c r="T273" s="282"/>
      <c r="U273" s="281"/>
      <c r="V273" s="281"/>
      <c r="W273" s="281"/>
      <c r="X273" s="304"/>
      <c r="Y273" s="304"/>
      <c r="Z273" s="304"/>
    </row>
    <row r="274">
      <c r="A274" s="345"/>
      <c r="B274" s="281"/>
      <c r="C274" s="281"/>
      <c r="D274" s="397"/>
      <c r="E274" s="281"/>
      <c r="F274" s="281"/>
      <c r="G274" s="281"/>
      <c r="H274" s="281"/>
      <c r="I274" s="281"/>
      <c r="J274" s="281"/>
      <c r="K274" s="281"/>
      <c r="L274" s="281"/>
      <c r="M274" s="281"/>
      <c r="N274" s="281"/>
      <c r="O274" s="281"/>
      <c r="P274" s="281"/>
      <c r="Q274" s="281"/>
      <c r="R274" s="281"/>
      <c r="S274" s="281"/>
      <c r="T274" s="282"/>
      <c r="U274" s="281"/>
      <c r="V274" s="281"/>
      <c r="W274" s="281"/>
      <c r="X274" s="304"/>
      <c r="Y274" s="304"/>
      <c r="Z274" s="304"/>
    </row>
    <row r="275">
      <c r="A275" s="345"/>
      <c r="B275" s="281"/>
      <c r="C275" s="281"/>
      <c r="D275" s="397"/>
      <c r="E275" s="281"/>
      <c r="F275" s="281"/>
      <c r="G275" s="281"/>
      <c r="H275" s="281"/>
      <c r="I275" s="281"/>
      <c r="J275" s="281"/>
      <c r="K275" s="281"/>
      <c r="L275" s="281"/>
      <c r="M275" s="281"/>
      <c r="N275" s="281"/>
      <c r="O275" s="281"/>
      <c r="P275" s="281"/>
      <c r="Q275" s="281"/>
      <c r="R275" s="281"/>
      <c r="S275" s="281"/>
      <c r="T275" s="282"/>
      <c r="U275" s="281"/>
      <c r="V275" s="281"/>
      <c r="W275" s="281"/>
      <c r="X275" s="304"/>
      <c r="Y275" s="304"/>
      <c r="Z275" s="304"/>
    </row>
  </sheetData>
  <conditionalFormatting sqref="D1">
    <cfRule type="notContainsBlanks" dxfId="0" priority="1">
      <formula>LEN(TRIM(D1))&gt;0</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D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105.29"/>
    <col customWidth="1" min="21" max="21" width="18.14"/>
    <col customWidth="1" min="23" max="23" width="24.29"/>
    <col customWidth="1" min="24" max="24" width="20.57"/>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24" t="s">
        <v>615</v>
      </c>
    </row>
    <row r="2" ht="20.25" customHeight="1">
      <c r="A2" s="278"/>
      <c r="B2" s="399" t="s">
        <v>1310</v>
      </c>
      <c r="C2" s="280"/>
      <c r="D2" s="378"/>
      <c r="E2" s="281"/>
      <c r="F2" s="281"/>
      <c r="G2" s="281"/>
      <c r="H2" s="281"/>
      <c r="I2" s="281"/>
      <c r="J2" s="281"/>
      <c r="K2" s="281"/>
      <c r="L2" s="281"/>
      <c r="M2" s="281"/>
      <c r="N2" s="280"/>
      <c r="O2" s="280"/>
      <c r="P2" s="280"/>
      <c r="Q2" s="280"/>
      <c r="R2" s="282"/>
      <c r="S2" s="281"/>
      <c r="T2" s="285"/>
    </row>
    <row r="3">
      <c r="A3" s="272"/>
      <c r="B3" s="376" t="s">
        <v>1311</v>
      </c>
      <c r="C3" s="280"/>
      <c r="D3" s="378"/>
      <c r="E3" s="281"/>
      <c r="F3" s="281"/>
      <c r="G3" s="281"/>
      <c r="H3" s="281"/>
      <c r="I3" s="281"/>
      <c r="J3" s="281"/>
      <c r="K3" s="281"/>
      <c r="L3" s="281"/>
      <c r="M3" s="281"/>
      <c r="N3" s="281"/>
      <c r="O3" s="281"/>
      <c r="P3" s="281"/>
      <c r="Q3" s="281"/>
      <c r="R3" s="282"/>
      <c r="S3" s="281"/>
      <c r="T3" s="285"/>
    </row>
    <row r="4">
      <c r="A4" s="286" t="s">
        <v>619</v>
      </c>
      <c r="B4" s="379" t="s">
        <v>1312</v>
      </c>
      <c r="C4" s="280"/>
      <c r="D4" s="378"/>
      <c r="E4" s="281"/>
      <c r="F4" s="281"/>
      <c r="G4" s="281"/>
      <c r="H4" s="281"/>
      <c r="I4" s="281"/>
      <c r="J4" s="281"/>
      <c r="K4" s="281"/>
      <c r="L4" s="281"/>
      <c r="M4" s="281"/>
      <c r="N4" s="281"/>
      <c r="O4" s="281"/>
      <c r="P4" s="281"/>
      <c r="Q4" s="281"/>
      <c r="R4" s="282"/>
      <c r="S4" s="281"/>
      <c r="T4" s="285"/>
    </row>
    <row r="5">
      <c r="A5" s="25"/>
      <c r="B5" s="288" t="s">
        <v>631</v>
      </c>
      <c r="C5" s="280" t="s">
        <v>632</v>
      </c>
      <c r="D5" s="289">
        <f>ROUND((F5*'Pawn Weights'!$H$60)+(G5*'Pawn Weights'!$H$61)+(H5*'Pawn Weights'!$H$62)+(I5*'Pawn Weights'!$H$63)+(J5*'Pawn Weights'!$H$64)+(K5*'Pawn Weights'!$H$65)+(L5*'Pawn Weights'!$H$66)+(M5*'Pawn Weights'!$H$67)+(N5*'Pawn Weights'!$H$68)+(O5*'Pawn Weights'!$H$69)+(P5*'Pawn Weights'!$H$70)+(Q5*'Pawn Weights'!$H$71), 2)</f>
        <v>362.52</v>
      </c>
      <c r="E5" s="280">
        <v>46.0</v>
      </c>
      <c r="F5" s="280"/>
      <c r="G5" s="280">
        <v>39.0</v>
      </c>
      <c r="H5" s="280">
        <v>108.0</v>
      </c>
      <c r="I5" s="280">
        <v>38.0</v>
      </c>
      <c r="J5" s="280">
        <v>21.0</v>
      </c>
      <c r="K5" s="280"/>
      <c r="L5" s="280"/>
      <c r="M5" s="281"/>
      <c r="N5" s="280">
        <v>1.0</v>
      </c>
      <c r="O5" s="280"/>
      <c r="P5" s="280">
        <v>1.0</v>
      </c>
      <c r="Q5" s="280"/>
      <c r="R5" s="290" t="s">
        <v>633</v>
      </c>
      <c r="S5" s="281"/>
      <c r="T5" s="291" t="s">
        <v>634</v>
      </c>
    </row>
    <row r="6">
      <c r="A6" s="295" t="s">
        <v>627</v>
      </c>
      <c r="B6" s="296" t="s">
        <v>1313</v>
      </c>
      <c r="C6" s="297" t="s">
        <v>629</v>
      </c>
      <c r="D6" s="289">
        <f>ROUND((F6*'Pawn Weights'!$H$60)+(G6*'Pawn Weights'!$H$61)+(H6*'Pawn Weights'!$H$62)+(I6*'Pawn Weights'!$H$63)+(J6*'Pawn Weights'!$H$64)+(K6*'Pawn Weights'!$H$65)+(L6*'Pawn Weights'!$H$66)+(M6*'Pawn Weights'!$H$67)+(N6*'Pawn Weights'!$H$68)+(O6*'Pawn Weights'!$H$69)+(P6*'Pawn Weights'!$H$70)+(Q6*'Pawn Weights'!$H$71), 2)</f>
        <v>343.68</v>
      </c>
      <c r="E6" s="298">
        <v>47.0</v>
      </c>
      <c r="F6" s="298"/>
      <c r="G6" s="297"/>
      <c r="H6" s="298">
        <v>124.0</v>
      </c>
      <c r="I6" s="298">
        <v>51.0</v>
      </c>
      <c r="J6" s="298">
        <v>26.0</v>
      </c>
      <c r="K6" s="297"/>
      <c r="L6" s="297"/>
      <c r="M6" s="137"/>
      <c r="N6" s="298">
        <v>1.0</v>
      </c>
      <c r="O6" s="297"/>
      <c r="P6" s="297"/>
      <c r="Q6" s="298">
        <v>1.0</v>
      </c>
      <c r="R6" s="298" t="s">
        <v>624</v>
      </c>
      <c r="S6" s="137"/>
      <c r="T6" s="297" t="s">
        <v>630</v>
      </c>
      <c r="U6" s="137"/>
      <c r="V6" s="137"/>
      <c r="W6" s="137"/>
      <c r="X6" s="137"/>
      <c r="Y6" s="137"/>
      <c r="Z6" s="137"/>
    </row>
    <row r="7">
      <c r="A7" s="295" t="s">
        <v>635</v>
      </c>
      <c r="B7" s="296" t="s">
        <v>1314</v>
      </c>
      <c r="C7" s="297" t="s">
        <v>637</v>
      </c>
      <c r="D7" s="289">
        <f>ROUND((F7*'Pawn Weights'!$H$60)+(G7*'Pawn Weights'!$H$61)+(H7*'Pawn Weights'!$H$62)+(I7*'Pawn Weights'!$H$63)+(J7*'Pawn Weights'!$H$64)+(K7*'Pawn Weights'!$H$65)+(L7*'Pawn Weights'!$H$66)+(M7*'Pawn Weights'!$H$67)+(N7*'Pawn Weights'!$H$68)+(O7*'Pawn Weights'!$H$69)+(P7*'Pawn Weights'!$H$70)+(Q7*'Pawn Weights'!$H$71), 2)</f>
        <v>302.68</v>
      </c>
      <c r="E7" s="298">
        <v>74.0</v>
      </c>
      <c r="F7" s="298">
        <v>40.0</v>
      </c>
      <c r="G7" s="297"/>
      <c r="H7" s="297"/>
      <c r="I7" s="298">
        <v>39.0</v>
      </c>
      <c r="J7" s="298">
        <v>18.0</v>
      </c>
      <c r="K7" s="297"/>
      <c r="L7" s="297"/>
      <c r="M7" s="359">
        <v>84.0</v>
      </c>
      <c r="N7" s="298">
        <v>1.0</v>
      </c>
      <c r="O7" s="298">
        <v>1.0</v>
      </c>
      <c r="P7" s="298"/>
      <c r="Q7" s="297"/>
      <c r="R7" s="298" t="s">
        <v>1179</v>
      </c>
      <c r="S7" s="137"/>
      <c r="T7" s="295"/>
      <c r="U7" s="137"/>
      <c r="V7" s="137"/>
      <c r="W7" s="137"/>
      <c r="X7" s="137"/>
      <c r="Y7" s="137"/>
      <c r="Z7" s="137"/>
    </row>
    <row r="8" ht="14.25" customHeight="1">
      <c r="A8" s="292"/>
      <c r="B8" s="288" t="s">
        <v>650</v>
      </c>
      <c r="C8" s="154" t="s">
        <v>639</v>
      </c>
      <c r="D8" s="289">
        <f>ROUND((F8*'Pawn Weights'!$H$60)+(G8*'Pawn Weights'!$H$61)+(H8*'Pawn Weights'!$H$62)+(I8*'Pawn Weights'!$H$63)+(J8*'Pawn Weights'!$H$64)+(K8*'Pawn Weights'!$H$65)+(L8*'Pawn Weights'!$H$66)+(M8*'Pawn Weights'!$H$67)+(N8*'Pawn Weights'!$H$68)+(O8*'Pawn Weights'!$H$69)+(P8*'Pawn Weights'!$H$70)+(Q8*'Pawn Weights'!$H$71), 2)</f>
        <v>292.78</v>
      </c>
      <c r="E8" s="280">
        <v>29.0</v>
      </c>
      <c r="F8" s="280"/>
      <c r="G8" s="280">
        <v>42.0</v>
      </c>
      <c r="H8" s="280">
        <v>100.0</v>
      </c>
      <c r="I8" s="280">
        <v>20.0</v>
      </c>
      <c r="J8" s="280"/>
      <c r="K8" s="280"/>
      <c r="L8" s="280"/>
      <c r="M8" s="281"/>
      <c r="N8" s="280">
        <v>1.0</v>
      </c>
      <c r="O8" s="280">
        <v>1.0</v>
      </c>
      <c r="P8" s="280"/>
      <c r="Q8" s="280"/>
      <c r="R8" s="290" t="s">
        <v>651</v>
      </c>
      <c r="S8" s="281"/>
      <c r="T8" s="291"/>
    </row>
    <row r="9" ht="14.25" customHeight="1">
      <c r="A9" s="25" t="s">
        <v>640</v>
      </c>
      <c r="B9" s="288" t="s">
        <v>1315</v>
      </c>
      <c r="C9" s="280" t="s">
        <v>642</v>
      </c>
      <c r="D9" s="289">
        <f>ROUND((F9*'Pawn Weights'!$H$60)+(G9*'Pawn Weights'!$H$61)+(H9*'Pawn Weights'!$H$62)+(I9*'Pawn Weights'!$H$63)+(J9*'Pawn Weights'!$H$64)+(K9*'Pawn Weights'!$H$65)+(L9*'Pawn Weights'!$H$66)+(M9*'Pawn Weights'!$H$67)+(N9*'Pawn Weights'!$H$68)+(O9*'Pawn Weights'!$H$69)+(P9*'Pawn Weights'!$H$70)+(Q9*'Pawn Weights'!$H$71), 2)</f>
        <v>286.12</v>
      </c>
      <c r="E9" s="280">
        <v>55.0</v>
      </c>
      <c r="F9" s="280">
        <v>53.0</v>
      </c>
      <c r="G9" s="280"/>
      <c r="H9" s="280"/>
      <c r="I9" s="280">
        <v>28.0</v>
      </c>
      <c r="J9" s="280">
        <v>20.0</v>
      </c>
      <c r="K9" s="280"/>
      <c r="L9" s="280"/>
      <c r="M9" s="281"/>
      <c r="N9" s="280">
        <v>1.0</v>
      </c>
      <c r="O9" s="280"/>
      <c r="P9" s="280">
        <v>1.0</v>
      </c>
      <c r="Q9" s="280"/>
      <c r="R9" s="290" t="s">
        <v>1417</v>
      </c>
      <c r="S9" s="281"/>
      <c r="T9" s="291"/>
      <c r="U9" s="25"/>
      <c r="X9" s="25"/>
    </row>
    <row r="10" ht="14.25" customHeight="1">
      <c r="A10" s="25" t="s">
        <v>627</v>
      </c>
      <c r="B10" s="288" t="s">
        <v>1319</v>
      </c>
      <c r="C10" s="280" t="s">
        <v>653</v>
      </c>
      <c r="D10" s="289">
        <f>ROUND((F10*'Pawn Weights'!$H$60)+(G10*'Pawn Weights'!$H$61)+(H10*'Pawn Weights'!$H$62)+(I10*'Pawn Weights'!$H$63)+(J10*'Pawn Weights'!$H$64)+(K10*'Pawn Weights'!$H$65)+(L10*'Pawn Weights'!$H$66)+(M10*'Pawn Weights'!$H$67)+(N10*'Pawn Weights'!$H$68)+(O10*'Pawn Weights'!$H$69)+(P10*'Pawn Weights'!$H$70)+(Q10*'Pawn Weights'!$H$71), 2)</f>
        <v>271.09</v>
      </c>
      <c r="E10" s="280">
        <v>28.0</v>
      </c>
      <c r="F10" s="280"/>
      <c r="G10" s="280"/>
      <c r="H10" s="280">
        <v>96.0</v>
      </c>
      <c r="I10" s="280">
        <v>38.0</v>
      </c>
      <c r="J10" s="280">
        <v>13.0</v>
      </c>
      <c r="K10" s="280"/>
      <c r="L10" s="280"/>
      <c r="M10" s="281"/>
      <c r="N10" s="280">
        <v>1.0</v>
      </c>
      <c r="O10" s="280"/>
      <c r="P10" s="280"/>
      <c r="Q10" s="280">
        <v>1.0</v>
      </c>
      <c r="R10" s="290" t="s">
        <v>622</v>
      </c>
      <c r="S10" s="281"/>
      <c r="T10" s="291"/>
      <c r="U10" s="25"/>
      <c r="X10" s="25"/>
    </row>
    <row r="11" ht="14.25" customHeight="1">
      <c r="A11" s="25" t="s">
        <v>1316</v>
      </c>
      <c r="B11" s="288" t="s">
        <v>1317</v>
      </c>
      <c r="C11" s="280" t="s">
        <v>1318</v>
      </c>
      <c r="D11" s="289">
        <f>ROUND((F11*'Pawn Weights'!$H$60)+(G11*'Pawn Weights'!$H$61)+(H11*'Pawn Weights'!$H$62)+(I11*'Pawn Weights'!$H$63)+(J11*'Pawn Weights'!$H$64)+(K11*'Pawn Weights'!$H$65)+(L11*'Pawn Weights'!$H$66)+(M11*'Pawn Weights'!$H$67)+(N11*'Pawn Weights'!$H$68)+(O11*'Pawn Weights'!$H$69)+(P11*'Pawn Weights'!$H$70)+(Q11*'Pawn Weights'!$H$71), 2)</f>
        <v>268.9</v>
      </c>
      <c r="E11" s="280">
        <v>67.0</v>
      </c>
      <c r="F11" s="280">
        <v>34.0</v>
      </c>
      <c r="G11" s="280"/>
      <c r="H11" s="280"/>
      <c r="I11" s="280">
        <v>33.0</v>
      </c>
      <c r="J11" s="280">
        <v>12.0</v>
      </c>
      <c r="K11" s="280"/>
      <c r="L11" s="280"/>
      <c r="M11" s="280">
        <v>84.0</v>
      </c>
      <c r="N11" s="280">
        <v>1.0</v>
      </c>
      <c r="O11" s="280">
        <v>1.0</v>
      </c>
      <c r="P11" s="280"/>
      <c r="Q11" s="280"/>
      <c r="R11" s="290" t="s">
        <v>1179</v>
      </c>
      <c r="S11" s="281"/>
      <c r="T11" s="291"/>
      <c r="U11" s="25"/>
      <c r="X11" s="25"/>
    </row>
    <row r="12">
      <c r="A12" s="295"/>
      <c r="B12" s="317" t="s">
        <v>1074</v>
      </c>
      <c r="C12" s="318" t="s">
        <v>1183</v>
      </c>
      <c r="D12" s="289">
        <f>ROUND((F12*'Pawn Weights'!$H$60)+(G12*'Pawn Weights'!$H$61)+(H12*'Pawn Weights'!$H$62)+(I12*'Pawn Weights'!$H$63)+(J12*'Pawn Weights'!$H$64)+(K12*'Pawn Weights'!$H$65)+(L12*'Pawn Weights'!$H$66)+(M12*'Pawn Weights'!$H$67)+(N12*'Pawn Weights'!$H$68)+(O12*'Pawn Weights'!$H$69)+(P12*'Pawn Weights'!$H$70)+(Q12*'Pawn Weights'!$H$71), 2)</f>
        <v>256.16</v>
      </c>
      <c r="E12" s="316">
        <v>48.0</v>
      </c>
      <c r="F12" s="297"/>
      <c r="G12" s="316">
        <v>40.0</v>
      </c>
      <c r="H12" s="316">
        <v>82.0</v>
      </c>
      <c r="I12" s="297"/>
      <c r="J12" s="316">
        <v>24.0</v>
      </c>
      <c r="K12" s="297"/>
      <c r="L12" s="297"/>
      <c r="M12" s="137"/>
      <c r="N12" s="297"/>
      <c r="O12" s="318">
        <v>1.0</v>
      </c>
      <c r="P12" s="318">
        <v>1.0</v>
      </c>
      <c r="Q12" s="318">
        <v>1.0</v>
      </c>
      <c r="R12" s="316" t="s">
        <v>745</v>
      </c>
      <c r="S12" s="137"/>
      <c r="T12" s="400"/>
      <c r="U12" s="137"/>
      <c r="V12" s="137"/>
      <c r="W12" s="137"/>
      <c r="X12" s="137"/>
      <c r="Y12" s="137"/>
      <c r="Z12" s="137"/>
    </row>
    <row r="13" ht="14.25" customHeight="1">
      <c r="A13" s="25"/>
      <c r="B13" s="288" t="s">
        <v>1184</v>
      </c>
      <c r="C13" s="280" t="s">
        <v>1185</v>
      </c>
      <c r="D13" s="289">
        <f>ROUND((F13*'Pawn Weights'!$H$60)+(G13*'Pawn Weights'!$H$61)+(H13*'Pawn Weights'!$H$62)+(I13*'Pawn Weights'!$H$63)+(J13*'Pawn Weights'!$H$64)+(K13*'Pawn Weights'!$H$65)+(L13*'Pawn Weights'!$H$66)+(M13*'Pawn Weights'!$H$67)+(N13*'Pawn Weights'!$H$68)+(O13*'Pawn Weights'!$H$69)+(P13*'Pawn Weights'!$H$70)+(Q13*'Pawn Weights'!$H$71)-22+19.7+6.76, 2)</f>
        <v>236.58</v>
      </c>
      <c r="E13" s="280">
        <v>36.0</v>
      </c>
      <c r="F13" s="280"/>
      <c r="G13" s="280">
        <v>32.0</v>
      </c>
      <c r="H13" s="280">
        <v>64.0</v>
      </c>
      <c r="I13" s="280"/>
      <c r="J13" s="280">
        <v>16.0</v>
      </c>
      <c r="K13" s="280"/>
      <c r="L13" s="280"/>
      <c r="M13" s="281"/>
      <c r="N13" s="280">
        <v>1.0</v>
      </c>
      <c r="O13" s="280"/>
      <c r="P13" s="280">
        <v>1.0</v>
      </c>
      <c r="Q13" s="280"/>
      <c r="R13" s="290" t="s">
        <v>622</v>
      </c>
      <c r="S13" s="281"/>
      <c r="T13" s="291"/>
    </row>
    <row r="14">
      <c r="A14" s="292" t="s">
        <v>1320</v>
      </c>
      <c r="B14" s="288" t="s">
        <v>1321</v>
      </c>
      <c r="C14" s="154" t="s">
        <v>649</v>
      </c>
      <c r="D14" s="289">
        <f>ROUND((F14*'Pawn Weights'!$H$60)+(G14*'Pawn Weights'!$H$61)+(H14*'Pawn Weights'!$H$62)+(I14*'Pawn Weights'!$H$63)+(J14*'Pawn Weights'!$H$64)+(K14*'Pawn Weights'!$H$65)+(L14*'Pawn Weights'!$H$66)+(M14*'Pawn Weights'!$H$67)+(N14*'Pawn Weights'!$H$68)+(O14*'Pawn Weights'!$H$69)+(P14*'Pawn Weights'!$H$70)+(Q14*'Pawn Weights'!$H$71)-22+19.7+6.76, 2)</f>
        <v>235.74</v>
      </c>
      <c r="E14" s="280">
        <v>46.0</v>
      </c>
      <c r="F14" s="280">
        <v>41.0</v>
      </c>
      <c r="G14" s="280">
        <v>32.0</v>
      </c>
      <c r="H14" s="280"/>
      <c r="I14" s="280"/>
      <c r="J14" s="280"/>
      <c r="K14" s="280"/>
      <c r="L14" s="280"/>
      <c r="M14" s="281"/>
      <c r="N14" s="280">
        <v>1.0</v>
      </c>
      <c r="O14" s="280"/>
      <c r="P14" s="280">
        <v>1.0</v>
      </c>
      <c r="Q14" s="280"/>
      <c r="R14" s="290" t="s">
        <v>622</v>
      </c>
      <c r="S14" s="281"/>
      <c r="T14" s="291"/>
    </row>
    <row r="15">
      <c r="A15" s="25"/>
      <c r="B15" s="311" t="s">
        <v>1450</v>
      </c>
      <c r="C15" s="280" t="s">
        <v>1451</v>
      </c>
      <c r="D15" s="289">
        <f>ROUND((F15*'Pawn Weights'!$H$60)+(G15*'Pawn Weights'!$H$61)+(H15*'Pawn Weights'!$H$62)+(I15*'Pawn Weights'!$H$63)+(J15*'Pawn Weights'!$H$64)+(K15*'Pawn Weights'!$H$65)+(L15*'Pawn Weights'!$H$66)+(M15*'Pawn Weights'!$H$67)+(N15*'Pawn Weights'!$H$68)+(O15*'Pawn Weights'!$H$69)+(P15*'Pawn Weights'!$H$70)+(Q15*'Pawn Weights'!$H$71), 2)</f>
        <v>218.91</v>
      </c>
      <c r="E15" s="280">
        <v>21.0</v>
      </c>
      <c r="F15" s="280"/>
      <c r="G15" s="280">
        <v>25.0</v>
      </c>
      <c r="H15" s="280">
        <v>66.0</v>
      </c>
      <c r="I15" s="280"/>
      <c r="J15" s="280">
        <v>14.0</v>
      </c>
      <c r="K15" s="280"/>
      <c r="L15" s="280"/>
      <c r="M15" s="281"/>
      <c r="N15" s="280">
        <v>1.0</v>
      </c>
      <c r="O15" s="280"/>
      <c r="P15" s="280">
        <v>1.0</v>
      </c>
      <c r="Q15" s="280"/>
      <c r="R15" s="290" t="s">
        <v>1179</v>
      </c>
      <c r="S15" s="281"/>
      <c r="T15" s="291"/>
    </row>
    <row r="16">
      <c r="A16" s="25" t="s">
        <v>1452</v>
      </c>
      <c r="B16" s="288" t="s">
        <v>1453</v>
      </c>
      <c r="C16" s="280" t="s">
        <v>1454</v>
      </c>
      <c r="D16" s="289">
        <f>ROUND((F16*'Pawn Weights'!$H$60)+(G16*'Pawn Weights'!$H$61)+(H16*'Pawn Weights'!$H$62)+(I16*'Pawn Weights'!$H$63)+(J16*'Pawn Weights'!$H$64)+(K16*'Pawn Weights'!$H$65)+(L16*'Pawn Weights'!$H$66)+(M16*'Pawn Weights'!$H$67)+(N16*'Pawn Weights'!$H$68)+(O16*'Pawn Weights'!$H$69)+(P16*'Pawn Weights'!$H$70)+(Q16*'Pawn Weights'!$H$71)+6.76, 2)</f>
        <v>218.59</v>
      </c>
      <c r="E16" s="280">
        <v>40.0</v>
      </c>
      <c r="F16" s="280">
        <v>36.0</v>
      </c>
      <c r="G16" s="280">
        <v>27.0</v>
      </c>
      <c r="H16" s="280"/>
      <c r="I16" s="280"/>
      <c r="J16" s="280"/>
      <c r="K16" s="280"/>
      <c r="L16" s="280"/>
      <c r="M16" s="281"/>
      <c r="N16" s="280">
        <v>1.0</v>
      </c>
      <c r="O16" s="280">
        <v>1.0</v>
      </c>
      <c r="P16" s="280"/>
      <c r="Q16" s="280"/>
      <c r="R16" s="290" t="s">
        <v>626</v>
      </c>
      <c r="S16" s="281"/>
      <c r="T16" s="291" t="s">
        <v>1455</v>
      </c>
    </row>
    <row r="17">
      <c r="A17" s="25" t="s">
        <v>1456</v>
      </c>
      <c r="B17" s="288" t="s">
        <v>1457</v>
      </c>
      <c r="C17" s="280" t="s">
        <v>997</v>
      </c>
      <c r="D17" s="289">
        <f>ROUND((F17*'Pawn Weights'!$H$60)+(G17*'Pawn Weights'!$H$61)+(H17*'Pawn Weights'!$H$62)+(I17*'Pawn Weights'!$H$63)+(J17*'Pawn Weights'!$H$64)+(K17*'Pawn Weights'!$H$65)+(L17*'Pawn Weights'!$H$66)+(M17*'Pawn Weights'!$H$67)+(N17*'Pawn Weights'!$H$68)+(O17*'Pawn Weights'!$H$69)+(P17*'Pawn Weights'!$H$70)+(Q17*'Pawn Weights'!$H$71), 2)</f>
        <v>217.12</v>
      </c>
      <c r="E17" s="280">
        <v>60.0</v>
      </c>
      <c r="F17" s="280">
        <v>37.0</v>
      </c>
      <c r="G17" s="280"/>
      <c r="H17" s="280"/>
      <c r="I17" s="280">
        <v>28.0</v>
      </c>
      <c r="J17" s="280"/>
      <c r="K17" s="280"/>
      <c r="L17" s="280"/>
      <c r="M17" s="281"/>
      <c r="N17" s="280">
        <v>1.0</v>
      </c>
      <c r="O17" s="280">
        <v>1.0</v>
      </c>
      <c r="P17" s="280"/>
      <c r="Q17" s="280"/>
      <c r="R17" s="290" t="s">
        <v>1179</v>
      </c>
      <c r="S17" s="281"/>
      <c r="T17" s="291"/>
    </row>
    <row r="18">
      <c r="A18" s="272" t="s">
        <v>657</v>
      </c>
      <c r="B18" s="281"/>
      <c r="C18" s="281"/>
      <c r="D18" s="360"/>
      <c r="E18" s="281"/>
      <c r="F18" s="281"/>
      <c r="G18" s="281"/>
      <c r="H18" s="281"/>
      <c r="I18" s="281"/>
      <c r="J18" s="281"/>
      <c r="K18" s="281"/>
      <c r="L18" s="281"/>
      <c r="M18" s="281"/>
      <c r="N18" s="281"/>
      <c r="O18" s="281"/>
      <c r="P18" s="281"/>
      <c r="Q18" s="281"/>
      <c r="R18" s="282"/>
      <c r="S18" s="281"/>
      <c r="T18" s="285"/>
    </row>
    <row r="19">
      <c r="A19" s="137" t="s">
        <v>627</v>
      </c>
      <c r="B19" s="341" t="s">
        <v>658</v>
      </c>
      <c r="C19" s="361" t="s">
        <v>659</v>
      </c>
      <c r="D19" s="289">
        <f>ROUND((F19*'Pawn Weights'!$H$60)+(G19*'Pawn Weights'!$H$61)+(H19*'Pawn Weights'!$H$62)+(I19*'Pawn Weights'!$H$63)+(J19*'Pawn Weights'!$H$64)+(K19*'Pawn Weights'!$H$65)+(L19*'Pawn Weights'!$H$66)+(M19*'Pawn Weights'!$H$67)+(N19*'Pawn Weights'!$H$68)+(O19*'Pawn Weights'!$H$69)+(P19*'Pawn Weights'!$H$70)+(Q19*'Pawn Weights'!$H$71)-22+19.7+4, 2)</f>
        <v>186.98</v>
      </c>
      <c r="E19" s="359">
        <v>42.0</v>
      </c>
      <c r="F19" s="137"/>
      <c r="G19" s="137"/>
      <c r="H19" s="359">
        <v>58.0</v>
      </c>
      <c r="I19" s="137"/>
      <c r="J19" s="137"/>
      <c r="K19" s="359">
        <v>29.0</v>
      </c>
      <c r="L19" s="137"/>
      <c r="M19" s="359">
        <v>150.0</v>
      </c>
      <c r="N19" s="137"/>
      <c r="O19" s="137"/>
      <c r="P19" s="359">
        <v>1.0</v>
      </c>
      <c r="Q19" s="137"/>
      <c r="R19" s="359" t="s">
        <v>660</v>
      </c>
      <c r="S19" s="137"/>
      <c r="T19" s="361" t="s">
        <v>661</v>
      </c>
      <c r="U19" s="137"/>
      <c r="V19" s="137"/>
      <c r="W19" s="137"/>
      <c r="X19" s="137"/>
      <c r="Y19" s="137"/>
      <c r="Z19" s="137"/>
    </row>
    <row r="20">
      <c r="A20" s="281"/>
      <c r="B20" s="288" t="s">
        <v>664</v>
      </c>
      <c r="C20" s="280" t="s">
        <v>665</v>
      </c>
      <c r="D20" s="289">
        <f>ROUND((F20*'Pawn Weights'!$H$60)+(G20*'Pawn Weights'!$H$61)+(H20*'Pawn Weights'!$H$62)+(I20*'Pawn Weights'!$H$63)+(J20*'Pawn Weights'!$H$64)+(K20*'Pawn Weights'!$H$65)+(L20*'Pawn Weights'!$H$66)+(M20*'Pawn Weights'!$H$67)+(N20*'Pawn Weights'!$H$68)+(O20*'Pawn Weights'!$H$69)+(P20*'Pawn Weights'!$H$70)+(Q20*'Pawn Weights'!$H$71), 2)</f>
        <v>154.47</v>
      </c>
      <c r="E20" s="280"/>
      <c r="F20" s="280"/>
      <c r="G20" s="280"/>
      <c r="H20" s="280">
        <v>72.0</v>
      </c>
      <c r="I20" s="280">
        <v>27.0</v>
      </c>
      <c r="J20" s="280">
        <v>21.0</v>
      </c>
      <c r="K20" s="280"/>
      <c r="L20" s="280"/>
      <c r="M20" s="280"/>
      <c r="N20" s="280"/>
      <c r="O20" s="280"/>
      <c r="P20" s="280"/>
      <c r="Q20" s="280"/>
      <c r="R20" s="290"/>
      <c r="S20" s="281"/>
      <c r="T20" s="222"/>
      <c r="U20" s="281"/>
      <c r="X20" s="281"/>
    </row>
    <row r="21">
      <c r="A21" s="137" t="s">
        <v>676</v>
      </c>
      <c r="B21" s="296" t="s">
        <v>677</v>
      </c>
      <c r="C21" s="297" t="s">
        <v>678</v>
      </c>
      <c r="D21" s="289">
        <f>ROUND((F21*'Pawn Weights'!$H$60)+(G21*'Pawn Weights'!$H$61)+(H21*'Pawn Weights'!$H$62)+(I21*'Pawn Weights'!$H$63)+(J21*'Pawn Weights'!$H$64)+(K21*'Pawn Weights'!$H$65)+(L21*'Pawn Weights'!$H$66)+(M21*'Pawn Weights'!$H$67)+(N21*'Pawn Weights'!$H$68)+(O21*'Pawn Weights'!$H$69)+(P21*'Pawn Weights'!$H$70)+(Q21*'Pawn Weights'!$H$71)+39.2, 2)</f>
        <v>133.62</v>
      </c>
      <c r="E21" s="298">
        <v>19.0</v>
      </c>
      <c r="F21" s="297"/>
      <c r="G21" s="298">
        <v>18.0</v>
      </c>
      <c r="H21" s="298">
        <v>64.0</v>
      </c>
      <c r="I21" s="297"/>
      <c r="J21" s="297"/>
      <c r="K21" s="297"/>
      <c r="L21" s="297"/>
      <c r="M21" s="295"/>
      <c r="N21" s="297"/>
      <c r="O21" s="297"/>
      <c r="P21" s="297"/>
      <c r="Q21" s="297"/>
      <c r="R21" s="295"/>
      <c r="S21" s="137"/>
      <c r="T21" s="362" t="s">
        <v>679</v>
      </c>
      <c r="U21" s="194"/>
      <c r="V21" s="194"/>
      <c r="W21" s="137"/>
      <c r="X21" s="137"/>
      <c r="Y21" s="137"/>
      <c r="Z21" s="137"/>
    </row>
    <row r="22">
      <c r="A22" s="281"/>
      <c r="B22" s="288" t="s">
        <v>666</v>
      </c>
      <c r="C22" s="280" t="s">
        <v>667</v>
      </c>
      <c r="D22" s="289">
        <f>ROUND((F22*'Pawn Weights'!$H$60)+(G22*'Pawn Weights'!$H$61)+(H22*'Pawn Weights'!$H$62)+(I22*'Pawn Weights'!$H$63)+(J22*'Pawn Weights'!$H$64)+(K22*'Pawn Weights'!$H$65)+(L22*'Pawn Weights'!$H$66)+(M22*'Pawn Weights'!$H$67)+(N22*'Pawn Weights'!$H$68)+(O22*'Pawn Weights'!$H$69)+(P22*'Pawn Weights'!$H$70)+(Q22*'Pawn Weights'!$H$71), 2)</f>
        <v>131.25</v>
      </c>
      <c r="E22" s="280">
        <v>37.0</v>
      </c>
      <c r="F22" s="280"/>
      <c r="G22" s="280"/>
      <c r="H22" s="280">
        <v>70.0</v>
      </c>
      <c r="I22" s="280"/>
      <c r="J22" s="280"/>
      <c r="K22" s="280"/>
      <c r="L22" s="280"/>
      <c r="M22" s="280">
        <v>175.0</v>
      </c>
      <c r="N22" s="280"/>
      <c r="O22" s="280"/>
      <c r="P22" s="280"/>
      <c r="Q22" s="280"/>
      <c r="R22" s="290"/>
      <c r="S22" s="281"/>
      <c r="T22" s="222"/>
      <c r="U22" s="281"/>
      <c r="X22" s="281"/>
    </row>
    <row r="23">
      <c r="A23" s="137" t="s">
        <v>671</v>
      </c>
      <c r="B23" s="296" t="s">
        <v>672</v>
      </c>
      <c r="C23" s="297" t="s">
        <v>673</v>
      </c>
      <c r="D23" s="289">
        <f>ROUND((F23*'Pawn Weights'!$H$60)+(G23*'Pawn Weights'!$H$61)+(H23*'Pawn Weights'!$H$62)+(I23*'Pawn Weights'!$H$63)+(J23*'Pawn Weights'!$H$64)+(K23*'Pawn Weights'!$H$65)+(L23*'Pawn Weights'!$H$66)+(M23*'Pawn Weights'!$H$67)+(N23*'Pawn Weights'!$H$68)+(O23*'Pawn Weights'!$H$69)+(P23*'Pawn Weights'!$H$70)+(Q23*'Pawn Weights'!$H$71), 2)</f>
        <v>125.24</v>
      </c>
      <c r="E23" s="298">
        <v>39.0</v>
      </c>
      <c r="F23" s="297"/>
      <c r="G23" s="297"/>
      <c r="H23" s="298">
        <v>58.0</v>
      </c>
      <c r="I23" s="298">
        <v>26.0</v>
      </c>
      <c r="J23" s="297"/>
      <c r="K23" s="297"/>
      <c r="L23" s="297"/>
      <c r="M23" s="295"/>
      <c r="N23" s="297"/>
      <c r="O23" s="297"/>
      <c r="P23" s="298">
        <v>1.0</v>
      </c>
      <c r="Q23" s="297"/>
      <c r="R23" s="298" t="s">
        <v>674</v>
      </c>
      <c r="S23" s="137"/>
      <c r="T23" s="361" t="s">
        <v>675</v>
      </c>
      <c r="U23" s="137"/>
      <c r="V23" s="137"/>
      <c r="W23" s="137"/>
      <c r="X23" s="137"/>
      <c r="Y23" s="137"/>
      <c r="Z23" s="137"/>
    </row>
    <row r="24">
      <c r="A24" s="281"/>
      <c r="B24" s="288" t="s">
        <v>684</v>
      </c>
      <c r="C24" s="280" t="s">
        <v>685</v>
      </c>
      <c r="D24" s="289">
        <f>ROUND((F24*'Pawn Weights'!$H$60)+(G24*'Pawn Weights'!$H$61)+(H24*'Pawn Weights'!$H$62)+(I24*'Pawn Weights'!$H$63)+(J24*'Pawn Weights'!$H$64)+(K24*'Pawn Weights'!$H$65)+(L24*'Pawn Weights'!$H$66)+(M24*'Pawn Weights'!$H$67)+(N24*'Pawn Weights'!$H$68)+(O24*'Pawn Weights'!$H$69)+(P24*'Pawn Weights'!$H$70)+(Q24*'Pawn Weights'!$H$71), 2)</f>
        <v>115.63</v>
      </c>
      <c r="E24" s="280">
        <v>26.0</v>
      </c>
      <c r="F24" s="280"/>
      <c r="G24" s="280">
        <v>27.0</v>
      </c>
      <c r="H24" s="280">
        <v>70.0</v>
      </c>
      <c r="I24" s="280"/>
      <c r="J24" s="280"/>
      <c r="K24" s="280"/>
      <c r="L24" s="280"/>
      <c r="M24" s="281"/>
      <c r="N24" s="280"/>
      <c r="O24" s="280"/>
      <c r="P24" s="280"/>
      <c r="Q24" s="280"/>
      <c r="R24" s="290"/>
      <c r="S24" s="281"/>
      <c r="T24" s="222"/>
      <c r="U24" s="281"/>
      <c r="X24" s="281"/>
    </row>
    <row r="25">
      <c r="A25" s="281"/>
      <c r="B25" s="288" t="s">
        <v>680</v>
      </c>
      <c r="C25" s="280" t="s">
        <v>681</v>
      </c>
      <c r="D25" s="289">
        <f>ROUND((F25*'Pawn Weights'!$H$60)+(G25*'Pawn Weights'!$H$61)+(H25*'Pawn Weights'!$H$62)+(I25*'Pawn Weights'!$H$63)+(J25*'Pawn Weights'!$H$64)+(K25*'Pawn Weights'!$H$65)+(L25*'Pawn Weights'!$H$66)+(M25*'Pawn Weights'!$H$67)+(N25*'Pawn Weights'!$H$68)+(O25*'Pawn Weights'!$H$69)+(P25*'Pawn Weights'!$H$70)+(Q25*'Pawn Weights'!$H$71), 2)</f>
        <v>110.42</v>
      </c>
      <c r="E25" s="280">
        <v>24.0</v>
      </c>
      <c r="F25" s="280">
        <v>32.0</v>
      </c>
      <c r="G25" s="280"/>
      <c r="H25" s="280"/>
      <c r="I25" s="280">
        <v>23.0</v>
      </c>
      <c r="J25" s="280"/>
      <c r="K25" s="280"/>
      <c r="L25" s="280"/>
      <c r="M25" s="280"/>
      <c r="N25" s="280"/>
      <c r="O25" s="280"/>
      <c r="P25" s="280"/>
      <c r="Q25" s="280"/>
      <c r="R25" s="290"/>
      <c r="S25" s="281"/>
      <c r="T25" s="222"/>
      <c r="U25" s="281"/>
      <c r="X25" s="281"/>
    </row>
    <row r="26">
      <c r="A26" s="137" t="s">
        <v>991</v>
      </c>
      <c r="B26" s="296" t="s">
        <v>1075</v>
      </c>
      <c r="C26" s="297" t="s">
        <v>673</v>
      </c>
      <c r="D26" s="289">
        <f>ROUND((F26*'Pawn Weights'!$H$60)+(G26*'Pawn Weights'!$H$61)+(H26*'Pawn Weights'!$H$62)+(I26*'Pawn Weights'!$H$63)+(J26*'Pawn Weights'!$H$64)+(K26*'Pawn Weights'!$H$65)+(L26*'Pawn Weights'!$H$66)+(M26*'Pawn Weights'!$H$67)+(N26*'Pawn Weights'!$H$68)+(O26*'Pawn Weights'!$H$69)+(P26*'Pawn Weights'!$H$70)+(Q26*'Pawn Weights'!$H$71), 2)</f>
        <v>110.28</v>
      </c>
      <c r="E26" s="298">
        <v>35.0</v>
      </c>
      <c r="F26" s="297"/>
      <c r="G26" s="297"/>
      <c r="H26" s="298">
        <v>50.0</v>
      </c>
      <c r="I26" s="298">
        <v>22.0</v>
      </c>
      <c r="J26" s="297"/>
      <c r="K26" s="297"/>
      <c r="L26" s="297"/>
      <c r="M26" s="297"/>
      <c r="N26" s="297"/>
      <c r="O26" s="297"/>
      <c r="P26" s="298">
        <v>1.0</v>
      </c>
      <c r="Q26" s="297"/>
      <c r="R26" s="298" t="s">
        <v>1076</v>
      </c>
      <c r="S26" s="137"/>
      <c r="T26" s="361" t="s">
        <v>675</v>
      </c>
      <c r="U26" s="137"/>
      <c r="V26" s="137"/>
      <c r="W26" s="137"/>
      <c r="X26" s="137"/>
      <c r="Y26" s="137"/>
      <c r="Z26" s="137"/>
    </row>
    <row r="27">
      <c r="A27" s="281"/>
      <c r="B27" s="288" t="s">
        <v>686</v>
      </c>
      <c r="C27" s="280" t="s">
        <v>687</v>
      </c>
      <c r="D27" s="289">
        <f>ROUND((F27*'Pawn Weights'!$H$60)+(G27*'Pawn Weights'!$H$61)+(H27*'Pawn Weights'!$H$62)+(I27*'Pawn Weights'!$H$63)+(J27*'Pawn Weights'!$H$64)+(K27*'Pawn Weights'!$H$65)+(L27*'Pawn Weights'!$H$66)+(M27*'Pawn Weights'!$H$67)+(N27*'Pawn Weights'!$H$68)+(O27*'Pawn Weights'!$H$69)+(P27*'Pawn Weights'!$H$70)+(Q27*'Pawn Weights'!$H$71), 2)</f>
        <v>106.22</v>
      </c>
      <c r="E27" s="280">
        <v>18.0</v>
      </c>
      <c r="F27" s="280"/>
      <c r="G27" s="280">
        <v>20.0</v>
      </c>
      <c r="H27" s="280">
        <v>42.0</v>
      </c>
      <c r="I27" s="280"/>
      <c r="J27" s="280">
        <v>18.0</v>
      </c>
      <c r="K27" s="280"/>
      <c r="L27" s="280"/>
      <c r="M27" s="280"/>
      <c r="N27" s="280"/>
      <c r="O27" s="280"/>
      <c r="P27" s="280"/>
      <c r="Q27" s="280"/>
      <c r="R27" s="290"/>
      <c r="S27" s="281"/>
      <c r="T27" s="294"/>
      <c r="U27" s="281"/>
      <c r="X27" s="281"/>
    </row>
    <row r="28">
      <c r="A28" s="281"/>
      <c r="B28" s="288" t="s">
        <v>1077</v>
      </c>
      <c r="C28" s="280" t="s">
        <v>1078</v>
      </c>
      <c r="D28" s="289">
        <f>ROUND((F28*'Pawn Weights'!$H$60)+(G28*'Pawn Weights'!$H$61)+(H28*'Pawn Weights'!$H$62)+(I28*'Pawn Weights'!$H$63)+(J28*'Pawn Weights'!$H$64)+(K28*'Pawn Weights'!$H$65)+(L28*'Pawn Weights'!$H$66)+(M28*'Pawn Weights'!$H$67)+(N28*'Pawn Weights'!$H$68)+(O28*'Pawn Weights'!$H$69)+(P28*'Pawn Weights'!$H$70)+(Q28*'Pawn Weights'!$H$71), 2)</f>
        <v>104.53</v>
      </c>
      <c r="E28" s="280">
        <v>21.0</v>
      </c>
      <c r="F28" s="280"/>
      <c r="G28" s="280">
        <v>20.0</v>
      </c>
      <c r="H28" s="280">
        <v>42.0</v>
      </c>
      <c r="I28" s="280"/>
      <c r="J28" s="280">
        <v>17.0</v>
      </c>
      <c r="K28" s="280"/>
      <c r="L28" s="280"/>
      <c r="M28" s="280"/>
      <c r="N28" s="280"/>
      <c r="O28" s="280"/>
      <c r="P28" s="280"/>
      <c r="Q28" s="280"/>
      <c r="R28" s="290"/>
      <c r="S28" s="281"/>
      <c r="T28" s="222"/>
      <c r="U28" s="281"/>
      <c r="X28" s="281"/>
    </row>
    <row r="29">
      <c r="A29" s="281"/>
      <c r="B29" s="288" t="s">
        <v>682</v>
      </c>
      <c r="C29" s="280" t="s">
        <v>683</v>
      </c>
      <c r="D29" s="289">
        <f>ROUND((F29*'Pawn Weights'!$H$60)+(G29*'Pawn Weights'!$H$61)+(H29*'Pawn Weights'!$H$62)+(I29*'Pawn Weights'!$H$63)+(J29*'Pawn Weights'!$H$64)+(K29*'Pawn Weights'!$H$65)+(L29*'Pawn Weights'!$H$66)+(M29*'Pawn Weights'!$H$67)+(N29*'Pawn Weights'!$H$68)+(O29*'Pawn Weights'!$H$69)+(P29*'Pawn Weights'!$H$70)+(Q29*'Pawn Weights'!$H$71), 2)</f>
        <v>104.02</v>
      </c>
      <c r="E29" s="280">
        <v>24.0</v>
      </c>
      <c r="F29" s="280"/>
      <c r="G29" s="280"/>
      <c r="H29" s="280">
        <v>64.0</v>
      </c>
      <c r="I29" s="280">
        <v>23.0</v>
      </c>
      <c r="J29" s="280"/>
      <c r="K29" s="280"/>
      <c r="L29" s="280"/>
      <c r="M29" s="281"/>
      <c r="N29" s="280"/>
      <c r="O29" s="280"/>
      <c r="P29" s="280"/>
      <c r="Q29" s="280"/>
      <c r="R29" s="290"/>
      <c r="S29" s="281"/>
      <c r="T29" s="294"/>
      <c r="U29" s="281"/>
      <c r="X29" s="281"/>
    </row>
    <row r="30">
      <c r="A30" s="281"/>
      <c r="B30" s="288" t="s">
        <v>690</v>
      </c>
      <c r="C30" s="280" t="s">
        <v>691</v>
      </c>
      <c r="D30" s="289">
        <f>ROUND((F30*'Pawn Weights'!$H$60)+(G30*'Pawn Weights'!$H$61)+(H30*'Pawn Weights'!$H$62)+(I30*'Pawn Weights'!$H$63)+(J30*'Pawn Weights'!$H$64)+(K30*'Pawn Weights'!$H$65)+(L30*'Pawn Weights'!$H$66)+(M30*'Pawn Weights'!$H$67)+(N30*'Pawn Weights'!$H$68)+(O30*'Pawn Weights'!$H$69)+(P30*'Pawn Weights'!$H$70)+(Q30*'Pawn Weights'!$H$71), 2)</f>
        <v>103.96</v>
      </c>
      <c r="E30" s="280"/>
      <c r="F30" s="280"/>
      <c r="G30" s="280"/>
      <c r="H30" s="280"/>
      <c r="I30" s="280"/>
      <c r="J30" s="280">
        <v>22.0</v>
      </c>
      <c r="K30" s="280"/>
      <c r="L30" s="280">
        <v>21.0</v>
      </c>
      <c r="M30" s="281"/>
      <c r="N30" s="280"/>
      <c r="O30" s="280"/>
      <c r="P30" s="280"/>
      <c r="Q30" s="280"/>
      <c r="R30" s="290"/>
      <c r="S30" s="281"/>
      <c r="T30" s="294"/>
      <c r="U30" s="281"/>
      <c r="X30" s="281"/>
    </row>
    <row r="31">
      <c r="A31" s="137" t="s">
        <v>676</v>
      </c>
      <c r="B31" s="296" t="s">
        <v>688</v>
      </c>
      <c r="C31" s="297" t="s">
        <v>678</v>
      </c>
      <c r="D31" s="289">
        <f>ROUND((F31*'Pawn Weights'!$H$60)+(G31*'Pawn Weights'!$H$61)+(H31*'Pawn Weights'!$H$62)+(I31*'Pawn Weights'!$H$63)+(J31*'Pawn Weights'!$H$64)+(K31*'Pawn Weights'!$H$65)+(L31*'Pawn Weights'!$H$66)+(M31*'Pawn Weights'!$H$67)+(N31*'Pawn Weights'!$H$68)+(O31*'Pawn Weights'!$H$69)+(P31*'Pawn Weights'!$H$70)+(Q31*'Pawn Weights'!$H$71), 2)</f>
        <v>94.42</v>
      </c>
      <c r="E31" s="298">
        <v>19.0</v>
      </c>
      <c r="F31" s="297"/>
      <c r="G31" s="298">
        <v>18.0</v>
      </c>
      <c r="H31" s="298">
        <v>64.0</v>
      </c>
      <c r="I31" s="297"/>
      <c r="J31" s="297"/>
      <c r="K31" s="297"/>
      <c r="L31" s="297"/>
      <c r="M31" s="137"/>
      <c r="N31" s="297"/>
      <c r="O31" s="297"/>
      <c r="P31" s="297"/>
      <c r="Q31" s="297"/>
      <c r="R31" s="295"/>
      <c r="S31" s="137"/>
      <c r="T31" s="297" t="s">
        <v>689</v>
      </c>
      <c r="U31" s="137"/>
      <c r="V31" s="137"/>
      <c r="W31" s="137"/>
      <c r="X31" s="137"/>
      <c r="Y31" s="137"/>
      <c r="Z31" s="137"/>
    </row>
    <row r="32">
      <c r="A32" s="272" t="s">
        <v>692</v>
      </c>
      <c r="B32" s="281"/>
      <c r="C32" s="281"/>
      <c r="D32" s="360"/>
      <c r="E32" s="281"/>
      <c r="F32" s="281"/>
      <c r="G32" s="281"/>
      <c r="H32" s="281"/>
      <c r="I32" s="281"/>
      <c r="J32" s="281"/>
      <c r="K32" s="281"/>
      <c r="L32" s="281"/>
      <c r="M32" s="281"/>
      <c r="N32" s="281"/>
      <c r="O32" s="281"/>
      <c r="P32" s="281"/>
      <c r="Q32" s="281"/>
      <c r="R32" s="282"/>
      <c r="S32" s="281"/>
      <c r="T32" s="285"/>
    </row>
    <row r="33">
      <c r="A33" s="301"/>
      <c r="B33" s="288" t="s">
        <v>709</v>
      </c>
      <c r="C33" s="280" t="s">
        <v>710</v>
      </c>
      <c r="D33" s="289">
        <f>ROUND((F33*'Pawn Weights'!$H$60)+(G33*'Pawn Weights'!$H$61)+(H33*'Pawn Weights'!$H$62)+(I33*'Pawn Weights'!$H$63)+(J33*'Pawn Weights'!$H$64)+(K33*'Pawn Weights'!$H$65)+(L33*'Pawn Weights'!$H$66)+(M33*'Pawn Weights'!$H$67)+(N33*'Pawn Weights'!$H$68)+(O33*'Pawn Weights'!$H$69)+(P33*'Pawn Weights'!$H$70)+(Q33*'Pawn Weights'!$H$71)+3.38, 2)</f>
        <v>200.79</v>
      </c>
      <c r="E33" s="280">
        <v>28.0</v>
      </c>
      <c r="F33" s="280"/>
      <c r="G33" s="280">
        <v>33.0</v>
      </c>
      <c r="H33" s="280">
        <v>60.0</v>
      </c>
      <c r="I33" s="280">
        <v>16.0</v>
      </c>
      <c r="J33" s="280"/>
      <c r="K33" s="280"/>
      <c r="L33" s="280">
        <v>10.0</v>
      </c>
      <c r="M33" s="281"/>
      <c r="N33" s="280"/>
      <c r="O33" s="280">
        <v>1.0</v>
      </c>
      <c r="P33" s="280"/>
      <c r="Q33" s="280"/>
      <c r="R33" s="290" t="s">
        <v>711</v>
      </c>
      <c r="S33" s="281"/>
      <c r="T33" s="291" t="s">
        <v>1192</v>
      </c>
    </row>
    <row r="34">
      <c r="A34" s="315"/>
      <c r="B34" s="296" t="s">
        <v>1190</v>
      </c>
      <c r="C34" s="297" t="s">
        <v>1191</v>
      </c>
      <c r="D34" s="289">
        <f>ROUND((F34*'Pawn Weights'!$H$60)+(G34*'Pawn Weights'!$H$61)+(H34*'Pawn Weights'!$H$62)+(I34*'Pawn Weights'!$H$63)+(J34*'Pawn Weights'!$H$64)+(K34*'Pawn Weights'!$H$65)+(L34*'Pawn Weights'!$H$66)+(M34*'Pawn Weights'!$H$67)+(N34*'Pawn Weights'!$H$68)+(O34*'Pawn Weights'!$H$69)+(P34*'Pawn Weights'!$H$70)+(Q34*'Pawn Weights'!$H$71), 2)</f>
        <v>192.17</v>
      </c>
      <c r="E34" s="298">
        <v>34.0</v>
      </c>
      <c r="F34" s="297"/>
      <c r="G34" s="298">
        <v>29.0</v>
      </c>
      <c r="H34" s="298">
        <v>74.0</v>
      </c>
      <c r="I34" s="297"/>
      <c r="J34" s="297"/>
      <c r="K34" s="298">
        <v>38.0</v>
      </c>
      <c r="L34" s="297"/>
      <c r="M34" s="137"/>
      <c r="N34" s="297"/>
      <c r="O34" s="297"/>
      <c r="P34" s="297"/>
      <c r="Q34" s="297"/>
      <c r="R34" s="295"/>
      <c r="S34" s="137"/>
      <c r="T34" s="400"/>
      <c r="U34" s="137"/>
      <c r="V34" s="137"/>
      <c r="W34" s="137"/>
      <c r="X34" s="137"/>
      <c r="Y34" s="137"/>
      <c r="Z34" s="137"/>
    </row>
    <row r="35">
      <c r="A35" s="301"/>
      <c r="B35" s="288" t="s">
        <v>715</v>
      </c>
      <c r="C35" s="280" t="s">
        <v>716</v>
      </c>
      <c r="D35" s="289">
        <f>ROUND((F35*'Pawn Weights'!$H$60)+(G35*'Pawn Weights'!$H$61)+(H35*'Pawn Weights'!$H$62)+(I35*'Pawn Weights'!$H$63)+(J35*'Pawn Weights'!$H$64)+(K35*'Pawn Weights'!$H$65)+(L35*'Pawn Weights'!$H$66)+(M35*'Pawn Weights'!$H$67)+(N35*'Pawn Weights'!$H$68)+(O35*'Pawn Weights'!$H$69)+(P35*'Pawn Weights'!$H$70)+(Q35*'Pawn Weights'!$H$71), 2)</f>
        <v>188.6</v>
      </c>
      <c r="E35" s="280">
        <v>34.0</v>
      </c>
      <c r="F35" s="280"/>
      <c r="G35" s="280"/>
      <c r="H35" s="280">
        <v>94.0</v>
      </c>
      <c r="I35" s="280">
        <v>33.0</v>
      </c>
      <c r="J35" s="280">
        <v>22.0</v>
      </c>
      <c r="K35" s="280"/>
      <c r="L35" s="280"/>
      <c r="M35" s="281"/>
      <c r="N35" s="280"/>
      <c r="O35" s="280"/>
      <c r="P35" s="280"/>
      <c r="Q35" s="280"/>
      <c r="R35" s="290"/>
      <c r="S35" s="281"/>
      <c r="T35" s="291"/>
      <c r="U35" s="281"/>
      <c r="V35" s="281"/>
      <c r="W35" s="281"/>
    </row>
    <row r="36">
      <c r="A36" s="295" t="s">
        <v>627</v>
      </c>
      <c r="B36" s="296" t="s">
        <v>1322</v>
      </c>
      <c r="C36" s="297" t="s">
        <v>1191</v>
      </c>
      <c r="D36" s="289">
        <f>ROUND((F36*'Pawn Weights'!$H$60)+(G36*'Pawn Weights'!$H$61)+(H36*'Pawn Weights'!$H$62)+(I36*'Pawn Weights'!$H$63)+(J36*'Pawn Weights'!$H$64)+(K36*'Pawn Weights'!$H$65)+(L36*'Pawn Weights'!$H$66)+(M36*'Pawn Weights'!$H$67)+(N36*'Pawn Weights'!$H$68)+(O36*'Pawn Weights'!$H$69)+(P36*'Pawn Weights'!$H$70)+(Q36*'Pawn Weights'!$H$71), 2)</f>
        <v>186.97</v>
      </c>
      <c r="E36" s="298">
        <v>19.0</v>
      </c>
      <c r="F36" s="297"/>
      <c r="G36" s="298">
        <v>27.0</v>
      </c>
      <c r="H36" s="298">
        <v>74.0</v>
      </c>
      <c r="I36" s="297"/>
      <c r="J36" s="297"/>
      <c r="K36" s="298">
        <v>37.0</v>
      </c>
      <c r="L36" s="297"/>
      <c r="M36" s="137"/>
      <c r="N36" s="297"/>
      <c r="O36" s="297"/>
      <c r="P36" s="297"/>
      <c r="Q36" s="297"/>
      <c r="R36" s="295"/>
      <c r="S36" s="137"/>
      <c r="T36" s="295"/>
      <c r="U36" s="137"/>
      <c r="V36" s="137"/>
      <c r="W36" s="137"/>
      <c r="X36" s="137"/>
      <c r="Y36" s="137"/>
      <c r="Z36" s="137"/>
    </row>
    <row r="37">
      <c r="A37" s="301"/>
      <c r="B37" s="288" t="s">
        <v>722</v>
      </c>
      <c r="C37" s="280" t="s">
        <v>723</v>
      </c>
      <c r="D37" s="289">
        <f>ROUND((F37*'Pawn Weights'!$H$60)+(G37*'Pawn Weights'!$H$61)+(H37*'Pawn Weights'!$H$62)+(I37*'Pawn Weights'!$H$63)+(J37*'Pawn Weights'!$H$64)+(K37*'Pawn Weights'!$H$65)+(L37*'Pawn Weights'!$H$66)+(M37*'Pawn Weights'!$H$67)+(N37*'Pawn Weights'!$H$68)+(O37*'Pawn Weights'!$H$69)+(P37*'Pawn Weights'!$H$70)+(Q37*'Pawn Weights'!$H$71), 2)</f>
        <v>185.46</v>
      </c>
      <c r="E37" s="280">
        <v>37.0</v>
      </c>
      <c r="F37" s="280"/>
      <c r="G37" s="280">
        <v>38.0</v>
      </c>
      <c r="H37" s="280">
        <v>76.0</v>
      </c>
      <c r="I37" s="280">
        <v>26.0</v>
      </c>
      <c r="J37" s="280"/>
      <c r="K37" s="280"/>
      <c r="L37" s="280"/>
      <c r="M37" s="281"/>
      <c r="N37" s="280"/>
      <c r="O37" s="280"/>
      <c r="P37" s="280"/>
      <c r="Q37" s="280"/>
      <c r="R37" s="290"/>
      <c r="S37" s="281"/>
      <c r="T37" s="291"/>
      <c r="U37" s="281"/>
      <c r="V37" s="281"/>
      <c r="W37" s="281"/>
      <c r="X37" s="281"/>
    </row>
    <row r="38">
      <c r="A38" s="301" t="s">
        <v>640</v>
      </c>
      <c r="B38" s="288" t="s">
        <v>1323</v>
      </c>
      <c r="C38" s="280" t="s">
        <v>701</v>
      </c>
      <c r="D38" s="289">
        <f>ROUND((F38*'Pawn Weights'!$H$60)+(G38*'Pawn Weights'!$H$61)+(H38*'Pawn Weights'!$H$62)+(I38*'Pawn Weights'!$H$63)+(J38*'Pawn Weights'!$H$64)+(K38*'Pawn Weights'!$H$65)+(L38*'Pawn Weights'!$H$66)+(M38*'Pawn Weights'!$H$67)+(N38*'Pawn Weights'!$H$68)+(O38*'Pawn Weights'!$H$69)+(P38*'Pawn Weights'!$H$70)+(Q38*'Pawn Weights'!$H$71)-44+39.4+6.6, 2)</f>
        <v>184.63</v>
      </c>
      <c r="E38" s="280">
        <v>48.0</v>
      </c>
      <c r="F38" s="280">
        <v>34.0</v>
      </c>
      <c r="G38" s="280"/>
      <c r="H38" s="280"/>
      <c r="I38" s="280">
        <v>26.0</v>
      </c>
      <c r="J38" s="280">
        <v>11.0</v>
      </c>
      <c r="K38" s="280"/>
      <c r="L38" s="280"/>
      <c r="M38" s="281"/>
      <c r="N38" s="280"/>
      <c r="O38" s="280"/>
      <c r="P38" s="280">
        <v>2.0</v>
      </c>
      <c r="R38" s="290" t="s">
        <v>698</v>
      </c>
      <c r="S38" s="281"/>
      <c r="T38" s="291"/>
      <c r="U38" s="281"/>
      <c r="V38" s="281"/>
      <c r="W38" s="281"/>
    </row>
    <row r="39">
      <c r="A39" s="295" t="s">
        <v>635</v>
      </c>
      <c r="B39" s="296" t="s">
        <v>1324</v>
      </c>
      <c r="C39" s="297" t="s">
        <v>637</v>
      </c>
      <c r="D39" s="289">
        <f>ROUND((F39*'Pawn Weights'!$H$60)+(G39*'Pawn Weights'!$H$61)+(H39*'Pawn Weights'!$H$62)+(I39*'Pawn Weights'!$H$63)+(J39*'Pawn Weights'!$H$64)+(K39*'Pawn Weights'!$H$65)+(L39*'Pawn Weights'!$H$66)+(M39*'Pawn Weights'!$H$67)+(N39*'Pawn Weights'!$H$68)+(O39*'Pawn Weights'!$H$69)+(P39*'Pawn Weights'!$H$70)+(Q39*'Pawn Weights'!$H$71), 2)</f>
        <v>163.94</v>
      </c>
      <c r="E39" s="298">
        <v>58.0</v>
      </c>
      <c r="F39" s="298">
        <v>30.0</v>
      </c>
      <c r="G39" s="297"/>
      <c r="H39" s="297"/>
      <c r="I39" s="298">
        <v>31.0</v>
      </c>
      <c r="J39" s="297"/>
      <c r="K39" s="297"/>
      <c r="L39" s="297"/>
      <c r="M39" s="137"/>
      <c r="N39" s="297"/>
      <c r="O39" s="298">
        <v>1.0</v>
      </c>
      <c r="P39" s="298">
        <v>1.0</v>
      </c>
      <c r="Q39" s="361"/>
      <c r="R39" s="298" t="s">
        <v>1189</v>
      </c>
      <c r="S39" s="137"/>
      <c r="T39" s="297" t="s">
        <v>1325</v>
      </c>
      <c r="U39" s="137"/>
      <c r="V39" s="137"/>
      <c r="W39" s="137"/>
      <c r="X39" s="137"/>
      <c r="Y39" s="137"/>
      <c r="Z39" s="137"/>
    </row>
    <row r="40">
      <c r="A40" s="301"/>
      <c r="B40" s="288" t="s">
        <v>1327</v>
      </c>
      <c r="C40" s="280" t="s">
        <v>1278</v>
      </c>
      <c r="D40" s="289">
        <f>ROUND((F40*'Pawn Weights'!$H$60)+(G40*'Pawn Weights'!$H$61)+(H40*'Pawn Weights'!$H$62)+(I40*'Pawn Weights'!$H$63)+(J40*'Pawn Weights'!$H$64)+(K40*'Pawn Weights'!$H$65)+(L40*'Pawn Weights'!$H$66)+(M40*'Pawn Weights'!$H$67)+(N40*'Pawn Weights'!$H$68)+(O40*'Pawn Weights'!$H$69)+(P40*'Pawn Weights'!$H$70)+(Q40*'Pawn Weights'!$H$71)-44+39.4+5.07, 2)</f>
        <v>160.98</v>
      </c>
      <c r="E40" s="280">
        <v>30.0</v>
      </c>
      <c r="F40" s="280"/>
      <c r="G40" s="280"/>
      <c r="H40" s="280">
        <v>58.0</v>
      </c>
      <c r="I40" s="280">
        <v>21.0</v>
      </c>
      <c r="J40" s="280">
        <v>13.0</v>
      </c>
      <c r="K40" s="280"/>
      <c r="L40" s="280"/>
      <c r="M40" s="281"/>
      <c r="N40" s="280"/>
      <c r="O40" s="280"/>
      <c r="P40" s="280">
        <v>2.0</v>
      </c>
      <c r="Q40" s="280"/>
      <c r="R40" s="290" t="s">
        <v>832</v>
      </c>
      <c r="S40" s="281"/>
      <c r="T40" s="291"/>
      <c r="U40" s="281"/>
      <c r="V40" s="281"/>
      <c r="W40" s="281"/>
      <c r="X40" s="281"/>
    </row>
    <row r="41">
      <c r="A41" s="301"/>
      <c r="B41" s="288" t="s">
        <v>1326</v>
      </c>
      <c r="C41" s="280" t="s">
        <v>900</v>
      </c>
      <c r="D41" s="289">
        <f>ROUND((F41*'Pawn Weights'!$H$60)+(G41*'Pawn Weights'!$H$61)+(H41*'Pawn Weights'!$H$62)+(I41*'Pawn Weights'!$H$63)+(J41*'Pawn Weights'!$H$64)+(K41*'Pawn Weights'!$H$65)+(L41*'Pawn Weights'!$H$66)+(M41*'Pawn Weights'!$H$67)+(N41*'Pawn Weights'!$H$68)+(O41*'Pawn Weights'!$H$69)+(P41*'Pawn Weights'!$H$70)+(Q41*'Pawn Weights'!$H$71), 2)</f>
        <v>158.6</v>
      </c>
      <c r="E41" s="280"/>
      <c r="F41" s="280"/>
      <c r="G41" s="280">
        <v>22.0</v>
      </c>
      <c r="H41" s="280">
        <v>64.0</v>
      </c>
      <c r="I41" s="280">
        <v>33.0</v>
      </c>
      <c r="J41" s="280"/>
      <c r="K41" s="280"/>
      <c r="L41" s="280"/>
      <c r="M41" s="281"/>
      <c r="N41" s="280"/>
      <c r="O41" s="280"/>
      <c r="P41" s="280"/>
      <c r="Q41" s="280"/>
      <c r="R41" s="290"/>
      <c r="S41" s="281"/>
      <c r="T41" s="291"/>
      <c r="U41" s="281"/>
      <c r="V41" s="281"/>
      <c r="W41" s="281"/>
    </row>
    <row r="42">
      <c r="A42" s="301" t="s">
        <v>654</v>
      </c>
      <c r="B42" s="288" t="s">
        <v>1328</v>
      </c>
      <c r="C42" s="280" t="s">
        <v>790</v>
      </c>
      <c r="D42" s="289">
        <f>ROUND((F42*'Pawn Weights'!$H$60)+(G42*'Pawn Weights'!$H$61)+(H42*'Pawn Weights'!$H$62)+(I42*'Pawn Weights'!$H$63)+(J42*'Pawn Weights'!$H$64)+(K42*'Pawn Weights'!$H$65)+(L42*'Pawn Weights'!$H$66)+(M42*'Pawn Weights'!$H$67)+(N42*'Pawn Weights'!$H$68)+(O42*'Pawn Weights'!$H$69)+(P42*'Pawn Weights'!$H$70)+(Q42*'Pawn Weights'!$H$71)-22+19.7+5.07, 2)</f>
        <v>158.05</v>
      </c>
      <c r="E42" s="280">
        <v>31.0</v>
      </c>
      <c r="F42" s="280">
        <v>26.0</v>
      </c>
      <c r="G42" s="280">
        <v>18.0</v>
      </c>
      <c r="H42" s="280"/>
      <c r="I42" s="280"/>
      <c r="J42" s="280">
        <v>14.0</v>
      </c>
      <c r="K42" s="280"/>
      <c r="L42" s="280"/>
      <c r="M42" s="281"/>
      <c r="N42" s="280"/>
      <c r="O42" s="280">
        <v>1.0</v>
      </c>
      <c r="P42" s="280">
        <v>1.0</v>
      </c>
      <c r="Q42" s="280"/>
      <c r="R42" s="290" t="s">
        <v>832</v>
      </c>
      <c r="S42" s="281"/>
      <c r="T42" s="291" t="s">
        <v>1329</v>
      </c>
      <c r="U42" s="281"/>
      <c r="V42" s="281"/>
      <c r="W42" s="281"/>
    </row>
    <row r="43">
      <c r="A43" s="301"/>
      <c r="B43" s="288" t="s">
        <v>1197</v>
      </c>
      <c r="C43" s="280" t="s">
        <v>1198</v>
      </c>
      <c r="D43" s="289">
        <f>ROUND((F43*'Pawn Weights'!$H$60)+(G43*'Pawn Weights'!$H$61)+(H43*'Pawn Weights'!$H$62)+(I43*'Pawn Weights'!$H$63)+(J43*'Pawn Weights'!$H$64)+(K43*'Pawn Weights'!$H$65)+(L43*'Pawn Weights'!$H$66)+(M43*'Pawn Weights'!$H$67)+(N43*'Pawn Weights'!$H$68)+(O43*'Pawn Weights'!$H$69)+(P43*'Pawn Weights'!$H$70)+(Q43*'Pawn Weights'!$H$71), 2)</f>
        <v>150.81</v>
      </c>
      <c r="E43" s="280">
        <v>39.0</v>
      </c>
      <c r="F43" s="280"/>
      <c r="G43" s="280">
        <v>33.0</v>
      </c>
      <c r="H43" s="280">
        <v>68.0</v>
      </c>
      <c r="I43" s="280"/>
      <c r="J43" s="280">
        <v>16.0</v>
      </c>
      <c r="K43" s="280"/>
      <c r="L43" s="280"/>
      <c r="M43" s="281"/>
      <c r="N43" s="280"/>
      <c r="O43" s="280"/>
      <c r="P43" s="280"/>
      <c r="Q43" s="280"/>
      <c r="R43" s="290"/>
      <c r="S43" s="281"/>
      <c r="T43" s="291"/>
      <c r="U43" s="281"/>
      <c r="V43" s="281"/>
      <c r="W43" s="281"/>
    </row>
    <row r="44">
      <c r="A44" s="301" t="s">
        <v>647</v>
      </c>
      <c r="B44" s="288" t="s">
        <v>1458</v>
      </c>
      <c r="C44" s="280" t="s">
        <v>1195</v>
      </c>
      <c r="D44" s="289">
        <f>ROUND((F44*'Pawn Weights'!$H$60)+(G44*'Pawn Weights'!$H$61)+(H44*'Pawn Weights'!$H$62)+(I44*'Pawn Weights'!$H$63)+(J44*'Pawn Weights'!$H$64)+(K44*'Pawn Weights'!$H$65)+(L44*'Pawn Weights'!$H$66)+(M44*'Pawn Weights'!$H$67)+(N44*'Pawn Weights'!$H$68)+(O44*'Pawn Weights'!$H$69)+(P44*'Pawn Weights'!$H$70)+(Q44*'Pawn Weights'!$H$71), 2)</f>
        <v>148.28</v>
      </c>
      <c r="E44" s="280">
        <v>37.0</v>
      </c>
      <c r="F44" s="280">
        <v>30.0</v>
      </c>
      <c r="G44" s="280"/>
      <c r="H44" s="280"/>
      <c r="I44" s="280">
        <v>22.0</v>
      </c>
      <c r="J44" s="280"/>
      <c r="K44" s="280"/>
      <c r="L44" s="280"/>
      <c r="M44" s="281"/>
      <c r="N44" s="280"/>
      <c r="O44" s="280"/>
      <c r="P44" s="280">
        <v>1.0</v>
      </c>
      <c r="Q44" s="280">
        <v>1.0</v>
      </c>
      <c r="R44" s="290" t="s">
        <v>702</v>
      </c>
      <c r="S44" s="281"/>
      <c r="T44" s="291" t="s">
        <v>1459</v>
      </c>
      <c r="U44" s="281"/>
      <c r="V44" s="281"/>
      <c r="W44" s="281"/>
      <c r="X44" s="281"/>
    </row>
    <row r="45">
      <c r="A45" s="301" t="s">
        <v>1439</v>
      </c>
      <c r="B45" s="311" t="s">
        <v>1440</v>
      </c>
      <c r="C45" s="280" t="s">
        <v>1441</v>
      </c>
      <c r="D45" s="289">
        <f>ROUND((F45*'Pawn Weights'!$H$60)+(G45*'Pawn Weights'!$H$61)+(H45*'Pawn Weights'!$H$62)+(I45*'Pawn Weights'!$H$63)+(J45*'Pawn Weights'!$H$64)+(K45*'Pawn Weights'!$H$65)+(L45*'Pawn Weights'!$H$66)+(M45*'Pawn Weights'!$H$67)+(N45*'Pawn Weights'!$H$68)+(O45*'Pawn Weights'!$H$69)+(P45*'Pawn Weights'!$H$70)+(Q45*'Pawn Weights'!$H$71), 2)</f>
        <v>147.29</v>
      </c>
      <c r="E45" s="280">
        <v>13.0</v>
      </c>
      <c r="F45" s="280"/>
      <c r="G45" s="280">
        <v>25.0</v>
      </c>
      <c r="H45" s="280">
        <v>34.0</v>
      </c>
      <c r="I45" s="280"/>
      <c r="J45" s="280">
        <v>16.0</v>
      </c>
      <c r="K45" s="280"/>
      <c r="L45" s="280"/>
      <c r="M45" s="281"/>
      <c r="N45" s="280"/>
      <c r="O45" s="280">
        <v>1.0</v>
      </c>
      <c r="P45" s="280"/>
      <c r="Q45" s="280">
        <v>1.0</v>
      </c>
      <c r="R45" s="290" t="s">
        <v>702</v>
      </c>
      <c r="S45" s="281"/>
      <c r="T45" s="291" t="s">
        <v>1442</v>
      </c>
      <c r="U45" s="281"/>
      <c r="V45" s="281"/>
      <c r="W45" s="281"/>
    </row>
    <row r="46">
      <c r="A46" s="301" t="s">
        <v>644</v>
      </c>
      <c r="B46" s="288" t="s">
        <v>1460</v>
      </c>
      <c r="C46" s="280" t="s">
        <v>646</v>
      </c>
      <c r="D46" s="289">
        <f>ROUND((F46*'Pawn Weights'!$H$60)+(G46*'Pawn Weights'!$H$61)+(H46*'Pawn Weights'!$H$62)+(I46*'Pawn Weights'!$H$63)+(J46*'Pawn Weights'!$H$64)+(K46*'Pawn Weights'!$H$65)+(L46*'Pawn Weights'!$H$66)+(M46*'Pawn Weights'!$H$67)+(N46*'Pawn Weights'!$H$68)+(O46*'Pawn Weights'!$H$69)+(P46*'Pawn Weights'!$H$70)+(Q46*'Pawn Weights'!$H$71), 2)</f>
        <v>145.98</v>
      </c>
      <c r="E46" s="280">
        <v>52.0</v>
      </c>
      <c r="F46" s="280">
        <v>25.0</v>
      </c>
      <c r="G46" s="280"/>
      <c r="H46" s="280"/>
      <c r="I46" s="280">
        <v>27.0</v>
      </c>
      <c r="J46" s="280"/>
      <c r="K46" s="280"/>
      <c r="L46" s="280"/>
      <c r="M46" s="281"/>
      <c r="N46" s="280"/>
      <c r="O46" s="280">
        <v>1.0</v>
      </c>
      <c r="P46" s="280">
        <v>1.0</v>
      </c>
      <c r="Q46" s="280"/>
      <c r="R46" s="290" t="s">
        <v>1189</v>
      </c>
      <c r="S46" s="281"/>
      <c r="T46" s="291"/>
      <c r="U46" s="281"/>
      <c r="V46" s="281"/>
      <c r="W46" s="281"/>
    </row>
    <row r="47">
      <c r="A47" s="272" t="s">
        <v>724</v>
      </c>
      <c r="B47" s="281"/>
      <c r="C47" s="281"/>
      <c r="D47" s="360"/>
      <c r="E47" s="281"/>
      <c r="F47" s="281"/>
      <c r="G47" s="281"/>
      <c r="H47" s="281"/>
      <c r="I47" s="281"/>
      <c r="J47" s="281"/>
      <c r="K47" s="281"/>
      <c r="L47" s="281"/>
      <c r="M47" s="281"/>
      <c r="N47" s="281"/>
      <c r="O47" s="281"/>
      <c r="P47" s="281"/>
      <c r="Q47" s="280"/>
      <c r="R47" s="282"/>
      <c r="S47" s="281"/>
      <c r="T47" s="285"/>
      <c r="U47" s="281"/>
      <c r="V47" s="281"/>
      <c r="W47" s="281"/>
    </row>
    <row r="48">
      <c r="A48" s="281"/>
      <c r="B48" s="302" t="s">
        <v>726</v>
      </c>
      <c r="C48" s="280" t="s">
        <v>727</v>
      </c>
      <c r="D48" s="289">
        <f>ROUND((F48*'Pawn Weights'!$H$60)+(G48*'Pawn Weights'!$H$61)+(H48*'Pawn Weights'!$H$62)+(I48*'Pawn Weights'!$H$63)+(J48*'Pawn Weights'!$H$64)+(K48*'Pawn Weights'!$H$65)+(L48*'Pawn Weights'!$H$66)+(M48*'Pawn Weights'!$H$67)+(N48*'Pawn Weights'!$H$68)+(O48*'Pawn Weights'!$H$69)+(P48*'Pawn Weights'!$H$70)+(Q48*'Pawn Weights'!$H$71), 2)</f>
        <v>142.49</v>
      </c>
      <c r="E48" s="280">
        <v>24.0</v>
      </c>
      <c r="F48" s="280"/>
      <c r="G48" s="280"/>
      <c r="H48" s="280">
        <v>72.0</v>
      </c>
      <c r="I48" s="280">
        <v>24.0</v>
      </c>
      <c r="J48" s="280">
        <v>17.0</v>
      </c>
      <c r="K48" s="280"/>
      <c r="L48" s="280"/>
      <c r="M48" s="280"/>
      <c r="N48" s="280"/>
      <c r="O48" s="280"/>
      <c r="P48" s="280"/>
      <c r="Q48" s="280"/>
      <c r="R48" s="290"/>
      <c r="S48" s="281"/>
      <c r="T48" s="222"/>
      <c r="U48" s="281"/>
      <c r="V48" s="281"/>
      <c r="W48" s="281"/>
      <c r="X48" s="281"/>
    </row>
    <row r="49">
      <c r="A49" s="303"/>
      <c r="B49" s="302" t="s">
        <v>732</v>
      </c>
      <c r="C49" s="154" t="s">
        <v>733</v>
      </c>
      <c r="D49" s="289">
        <f>ROUND((F49*'Pawn Weights'!$H$60)+(G49*'Pawn Weights'!$H$61)+(H49*'Pawn Weights'!$H$62)+(I49*'Pawn Weights'!$H$63)+(J49*'Pawn Weights'!$H$64)+(K49*'Pawn Weights'!$H$65)+(L49*'Pawn Weights'!$H$66)+(M49*'Pawn Weights'!$H$67)+(N49*'Pawn Weights'!$H$68)+(O49*'Pawn Weights'!$H$69)+(P49*'Pawn Weights'!$H$70)+(Q49*'Pawn Weights'!$H$71), 2)</f>
        <v>125.3</v>
      </c>
      <c r="E49" s="280">
        <v>22.0</v>
      </c>
      <c r="F49" s="280"/>
      <c r="G49" s="280">
        <v>20.0</v>
      </c>
      <c r="H49" s="280">
        <v>46.0</v>
      </c>
      <c r="I49" s="280"/>
      <c r="J49" s="280"/>
      <c r="K49" s="280">
        <v>25.0</v>
      </c>
      <c r="L49" s="280"/>
      <c r="M49" s="281"/>
      <c r="N49" s="280"/>
      <c r="O49" s="280"/>
      <c r="P49" s="280"/>
      <c r="Q49" s="280"/>
      <c r="R49" s="290"/>
      <c r="S49" s="281"/>
      <c r="T49" s="291"/>
      <c r="U49" s="281"/>
      <c r="V49" s="281"/>
      <c r="W49" s="281"/>
      <c r="X49" s="304"/>
      <c r="Y49" s="304"/>
      <c r="Z49" s="304"/>
    </row>
    <row r="50">
      <c r="A50" s="281"/>
      <c r="B50" s="302" t="s">
        <v>728</v>
      </c>
      <c r="C50" s="280" t="s">
        <v>1082</v>
      </c>
      <c r="D50" s="289">
        <f>ROUND((F50*'Pawn Weights'!$H$60)+(G50*'Pawn Weights'!$H$61)+(H50*'Pawn Weights'!$H$62)+(I50*'Pawn Weights'!$H$63)+(J50*'Pawn Weights'!$H$64)+(K50*'Pawn Weights'!$H$65)+(L50*'Pawn Weights'!$H$66)+(M50*'Pawn Weights'!$H$67)+(N50*'Pawn Weights'!$H$68)+(O50*'Pawn Weights'!$H$69)+(P50*'Pawn Weights'!$H$70)+(Q50*'Pawn Weights'!$H$71), 2)</f>
        <v>120</v>
      </c>
      <c r="E50" s="280">
        <v>34.0</v>
      </c>
      <c r="F50" s="280"/>
      <c r="G50" s="280"/>
      <c r="H50" s="280">
        <v>46.0</v>
      </c>
      <c r="I50" s="280">
        <v>20.0</v>
      </c>
      <c r="J50" s="280"/>
      <c r="K50" s="280"/>
      <c r="L50" s="280"/>
      <c r="M50" s="280">
        <v>112.0</v>
      </c>
      <c r="N50" s="280"/>
      <c r="O50" s="280"/>
      <c r="P50" s="280"/>
      <c r="Q50" s="280"/>
      <c r="R50" s="290"/>
      <c r="S50" s="281"/>
      <c r="T50" s="294" t="s">
        <v>704</v>
      </c>
      <c r="U50" s="281"/>
      <c r="V50" s="281"/>
      <c r="W50" s="281"/>
      <c r="X50" s="281"/>
    </row>
    <row r="51">
      <c r="A51" s="292" t="s">
        <v>627</v>
      </c>
      <c r="B51" s="288" t="s">
        <v>729</v>
      </c>
      <c r="C51" s="280" t="s">
        <v>730</v>
      </c>
      <c r="D51" s="289">
        <f>ROUND((F51*'Pawn Weights'!$H$60)+(G51*'Pawn Weights'!$H$61)+(H51*'Pawn Weights'!$H$62)+(I51*'Pawn Weights'!$H$63)+(J51*'Pawn Weights'!$H$64)+(K51*'Pawn Weights'!$H$65)+(L51*'Pawn Weights'!$H$66)+(M51*'Pawn Weights'!$H$67)+(N51*'Pawn Weights'!$H$68)+(O51*'Pawn Weights'!$H$69)+(P51*'Pawn Weights'!$H$70)+(Q51*'Pawn Weights'!$H$71)+3.38, 2)</f>
        <v>117.4</v>
      </c>
      <c r="E51" s="280"/>
      <c r="F51" s="280"/>
      <c r="G51" s="280"/>
      <c r="H51" s="280">
        <v>52.0</v>
      </c>
      <c r="I51" s="280">
        <v>23.0</v>
      </c>
      <c r="J51" s="280"/>
      <c r="K51" s="280"/>
      <c r="L51" s="280"/>
      <c r="M51" s="281"/>
      <c r="N51" s="280"/>
      <c r="O51" s="280">
        <v>1.0</v>
      </c>
      <c r="P51" s="280"/>
      <c r="Q51" s="280"/>
      <c r="R51" s="290" t="s">
        <v>731</v>
      </c>
      <c r="S51" s="281"/>
      <c r="T51" s="222"/>
      <c r="U51" s="281"/>
      <c r="V51" s="281"/>
      <c r="W51" s="281"/>
      <c r="X51" s="281"/>
    </row>
    <row r="52" ht="1.5" customHeight="1">
      <c r="A52" s="281"/>
      <c r="B52" s="302" t="s">
        <v>740</v>
      </c>
      <c r="C52" s="280" t="s">
        <v>741</v>
      </c>
      <c r="D52" s="289">
        <f>ROUND((F52*'Pawn Weights'!$H$60)+(G52*'Pawn Weights'!$H$61)+(H52*'Pawn Weights'!$H$62)+(I52*'Pawn Weights'!$H$63)+(J52*'Pawn Weights'!$H$64)+(K52*'Pawn Weights'!$H$65)+(L52*'Pawn Weights'!$H$66)+(M52*'Pawn Weights'!$H$67)+(N52*'Pawn Weights'!$H$68)+(O52*'Pawn Weights'!$H$69)+(P52*'Pawn Weights'!$H$70)+(Q52*'Pawn Weights'!$H$71), 2)</f>
        <v>115.32</v>
      </c>
      <c r="E52" s="280">
        <v>28.0</v>
      </c>
      <c r="F52" s="280"/>
      <c r="G52" s="280">
        <v>28.0</v>
      </c>
      <c r="H52" s="280">
        <v>68.0</v>
      </c>
      <c r="I52" s="280"/>
      <c r="J52" s="280"/>
      <c r="K52" s="280"/>
      <c r="L52" s="280"/>
      <c r="M52" s="280"/>
      <c r="N52" s="280"/>
      <c r="O52" s="280"/>
      <c r="P52" s="280"/>
      <c r="Q52" s="280"/>
      <c r="R52" s="290"/>
      <c r="S52" s="281"/>
      <c r="T52" s="222"/>
      <c r="U52" s="281"/>
      <c r="V52" s="281"/>
      <c r="W52" s="281"/>
      <c r="X52" s="281"/>
    </row>
    <row r="53">
      <c r="A53" s="303" t="s">
        <v>627</v>
      </c>
      <c r="B53" s="302" t="s">
        <v>734</v>
      </c>
      <c r="C53" s="154" t="s">
        <v>735</v>
      </c>
      <c r="D53" s="289">
        <f>ROUND((F53*'Pawn Weights'!$H$60)+(G53*'Pawn Weights'!$H$61)+(H53*'Pawn Weights'!$H$62)+(I53*'Pawn Weights'!$H$63)+(J53*'Pawn Weights'!$H$64)+(K53*'Pawn Weights'!$H$65)+(L53*'Pawn Weights'!$H$66)+(M53*'Pawn Weights'!$H$67)+(N53*'Pawn Weights'!$H$68)+(O53*'Pawn Weights'!$H$69)+(P53*'Pawn Weights'!$H$70)+(Q53*'Pawn Weights'!$H$71), 2)</f>
        <v>114.36</v>
      </c>
      <c r="E53" s="280">
        <v>25.0</v>
      </c>
      <c r="F53" s="280">
        <v>23.0</v>
      </c>
      <c r="G53" s="280"/>
      <c r="H53" s="280"/>
      <c r="I53" s="280">
        <v>24.0</v>
      </c>
      <c r="J53" s="280"/>
      <c r="K53" s="280"/>
      <c r="L53" s="280"/>
      <c r="M53" s="281"/>
      <c r="N53" s="280"/>
      <c r="O53" s="280"/>
      <c r="P53" s="280"/>
      <c r="Q53" s="280">
        <v>1.0</v>
      </c>
      <c r="R53" s="290" t="s">
        <v>736</v>
      </c>
      <c r="S53" s="281"/>
      <c r="T53" s="291" t="s">
        <v>1330</v>
      </c>
      <c r="U53" s="281"/>
      <c r="V53" s="281"/>
      <c r="W53" s="281"/>
      <c r="X53" s="304"/>
      <c r="Y53" s="304"/>
      <c r="Z53" s="304"/>
    </row>
    <row r="54">
      <c r="A54" s="281"/>
      <c r="B54" s="302" t="s">
        <v>738</v>
      </c>
      <c r="C54" s="280" t="s">
        <v>739</v>
      </c>
      <c r="D54" s="289">
        <f>ROUND((F54*'Pawn Weights'!$H$60)+(G54*'Pawn Weights'!$H$61)+(H54*'Pawn Weights'!$H$62)+(I54*'Pawn Weights'!$H$63)+(J54*'Pawn Weights'!$H$64)+(K54*'Pawn Weights'!$H$65)+(L54*'Pawn Weights'!$H$66)+(M54*'Pawn Weights'!$H$67)+(N54*'Pawn Weights'!$H$68)+(O54*'Pawn Weights'!$H$69)+(P54*'Pawn Weights'!$H$70)+(Q54*'Pawn Weights'!$H$71), 2)</f>
        <v>112.2</v>
      </c>
      <c r="E54" s="280"/>
      <c r="F54" s="280"/>
      <c r="G54" s="280"/>
      <c r="H54" s="280">
        <v>60.0</v>
      </c>
      <c r="I54" s="280">
        <v>30.0</v>
      </c>
      <c r="J54" s="280"/>
      <c r="K54" s="280"/>
      <c r="L54" s="280"/>
      <c r="M54" s="280"/>
      <c r="N54" s="280"/>
      <c r="O54" s="280"/>
      <c r="P54" s="280"/>
      <c r="Q54" s="280"/>
      <c r="R54" s="290"/>
      <c r="S54" s="281"/>
      <c r="T54" s="222"/>
      <c r="U54" s="281"/>
      <c r="V54" s="281"/>
      <c r="W54" s="281"/>
      <c r="X54" s="281"/>
    </row>
    <row r="55">
      <c r="A55" s="281"/>
      <c r="B55" s="302" t="s">
        <v>1084</v>
      </c>
      <c r="C55" s="280" t="s">
        <v>900</v>
      </c>
      <c r="D55" s="289">
        <f>ROUND((F55*'Pawn Weights'!$H$60)+(G55*'Pawn Weights'!$H$61)+(H55*'Pawn Weights'!$H$62)+(I55*'Pawn Weights'!$H$63)+(J55*'Pawn Weights'!$H$64)+(K55*'Pawn Weights'!$H$65)+(L55*'Pawn Weights'!$H$66)+(M55*'Pawn Weights'!$H$67)+(N55*'Pawn Weights'!$H$68)+(O55*'Pawn Weights'!$H$69)+(P55*'Pawn Weights'!$H$70)+(Q55*'Pawn Weights'!$H$71), 2)</f>
        <v>111.47</v>
      </c>
      <c r="E55" s="280">
        <v>22.0</v>
      </c>
      <c r="F55" s="280">
        <v>33.0</v>
      </c>
      <c r="G55" s="280">
        <v>23.0</v>
      </c>
      <c r="H55" s="280"/>
      <c r="I55" s="280"/>
      <c r="J55" s="280"/>
      <c r="K55" s="280"/>
      <c r="L55" s="280"/>
      <c r="M55" s="280"/>
      <c r="N55" s="280"/>
      <c r="O55" s="280"/>
      <c r="P55" s="280"/>
      <c r="Q55" s="280"/>
      <c r="R55" s="290"/>
      <c r="S55" s="281"/>
      <c r="T55" s="222"/>
      <c r="U55" s="281"/>
      <c r="V55" s="281"/>
      <c r="W55" s="281"/>
      <c r="X55" s="281"/>
    </row>
    <row r="56">
      <c r="A56" s="272" t="s">
        <v>742</v>
      </c>
      <c r="B56" s="281"/>
      <c r="C56" s="281"/>
      <c r="D56" s="360"/>
      <c r="E56" s="281"/>
      <c r="F56" s="281"/>
      <c r="G56" s="281"/>
      <c r="H56" s="281"/>
      <c r="I56" s="281"/>
      <c r="J56" s="281"/>
      <c r="K56" s="281"/>
      <c r="L56" s="281"/>
      <c r="M56" s="281"/>
      <c r="N56" s="281"/>
      <c r="O56" s="281"/>
      <c r="P56" s="281"/>
      <c r="Q56" s="281"/>
      <c r="R56" s="282"/>
      <c r="S56" s="281"/>
      <c r="T56" s="222"/>
      <c r="U56" s="281"/>
      <c r="V56" s="281"/>
      <c r="W56" s="281"/>
    </row>
    <row r="57">
      <c r="A57" s="137"/>
      <c r="B57" s="381" t="s">
        <v>749</v>
      </c>
      <c r="C57" s="361" t="s">
        <v>750</v>
      </c>
      <c r="D57" s="289">
        <f>ROUND((F57*'Pawn Weights'!$H$60)+(G57*'Pawn Weights'!$H$61)+(H57*'Pawn Weights'!$H$62)+(I57*'Pawn Weights'!$H$63)+(J57*'Pawn Weights'!$H$64)+(K57*'Pawn Weights'!$H$65)+(L57*'Pawn Weights'!$H$66)+(M57*'Pawn Weights'!$H$67)+(N57*'Pawn Weights'!$H$68)+(O57*'Pawn Weights'!$H$69)+(P57*'Pawn Weights'!$H$70)+(Q57*'Pawn Weights'!$H$71)-22+19.7+8, 2)</f>
        <v>382.54</v>
      </c>
      <c r="E57" s="359">
        <v>45.0</v>
      </c>
      <c r="F57" s="361"/>
      <c r="G57" s="359">
        <v>42.0</v>
      </c>
      <c r="H57" s="359">
        <v>120.0</v>
      </c>
      <c r="I57" s="361"/>
      <c r="J57" s="359">
        <v>30.0</v>
      </c>
      <c r="K57" s="359">
        <v>38.0</v>
      </c>
      <c r="L57" s="361"/>
      <c r="M57" s="137"/>
      <c r="N57" s="361"/>
      <c r="O57" s="359">
        <v>2.0</v>
      </c>
      <c r="P57" s="359">
        <v>1.0</v>
      </c>
      <c r="Q57" s="361"/>
      <c r="R57" s="359" t="s">
        <v>745</v>
      </c>
      <c r="S57" s="137"/>
      <c r="T57" s="406" t="s">
        <v>748</v>
      </c>
      <c r="U57" s="137"/>
      <c r="V57" s="137"/>
      <c r="W57" s="137"/>
      <c r="X57" s="137"/>
      <c r="Y57" s="137"/>
      <c r="Z57" s="137"/>
    </row>
    <row r="58">
      <c r="A58" s="137" t="s">
        <v>627</v>
      </c>
      <c r="B58" s="381" t="s">
        <v>753</v>
      </c>
      <c r="C58" s="361" t="s">
        <v>750</v>
      </c>
      <c r="D58" s="289">
        <f>ROUND((F58*'Pawn Weights'!$H$60)+(G58*'Pawn Weights'!$H$61)+(H58*'Pawn Weights'!$H$62)+(I58*'Pawn Weights'!$H$63)+(J58*'Pawn Weights'!$H$64)+(K58*'Pawn Weights'!$H$65)+(L58*'Pawn Weights'!$H$66)+(M58*'Pawn Weights'!$H$67)+(N58*'Pawn Weights'!$H$68)+(O58*'Pawn Weights'!$H$69)+(P58*'Pawn Weights'!$H$70)+(Q58*'Pawn Weights'!$H$71)+8, 2)</f>
        <v>332.44</v>
      </c>
      <c r="E58" s="359">
        <v>43.0</v>
      </c>
      <c r="F58" s="361"/>
      <c r="G58" s="359">
        <v>44.0</v>
      </c>
      <c r="H58" s="359">
        <v>104.0</v>
      </c>
      <c r="I58" s="361"/>
      <c r="J58" s="361"/>
      <c r="K58" s="359">
        <v>44.0</v>
      </c>
      <c r="L58" s="361"/>
      <c r="M58" s="137"/>
      <c r="N58" s="361"/>
      <c r="O58" s="359">
        <v>3.0</v>
      </c>
      <c r="P58" s="361"/>
      <c r="Q58" s="361"/>
      <c r="R58" s="359" t="s">
        <v>745</v>
      </c>
      <c r="S58" s="137"/>
      <c r="T58" s="406" t="s">
        <v>748</v>
      </c>
      <c r="U58" s="137"/>
      <c r="V58" s="137"/>
      <c r="W58" s="137"/>
      <c r="X58" s="137"/>
      <c r="Y58" s="137"/>
      <c r="Z58" s="137"/>
    </row>
    <row r="59">
      <c r="A59" s="292"/>
      <c r="B59" s="305" t="s">
        <v>758</v>
      </c>
      <c r="C59" s="280" t="s">
        <v>642</v>
      </c>
      <c r="D59" s="289">
        <f>ROUND((F59*'Pawn Weights'!$H$60)+(G59*'Pawn Weights'!$H$61)+(H59*'Pawn Weights'!$H$62)+(I59*'Pawn Weights'!$H$63)+(J59*'Pawn Weights'!$H$64)+(K59*'Pawn Weights'!$H$65)+(L59*'Pawn Weights'!$H$66)+(M59*'Pawn Weights'!$H$67)+(N59*'Pawn Weights'!$H$68)+(O59*'Pawn Weights'!$H$69)+(P59*'Pawn Weights'!$H$70)+(Q59*'Pawn Weights'!$H$71), 2)</f>
        <v>301.05</v>
      </c>
      <c r="E59" s="280">
        <v>64.0</v>
      </c>
      <c r="F59" s="280"/>
      <c r="G59" s="280"/>
      <c r="H59" s="280">
        <v>106.0</v>
      </c>
      <c r="I59" s="280">
        <v>46.0</v>
      </c>
      <c r="J59" s="280">
        <v>29.0</v>
      </c>
      <c r="K59" s="280"/>
      <c r="L59" s="280"/>
      <c r="M59" s="281"/>
      <c r="N59" s="280"/>
      <c r="O59" s="280">
        <v>1.0</v>
      </c>
      <c r="P59" s="280">
        <v>1.0</v>
      </c>
      <c r="Q59" s="280">
        <v>1.0</v>
      </c>
      <c r="R59" s="290" t="s">
        <v>745</v>
      </c>
      <c r="S59" s="281"/>
      <c r="T59" s="291"/>
      <c r="U59" s="281"/>
      <c r="V59" s="281"/>
      <c r="W59" s="281"/>
    </row>
    <row r="60" ht="15.0" customHeight="1">
      <c r="A60" s="292"/>
      <c r="B60" s="305" t="s">
        <v>767</v>
      </c>
      <c r="C60" s="280" t="s">
        <v>665</v>
      </c>
      <c r="D60" s="289">
        <f>ROUND((F60*'Pawn Weights'!$H$60)+(G60*'Pawn Weights'!$H$61)+(H60*'Pawn Weights'!$H$62)+(I60*'Pawn Weights'!$H$63)+(J60*'Pawn Weights'!$H$64)+(K60*'Pawn Weights'!$H$65)+(L60*'Pawn Weights'!$H$66)+(M60*'Pawn Weights'!$H$67)+(N60*'Pawn Weights'!$H$68)+(O60*'Pawn Weights'!$H$69)+(P60*'Pawn Weights'!$H$70)+(Q60*'Pawn Weights'!$H$71), 2)</f>
        <v>271.99</v>
      </c>
      <c r="E60" s="280">
        <v>52.0</v>
      </c>
      <c r="F60" s="280"/>
      <c r="G60" s="280">
        <v>36.0</v>
      </c>
      <c r="H60" s="280">
        <v>86.0</v>
      </c>
      <c r="I60" s="280"/>
      <c r="J60" s="280">
        <v>35.0</v>
      </c>
      <c r="K60" s="280"/>
      <c r="L60" s="280"/>
      <c r="M60" s="281"/>
      <c r="N60" s="280"/>
      <c r="O60" s="280">
        <v>1.0</v>
      </c>
      <c r="P60" s="280">
        <v>1.0</v>
      </c>
      <c r="Q60" s="280">
        <v>1.0</v>
      </c>
      <c r="R60" s="290" t="s">
        <v>745</v>
      </c>
      <c r="S60" s="281"/>
      <c r="T60" s="291"/>
      <c r="U60" s="281"/>
      <c r="V60" s="281"/>
      <c r="W60" s="281"/>
    </row>
    <row r="61">
      <c r="A61" s="281"/>
      <c r="B61" s="305" t="s">
        <v>764</v>
      </c>
      <c r="C61" s="307" t="s">
        <v>765</v>
      </c>
      <c r="D61" s="289">
        <f>ROUND((F61*'Pawn Weights'!$H$60)+(G61*'Pawn Weights'!$H$61)+(H61*'Pawn Weights'!$H$62)+(I61*'Pawn Weights'!$H$63)+(J61*'Pawn Weights'!$H$64)+(K61*'Pawn Weights'!$H$65)+(L61*'Pawn Weights'!$H$66)+(M61*'Pawn Weights'!$H$67)+(N61*'Pawn Weights'!$H$68)+(O61*'Pawn Weights'!$H$69)+(P61*'Pawn Weights'!$H$70)+(Q61*'Pawn Weights'!$H$71), 2)</f>
        <v>266.27</v>
      </c>
      <c r="E61" s="280">
        <v>24.0</v>
      </c>
      <c r="F61" s="280"/>
      <c r="G61" s="280"/>
      <c r="H61" s="280">
        <v>92.0</v>
      </c>
      <c r="I61" s="280">
        <v>36.0</v>
      </c>
      <c r="J61" s="280">
        <v>27.0</v>
      </c>
      <c r="K61" s="280"/>
      <c r="L61" s="280"/>
      <c r="M61" s="281"/>
      <c r="N61" s="280"/>
      <c r="O61" s="280"/>
      <c r="P61" s="280">
        <v>2.0</v>
      </c>
      <c r="Q61" s="280">
        <v>1.0</v>
      </c>
      <c r="R61" s="290" t="s">
        <v>745</v>
      </c>
      <c r="S61" s="281"/>
      <c r="T61" s="291"/>
      <c r="U61" s="281"/>
      <c r="V61" s="281"/>
      <c r="W61" s="281"/>
    </row>
    <row r="62">
      <c r="A62" s="295" t="s">
        <v>635</v>
      </c>
      <c r="B62" s="308" t="s">
        <v>1331</v>
      </c>
      <c r="C62" s="297" t="s">
        <v>637</v>
      </c>
      <c r="D62" s="289">
        <f>ROUND((F62*'Pawn Weights'!$H$60)+(G62*'Pawn Weights'!$H$61)+(H62*'Pawn Weights'!$H$62)+(I62*'Pawn Weights'!$H$63)+(J62*'Pawn Weights'!$H$64)+(K62*'Pawn Weights'!$H$65)+(L62*'Pawn Weights'!$H$66)+(M62*'Pawn Weights'!$H$67)+(N62*'Pawn Weights'!$H$68)+(O62*'Pawn Weights'!$H$69)+(P62*'Pawn Weights'!$H$70)+(Q62*'Pawn Weights'!$H$71)-22+19.7+6.96, 2)</f>
        <v>260.09</v>
      </c>
      <c r="E62" s="298">
        <v>71.0</v>
      </c>
      <c r="F62" s="298">
        <v>32.0</v>
      </c>
      <c r="G62" s="297"/>
      <c r="H62" s="297"/>
      <c r="I62" s="298">
        <v>35.0</v>
      </c>
      <c r="J62" s="298">
        <v>17.0</v>
      </c>
      <c r="K62" s="297"/>
      <c r="L62" s="297"/>
      <c r="M62" s="359">
        <v>84.0</v>
      </c>
      <c r="N62" s="297"/>
      <c r="O62" s="298">
        <v>2.0</v>
      </c>
      <c r="P62" s="298">
        <v>1.0</v>
      </c>
      <c r="Q62" s="297"/>
      <c r="R62" s="298" t="s">
        <v>624</v>
      </c>
      <c r="S62" s="137"/>
      <c r="T62" s="297" t="s">
        <v>755</v>
      </c>
      <c r="U62" s="137"/>
      <c r="V62" s="137"/>
      <c r="W62" s="137"/>
      <c r="X62" s="137"/>
      <c r="Y62" s="137"/>
      <c r="Z62" s="137"/>
    </row>
    <row r="63">
      <c r="A63" s="295"/>
      <c r="B63" s="308" t="s">
        <v>777</v>
      </c>
      <c r="C63" s="297" t="s">
        <v>775</v>
      </c>
      <c r="D63" s="289">
        <f>ROUND((F63*'Pawn Weights'!$H$60)+(G63*'Pawn Weights'!$H$61)+(H63*'Pawn Weights'!$H$62)+(I63*'Pawn Weights'!$H$63)+(J63*'Pawn Weights'!$H$64)+(K63*'Pawn Weights'!$H$65)+(L63*'Pawn Weights'!$H$66)+(M63*'Pawn Weights'!$H$67)+(N63*'Pawn Weights'!$H$68)+(O63*'Pawn Weights'!$H$69)+(P63*'Pawn Weights'!$H$70)+(Q63*'Pawn Weights'!$H$71), 2)</f>
        <v>255.82</v>
      </c>
      <c r="E63" s="298">
        <v>51.0</v>
      </c>
      <c r="F63" s="297"/>
      <c r="G63" s="298">
        <v>44.0</v>
      </c>
      <c r="H63" s="298">
        <v>102.0</v>
      </c>
      <c r="I63" s="297"/>
      <c r="J63" s="298">
        <v>34.0</v>
      </c>
      <c r="K63" s="297"/>
      <c r="L63" s="297"/>
      <c r="M63" s="137"/>
      <c r="N63" s="297"/>
      <c r="O63" s="298">
        <v>1.0</v>
      </c>
      <c r="P63" s="297"/>
      <c r="Q63" s="297"/>
      <c r="R63" s="298" t="s">
        <v>674</v>
      </c>
      <c r="S63" s="137"/>
      <c r="T63" s="295"/>
      <c r="U63" s="137"/>
      <c r="V63" s="137"/>
      <c r="W63" s="137"/>
      <c r="X63" s="137"/>
      <c r="Y63" s="137"/>
      <c r="Z63" s="137"/>
    </row>
    <row r="64">
      <c r="A64" s="295"/>
      <c r="B64" s="308" t="s">
        <v>774</v>
      </c>
      <c r="C64" s="297" t="s">
        <v>775</v>
      </c>
      <c r="D64" s="289">
        <f>ROUND((F64*'Pawn Weights'!$H$60)+(G64*'Pawn Weights'!$H$61)+(H64*'Pawn Weights'!$H$62)+(I64*'Pawn Weights'!$H$63)+(J64*'Pawn Weights'!$H$64)+(K64*'Pawn Weights'!$H$65)+(L64*'Pawn Weights'!$H$66)+(M64*'Pawn Weights'!$H$67)+(N64*'Pawn Weights'!$H$68)+(O64*'Pawn Weights'!$H$69)+(P64*'Pawn Weights'!$H$70)+(Q64*'Pawn Weights'!$H$71)-22+19.7+4, 2)</f>
        <v>250.63</v>
      </c>
      <c r="E64" s="298">
        <v>39.0</v>
      </c>
      <c r="F64" s="297"/>
      <c r="G64" s="298">
        <v>47.0</v>
      </c>
      <c r="H64" s="298">
        <v>102.0</v>
      </c>
      <c r="I64" s="297"/>
      <c r="J64" s="297"/>
      <c r="K64" s="298">
        <v>25.0</v>
      </c>
      <c r="L64" s="297"/>
      <c r="M64" s="137"/>
      <c r="N64" s="297"/>
      <c r="O64" s="297"/>
      <c r="P64" s="298">
        <v>1.0</v>
      </c>
      <c r="Q64" s="297"/>
      <c r="R64" s="298" t="s">
        <v>660</v>
      </c>
      <c r="S64" s="137"/>
      <c r="T64" s="295"/>
      <c r="U64" s="137"/>
      <c r="V64" s="137"/>
      <c r="W64" s="137"/>
      <c r="X64" s="137"/>
      <c r="Y64" s="137"/>
      <c r="Z64" s="137"/>
    </row>
    <row r="65" ht="14.25" customHeight="1">
      <c r="A65" s="292"/>
      <c r="B65" s="305" t="s">
        <v>776</v>
      </c>
      <c r="C65" s="280" t="s">
        <v>739</v>
      </c>
      <c r="D65" s="289">
        <f>ROUND((F65*'Pawn Weights'!$H$60)+(G65*'Pawn Weights'!$H$61)+(H65*'Pawn Weights'!$H$62)+(I65*'Pawn Weights'!$H$63)+(J65*'Pawn Weights'!$H$64)+(K65*'Pawn Weights'!$H$65)+(L65*'Pawn Weights'!$H$66)+(M65*'Pawn Weights'!$H$67)+(N65*'Pawn Weights'!$H$68)+(O65*'Pawn Weights'!$H$69)+(P65*'Pawn Weights'!$H$70)+(Q65*'Pawn Weights'!$H$71)-44+39.4+6.96, 2)</f>
        <v>243.35</v>
      </c>
      <c r="E65" s="280"/>
      <c r="F65" s="280"/>
      <c r="G65" s="280"/>
      <c r="H65" s="280">
        <v>96.0</v>
      </c>
      <c r="I65" s="280">
        <v>25.0</v>
      </c>
      <c r="J65" s="280">
        <v>21.0</v>
      </c>
      <c r="K65" s="280"/>
      <c r="L65" s="280"/>
      <c r="M65" s="281"/>
      <c r="N65" s="280"/>
      <c r="O65" s="280">
        <v>1.0</v>
      </c>
      <c r="P65" s="280">
        <v>2.0</v>
      </c>
      <c r="Q65" s="280"/>
      <c r="R65" s="290" t="s">
        <v>624</v>
      </c>
      <c r="S65" s="281"/>
      <c r="T65" s="291"/>
      <c r="U65" s="281"/>
      <c r="V65" s="281"/>
      <c r="W65" s="281"/>
    </row>
    <row r="66">
      <c r="A66" s="292" t="s">
        <v>647</v>
      </c>
      <c r="B66" s="305" t="s">
        <v>1332</v>
      </c>
      <c r="C66" s="280" t="s">
        <v>741</v>
      </c>
      <c r="D66" s="289">
        <f>ROUND((F66*'Pawn Weights'!$H$60)+(G66*'Pawn Weights'!$H$61)+(H66*'Pawn Weights'!$H$62)+(I66*'Pawn Weights'!$H$63)+(J66*'Pawn Weights'!$H$64)+(K66*'Pawn Weights'!$H$65)+(L66*'Pawn Weights'!$H$66)+(M66*'Pawn Weights'!$H$67)+(N66*'Pawn Weights'!$H$68)+(O66*'Pawn Weights'!$H$69)+(P66*'Pawn Weights'!$H$70)+(Q66*'Pawn Weights'!$H$71), 2)</f>
        <v>242.39</v>
      </c>
      <c r="E66" s="280">
        <v>46.0</v>
      </c>
      <c r="F66" s="280">
        <v>41.0</v>
      </c>
      <c r="G66" s="280">
        <v>32.0</v>
      </c>
      <c r="H66" s="280"/>
      <c r="I66" s="280"/>
      <c r="J66" s="280">
        <v>19.0</v>
      </c>
      <c r="K66" s="280"/>
      <c r="L66" s="280"/>
      <c r="M66" s="281"/>
      <c r="N66" s="280"/>
      <c r="O66" s="280">
        <v>1.0</v>
      </c>
      <c r="P66" s="280">
        <v>1.0</v>
      </c>
      <c r="Q66" s="280">
        <v>1.0</v>
      </c>
      <c r="R66" s="290" t="s">
        <v>624</v>
      </c>
      <c r="S66" s="281"/>
      <c r="T66" s="291"/>
      <c r="U66" s="281"/>
      <c r="V66" s="281"/>
      <c r="W66" s="281"/>
    </row>
    <row r="67" ht="6.75" customHeight="1">
      <c r="A67" s="292"/>
      <c r="B67" s="305" t="s">
        <v>768</v>
      </c>
      <c r="C67" s="280" t="s">
        <v>769</v>
      </c>
      <c r="D67" s="289">
        <f>ROUND((F67*'Pawn Weights'!$H$60)+(G67*'Pawn Weights'!$H$61)+(H67*'Pawn Weights'!$H$62)+(I67*'Pawn Weights'!$H$63)+(J67*'Pawn Weights'!$H$64)+(K67*'Pawn Weights'!$H$65)+(L67*'Pawn Weights'!$H$66)+(M67*'Pawn Weights'!$H$67)+(N67*'Pawn Weights'!$H$68)+(O67*'Pawn Weights'!$H$69)+(P67*'Pawn Weights'!$H$70)+(Q67*'Pawn Weights'!$H$71), 2)</f>
        <v>241.55</v>
      </c>
      <c r="E67" s="280">
        <v>46.0</v>
      </c>
      <c r="F67" s="280"/>
      <c r="G67" s="280">
        <v>45.0</v>
      </c>
      <c r="H67" s="280">
        <v>92.0</v>
      </c>
      <c r="I67" s="280"/>
      <c r="J67" s="280"/>
      <c r="K67" s="280"/>
      <c r="L67" s="280"/>
      <c r="M67" s="280">
        <v>210.0</v>
      </c>
      <c r="N67" s="280"/>
      <c r="O67" s="280"/>
      <c r="P67" s="280"/>
      <c r="Q67" s="280"/>
      <c r="R67" s="290"/>
      <c r="S67" s="281"/>
      <c r="T67" s="291"/>
      <c r="U67" s="281"/>
      <c r="V67" s="281"/>
      <c r="W67" s="281"/>
    </row>
    <row r="68">
      <c r="A68" s="301" t="s">
        <v>640</v>
      </c>
      <c r="B68" s="305" t="s">
        <v>1334</v>
      </c>
      <c r="C68" s="307" t="s">
        <v>632</v>
      </c>
      <c r="D68" s="289">
        <f>ROUND((F68*'Pawn Weights'!$H$60)+(G68*'Pawn Weights'!$H$61)+(H68*'Pawn Weights'!$H$62)+(I68*'Pawn Weights'!$H$63)+(J68*'Pawn Weights'!$H$64)+(K68*'Pawn Weights'!$H$65)+(L68*'Pawn Weights'!$H$66)+(M68*'Pawn Weights'!$H$67)+(N68*'Pawn Weights'!$H$68)+(O68*'Pawn Weights'!$H$69)+(P68*'Pawn Weights'!$H$70)+(Q68*'Pawn Weights'!$H$71), 2)</f>
        <v>239.53</v>
      </c>
      <c r="E68" s="280">
        <v>67.0</v>
      </c>
      <c r="F68" s="280">
        <v>46.0</v>
      </c>
      <c r="G68" s="280"/>
      <c r="H68" s="280"/>
      <c r="I68" s="280">
        <v>27.0</v>
      </c>
      <c r="J68" s="280">
        <v>15.0</v>
      </c>
      <c r="K68" s="280"/>
      <c r="L68" s="280"/>
      <c r="M68" s="281"/>
      <c r="N68" s="280"/>
      <c r="O68" s="280"/>
      <c r="P68" s="280">
        <v>2.0</v>
      </c>
      <c r="Q68" s="280">
        <v>1.0</v>
      </c>
      <c r="R68" s="290" t="s">
        <v>643</v>
      </c>
      <c r="S68" s="281"/>
      <c r="T68" s="291"/>
      <c r="U68" s="281"/>
      <c r="V68" s="281"/>
      <c r="W68" s="281"/>
    </row>
    <row r="69">
      <c r="A69" s="301"/>
      <c r="B69" s="305" t="s">
        <v>1333</v>
      </c>
      <c r="C69" s="280" t="s">
        <v>710</v>
      </c>
      <c r="D69" s="289">
        <f>ROUND((F69*'Pawn Weights'!$H$60)+(G69*'Pawn Weights'!$H$61)+(H69*'Pawn Weights'!$H$62)+(I69*'Pawn Weights'!$H$63)+(J69*'Pawn Weights'!$H$64)+(K69*'Pawn Weights'!$H$65)+(L69*'Pawn Weights'!$H$66)+(M69*'Pawn Weights'!$H$67)+(N69*'Pawn Weights'!$H$68)+(O69*'Pawn Weights'!$H$69)+(P69*'Pawn Weights'!$H$70)+(Q69*'Pawn Weights'!$H$71), 2)</f>
        <v>239.2</v>
      </c>
      <c r="E69" s="280">
        <v>19.0</v>
      </c>
      <c r="F69" s="280"/>
      <c r="G69" s="280">
        <v>36.0</v>
      </c>
      <c r="H69" s="280">
        <v>88.0</v>
      </c>
      <c r="I69" s="280">
        <v>14.0</v>
      </c>
      <c r="J69" s="280"/>
      <c r="K69" s="280"/>
      <c r="L69" s="280"/>
      <c r="M69" s="281"/>
      <c r="N69" s="280"/>
      <c r="O69" s="280">
        <v>1.0</v>
      </c>
      <c r="P69" s="280">
        <v>1.0</v>
      </c>
      <c r="Q69" s="280">
        <v>1.0</v>
      </c>
      <c r="R69" s="290" t="s">
        <v>622</v>
      </c>
      <c r="S69" s="281"/>
      <c r="T69" s="291"/>
      <c r="U69" s="281"/>
      <c r="V69" s="281"/>
      <c r="W69" s="281"/>
    </row>
    <row r="70" ht="7.5" customHeight="1">
      <c r="A70" s="301" t="s">
        <v>644</v>
      </c>
      <c r="B70" s="305" t="s">
        <v>1335</v>
      </c>
      <c r="C70" s="307" t="s">
        <v>646</v>
      </c>
      <c r="D70" s="289">
        <f>ROUND((F70*'Pawn Weights'!$H$60)+(G70*'Pawn Weights'!$H$61)+(H70*'Pawn Weights'!$H$62)+(I70*'Pawn Weights'!$H$63)+(J70*'Pawn Weights'!$H$64)+(K70*'Pawn Weights'!$H$65)+(L70*'Pawn Weights'!$H$66)+(M70*'Pawn Weights'!$H$67)+(N70*'Pawn Weights'!$H$68)+(O70*'Pawn Weights'!$H$69)+(P70*'Pawn Weights'!$H$70)+(Q70*'Pawn Weights'!$H$71)-22+19.7+6.96, 2)</f>
        <v>231.94</v>
      </c>
      <c r="E70" s="280">
        <v>64.0</v>
      </c>
      <c r="F70" s="280">
        <v>27.0</v>
      </c>
      <c r="G70" s="280"/>
      <c r="H70" s="280"/>
      <c r="I70" s="280">
        <v>30.0</v>
      </c>
      <c r="J70" s="280">
        <v>12.0</v>
      </c>
      <c r="K70" s="280"/>
      <c r="L70" s="280"/>
      <c r="M70" s="280">
        <v>84.0</v>
      </c>
      <c r="N70" s="280"/>
      <c r="O70" s="280">
        <v>2.0</v>
      </c>
      <c r="P70" s="280">
        <v>1.0</v>
      </c>
      <c r="Q70" s="280"/>
      <c r="R70" s="290" t="s">
        <v>624</v>
      </c>
      <c r="S70" s="281"/>
      <c r="T70" s="291"/>
      <c r="U70" s="281"/>
      <c r="V70" s="281"/>
      <c r="W70" s="281"/>
    </row>
    <row r="71">
      <c r="A71" s="301" t="s">
        <v>627</v>
      </c>
      <c r="B71" s="305" t="s">
        <v>1422</v>
      </c>
      <c r="C71" s="280" t="s">
        <v>1423</v>
      </c>
      <c r="D71" s="289">
        <f>ROUND((F71*'Pawn Weights'!$H$60)+(G71*'Pawn Weights'!$H$61)+(H71*'Pawn Weights'!$H$62)+(I71*'Pawn Weights'!$H$63)+(J71*'Pawn Weights'!$H$64)+(K71*'Pawn Weights'!$H$65)+(L71*'Pawn Weights'!$H$66)+(M71*'Pawn Weights'!$H$67)+(N71*'Pawn Weights'!$H$68)+(O71*'Pawn Weights'!$H$69)+(P71*'Pawn Weights'!$H$70)+(Q71*'Pawn Weights'!$H$71), 2)</f>
        <v>217.52</v>
      </c>
      <c r="E71" s="280">
        <v>12.0</v>
      </c>
      <c r="F71" s="280">
        <v>32.0</v>
      </c>
      <c r="G71" s="280">
        <v>40.0</v>
      </c>
      <c r="H71" s="280"/>
      <c r="I71" s="280"/>
      <c r="J71" s="280">
        <v>8.0</v>
      </c>
      <c r="K71" s="280"/>
      <c r="L71" s="280"/>
      <c r="M71" s="281"/>
      <c r="N71" s="280"/>
      <c r="O71" s="280">
        <v>1.0</v>
      </c>
      <c r="P71" s="280">
        <v>1.0</v>
      </c>
      <c r="Q71" s="280">
        <v>1.0</v>
      </c>
      <c r="R71" s="290" t="s">
        <v>622</v>
      </c>
      <c r="S71" s="281"/>
      <c r="T71" s="291"/>
      <c r="U71" s="281"/>
      <c r="V71" s="281"/>
      <c r="W71" s="281"/>
    </row>
    <row r="72">
      <c r="A72" s="301" t="s">
        <v>627</v>
      </c>
      <c r="B72" s="305" t="s">
        <v>1461</v>
      </c>
      <c r="C72" s="307" t="s">
        <v>761</v>
      </c>
      <c r="D72" s="289">
        <f>ROUND((F72*'Pawn Weights'!$H$60)+(G72*'Pawn Weights'!$H$61)+(H72*'Pawn Weights'!$H$62)+(I72*'Pawn Weights'!$H$63)+(J72*'Pawn Weights'!$H$64)+(K72*'Pawn Weights'!$H$65)+(L72*'Pawn Weights'!$H$66)+(M72*'Pawn Weights'!$H$67)+(N72*'Pawn Weights'!$H$68)+(O72*'Pawn Weights'!$H$69)+(P72*'Pawn Weights'!$H$70)+(Q72*'Pawn Weights'!$H$71), 2)</f>
        <v>210.9</v>
      </c>
      <c r="E72" s="280">
        <v>56.0</v>
      </c>
      <c r="F72" s="280"/>
      <c r="G72" s="280"/>
      <c r="H72" s="280">
        <v>84.0</v>
      </c>
      <c r="I72" s="280">
        <v>35.0</v>
      </c>
      <c r="J72" s="280"/>
      <c r="K72" s="280"/>
      <c r="L72" s="280"/>
      <c r="M72" s="281"/>
      <c r="N72" s="280"/>
      <c r="O72" s="280">
        <v>1.0</v>
      </c>
      <c r="P72" s="280">
        <v>1.0</v>
      </c>
      <c r="Q72" s="280">
        <v>1.0</v>
      </c>
      <c r="R72" s="290" t="s">
        <v>622</v>
      </c>
      <c r="S72" s="281"/>
      <c r="T72" s="306" t="s">
        <v>1462</v>
      </c>
      <c r="U72" s="281"/>
      <c r="V72" s="281"/>
      <c r="W72" s="281"/>
    </row>
    <row r="73">
      <c r="A73" s="301" t="s">
        <v>627</v>
      </c>
      <c r="B73" s="305" t="s">
        <v>1463</v>
      </c>
      <c r="C73" s="307" t="s">
        <v>1464</v>
      </c>
      <c r="D73" s="289">
        <f>ROUND((F73*'Pawn Weights'!$H$60)+(G73*'Pawn Weights'!$H$61)+(H73*'Pawn Weights'!$H$62)+(I73*'Pawn Weights'!$H$63)+(J73*'Pawn Weights'!$H$64)+(K73*'Pawn Weights'!$H$65)+(L73*'Pawn Weights'!$H$66)+(M73*'Pawn Weights'!$H$67)+(N73*'Pawn Weights'!$H$68)+(O73*'Pawn Weights'!$H$69)+(P73*'Pawn Weights'!$H$70)+(Q73*'Pawn Weights'!$H$71), 2)</f>
        <v>199.94</v>
      </c>
      <c r="E73" s="280">
        <v>25.0</v>
      </c>
      <c r="F73" s="280"/>
      <c r="G73" s="280"/>
      <c r="H73" s="280">
        <v>80.0</v>
      </c>
      <c r="I73" s="280">
        <v>31.0</v>
      </c>
      <c r="J73" s="280"/>
      <c r="K73" s="280"/>
      <c r="L73" s="280"/>
      <c r="M73" s="281"/>
      <c r="N73" s="280"/>
      <c r="O73" s="280">
        <v>1.0</v>
      </c>
      <c r="P73" s="280">
        <v>1.0</v>
      </c>
      <c r="Q73" s="280">
        <v>1.0</v>
      </c>
      <c r="R73" s="290" t="s">
        <v>622</v>
      </c>
      <c r="S73" s="281"/>
      <c r="T73" s="291" t="s">
        <v>1465</v>
      </c>
      <c r="U73" s="281"/>
      <c r="V73" s="281"/>
      <c r="W73" s="281"/>
    </row>
    <row r="74">
      <c r="A74" s="301" t="s">
        <v>627</v>
      </c>
      <c r="B74" s="305" t="s">
        <v>1447</v>
      </c>
      <c r="C74" s="307" t="s">
        <v>1448</v>
      </c>
      <c r="D74" s="289">
        <f>ROUND((F74*'Pawn Weights'!$H$60)+(G74*'Pawn Weights'!$H$61)+(H74*'Pawn Weights'!$H$62)+(I74*'Pawn Weights'!$H$63)+(J74*'Pawn Weights'!$H$64)+(K74*'Pawn Weights'!$H$65)+(L74*'Pawn Weights'!$H$66)+(M74*'Pawn Weights'!$H$67)+(N74*'Pawn Weights'!$H$68)+(O74*'Pawn Weights'!$H$69)+(P74*'Pawn Weights'!$H$70)+(Q74*'Pawn Weights'!$H$71), 2)</f>
        <v>192.5</v>
      </c>
      <c r="E74" s="280">
        <v>39.0</v>
      </c>
      <c r="F74" s="280"/>
      <c r="G74" s="280">
        <v>38.0</v>
      </c>
      <c r="H74" s="280">
        <v>108.0</v>
      </c>
      <c r="I74" s="280"/>
      <c r="J74" s="280">
        <v>12.0</v>
      </c>
      <c r="K74" s="280"/>
      <c r="L74" s="280"/>
      <c r="M74" s="281"/>
      <c r="N74" s="280"/>
      <c r="O74" s="280"/>
      <c r="P74" s="280"/>
      <c r="Q74" s="280"/>
      <c r="R74" s="290"/>
      <c r="S74" s="281"/>
      <c r="T74" s="291"/>
      <c r="U74" s="281"/>
      <c r="V74" s="281"/>
      <c r="W74" s="281"/>
    </row>
    <row r="75">
      <c r="A75" s="301" t="s">
        <v>627</v>
      </c>
      <c r="B75" s="305" t="s">
        <v>1466</v>
      </c>
      <c r="C75" s="307" t="s">
        <v>771</v>
      </c>
      <c r="D75" s="289">
        <f>ROUND((F75*'Pawn Weights'!$H$60)+(G75*'Pawn Weights'!$H$61)+(H75*'Pawn Weights'!$H$62)+(I75*'Pawn Weights'!$H$63)+(J75*'Pawn Weights'!$H$64)+(K75*'Pawn Weights'!$H$65)+(L75*'Pawn Weights'!$H$66)+(M75*'Pawn Weights'!$H$67)+(N75*'Pawn Weights'!$H$68)+(O75*'Pawn Weights'!$H$69)+(P75*'Pawn Weights'!$H$70)+(Q75*'Pawn Weights'!$H$71), 2)</f>
        <v>191.42</v>
      </c>
      <c r="E75" s="280">
        <v>48.0</v>
      </c>
      <c r="F75" s="280"/>
      <c r="G75" s="280"/>
      <c r="H75" s="280">
        <v>68.0</v>
      </c>
      <c r="I75" s="280">
        <v>33.0</v>
      </c>
      <c r="J75" s="280"/>
      <c r="K75" s="280"/>
      <c r="L75" s="280"/>
      <c r="M75" s="281"/>
      <c r="N75" s="280"/>
      <c r="O75" s="280">
        <v>1.0</v>
      </c>
      <c r="P75" s="280">
        <v>1.0</v>
      </c>
      <c r="Q75" s="280">
        <v>1.0</v>
      </c>
      <c r="R75" s="290" t="s">
        <v>622</v>
      </c>
      <c r="S75" s="281"/>
      <c r="T75" s="291" t="s">
        <v>1462</v>
      </c>
      <c r="U75" s="281"/>
      <c r="V75" s="281"/>
      <c r="W75" s="281"/>
    </row>
    <row r="76">
      <c r="A76" s="292" t="s">
        <v>1068</v>
      </c>
      <c r="B76" s="305" t="s">
        <v>1467</v>
      </c>
      <c r="C76" s="280" t="s">
        <v>997</v>
      </c>
      <c r="D76" s="289">
        <f>ROUND((F76*'Pawn Weights'!$H$60)+(G76*'Pawn Weights'!$H$61)+(H76*'Pawn Weights'!$H$62)+(I76*'Pawn Weights'!$H$63)+(J76*'Pawn Weights'!$H$64)+(K76*'Pawn Weights'!$H$65)+(L76*'Pawn Weights'!$H$66)+(M76*'Pawn Weights'!$H$67)+(N76*'Pawn Weights'!$H$68)+(O76*'Pawn Weights'!$H$69)+(P76*'Pawn Weights'!$H$70)+(Q76*'Pawn Weights'!$H$71)-22+19.7+6.96, 2)</f>
        <v>191.06</v>
      </c>
      <c r="E76" s="280">
        <v>57.0</v>
      </c>
      <c r="F76" s="280">
        <v>31.0</v>
      </c>
      <c r="G76" s="280"/>
      <c r="H76" s="280"/>
      <c r="I76" s="280">
        <v>30.0</v>
      </c>
      <c r="J76" s="280"/>
      <c r="K76" s="280"/>
      <c r="L76" s="280"/>
      <c r="M76" s="281"/>
      <c r="N76" s="280"/>
      <c r="O76" s="280">
        <v>2.0</v>
      </c>
      <c r="P76" s="280">
        <v>1.0</v>
      </c>
      <c r="Q76" s="280"/>
      <c r="R76" s="290" t="s">
        <v>624</v>
      </c>
      <c r="S76" s="281"/>
      <c r="T76" s="291"/>
      <c r="U76" s="281"/>
      <c r="V76" s="281"/>
      <c r="W76" s="281"/>
    </row>
    <row r="77">
      <c r="A77" s="272" t="s">
        <v>779</v>
      </c>
      <c r="B77" s="281"/>
      <c r="C77" s="281"/>
      <c r="D77" s="360"/>
      <c r="E77" s="281"/>
      <c r="F77" s="281"/>
      <c r="G77" s="281"/>
      <c r="H77" s="281"/>
      <c r="I77" s="281"/>
      <c r="J77" s="281"/>
      <c r="K77" s="281"/>
      <c r="L77" s="281"/>
      <c r="M77" s="281"/>
      <c r="N77" s="281"/>
      <c r="O77" s="281"/>
      <c r="P77" s="281"/>
      <c r="Q77" s="281"/>
      <c r="R77" s="282"/>
      <c r="S77" s="281"/>
      <c r="T77" s="285"/>
      <c r="U77" s="281"/>
      <c r="V77" s="281"/>
      <c r="W77" s="281"/>
    </row>
    <row r="78">
      <c r="A78" s="281"/>
      <c r="B78" s="288" t="s">
        <v>782</v>
      </c>
      <c r="C78" s="280" t="s">
        <v>706</v>
      </c>
      <c r="D78" s="289">
        <f>ROUND((F78*'Pawn Weights'!$H$60)+(G78*'Pawn Weights'!$H$61)+(H78*'Pawn Weights'!$H$62)+(I78*'Pawn Weights'!$H$63)+(J78*'Pawn Weights'!$H$64)+(K78*'Pawn Weights'!$H$65)+(L78*'Pawn Weights'!$H$66)+(M78*'Pawn Weights'!$H$67)+(N78*'Pawn Weights'!$H$68)+(O78*'Pawn Weights'!$H$69)+(P78*'Pawn Weights'!$H$70)+(Q78*'Pawn Weights'!$H$71), 2)</f>
        <v>149</v>
      </c>
      <c r="E78" s="280">
        <v>28.0</v>
      </c>
      <c r="F78" s="280"/>
      <c r="G78" s="280"/>
      <c r="H78" s="280">
        <v>58.0</v>
      </c>
      <c r="I78" s="280">
        <v>28.0</v>
      </c>
      <c r="J78" s="280">
        <v>12.0</v>
      </c>
      <c r="K78" s="280"/>
      <c r="L78" s="280"/>
      <c r="M78" s="280"/>
      <c r="N78" s="280"/>
      <c r="O78" s="280"/>
      <c r="P78" s="280">
        <v>1.0</v>
      </c>
      <c r="Q78" s="280"/>
      <c r="R78" s="290" t="s">
        <v>674</v>
      </c>
      <c r="S78" s="281"/>
      <c r="T78" s="222"/>
      <c r="U78" s="281"/>
      <c r="V78" s="281"/>
      <c r="W78" s="281"/>
      <c r="X78" s="281"/>
    </row>
    <row r="79">
      <c r="A79" s="281"/>
      <c r="B79" s="288" t="s">
        <v>785</v>
      </c>
      <c r="C79" s="280" t="s">
        <v>727</v>
      </c>
      <c r="D79" s="289">
        <f>ROUND((F79*'Pawn Weights'!$H$60)+(G79*'Pawn Weights'!$H$61)+(H79*'Pawn Weights'!$H$62)+(I79*'Pawn Weights'!$H$63)+(J79*'Pawn Weights'!$H$64)+(K79*'Pawn Weights'!$H$65)+(L79*'Pawn Weights'!$H$66)+(M79*'Pawn Weights'!$H$67)+(N79*'Pawn Weights'!$H$68)+(O79*'Pawn Weights'!$H$69)+(P79*'Pawn Weights'!$H$70)+(Q79*'Pawn Weights'!$H$71)-22+19.7+3.38, 2)</f>
        <v>148.68</v>
      </c>
      <c r="E79" s="280">
        <v>28.0</v>
      </c>
      <c r="F79" s="280"/>
      <c r="G79" s="280">
        <v>28.0</v>
      </c>
      <c r="H79" s="280">
        <v>58.0</v>
      </c>
      <c r="I79" s="280"/>
      <c r="J79" s="280">
        <v>12.0</v>
      </c>
      <c r="K79" s="280"/>
      <c r="L79" s="280"/>
      <c r="M79" s="280"/>
      <c r="N79" s="280"/>
      <c r="O79" s="280"/>
      <c r="P79" s="280">
        <v>1.0</v>
      </c>
      <c r="Q79" s="280"/>
      <c r="R79" s="290" t="s">
        <v>711</v>
      </c>
      <c r="S79" s="281"/>
      <c r="T79" s="222"/>
      <c r="U79" s="281"/>
      <c r="V79" s="281"/>
      <c r="W79" s="281"/>
      <c r="X79" s="281"/>
    </row>
    <row r="80">
      <c r="A80" s="292" t="s">
        <v>627</v>
      </c>
      <c r="B80" s="288" t="s">
        <v>787</v>
      </c>
      <c r="C80" s="280" t="s">
        <v>788</v>
      </c>
      <c r="D80" s="289">
        <f>ROUND((F80*'Pawn Weights'!$H$60)+(G80*'Pawn Weights'!$H$61)+(H80*'Pawn Weights'!$H$62)+(I80*'Pawn Weights'!$H$63)+(J80*'Pawn Weights'!$H$64)+(K80*'Pawn Weights'!$H$65)+(L80*'Pawn Weights'!$H$66)+(M80*'Pawn Weights'!$H$67)+(N80*'Pawn Weights'!$H$68)+(O80*'Pawn Weights'!$H$69)+(P80*'Pawn Weights'!$H$70)+(Q80*'Pawn Weights'!$H$71), 2)</f>
        <v>140.63</v>
      </c>
      <c r="E80" s="280">
        <v>15.0</v>
      </c>
      <c r="F80" s="280"/>
      <c r="G80" s="280">
        <v>21.0</v>
      </c>
      <c r="H80" s="280">
        <v>56.0</v>
      </c>
      <c r="I80" s="280"/>
      <c r="J80" s="280"/>
      <c r="K80" s="280">
        <v>27.0</v>
      </c>
      <c r="L80" s="280"/>
      <c r="M80" s="280"/>
      <c r="N80" s="280"/>
      <c r="O80" s="280"/>
      <c r="P80" s="280"/>
      <c r="Q80" s="280"/>
      <c r="R80" s="290"/>
      <c r="S80" s="281"/>
      <c r="T80" s="294"/>
      <c r="U80" s="281"/>
      <c r="V80" s="281"/>
      <c r="W80" s="281"/>
      <c r="X80" s="281"/>
    </row>
    <row r="81">
      <c r="A81" s="281"/>
      <c r="B81" s="288" t="s">
        <v>795</v>
      </c>
      <c r="C81" s="280" t="s">
        <v>691</v>
      </c>
      <c r="D81" s="289">
        <f>ROUND((F81*'Pawn Weights'!$H$60)+(G81*'Pawn Weights'!$H$61)+(H81*'Pawn Weights'!$H$62)+(I81*'Pawn Weights'!$H$63)+(J81*'Pawn Weights'!$H$64)+(K81*'Pawn Weights'!$H$65)+(L81*'Pawn Weights'!$H$66)+(M81*'Pawn Weights'!$H$67)+(N81*'Pawn Weights'!$H$68)+(O81*'Pawn Weights'!$H$69)+(P81*'Pawn Weights'!$H$70)+(Q81*'Pawn Weights'!$H$71)-22+19.7+3.48, 2)</f>
        <v>133.23</v>
      </c>
      <c r="E81" s="280">
        <v>22.0</v>
      </c>
      <c r="F81" s="280"/>
      <c r="G81" s="280">
        <v>17.0</v>
      </c>
      <c r="H81" s="280">
        <v>50.0</v>
      </c>
      <c r="I81" s="280">
        <v>18.0</v>
      </c>
      <c r="J81" s="280"/>
      <c r="K81" s="280"/>
      <c r="L81" s="280"/>
      <c r="M81" s="280"/>
      <c r="N81" s="280"/>
      <c r="O81" s="280"/>
      <c r="P81" s="280">
        <v>1.0</v>
      </c>
      <c r="Q81" s="280"/>
      <c r="R81" s="290" t="s">
        <v>736</v>
      </c>
      <c r="S81" s="281"/>
      <c r="T81" s="222"/>
      <c r="U81" s="281"/>
      <c r="V81" s="281"/>
      <c r="W81" s="281"/>
      <c r="X81" s="281"/>
    </row>
    <row r="82">
      <c r="A82" s="292" t="s">
        <v>627</v>
      </c>
      <c r="B82" s="288" t="s">
        <v>796</v>
      </c>
      <c r="C82" s="280" t="s">
        <v>788</v>
      </c>
      <c r="D82" s="289">
        <f>ROUND((F82*'Pawn Weights'!$H$60)+(G82*'Pawn Weights'!$H$61)+(H82*'Pawn Weights'!$H$62)+(I82*'Pawn Weights'!$H$63)+(J82*'Pawn Weights'!$H$64)+(K82*'Pawn Weights'!$H$65)+(L82*'Pawn Weights'!$H$66)+(M82*'Pawn Weights'!$H$67)+(N82*'Pawn Weights'!$H$68)+(O82*'Pawn Weights'!$H$69)+(P82*'Pawn Weights'!$H$70)+(Q82*'Pawn Weights'!$H$71), 2)</f>
        <v>132.94</v>
      </c>
      <c r="E82" s="280">
        <v>34.0</v>
      </c>
      <c r="F82" s="280"/>
      <c r="G82" s="280">
        <v>20.0</v>
      </c>
      <c r="H82" s="280">
        <v>50.0</v>
      </c>
      <c r="I82" s="280"/>
      <c r="J82" s="280"/>
      <c r="K82" s="280">
        <v>27.0</v>
      </c>
      <c r="L82" s="280"/>
      <c r="M82" s="280"/>
      <c r="N82" s="280"/>
      <c r="O82" s="280"/>
      <c r="P82" s="280"/>
      <c r="Q82" s="280"/>
      <c r="R82" s="290"/>
      <c r="S82" s="281"/>
      <c r="T82" s="222"/>
      <c r="U82" s="281"/>
      <c r="V82" s="281"/>
      <c r="W82" s="281"/>
      <c r="X82" s="281"/>
    </row>
    <row r="83">
      <c r="A83" s="281"/>
      <c r="B83" s="288" t="s">
        <v>1207</v>
      </c>
      <c r="C83" s="307" t="s">
        <v>871</v>
      </c>
      <c r="D83" s="289">
        <f>ROUND((F83*'Pawn Weights'!$H$60)+(G83*'Pawn Weights'!$H$61)+(H83*'Pawn Weights'!$H$62)+(I83*'Pawn Weights'!$H$63)+(J83*'Pawn Weights'!$H$64)+(K83*'Pawn Weights'!$H$65)+(L83*'Pawn Weights'!$H$66)+(M83*'Pawn Weights'!$H$67)+(N83*'Pawn Weights'!$H$68)+(O83*'Pawn Weights'!$H$69)+(P83*'Pawn Weights'!$H$70)+(Q83*'Pawn Weights'!$H$71), 2)</f>
        <v>114.56</v>
      </c>
      <c r="E83" s="280">
        <v>24.0</v>
      </c>
      <c r="F83" s="280"/>
      <c r="G83" s="280">
        <v>24.0</v>
      </c>
      <c r="H83" s="280">
        <v>52.0</v>
      </c>
      <c r="I83" s="280"/>
      <c r="J83" s="280"/>
      <c r="K83" s="280"/>
      <c r="L83" s="280"/>
      <c r="M83" s="280"/>
      <c r="N83" s="280"/>
      <c r="O83" s="280"/>
      <c r="P83" s="280"/>
      <c r="Q83" s="280">
        <v>1.0</v>
      </c>
      <c r="R83" s="290" t="s">
        <v>660</v>
      </c>
      <c r="S83" s="281"/>
      <c r="T83" s="294"/>
      <c r="U83" s="281"/>
      <c r="V83" s="281"/>
      <c r="W83" s="281"/>
      <c r="X83" s="281"/>
    </row>
    <row r="84">
      <c r="A84" s="281"/>
      <c r="B84" s="288" t="s">
        <v>1092</v>
      </c>
      <c r="C84" s="280" t="s">
        <v>957</v>
      </c>
      <c r="D84" s="289">
        <f>ROUND((F84*'Pawn Weights'!$H$60)+(G84*'Pawn Weights'!$H$61)+(H84*'Pawn Weights'!$H$62)+(I84*'Pawn Weights'!$H$63)+(J84*'Pawn Weights'!$H$64)+(K84*'Pawn Weights'!$H$65)+(L84*'Pawn Weights'!$H$66)+(M84*'Pawn Weights'!$H$67)+(N84*'Pawn Weights'!$H$68)+(O84*'Pawn Weights'!$H$69)+(P84*'Pawn Weights'!$H$70)+(Q84*'Pawn Weights'!$H$71), 2)</f>
        <v>113.76</v>
      </c>
      <c r="E84" s="280">
        <v>18.0</v>
      </c>
      <c r="F84" s="280"/>
      <c r="G84" s="280"/>
      <c r="H84" s="280">
        <v>50.0</v>
      </c>
      <c r="I84" s="280">
        <v>24.0</v>
      </c>
      <c r="J84" s="280"/>
      <c r="K84" s="280"/>
      <c r="L84" s="280"/>
      <c r="M84" s="280"/>
      <c r="N84" s="280"/>
      <c r="O84" s="280"/>
      <c r="P84" s="280">
        <v>1.0</v>
      </c>
      <c r="Q84" s="280"/>
      <c r="R84" s="290" t="s">
        <v>674</v>
      </c>
      <c r="S84" s="281"/>
      <c r="T84" s="294"/>
      <c r="U84" s="281"/>
      <c r="V84" s="281"/>
      <c r="W84" s="281"/>
      <c r="X84" s="281"/>
    </row>
    <row r="85">
      <c r="A85" s="137" t="s">
        <v>671</v>
      </c>
      <c r="B85" s="296" t="s">
        <v>1339</v>
      </c>
      <c r="C85" s="297" t="s">
        <v>1090</v>
      </c>
      <c r="D85" s="367">
        <f>ROUND((F85*'Pawn Weights'!$K$60)+(G85*'Pawn Weights'!$K$61)+(H85*'Pawn Weights'!$K$62)+(I85*'Pawn Weights'!$K$63)+(J85*'Pawn Weights'!$K$64)+(K85*'Pawn Weights'!$K$65)+(L85*'Pawn Weights'!$K$66)+(M85*'Pawn Weights'!$K$67)+(N85*'Pawn Weights'!$K$68)+(O85*'Pawn Weights'!$K$69)+(P85*'Pawn Weights'!$K$70)+(Q85*'Pawn Weights'!$K$71), 2)</f>
        <v>108.16</v>
      </c>
      <c r="E85" s="298">
        <v>37.0</v>
      </c>
      <c r="F85" s="298">
        <v>28.0</v>
      </c>
      <c r="G85" s="295"/>
      <c r="H85" s="295"/>
      <c r="I85" s="298">
        <v>24.0</v>
      </c>
      <c r="J85" s="295"/>
      <c r="K85" s="295"/>
      <c r="L85" s="295"/>
      <c r="M85" s="295"/>
      <c r="N85" s="295"/>
      <c r="O85" s="295"/>
      <c r="P85" s="295"/>
      <c r="Q85" s="295"/>
      <c r="R85" s="298" t="s">
        <v>1340</v>
      </c>
      <c r="S85" s="137"/>
      <c r="T85" s="295" t="s">
        <v>850</v>
      </c>
      <c r="U85" s="137"/>
      <c r="V85" s="137"/>
      <c r="W85" s="137"/>
      <c r="X85" s="137"/>
      <c r="Y85" s="137"/>
      <c r="Z85" s="137"/>
    </row>
    <row r="86">
      <c r="A86" s="281"/>
      <c r="B86" s="288" t="s">
        <v>1337</v>
      </c>
      <c r="C86" s="307" t="s">
        <v>1338</v>
      </c>
      <c r="D86" s="289">
        <f>ROUND((F86*'Pawn Weights'!$H$60)+(G86*'Pawn Weights'!$H$61)+(H86*'Pawn Weights'!$H$62)+(I86*'Pawn Weights'!$H$63)+(J86*'Pawn Weights'!$H$64)+(K86*'Pawn Weights'!$H$65)+(L86*'Pawn Weights'!$H$66)+(M86*'Pawn Weights'!$H$67)+(N86*'Pawn Weights'!$H$68)+(O86*'Pawn Weights'!$H$69)+(P86*'Pawn Weights'!$H$70)+(Q86*'Pawn Weights'!$H$71), 2)</f>
        <v>106.31</v>
      </c>
      <c r="E86" s="280"/>
      <c r="F86" s="280"/>
      <c r="G86" s="280">
        <v>17.0</v>
      </c>
      <c r="H86" s="280">
        <v>48.0</v>
      </c>
      <c r="I86" s="280">
        <v>17.0</v>
      </c>
      <c r="J86" s="280"/>
      <c r="K86" s="280"/>
      <c r="L86" s="280"/>
      <c r="M86" s="280"/>
      <c r="N86" s="280"/>
      <c r="O86" s="280"/>
      <c r="P86" s="280"/>
      <c r="Q86" s="280"/>
      <c r="R86" s="290"/>
      <c r="S86" s="281"/>
      <c r="T86" s="294"/>
      <c r="U86" s="281"/>
      <c r="V86" s="281"/>
      <c r="W86" s="281"/>
      <c r="X86" s="281"/>
    </row>
    <row r="87" ht="14.25" customHeight="1">
      <c r="A87" s="281"/>
      <c r="B87" s="288" t="s">
        <v>1208</v>
      </c>
      <c r="C87" s="280" t="s">
        <v>1209</v>
      </c>
      <c r="D87" s="289">
        <f>ROUND((F87*'Pawn Weights'!$H$60)+(G87*'Pawn Weights'!$H$61)+(H87*'Pawn Weights'!$H$62)+(I87*'Pawn Weights'!$H$63)+(J87*'Pawn Weights'!$H$64)+(K87*'Pawn Weights'!$H$65)+(L87*'Pawn Weights'!$H$66)+(M87*'Pawn Weights'!$H$67)+(N87*'Pawn Weights'!$H$68)+(O87*'Pawn Weights'!$H$69)+(P87*'Pawn Weights'!$H$70)+(Q87*'Pawn Weights'!$H$71), 2)</f>
        <v>97.8</v>
      </c>
      <c r="E87" s="280">
        <v>18.0</v>
      </c>
      <c r="F87" s="280"/>
      <c r="G87" s="280">
        <v>20.0</v>
      </c>
      <c r="H87" s="280">
        <v>42.0</v>
      </c>
      <c r="I87" s="280"/>
      <c r="J87" s="280"/>
      <c r="K87" s="280"/>
      <c r="L87" s="280"/>
      <c r="M87" s="280"/>
      <c r="N87" s="280"/>
      <c r="O87" s="280"/>
      <c r="P87" s="280"/>
      <c r="Q87" s="280">
        <v>1.0</v>
      </c>
      <c r="R87" s="290" t="s">
        <v>660</v>
      </c>
      <c r="S87" s="281"/>
      <c r="T87" s="222"/>
      <c r="U87" s="281"/>
      <c r="V87" s="281"/>
      <c r="W87" s="281"/>
      <c r="X87" s="281"/>
    </row>
    <row r="88" ht="14.25" customHeight="1">
      <c r="A88" s="301" t="s">
        <v>627</v>
      </c>
      <c r="B88" s="288" t="s">
        <v>1468</v>
      </c>
      <c r="C88" s="307" t="s">
        <v>1464</v>
      </c>
      <c r="D88" s="289">
        <f>ROUND((F88*'Pawn Weights'!$H$60)+(G88*'Pawn Weights'!$H$61)+(H88*'Pawn Weights'!$H$62)+(I88*'Pawn Weights'!$H$63)+(J88*'Pawn Weights'!$H$64)+(K88*'Pawn Weights'!$H$65)+(L88*'Pawn Weights'!$H$66)+(M88*'Pawn Weights'!$H$67)+(N88*'Pawn Weights'!$H$68)+(O88*'Pawn Weights'!$H$69)+(P88*'Pawn Weights'!$H$70)+(Q88*'Pawn Weights'!$H$71)-22+19.7+3.38, 2)</f>
        <v>90.66</v>
      </c>
      <c r="E88" s="280">
        <v>25.0</v>
      </c>
      <c r="F88" s="280"/>
      <c r="G88" s="280"/>
      <c r="H88" s="280">
        <v>38.0</v>
      </c>
      <c r="I88" s="280">
        <v>17.0</v>
      </c>
      <c r="J88" s="280"/>
      <c r="K88" s="280"/>
      <c r="L88" s="280"/>
      <c r="M88" s="280"/>
      <c r="N88" s="280"/>
      <c r="O88" s="280"/>
      <c r="P88" s="280">
        <v>1.0</v>
      </c>
      <c r="Q88" s="280"/>
      <c r="R88" s="290" t="s">
        <v>711</v>
      </c>
      <c r="S88" s="281"/>
      <c r="T88" s="294" t="s">
        <v>1469</v>
      </c>
      <c r="U88" s="281"/>
      <c r="V88" s="281"/>
      <c r="W88" s="281"/>
      <c r="X88" s="281"/>
    </row>
    <row r="89">
      <c r="A89" s="301" t="s">
        <v>627</v>
      </c>
      <c r="B89" s="311" t="s">
        <v>1470</v>
      </c>
      <c r="C89" s="280" t="s">
        <v>1471</v>
      </c>
      <c r="D89" s="289">
        <f>ROUND((F89*'Pawn Weights'!$H$60)+(G89*'Pawn Weights'!$H$61)+(H89*'Pawn Weights'!$H$62)+(I89*'Pawn Weights'!$H$63)+(J89*'Pawn Weights'!$H$64)+(K89*'Pawn Weights'!$H$65)+(L89*'Pawn Weights'!$H$66)+(M89*'Pawn Weights'!$H$67)+(N89*'Pawn Weights'!$H$68)+(O89*'Pawn Weights'!$H$69)+(P89*'Pawn Weights'!$H$70)+(Q89*'Pawn Weights'!$H$71), 2)</f>
        <v>90.42</v>
      </c>
      <c r="E89" s="280"/>
      <c r="F89" s="280"/>
      <c r="G89" s="280">
        <v>18.0</v>
      </c>
      <c r="H89" s="280">
        <v>38.0</v>
      </c>
      <c r="I89" s="280"/>
      <c r="J89" s="280"/>
      <c r="K89" s="280"/>
      <c r="L89" s="280"/>
      <c r="M89" s="280"/>
      <c r="N89" s="280"/>
      <c r="O89" s="280"/>
      <c r="P89" s="280"/>
      <c r="Q89" s="280">
        <v>1.0</v>
      </c>
      <c r="R89" s="290" t="s">
        <v>674</v>
      </c>
      <c r="S89" s="281"/>
      <c r="T89" s="294" t="s">
        <v>1472</v>
      </c>
      <c r="U89" s="281"/>
      <c r="V89" s="281"/>
      <c r="W89" s="281"/>
      <c r="X89" s="281"/>
    </row>
    <row r="90" ht="4.5" customHeight="1">
      <c r="A90" s="292" t="s">
        <v>627</v>
      </c>
      <c r="B90" s="288" t="s">
        <v>1215</v>
      </c>
      <c r="C90" s="307" t="s">
        <v>1216</v>
      </c>
      <c r="D90" s="289">
        <f>ROUND((F90*'Pawn Weights'!$H$60)+(G90*'Pawn Weights'!$H$61)+(H90*'Pawn Weights'!$H$62)+(I90*'Pawn Weights'!$H$63)+(J90*'Pawn Weights'!$H$64)+(K90*'Pawn Weights'!$H$65)+(L90*'Pawn Weights'!$H$66)+(M90*'Pawn Weights'!$H$67)+(N90*'Pawn Weights'!$H$68)+(O90*'Pawn Weights'!$H$69)+(P90*'Pawn Weights'!$H$70)+(Q90*'Pawn Weights'!$H$71), 2)</f>
        <v>89.35</v>
      </c>
      <c r="E90" s="280">
        <v>21.0</v>
      </c>
      <c r="F90" s="280"/>
      <c r="G90" s="280">
        <v>15.0</v>
      </c>
      <c r="H90" s="280">
        <v>64.0</v>
      </c>
      <c r="I90" s="280"/>
      <c r="J90" s="280"/>
      <c r="K90" s="280"/>
      <c r="L90" s="280"/>
      <c r="M90" s="280"/>
      <c r="N90" s="280"/>
      <c r="O90" s="280"/>
      <c r="P90" s="280"/>
      <c r="Q90" s="280"/>
      <c r="R90" s="290"/>
      <c r="S90" s="281"/>
      <c r="T90" s="294"/>
      <c r="U90" s="281"/>
      <c r="V90" s="281"/>
      <c r="W90" s="281"/>
      <c r="X90" s="281"/>
    </row>
    <row r="91">
      <c r="A91" s="272" t="s">
        <v>800</v>
      </c>
      <c r="B91" s="281"/>
      <c r="C91" s="281"/>
      <c r="D91" s="360"/>
      <c r="E91" s="281"/>
      <c r="F91" s="281"/>
      <c r="G91" s="281"/>
      <c r="H91" s="281"/>
      <c r="I91" s="281"/>
      <c r="J91" s="281"/>
      <c r="K91" s="281"/>
      <c r="L91" s="281"/>
      <c r="M91" s="281"/>
      <c r="N91" s="281"/>
      <c r="O91" s="281"/>
      <c r="P91" s="281"/>
      <c r="Q91" s="281"/>
      <c r="R91" s="282"/>
      <c r="S91" s="281"/>
      <c r="T91" s="285"/>
      <c r="U91" s="281"/>
      <c r="V91" s="281"/>
      <c r="W91" s="281"/>
    </row>
    <row r="92">
      <c r="A92" s="137" t="s">
        <v>627</v>
      </c>
      <c r="B92" s="341" t="s">
        <v>801</v>
      </c>
      <c r="C92" s="361" t="s">
        <v>802</v>
      </c>
      <c r="D92" s="289">
        <f>ROUND((F92*'Pawn Weights'!$H$60)+(G92*'Pawn Weights'!$H$61)+(H92*'Pawn Weights'!$H$62)+(I92*'Pawn Weights'!$H$63)+(J92*'Pawn Weights'!$H$64)+(K92*'Pawn Weights'!$H$65)+(L92*'Pawn Weights'!$H$66)+(M92*'Pawn Weights'!$H$67)+(N92*'Pawn Weights'!$H$68)+(O92*'Pawn Weights'!$H$69)+(P92*'Pawn Weights'!$H$70)+(Q92*'Pawn Weights'!$H$71)+5.22, 2)</f>
        <v>296.02</v>
      </c>
      <c r="E92" s="359">
        <v>33.0</v>
      </c>
      <c r="F92" s="361"/>
      <c r="G92" s="359">
        <v>30.0</v>
      </c>
      <c r="H92" s="359">
        <v>90.0</v>
      </c>
      <c r="I92" s="359">
        <v>30.0</v>
      </c>
      <c r="J92" s="361"/>
      <c r="K92" s="361"/>
      <c r="L92" s="361"/>
      <c r="M92" s="359">
        <v>154.0</v>
      </c>
      <c r="N92" s="361"/>
      <c r="O92" s="359">
        <v>2.0</v>
      </c>
      <c r="P92" s="361"/>
      <c r="Q92" s="361"/>
      <c r="R92" s="359" t="s">
        <v>702</v>
      </c>
      <c r="S92" s="137"/>
      <c r="T92" s="137"/>
      <c r="U92" s="137"/>
      <c r="V92" s="137"/>
      <c r="W92" s="137"/>
      <c r="X92" s="137"/>
      <c r="Y92" s="137"/>
      <c r="Z92" s="137"/>
    </row>
    <row r="93">
      <c r="A93" s="137" t="s">
        <v>627</v>
      </c>
      <c r="B93" s="341" t="s">
        <v>808</v>
      </c>
      <c r="C93" s="361" t="s">
        <v>802</v>
      </c>
      <c r="D93" s="289">
        <f>ROUND((F93*'Pawn Weights'!$H$60)+(G93*'Pawn Weights'!$H$61)+(H93*'Pawn Weights'!$H$62)+(I93*'Pawn Weights'!$H$63)+(J93*'Pawn Weights'!$H$64)+(K93*'Pawn Weights'!$H$65)+(L93*'Pawn Weights'!$H$66)+(M93*'Pawn Weights'!$H$67)+(N93*'Pawn Weights'!$H$68)+(O93*'Pawn Weights'!$H$69)+(P93*'Pawn Weights'!$H$70)+(Q93*'Pawn Weights'!$H$71)-44+38.4+6, 2)</f>
        <v>232.98</v>
      </c>
      <c r="E93" s="359">
        <v>33.0</v>
      </c>
      <c r="F93" s="361"/>
      <c r="G93" s="359">
        <v>30.0</v>
      </c>
      <c r="H93" s="359">
        <v>76.0</v>
      </c>
      <c r="I93" s="361"/>
      <c r="J93" s="361"/>
      <c r="K93" s="359">
        <v>34.0</v>
      </c>
      <c r="L93" s="361"/>
      <c r="M93" s="137"/>
      <c r="N93" s="361"/>
      <c r="O93" s="361"/>
      <c r="P93" s="359">
        <v>2.0</v>
      </c>
      <c r="Q93" s="361"/>
      <c r="R93" s="359" t="s">
        <v>809</v>
      </c>
      <c r="S93" s="137"/>
      <c r="T93" s="137"/>
      <c r="U93" s="137"/>
      <c r="V93" s="137"/>
      <c r="W93" s="137"/>
      <c r="X93" s="137"/>
      <c r="Y93" s="137"/>
      <c r="Z93" s="137"/>
    </row>
    <row r="94">
      <c r="A94" s="25"/>
      <c r="B94" s="288" t="s">
        <v>815</v>
      </c>
      <c r="C94" s="280" t="s">
        <v>816</v>
      </c>
      <c r="D94" s="289">
        <f>ROUND((F94*'Pawn Weights'!$H$60)+(G94*'Pawn Weights'!$H$61)+(H94*'Pawn Weights'!$H$62)+(I94*'Pawn Weights'!$H$63)+(J94*'Pawn Weights'!$H$64)+(K94*'Pawn Weights'!$H$65)+(L94*'Pawn Weights'!$H$66)+(M94*'Pawn Weights'!$H$67)+(N94*'Pawn Weights'!$H$68)+(O94*'Pawn Weights'!$H$69)+(P94*'Pawn Weights'!$H$70)+(Q94*'Pawn Weights'!$H$71), 2)</f>
        <v>188.97</v>
      </c>
      <c r="E94" s="280">
        <v>38.0</v>
      </c>
      <c r="F94" s="280"/>
      <c r="G94" s="280">
        <v>27.0</v>
      </c>
      <c r="H94" s="280">
        <v>76.0</v>
      </c>
      <c r="I94" s="280"/>
      <c r="J94" s="280"/>
      <c r="K94" s="280">
        <v>37.0</v>
      </c>
      <c r="L94" s="280"/>
      <c r="M94" s="280"/>
      <c r="N94" s="280"/>
      <c r="O94" s="280"/>
      <c r="P94" s="280"/>
      <c r="Q94" s="280"/>
      <c r="R94" s="290"/>
      <c r="S94" s="281"/>
      <c r="T94" s="291"/>
      <c r="U94" s="281"/>
      <c r="V94" s="281"/>
      <c r="W94" s="281"/>
    </row>
    <row r="95">
      <c r="A95" s="301"/>
      <c r="B95" s="288" t="s">
        <v>817</v>
      </c>
      <c r="C95" s="280" t="s">
        <v>818</v>
      </c>
      <c r="D95" s="289">
        <f>ROUND((F95*'Pawn Weights'!$H$60)+(G95*'Pawn Weights'!$H$61)+(H95*'Pawn Weights'!$H$62)+(I95*'Pawn Weights'!$H$63)+(J95*'Pawn Weights'!$H$64)+(K95*'Pawn Weights'!$H$65)+(L95*'Pawn Weights'!$H$66)+(M95*'Pawn Weights'!$H$67)+(N95*'Pawn Weights'!$H$68)+(O95*'Pawn Weights'!$H$69)+(P95*'Pawn Weights'!$H$70)+(Q95*'Pawn Weights'!$H$71)-22+19.7+3.38, 2)</f>
        <v>186.38</v>
      </c>
      <c r="E95" s="280">
        <v>30.0</v>
      </c>
      <c r="F95" s="280"/>
      <c r="G95" s="280">
        <v>34.0</v>
      </c>
      <c r="H95" s="280">
        <v>78.0</v>
      </c>
      <c r="I95" s="280">
        <v>16.0</v>
      </c>
      <c r="J95" s="280"/>
      <c r="K95" s="280"/>
      <c r="L95" s="280"/>
      <c r="M95" s="281"/>
      <c r="N95" s="280"/>
      <c r="O95" s="280"/>
      <c r="P95" s="280">
        <v>1.0</v>
      </c>
      <c r="Q95" s="280"/>
      <c r="R95" s="290" t="s">
        <v>711</v>
      </c>
      <c r="S95" s="281"/>
      <c r="T95" s="291"/>
      <c r="U95" s="281"/>
      <c r="V95" s="281"/>
      <c r="W95" s="281"/>
    </row>
    <row r="96">
      <c r="A96" s="25"/>
      <c r="B96" s="288" t="s">
        <v>819</v>
      </c>
      <c r="C96" s="280" t="s">
        <v>716</v>
      </c>
      <c r="D96" s="289">
        <f>ROUND((F96*'Pawn Weights'!$H$60)+(G96*'Pawn Weights'!$H$61)+(H96*'Pawn Weights'!$H$62)+(I96*'Pawn Weights'!$H$63)+(J96*'Pawn Weights'!$H$64)+(K96*'Pawn Weights'!$H$65)+(L96*'Pawn Weights'!$H$66)+(M96*'Pawn Weights'!$H$67)+(N96*'Pawn Weights'!$H$68)+(O96*'Pawn Weights'!$H$69)+(P96*'Pawn Weights'!$H$70)+(Q96*'Pawn Weights'!$H$71), 2)</f>
        <v>185.59</v>
      </c>
      <c r="E96" s="280">
        <v>24.0</v>
      </c>
      <c r="F96" s="280"/>
      <c r="G96" s="280">
        <v>25.0</v>
      </c>
      <c r="H96" s="280">
        <v>76.0</v>
      </c>
      <c r="I96" s="280"/>
      <c r="J96" s="280"/>
      <c r="K96" s="280">
        <v>37.0</v>
      </c>
      <c r="L96" s="280"/>
      <c r="M96" s="281"/>
      <c r="N96" s="280"/>
      <c r="O96" s="280"/>
      <c r="P96" s="280"/>
      <c r="Q96" s="280"/>
      <c r="R96" s="290"/>
      <c r="S96" s="281"/>
      <c r="T96" s="291"/>
      <c r="U96" s="281"/>
      <c r="V96" s="281"/>
      <c r="W96" s="281"/>
    </row>
    <row r="97">
      <c r="B97" s="288" t="s">
        <v>1094</v>
      </c>
      <c r="C97" s="280" t="s">
        <v>1025</v>
      </c>
      <c r="D97" s="289">
        <f>ROUND((F97*'Pawn Weights'!$H$60)+(G97*'Pawn Weights'!$H$61)+(H97*'Pawn Weights'!$H$62)+(I97*'Pawn Weights'!$H$63)+(J97*'Pawn Weights'!$H$64)+(K97*'Pawn Weights'!$H$65)+(L97*'Pawn Weights'!$H$66)+(M97*'Pawn Weights'!$H$67)+(N97*'Pawn Weights'!$H$68)+(O97*'Pawn Weights'!$H$69)+(P97*'Pawn Weights'!$H$70)+(Q97*'Pawn Weights'!$H$71), 2)</f>
        <v>179.01</v>
      </c>
      <c r="E97" s="280">
        <v>37.0</v>
      </c>
      <c r="F97" s="280"/>
      <c r="G97" s="280">
        <v>33.0</v>
      </c>
      <c r="H97" s="280">
        <v>66.0</v>
      </c>
      <c r="I97" s="280"/>
      <c r="J97" s="280"/>
      <c r="K97" s="280"/>
      <c r="L97" s="280">
        <v>18.0</v>
      </c>
      <c r="M97" s="281"/>
      <c r="N97" s="280"/>
      <c r="O97" s="280"/>
      <c r="P97" s="280"/>
      <c r="Q97" s="280"/>
      <c r="R97" s="290"/>
      <c r="S97" s="281"/>
      <c r="T97" s="291" t="s">
        <v>1192</v>
      </c>
      <c r="U97" s="281"/>
      <c r="V97" s="281"/>
      <c r="W97" s="281"/>
    </row>
    <row r="98">
      <c r="A98" s="25" t="s">
        <v>640</v>
      </c>
      <c r="B98" s="288" t="s">
        <v>1341</v>
      </c>
      <c r="C98" s="280" t="s">
        <v>814</v>
      </c>
      <c r="D98" s="289">
        <f>ROUND((F98*'Pawn Weights'!$H$60)+(G98*'Pawn Weights'!$H$61)+(H98*'Pawn Weights'!$H$62)+(I98*'Pawn Weights'!$H$63)+(J98*'Pawn Weights'!$H$64)+(K98*'Pawn Weights'!$H$65)+(L98*'Pawn Weights'!$H$66)+(M98*'Pawn Weights'!$H$67)+(N98*'Pawn Weights'!$H$68)+(O98*'Pawn Weights'!$H$69)+(P98*'Pawn Weights'!$H$70)+(Q98*'Pawn Weights'!$H$71)-22+19.7+4.4, 2)</f>
        <v>168.41</v>
      </c>
      <c r="E98" s="280">
        <v>45.0</v>
      </c>
      <c r="F98" s="280">
        <v>39.0</v>
      </c>
      <c r="G98" s="280"/>
      <c r="H98" s="280"/>
      <c r="I98" s="280">
        <v>21.0</v>
      </c>
      <c r="J98" s="280">
        <v>13.0</v>
      </c>
      <c r="K98" s="280"/>
      <c r="L98" s="280"/>
      <c r="M98" s="281"/>
      <c r="N98" s="280"/>
      <c r="O98" s="280"/>
      <c r="P98" s="280">
        <v>1.0</v>
      </c>
      <c r="Q98" s="280"/>
      <c r="R98" s="290" t="s">
        <v>784</v>
      </c>
      <c r="S98" s="281"/>
      <c r="T98" s="291"/>
      <c r="U98" s="281"/>
      <c r="V98" s="281"/>
      <c r="W98" s="281"/>
    </row>
    <row r="99">
      <c r="A99" s="301"/>
      <c r="B99" s="288" t="s">
        <v>824</v>
      </c>
      <c r="C99" s="280" t="s">
        <v>825</v>
      </c>
      <c r="D99" s="289">
        <f>ROUND((F99*'Pawn Weights'!$H$60)+(G99*'Pawn Weights'!$H$61)+(H99*'Pawn Weights'!$H$62)+(I99*'Pawn Weights'!$H$63)+(J99*'Pawn Weights'!$H$64)+(K99*'Pawn Weights'!$H$65)+(L99*'Pawn Weights'!$H$66)+(M99*'Pawn Weights'!$H$67)+(N99*'Pawn Weights'!$H$68)+(O99*'Pawn Weights'!$H$69)+(P99*'Pawn Weights'!$H$70)+(Q99*'Pawn Weights'!$H$71), 2)</f>
        <v>161.24</v>
      </c>
      <c r="E99" s="280">
        <v>31.0</v>
      </c>
      <c r="F99" s="280"/>
      <c r="G99" s="280"/>
      <c r="H99" s="280">
        <v>72.0</v>
      </c>
      <c r="I99" s="280">
        <v>26.0</v>
      </c>
      <c r="J99" s="280"/>
      <c r="K99" s="280"/>
      <c r="L99" s="280"/>
      <c r="M99" s="281"/>
      <c r="N99" s="280"/>
      <c r="O99" s="280"/>
      <c r="P99" s="280"/>
      <c r="Q99" s="280">
        <v>2.0</v>
      </c>
      <c r="R99" s="290" t="s">
        <v>702</v>
      </c>
      <c r="S99" s="281"/>
      <c r="T99" s="291"/>
      <c r="U99" s="281"/>
      <c r="V99" s="281"/>
      <c r="W99" s="281"/>
    </row>
    <row r="100">
      <c r="A100" s="301" t="s">
        <v>647</v>
      </c>
      <c r="B100" s="288" t="s">
        <v>1342</v>
      </c>
      <c r="C100" s="280" t="s">
        <v>957</v>
      </c>
      <c r="D100" s="289">
        <f>ROUND((F100*'Pawn Weights'!$H$60)+(G100*'Pawn Weights'!$H$61)+(H100*'Pawn Weights'!$H$62)+(I100*'Pawn Weights'!$H$63)+(J100*'Pawn Weights'!$H$64)+(K100*'Pawn Weights'!$H$65)+(L100*'Pawn Weights'!$H$66)+(M100*'Pawn Weights'!$H$67)+(N100*'Pawn Weights'!$H$68)+(O100*'Pawn Weights'!$H$69)+(P100*'Pawn Weights'!$H$70)+(Q100*'Pawn Weights'!$H$71), 2)</f>
        <v>158.12</v>
      </c>
      <c r="E100" s="280">
        <v>34.0</v>
      </c>
      <c r="F100" s="280">
        <v>35.0</v>
      </c>
      <c r="G100" s="280">
        <v>24.0</v>
      </c>
      <c r="H100" s="280"/>
      <c r="I100" s="280"/>
      <c r="J100" s="280">
        <v>24.0</v>
      </c>
      <c r="K100" s="280"/>
      <c r="L100" s="280"/>
      <c r="M100" s="281"/>
      <c r="N100" s="280"/>
      <c r="O100" s="280"/>
      <c r="P100" s="280"/>
      <c r="Q100" s="280"/>
      <c r="R100" s="290"/>
      <c r="S100" s="281"/>
      <c r="T100" s="291"/>
      <c r="U100" s="281"/>
      <c r="V100" s="281"/>
      <c r="W100" s="281"/>
    </row>
    <row r="101">
      <c r="B101" s="288" t="s">
        <v>1223</v>
      </c>
      <c r="C101" s="280" t="s">
        <v>1224</v>
      </c>
      <c r="D101" s="289">
        <f>ROUND((F101*'Pawn Weights'!$H$60)+(G101*'Pawn Weights'!$H$61)+(H101*'Pawn Weights'!$H$62)+(I101*'Pawn Weights'!$H$63)+(J101*'Pawn Weights'!$H$64)+(K101*'Pawn Weights'!$H$65)+(L101*'Pawn Weights'!$H$66)+(M101*'Pawn Weights'!$H$67)+(N101*'Pawn Weights'!$H$68)+(O101*'Pawn Weights'!$H$69)+(P101*'Pawn Weights'!$H$70)+(Q101*'Pawn Weights'!$H$71), 2)</f>
        <v>156.71</v>
      </c>
      <c r="E101" s="280">
        <v>34.0</v>
      </c>
      <c r="F101" s="280"/>
      <c r="G101" s="280">
        <v>29.0</v>
      </c>
      <c r="H101" s="280">
        <v>60.0</v>
      </c>
      <c r="I101" s="280"/>
      <c r="J101" s="280"/>
      <c r="K101" s="280"/>
      <c r="L101" s="280">
        <v>15.0</v>
      </c>
      <c r="M101" s="281"/>
      <c r="N101" s="280"/>
      <c r="O101" s="280"/>
      <c r="P101" s="280"/>
      <c r="Q101" s="280"/>
      <c r="R101" s="290"/>
      <c r="S101" s="281"/>
      <c r="T101" s="291"/>
      <c r="U101" s="281"/>
      <c r="V101" s="281"/>
      <c r="W101" s="281"/>
    </row>
    <row r="102">
      <c r="A102" s="25" t="s">
        <v>627</v>
      </c>
      <c r="B102" s="311" t="s">
        <v>1097</v>
      </c>
      <c r="C102" s="280" t="s">
        <v>904</v>
      </c>
      <c r="D102" s="289">
        <f>ROUND((F102*'Pawn Weights'!$H$60)+(G102*'Pawn Weights'!$H$61)+(H102*'Pawn Weights'!$H$62)+(I102*'Pawn Weights'!$H$63)+(J102*'Pawn Weights'!$H$64)+(K102*'Pawn Weights'!$H$65)+(L102*'Pawn Weights'!$H$66)+(M102*'Pawn Weights'!$H$67)+(N102*'Pawn Weights'!$H$68)+(O102*'Pawn Weights'!$H$69)+(P102*'Pawn Weights'!$H$70)+(Q102*'Pawn Weights'!$H$71)-22+19.7+6, 2)</f>
        <v>154.19</v>
      </c>
      <c r="E102" s="280"/>
      <c r="F102" s="280"/>
      <c r="G102" s="280"/>
      <c r="H102" s="280">
        <v>36.0</v>
      </c>
      <c r="I102" s="280">
        <v>24.0</v>
      </c>
      <c r="J102" s="280">
        <v>17.0</v>
      </c>
      <c r="K102" s="280"/>
      <c r="L102" s="280"/>
      <c r="M102" s="281"/>
      <c r="N102" s="280"/>
      <c r="O102" s="280">
        <v>1.0</v>
      </c>
      <c r="P102" s="280">
        <v>1.0</v>
      </c>
      <c r="Q102" s="280"/>
      <c r="R102" s="290" t="s">
        <v>809</v>
      </c>
      <c r="S102" s="281"/>
      <c r="T102" s="291"/>
      <c r="U102" s="281"/>
      <c r="V102" s="281"/>
      <c r="W102" s="281"/>
    </row>
    <row r="103" ht="15.0" customHeight="1">
      <c r="A103" s="295" t="s">
        <v>635</v>
      </c>
      <c r="B103" s="296" t="s">
        <v>1343</v>
      </c>
      <c r="C103" s="297" t="s">
        <v>637</v>
      </c>
      <c r="D103" s="289">
        <f>ROUND((F103*'Pawn Weights'!$H$60)+(G103*'Pawn Weights'!$H$61)+(H103*'Pawn Weights'!$H$62)+(I103*'Pawn Weights'!$H$63)+(J103*'Pawn Weights'!$H$64)+(K103*'Pawn Weights'!$H$65)+(L103*'Pawn Weights'!$H$66)+(M103*'Pawn Weights'!$H$67)+(N103*'Pawn Weights'!$H$68)+(O103*'Pawn Weights'!$H$69)+(P103*'Pawn Weights'!$H$70)+(Q103*'Pawn Weights'!$H$71), 2)</f>
        <v>147.98</v>
      </c>
      <c r="E103" s="298">
        <v>58.0</v>
      </c>
      <c r="F103" s="298">
        <v>38.0</v>
      </c>
      <c r="G103" s="297"/>
      <c r="H103" s="297"/>
      <c r="I103" s="298">
        <v>37.0</v>
      </c>
      <c r="J103" s="297"/>
      <c r="K103" s="297"/>
      <c r="L103" s="297"/>
      <c r="M103" s="137"/>
      <c r="N103" s="297"/>
      <c r="O103" s="297"/>
      <c r="P103" s="297"/>
      <c r="Q103" s="297"/>
      <c r="R103" s="295"/>
      <c r="S103" s="137"/>
      <c r="T103" s="297" t="s">
        <v>827</v>
      </c>
      <c r="U103" s="137"/>
      <c r="V103" s="137"/>
      <c r="W103" s="137"/>
      <c r="X103" s="137"/>
      <c r="Y103" s="137"/>
      <c r="Z103" s="137"/>
    </row>
    <row r="104">
      <c r="B104" s="288" t="s">
        <v>1221</v>
      </c>
      <c r="C104" s="280" t="s">
        <v>1222</v>
      </c>
      <c r="D104" s="289">
        <f>ROUND((F104*'Pawn Weights'!$H$60)+(G104*'Pawn Weights'!$H$61)+(H104*'Pawn Weights'!$H$62)+(I104*'Pawn Weights'!$H$63)+(J104*'Pawn Weights'!$H$64)+(K104*'Pawn Weights'!$H$65)+(L104*'Pawn Weights'!$H$66)+(M104*'Pawn Weights'!$H$67)+(N104*'Pawn Weights'!$H$68)+(O104*'Pawn Weights'!$H$69)+(P104*'Pawn Weights'!$H$70)+(Q104*'Pawn Weights'!$H$71), 2)</f>
        <v>145.15</v>
      </c>
      <c r="E104" s="280">
        <v>22.0</v>
      </c>
      <c r="F104" s="280"/>
      <c r="G104" s="280">
        <v>35.0</v>
      </c>
      <c r="H104" s="280">
        <v>42.0</v>
      </c>
      <c r="I104" s="280"/>
      <c r="J104" s="280"/>
      <c r="K104" s="280"/>
      <c r="L104" s="280"/>
      <c r="M104" s="281"/>
      <c r="N104" s="280"/>
      <c r="O104" s="280">
        <v>1.0</v>
      </c>
      <c r="P104" s="280"/>
      <c r="Q104" s="280">
        <v>1.0</v>
      </c>
      <c r="R104" s="290" t="s">
        <v>702</v>
      </c>
      <c r="S104" s="281"/>
      <c r="T104" s="291"/>
      <c r="U104" s="281"/>
      <c r="V104" s="281"/>
      <c r="W104" s="281"/>
    </row>
    <row r="105">
      <c r="B105" s="288" t="s">
        <v>1473</v>
      </c>
      <c r="C105" s="280" t="s">
        <v>904</v>
      </c>
      <c r="D105" s="289">
        <f>ROUND((F105*'Pawn Weights'!$H$60)+(G105*'Pawn Weights'!$H$61)+(H105*'Pawn Weights'!$H$62)+(I105*'Pawn Weights'!$H$63)+(J105*'Pawn Weights'!$H$64)+(K105*'Pawn Weights'!$H$65)+(L105*'Pawn Weights'!$H$66)+(M105*'Pawn Weights'!$H$67)+(N105*'Pawn Weights'!$H$68)+(O105*'Pawn Weights'!$H$69)+(P105*'Pawn Weights'!$H$70)+(Q105*'Pawn Weights'!$H$71), 2)</f>
        <v>138.35</v>
      </c>
      <c r="E105" s="280">
        <v>25.0</v>
      </c>
      <c r="F105" s="280">
        <v>36.0</v>
      </c>
      <c r="G105" s="280">
        <v>18.0</v>
      </c>
      <c r="H105" s="280"/>
      <c r="I105" s="280"/>
      <c r="J105" s="280">
        <v>17.0</v>
      </c>
      <c r="K105" s="280"/>
      <c r="L105" s="280"/>
      <c r="M105" s="281"/>
      <c r="N105" s="280"/>
      <c r="O105" s="280"/>
      <c r="P105" s="280"/>
      <c r="Q105" s="280"/>
      <c r="R105" s="290"/>
      <c r="S105" s="281"/>
      <c r="T105" s="291"/>
      <c r="U105" s="281"/>
      <c r="V105" s="281"/>
      <c r="W105" s="281"/>
    </row>
    <row r="106">
      <c r="A106" s="301" t="s">
        <v>644</v>
      </c>
      <c r="B106" s="288" t="s">
        <v>1474</v>
      </c>
      <c r="C106" s="280" t="s">
        <v>1475</v>
      </c>
      <c r="D106" s="289">
        <f>ROUND((F106*'Pawn Weights'!$H$60)+(G106*'Pawn Weights'!$H$61)+(H106*'Pawn Weights'!$H$62)+(I106*'Pawn Weights'!$H$63)+(J106*'Pawn Weights'!$H$64)+(K106*'Pawn Weights'!$H$65)+(L106*'Pawn Weights'!$H$66)+(M106*'Pawn Weights'!$H$67)+(N106*'Pawn Weights'!$H$68)+(O106*'Pawn Weights'!$H$69)+(P106*'Pawn Weights'!$H$70)+(Q106*'Pawn Weights'!$H$71), 2)</f>
        <v>128.28</v>
      </c>
      <c r="E106" s="280">
        <v>51.0</v>
      </c>
      <c r="F106" s="280">
        <v>33.0</v>
      </c>
      <c r="G106" s="280"/>
      <c r="H106" s="280"/>
      <c r="I106" s="280">
        <v>32.0</v>
      </c>
      <c r="J106" s="280"/>
      <c r="K106" s="280"/>
      <c r="L106" s="280"/>
      <c r="M106" s="281"/>
      <c r="N106" s="280"/>
      <c r="O106" s="280"/>
      <c r="P106" s="280"/>
      <c r="Q106" s="280"/>
      <c r="R106" s="290"/>
      <c r="S106" s="281"/>
      <c r="T106" s="291" t="s">
        <v>1476</v>
      </c>
      <c r="U106" s="281"/>
      <c r="V106" s="281"/>
      <c r="W106" s="281"/>
    </row>
    <row r="107" ht="15.0" customHeight="1">
      <c r="A107" s="301" t="s">
        <v>627</v>
      </c>
      <c r="B107" s="288" t="s">
        <v>1477</v>
      </c>
      <c r="C107" s="280" t="s">
        <v>904</v>
      </c>
      <c r="D107" s="289">
        <f>ROUND((F107*'Pawn Weights'!$H$60)+(G107*'Pawn Weights'!$H$61)+(H107*'Pawn Weights'!$H$62)+(I107*'Pawn Weights'!$H$63)+(J107*'Pawn Weights'!$H$64)+(K107*'Pawn Weights'!$H$65)+(L107*'Pawn Weights'!$H$66)+(M107*'Pawn Weights'!$H$67)+(N107*'Pawn Weights'!$H$68)+(O107*'Pawn Weights'!$H$69)+(P107*'Pawn Weights'!$H$70)+(Q107*'Pawn Weights'!$H$71), 2)</f>
        <v>127.3</v>
      </c>
      <c r="E107" s="280">
        <v>33.0</v>
      </c>
      <c r="F107" s="280"/>
      <c r="G107" s="280"/>
      <c r="H107" s="280">
        <v>50.0</v>
      </c>
      <c r="I107" s="280">
        <v>25.0</v>
      </c>
      <c r="J107" s="280">
        <v>20.0</v>
      </c>
      <c r="K107" s="280"/>
      <c r="L107" s="280"/>
      <c r="M107" s="281"/>
      <c r="N107" s="280"/>
      <c r="O107" s="280"/>
      <c r="P107" s="280"/>
      <c r="Q107" s="280"/>
      <c r="R107" s="290"/>
      <c r="S107" s="281"/>
      <c r="T107" s="291"/>
      <c r="U107" s="281"/>
      <c r="V107" s="281"/>
      <c r="W107" s="281"/>
    </row>
    <row r="108">
      <c r="A108" s="272" t="s">
        <v>828</v>
      </c>
      <c r="B108" s="281"/>
      <c r="C108" s="281"/>
      <c r="D108" s="360"/>
      <c r="E108" s="281"/>
      <c r="F108" s="281"/>
      <c r="G108" s="281"/>
      <c r="H108" s="281"/>
      <c r="I108" s="281"/>
      <c r="J108" s="281"/>
      <c r="K108" s="281"/>
      <c r="L108" s="281"/>
      <c r="M108" s="281"/>
      <c r="N108" s="281"/>
      <c r="O108" s="281"/>
      <c r="P108" s="281"/>
      <c r="Q108" s="281"/>
      <c r="R108" s="282"/>
      <c r="S108" s="281"/>
      <c r="T108" s="285"/>
      <c r="U108" s="281"/>
      <c r="V108" s="281"/>
      <c r="W108" s="281"/>
    </row>
    <row r="109">
      <c r="A109" s="292"/>
      <c r="B109" s="288" t="s">
        <v>830</v>
      </c>
      <c r="C109" s="280" t="s">
        <v>649</v>
      </c>
      <c r="D109" s="289">
        <f>ROUND((F109*'Pawn Weights'!$H$60)+(G109*'Pawn Weights'!$H$61)+(H109*'Pawn Weights'!$H$62)+(I109*'Pawn Weights'!$H$63)+(J109*'Pawn Weights'!$H$64)+(K109*'Pawn Weights'!$H$65)+(L109*'Pawn Weights'!$H$66)+(M109*'Pawn Weights'!$H$67)+(N109*'Pawn Weights'!$H$68)+(O109*'Pawn Weights'!$H$69)+(P109*'Pawn Weights'!$H$70)+(Q109*'Pawn Weights'!$H$71), 2)</f>
        <v>246.51</v>
      </c>
      <c r="E109" s="280">
        <v>25.0</v>
      </c>
      <c r="F109" s="280"/>
      <c r="G109" s="280">
        <v>29.0</v>
      </c>
      <c r="H109" s="280">
        <v>74.0</v>
      </c>
      <c r="I109" s="280"/>
      <c r="J109" s="280"/>
      <c r="K109" s="280"/>
      <c r="L109" s="280">
        <v>25.0</v>
      </c>
      <c r="M109" s="281"/>
      <c r="N109" s="280"/>
      <c r="O109" s="280">
        <v>1.0</v>
      </c>
      <c r="P109" s="280"/>
      <c r="Q109" s="280">
        <v>1.0</v>
      </c>
      <c r="R109" s="290" t="s">
        <v>1345</v>
      </c>
      <c r="S109" s="281"/>
      <c r="T109" s="291"/>
      <c r="U109" s="281"/>
      <c r="V109" s="281"/>
      <c r="W109" s="281"/>
    </row>
    <row r="110">
      <c r="A110" s="292"/>
      <c r="B110" s="288" t="s">
        <v>833</v>
      </c>
      <c r="C110" s="280" t="s">
        <v>816</v>
      </c>
      <c r="D110" s="289">
        <f>ROUND((F110*'Pawn Weights'!$H$60)+(G110*'Pawn Weights'!$H$61)+(H110*'Pawn Weights'!$H$62)+(I110*'Pawn Weights'!$H$63)+(J110*'Pawn Weights'!$H$64)+(K110*'Pawn Weights'!$H$65)+(L110*'Pawn Weights'!$H$66)+(M110*'Pawn Weights'!$H$67)+(N110*'Pawn Weights'!$H$68)+(O110*'Pawn Weights'!$H$69)+(P110*'Pawn Weights'!$H$70)+(Q110*'Pawn Weights'!$H$71), 2)</f>
        <v>210.71</v>
      </c>
      <c r="E110" s="280"/>
      <c r="F110" s="280"/>
      <c r="G110" s="280">
        <v>38.0</v>
      </c>
      <c r="H110" s="280">
        <v>76.0</v>
      </c>
      <c r="I110" s="280">
        <v>24.0</v>
      </c>
      <c r="J110" s="280">
        <v>17.0</v>
      </c>
      <c r="K110" s="280"/>
      <c r="L110" s="280"/>
      <c r="M110" s="281"/>
      <c r="N110" s="280"/>
      <c r="O110" s="280"/>
      <c r="P110" s="280"/>
      <c r="Q110" s="280"/>
      <c r="R110" s="290"/>
      <c r="S110" s="281"/>
      <c r="T110" s="291"/>
      <c r="U110" s="281"/>
      <c r="V110" s="281"/>
      <c r="W110" s="281"/>
    </row>
    <row r="111">
      <c r="A111" s="292"/>
      <c r="B111" s="288" t="s">
        <v>834</v>
      </c>
      <c r="C111" s="280" t="s">
        <v>835</v>
      </c>
      <c r="D111" s="289">
        <f>ROUND((F111*'Pawn Weights'!$H$60)+(G111*'Pawn Weights'!$H$61)+(H111*'Pawn Weights'!$H$62)+(I111*'Pawn Weights'!$H$63)+(J111*'Pawn Weights'!$H$64)+(K111*'Pawn Weights'!$H$65)+(L111*'Pawn Weights'!$H$66)+(M111*'Pawn Weights'!$H$67)+(N111*'Pawn Weights'!$H$68)+(O111*'Pawn Weights'!$H$69)+(P111*'Pawn Weights'!$H$70)+(Q111*'Pawn Weights'!$H$71), 2)</f>
        <v>202.07</v>
      </c>
      <c r="E111" s="280">
        <v>37.0</v>
      </c>
      <c r="F111" s="280"/>
      <c r="G111" s="280">
        <v>29.0</v>
      </c>
      <c r="H111" s="280">
        <v>76.0</v>
      </c>
      <c r="I111" s="280">
        <v>19.0</v>
      </c>
      <c r="J111" s="280"/>
      <c r="K111" s="280"/>
      <c r="L111" s="280"/>
      <c r="M111" s="281"/>
      <c r="N111" s="280"/>
      <c r="O111" s="280">
        <v>1.0</v>
      </c>
      <c r="P111" s="280">
        <v>1.0</v>
      </c>
      <c r="Q111" s="280"/>
      <c r="R111" s="290" t="s">
        <v>812</v>
      </c>
      <c r="S111" s="281"/>
      <c r="T111" s="291"/>
      <c r="U111" s="281"/>
      <c r="V111" s="281"/>
      <c r="W111" s="281"/>
    </row>
    <row r="112">
      <c r="A112" s="295"/>
      <c r="B112" s="296" t="s">
        <v>843</v>
      </c>
      <c r="C112" s="297" t="s">
        <v>844</v>
      </c>
      <c r="D112" s="289">
        <f>ROUND((F112*'Pawn Weights'!$H$60)+(G112*'Pawn Weights'!$H$61)+(H112*'Pawn Weights'!$H$62)+(I112*'Pawn Weights'!$H$63)+(J112*'Pawn Weights'!$H$64)+(K112*'Pawn Weights'!$H$65)+(L112*'Pawn Weights'!$H$66)+(M112*'Pawn Weights'!$H$67)+(N112*'Pawn Weights'!$H$68)+(O112*'Pawn Weights'!$H$69)+(P112*'Pawn Weights'!$H$70)+(Q112*'Pawn Weights'!$H$71)-22+19.7+3.38, 2)</f>
        <v>197.41</v>
      </c>
      <c r="E112" s="298">
        <v>33.0</v>
      </c>
      <c r="F112" s="297"/>
      <c r="G112" s="298">
        <v>34.0</v>
      </c>
      <c r="H112" s="298">
        <v>78.0</v>
      </c>
      <c r="I112" s="297"/>
      <c r="J112" s="298">
        <v>23.0</v>
      </c>
      <c r="K112" s="297"/>
      <c r="L112" s="297"/>
      <c r="M112" s="137"/>
      <c r="N112" s="297"/>
      <c r="O112" s="297"/>
      <c r="P112" s="298">
        <v>1.0</v>
      </c>
      <c r="Q112" s="297"/>
      <c r="R112" s="298" t="s">
        <v>711</v>
      </c>
      <c r="S112" s="137"/>
      <c r="T112" s="295"/>
      <c r="U112" s="137"/>
      <c r="V112" s="137"/>
      <c r="W112" s="137"/>
      <c r="X112" s="137"/>
      <c r="Y112" s="137"/>
      <c r="Z112" s="137"/>
    </row>
    <row r="113">
      <c r="A113" s="292" t="s">
        <v>627</v>
      </c>
      <c r="B113" s="288" t="s">
        <v>845</v>
      </c>
      <c r="C113" s="280" t="s">
        <v>846</v>
      </c>
      <c r="D113" s="289">
        <f>ROUND((F113*'Pawn Weights'!$H$60)+(G113*'Pawn Weights'!$H$61)+(H113*'Pawn Weights'!$H$62)+(I113*'Pawn Weights'!$H$63)+(J113*'Pawn Weights'!$H$64)+(K113*'Pawn Weights'!$H$65)+(L113*'Pawn Weights'!$H$66)+(M113*'Pawn Weights'!$H$67)+(N113*'Pawn Weights'!$H$68)+(O113*'Pawn Weights'!$H$69)+(P113*'Pawn Weights'!$H$70)+(Q113*'Pawn Weights'!$H$71), 2)</f>
        <v>194.5</v>
      </c>
      <c r="E113" s="280">
        <v>14.0</v>
      </c>
      <c r="F113" s="280"/>
      <c r="G113" s="280">
        <v>32.0</v>
      </c>
      <c r="H113" s="280">
        <v>66.0</v>
      </c>
      <c r="I113" s="280"/>
      <c r="J113" s="280">
        <v>18.0</v>
      </c>
      <c r="K113" s="280"/>
      <c r="L113" s="280"/>
      <c r="M113" s="281"/>
      <c r="N113" s="280"/>
      <c r="O113" s="280"/>
      <c r="P113" s="280"/>
      <c r="Q113" s="280">
        <v>2.0</v>
      </c>
      <c r="R113" s="290" t="s">
        <v>695</v>
      </c>
      <c r="S113" s="281"/>
      <c r="T113" s="291"/>
      <c r="U113" s="281"/>
      <c r="V113" s="281"/>
      <c r="W113" s="281"/>
    </row>
    <row r="114">
      <c r="A114" s="292"/>
      <c r="B114" s="288" t="s">
        <v>840</v>
      </c>
      <c r="C114" s="280" t="s">
        <v>723</v>
      </c>
      <c r="D114" s="289">
        <f>ROUND((F114*'Pawn Weights'!$H$60)+(G114*'Pawn Weights'!$H$61)+(H114*'Pawn Weights'!$H$62)+(I114*'Pawn Weights'!$H$63)+(J114*'Pawn Weights'!$H$64)+(K114*'Pawn Weights'!$H$65)+(L114*'Pawn Weights'!$H$66)+(M114*'Pawn Weights'!$H$67)+(N114*'Pawn Weights'!$H$68)+(O114*'Pawn Weights'!$H$69)+(P114*'Pawn Weights'!$H$70)+(Q114*'Pawn Weights'!$H$71), 2)</f>
        <v>188.97</v>
      </c>
      <c r="E114" s="280">
        <v>38.0</v>
      </c>
      <c r="F114" s="280"/>
      <c r="G114" s="280">
        <v>27.0</v>
      </c>
      <c r="H114" s="280">
        <v>76.0</v>
      </c>
      <c r="I114" s="280"/>
      <c r="J114" s="280"/>
      <c r="K114" s="280">
        <v>37.0</v>
      </c>
      <c r="L114" s="280"/>
      <c r="M114" s="281"/>
      <c r="N114" s="280"/>
      <c r="O114" s="280"/>
      <c r="P114" s="280"/>
      <c r="Q114" s="280"/>
      <c r="R114" s="290"/>
      <c r="S114" s="281"/>
      <c r="T114" s="291"/>
      <c r="U114" s="281"/>
      <c r="V114" s="281"/>
      <c r="W114" s="281"/>
    </row>
    <row r="115">
      <c r="A115" s="292"/>
      <c r="B115" s="288" t="s">
        <v>841</v>
      </c>
      <c r="C115" s="280" t="s">
        <v>842</v>
      </c>
      <c r="D115" s="289">
        <f>ROUND((F115*'Pawn Weights'!$H$60)+(G115*'Pawn Weights'!$H$61)+(H115*'Pawn Weights'!$H$62)+(I115*'Pawn Weights'!$H$63)+(J115*'Pawn Weights'!$H$64)+(K115*'Pawn Weights'!$H$65)+(L115*'Pawn Weights'!$H$66)+(M115*'Pawn Weights'!$H$67)+(N115*'Pawn Weights'!$H$68)+(O115*'Pawn Weights'!$H$69)+(P115*'Pawn Weights'!$H$70)+(Q115*'Pawn Weights'!$H$71), 2)</f>
        <v>187.15</v>
      </c>
      <c r="E115" s="280">
        <v>25.0</v>
      </c>
      <c r="F115" s="280"/>
      <c r="G115" s="280">
        <v>27.0</v>
      </c>
      <c r="H115" s="280">
        <v>76.0</v>
      </c>
      <c r="I115" s="280"/>
      <c r="J115" s="280"/>
      <c r="K115" s="280">
        <v>36.0</v>
      </c>
      <c r="L115" s="280"/>
      <c r="M115" s="281"/>
      <c r="N115" s="280"/>
      <c r="O115" s="280"/>
      <c r="P115" s="280"/>
      <c r="Q115" s="280"/>
      <c r="R115" s="290"/>
      <c r="S115" s="281"/>
      <c r="T115" s="291"/>
      <c r="U115" s="281"/>
      <c r="V115" s="281"/>
      <c r="W115" s="281"/>
    </row>
    <row r="116">
      <c r="A116" s="292"/>
      <c r="B116" s="288" t="s">
        <v>838</v>
      </c>
      <c r="C116" s="280" t="s">
        <v>839</v>
      </c>
      <c r="D116" s="289">
        <f>ROUND((F116*'Pawn Weights'!$H$60)+(G116*'Pawn Weights'!$H$61)+(H116*'Pawn Weights'!$H$62)+(I116*'Pawn Weights'!$H$63)+(J116*'Pawn Weights'!$H$64)+(K116*'Pawn Weights'!$H$65)+(L116*'Pawn Weights'!$H$66)+(M116*'Pawn Weights'!$H$67)+(N116*'Pawn Weights'!$H$68)+(O116*'Pawn Weights'!$H$69)+(P116*'Pawn Weights'!$H$70)+(Q116*'Pawn Weights'!$H$71), 2)</f>
        <v>185.74</v>
      </c>
      <c r="E116" s="280">
        <v>27.0</v>
      </c>
      <c r="F116" s="280"/>
      <c r="G116" s="280">
        <v>25.0</v>
      </c>
      <c r="H116" s="280">
        <v>58.0</v>
      </c>
      <c r="I116" s="280">
        <v>21.0</v>
      </c>
      <c r="J116" s="280"/>
      <c r="K116" s="280"/>
      <c r="L116" s="280"/>
      <c r="M116" s="280">
        <v>77.0</v>
      </c>
      <c r="N116" s="280"/>
      <c r="O116" s="280"/>
      <c r="P116" s="280"/>
      <c r="Q116" s="280">
        <v>1.0</v>
      </c>
      <c r="R116" s="290" t="s">
        <v>660</v>
      </c>
      <c r="S116" s="281"/>
      <c r="T116" s="291"/>
      <c r="U116" s="281"/>
      <c r="V116" s="281"/>
      <c r="W116" s="281"/>
    </row>
    <row r="117">
      <c r="A117" s="292" t="s">
        <v>627</v>
      </c>
      <c r="B117" s="288" t="s">
        <v>1099</v>
      </c>
      <c r="C117" s="280" t="s">
        <v>846</v>
      </c>
      <c r="D117" s="289">
        <f>ROUND((F117*'Pawn Weights'!$H$60)+(G117*'Pawn Weights'!$H$61)+(H117*'Pawn Weights'!$H$62)+(I117*'Pawn Weights'!$H$63)+(J117*'Pawn Weights'!$H$64)+(K117*'Pawn Weights'!$H$65)+(L117*'Pawn Weights'!$H$66)+(M117*'Pawn Weights'!$H$67)+(N117*'Pawn Weights'!$H$68)+(O117*'Pawn Weights'!$H$69)+(P117*'Pawn Weights'!$H$70)+(Q117*'Pawn Weights'!$H$71), 2)</f>
        <v>168.31</v>
      </c>
      <c r="E117" s="280">
        <v>20.0</v>
      </c>
      <c r="F117" s="280"/>
      <c r="G117" s="280">
        <v>17.0</v>
      </c>
      <c r="H117" s="280">
        <v>66.0</v>
      </c>
      <c r="I117" s="280">
        <v>17.0</v>
      </c>
      <c r="J117" s="280"/>
      <c r="K117" s="280"/>
      <c r="L117" s="280"/>
      <c r="M117" s="281"/>
      <c r="N117" s="280"/>
      <c r="O117" s="280"/>
      <c r="P117" s="280">
        <v>1.0</v>
      </c>
      <c r="Q117" s="280">
        <v>1.0</v>
      </c>
      <c r="R117" s="290" t="s">
        <v>695</v>
      </c>
      <c r="S117" s="281"/>
      <c r="T117" s="291"/>
      <c r="U117" s="281"/>
      <c r="V117" s="281"/>
      <c r="W117" s="281"/>
    </row>
    <row r="118">
      <c r="A118" s="295" t="s">
        <v>671</v>
      </c>
      <c r="B118" s="296" t="s">
        <v>1346</v>
      </c>
      <c r="C118" s="297" t="s">
        <v>849</v>
      </c>
      <c r="D118" s="289">
        <f>ROUND((F118*'Pawn Weights'!$H$60)+(G118*'Pawn Weights'!$H$61)+(H118*'Pawn Weights'!$H$62)+(I118*'Pawn Weights'!$H$63)+(J118*'Pawn Weights'!$H$64)+(K118*'Pawn Weights'!$H$65)+(L118*'Pawn Weights'!$H$66)+(M118*'Pawn Weights'!$H$67)+(N118*'Pawn Weights'!$H$68)+(O118*'Pawn Weights'!$H$69)+(P118*'Pawn Weights'!$H$70)+(Q118*'Pawn Weights'!$H$71), 2)</f>
        <v>147.98</v>
      </c>
      <c r="E118" s="298">
        <v>55.0</v>
      </c>
      <c r="F118" s="298">
        <v>38.0</v>
      </c>
      <c r="G118" s="297"/>
      <c r="H118" s="297"/>
      <c r="I118" s="298">
        <v>37.0</v>
      </c>
      <c r="J118" s="297"/>
      <c r="K118" s="297"/>
      <c r="L118" s="297"/>
      <c r="M118" s="137"/>
      <c r="N118" s="297"/>
      <c r="O118" s="297"/>
      <c r="P118" s="297"/>
      <c r="Q118" s="297"/>
      <c r="R118" s="295"/>
      <c r="S118" s="137"/>
      <c r="T118" s="297" t="s">
        <v>850</v>
      </c>
      <c r="U118" s="137"/>
      <c r="V118" s="137"/>
      <c r="W118" s="137"/>
      <c r="X118" s="137"/>
      <c r="Y118" s="137"/>
      <c r="Z118" s="137"/>
    </row>
    <row r="119">
      <c r="A119" s="272" t="s">
        <v>852</v>
      </c>
      <c r="B119" s="281"/>
      <c r="C119" s="281"/>
      <c r="D119" s="360"/>
      <c r="E119" s="281"/>
      <c r="F119" s="281"/>
      <c r="G119" s="281"/>
      <c r="H119" s="281"/>
      <c r="I119" s="281"/>
      <c r="J119" s="281"/>
      <c r="K119" s="281"/>
      <c r="L119" s="281"/>
      <c r="M119" s="281"/>
      <c r="N119" s="281"/>
      <c r="O119" s="281"/>
      <c r="P119" s="281"/>
      <c r="Q119" s="281"/>
      <c r="R119" s="282"/>
      <c r="S119" s="281"/>
      <c r="T119" s="285"/>
      <c r="U119" s="281"/>
      <c r="V119" s="281"/>
      <c r="W119" s="281"/>
    </row>
    <row r="120">
      <c r="A120" s="301"/>
      <c r="B120" s="288" t="s">
        <v>866</v>
      </c>
      <c r="C120" s="280" t="s">
        <v>814</v>
      </c>
      <c r="D120" s="289">
        <f>ROUND((F120*'Pawn Weights'!$H$60)+(G120*'Pawn Weights'!$H$61)+(H120*'Pawn Weights'!$H$62)+(I120*'Pawn Weights'!$H$63)+(J120*'Pawn Weights'!$H$64)+(K120*'Pawn Weights'!$H$65)+(L120*'Pawn Weights'!$H$66)+(M120*'Pawn Weights'!$H$67)+(N120*'Pawn Weights'!$H$68)+(O120*'Pawn Weights'!$H$69)+(P120*'Pawn Weights'!$H$70)+(Q120*'Pawn Weights'!$H$71), 2)</f>
        <v>271.78</v>
      </c>
      <c r="E120" s="280">
        <v>28.0</v>
      </c>
      <c r="F120" s="280"/>
      <c r="G120" s="280">
        <v>42.0</v>
      </c>
      <c r="H120" s="280">
        <v>100.0</v>
      </c>
      <c r="I120" s="280">
        <v>20.0</v>
      </c>
      <c r="J120" s="280"/>
      <c r="K120" s="280"/>
      <c r="L120" s="280"/>
      <c r="M120" s="280"/>
      <c r="N120" s="280"/>
      <c r="O120" s="280">
        <v>1.0</v>
      </c>
      <c r="P120" s="280">
        <v>1.0</v>
      </c>
      <c r="Q120" s="280">
        <v>1.0</v>
      </c>
      <c r="R120" s="290" t="s">
        <v>624</v>
      </c>
      <c r="S120" s="281"/>
      <c r="T120" s="294"/>
      <c r="U120" s="281"/>
      <c r="V120" s="281"/>
      <c r="W120" s="281"/>
      <c r="X120" s="281"/>
    </row>
    <row r="121">
      <c r="A121" s="137"/>
      <c r="B121" s="341" t="s">
        <v>869</v>
      </c>
      <c r="C121" s="361" t="s">
        <v>865</v>
      </c>
      <c r="D121" s="289">
        <f>ROUND((F121*'Pawn Weights'!$H$60)+(G121*'Pawn Weights'!$H$61)+(H121*'Pawn Weights'!$H$62)+(I121*'Pawn Weights'!$H$63)+(J121*'Pawn Weights'!$H$64)+(K121*'Pawn Weights'!$H$65)+(L121*'Pawn Weights'!$H$66)+(M121*'Pawn Weights'!$H$67)+(N121*'Pawn Weights'!$H$68)+(O121*'Pawn Weights'!$H$69)+(P121*'Pawn Weights'!$H$70)+(Q121*'Pawn Weights'!$H$71), 2)</f>
        <v>271.37</v>
      </c>
      <c r="E121" s="359">
        <v>45.0</v>
      </c>
      <c r="F121" s="361"/>
      <c r="G121" s="359">
        <v>43.0</v>
      </c>
      <c r="H121" s="359">
        <v>104.0</v>
      </c>
      <c r="I121" s="361"/>
      <c r="J121" s="359">
        <v>30.0</v>
      </c>
      <c r="K121" s="361"/>
      <c r="L121" s="361"/>
      <c r="M121" s="361"/>
      <c r="N121" s="361"/>
      <c r="O121" s="361"/>
      <c r="P121" s="359">
        <v>1.0</v>
      </c>
      <c r="Q121" s="359">
        <v>1.0</v>
      </c>
      <c r="R121" s="359" t="s">
        <v>832</v>
      </c>
      <c r="S121" s="137"/>
      <c r="T121" s="137"/>
      <c r="U121" s="137"/>
      <c r="V121" s="137"/>
      <c r="W121" s="137"/>
      <c r="X121" s="137"/>
      <c r="Y121" s="137"/>
      <c r="Z121" s="137"/>
    </row>
    <row r="122">
      <c r="A122" s="301"/>
      <c r="B122" s="288" t="s">
        <v>868</v>
      </c>
      <c r="C122" s="280" t="s">
        <v>814</v>
      </c>
      <c r="D122" s="289">
        <f>ROUND((F122*'Pawn Weights'!$H$60)+(G122*'Pawn Weights'!$H$61)+(H122*'Pawn Weights'!$H$62)+(I122*'Pawn Weights'!$H$63)+(J122*'Pawn Weights'!$H$64)+(K122*'Pawn Weights'!$H$65)+(L122*'Pawn Weights'!$H$66)+(M122*'Pawn Weights'!$H$67)+(N122*'Pawn Weights'!$H$68)+(O122*'Pawn Weights'!$H$69)+(P122*'Pawn Weights'!$H$70)+(Q122*'Pawn Weights'!$H$71), 2)</f>
        <v>247.75</v>
      </c>
      <c r="E122" s="280">
        <v>61.0</v>
      </c>
      <c r="F122" s="280"/>
      <c r="G122" s="280">
        <v>50.0</v>
      </c>
      <c r="H122" s="280">
        <v>102.0</v>
      </c>
      <c r="I122" s="280"/>
      <c r="J122" s="280"/>
      <c r="K122" s="280"/>
      <c r="L122" s="280"/>
      <c r="M122" s="280">
        <v>175.0</v>
      </c>
      <c r="N122" s="280"/>
      <c r="O122" s="280"/>
      <c r="P122" s="280"/>
      <c r="Q122" s="280"/>
      <c r="R122" s="290"/>
      <c r="S122" s="281"/>
      <c r="T122" s="294"/>
      <c r="U122" s="281"/>
      <c r="V122" s="281"/>
      <c r="W122" s="281"/>
      <c r="X122" s="281"/>
    </row>
    <row r="123">
      <c r="A123" s="137"/>
      <c r="B123" s="341" t="s">
        <v>875</v>
      </c>
      <c r="C123" s="361" t="s">
        <v>865</v>
      </c>
      <c r="D123" s="289">
        <f>ROUND((F123*'Pawn Weights'!$H$60)+(G123*'Pawn Weights'!$H$61)+(H123*'Pawn Weights'!$H$62)+(I123*'Pawn Weights'!$H$63)+(J123*'Pawn Weights'!$H$64)+(K123*'Pawn Weights'!$H$65)+(L123*'Pawn Weights'!$H$66)+(M123*'Pawn Weights'!$H$67)+(N123*'Pawn Weights'!$H$68)+(O123*'Pawn Weights'!$H$69)+(P123*'Pawn Weights'!$H$70)+(Q123*'Pawn Weights'!$H$71), 2)</f>
        <v>247.71</v>
      </c>
      <c r="E123" s="359">
        <v>36.0</v>
      </c>
      <c r="F123" s="361"/>
      <c r="G123" s="359">
        <v>44.0</v>
      </c>
      <c r="H123" s="359">
        <v>104.0</v>
      </c>
      <c r="I123" s="361"/>
      <c r="J123" s="359">
        <v>15.0</v>
      </c>
      <c r="K123" s="361"/>
      <c r="L123" s="361"/>
      <c r="M123" s="361"/>
      <c r="N123" s="361"/>
      <c r="O123" s="361"/>
      <c r="P123" s="359">
        <v>1.0</v>
      </c>
      <c r="Q123" s="359">
        <v>1.0</v>
      </c>
      <c r="R123" s="359" t="s">
        <v>695</v>
      </c>
      <c r="S123" s="137"/>
      <c r="T123" s="137"/>
      <c r="U123" s="137"/>
      <c r="V123" s="137"/>
      <c r="W123" s="137"/>
      <c r="X123" s="137"/>
      <c r="Y123" s="137"/>
      <c r="Z123" s="137"/>
    </row>
    <row r="124">
      <c r="A124" s="301"/>
      <c r="B124" s="288" t="s">
        <v>877</v>
      </c>
      <c r="C124" s="280" t="s">
        <v>708</v>
      </c>
      <c r="D124" s="289">
        <f>ROUND((F124*'Pawn Weights'!$H$60)+(G124*'Pawn Weights'!$H$61)+(H124*'Pawn Weights'!$H$62)+(I124*'Pawn Weights'!$H$63)+(J124*'Pawn Weights'!$H$64)+(K124*'Pawn Weights'!$H$65)+(L124*'Pawn Weights'!$H$66)+(M124*'Pawn Weights'!$H$67)+(N124*'Pawn Weights'!$H$68)+(O124*'Pawn Weights'!$H$69)+(P124*'Pawn Weights'!$H$70)+(Q124*'Pawn Weights'!$H$71)+6.76, 2)</f>
        <v>238.33</v>
      </c>
      <c r="E124" s="280"/>
      <c r="F124" s="280"/>
      <c r="G124" s="280">
        <v>37.0</v>
      </c>
      <c r="H124" s="280">
        <v>76.0</v>
      </c>
      <c r="I124" s="280"/>
      <c r="J124" s="280">
        <v>16.0</v>
      </c>
      <c r="K124" s="280"/>
      <c r="L124" s="280"/>
      <c r="M124" s="280"/>
      <c r="N124" s="280"/>
      <c r="O124" s="280">
        <v>3.0</v>
      </c>
      <c r="P124" s="280"/>
      <c r="Q124" s="280"/>
      <c r="R124" s="290" t="s">
        <v>622</v>
      </c>
      <c r="S124" s="281"/>
      <c r="T124" s="294"/>
      <c r="U124" s="281"/>
      <c r="V124" s="281"/>
      <c r="W124" s="281"/>
      <c r="X124" s="281"/>
    </row>
    <row r="125">
      <c r="A125" s="137"/>
      <c r="B125" s="341" t="s">
        <v>876</v>
      </c>
      <c r="C125" s="361" t="s">
        <v>865</v>
      </c>
      <c r="D125" s="289">
        <f>ROUND((F125*'Pawn Weights'!$H$60)+(G125*'Pawn Weights'!$H$61)+(H125*'Pawn Weights'!$H$62)+(I125*'Pawn Weights'!$H$63)+(J125*'Pawn Weights'!$H$64)+(K125*'Pawn Weights'!$H$65)+(L125*'Pawn Weights'!$H$66)+(M125*'Pawn Weights'!$H$67)+(N125*'Pawn Weights'!$H$68)+(O125*'Pawn Weights'!$H$69)+(P125*'Pawn Weights'!$H$70)+(Q125*'Pawn Weights'!$H$71), 2)</f>
        <v>234.58</v>
      </c>
      <c r="E125" s="359">
        <v>52.0</v>
      </c>
      <c r="F125" s="359">
        <v>39.0</v>
      </c>
      <c r="G125" s="359">
        <v>45.0</v>
      </c>
      <c r="H125" s="361"/>
      <c r="I125" s="361"/>
      <c r="J125" s="359">
        <v>17.0</v>
      </c>
      <c r="K125" s="361"/>
      <c r="L125" s="361"/>
      <c r="M125" s="361"/>
      <c r="N125" s="361"/>
      <c r="O125" s="359">
        <v>1.0</v>
      </c>
      <c r="P125" s="359">
        <v>1.0</v>
      </c>
      <c r="Q125" s="361"/>
      <c r="R125" s="359" t="s">
        <v>812</v>
      </c>
      <c r="S125" s="137"/>
      <c r="T125" s="137"/>
      <c r="U125" s="137"/>
      <c r="V125" s="137"/>
      <c r="W125" s="137"/>
      <c r="X125" s="137"/>
      <c r="Y125" s="137"/>
      <c r="Z125" s="137"/>
    </row>
    <row r="126">
      <c r="A126" s="301"/>
      <c r="B126" s="288" t="s">
        <v>874</v>
      </c>
      <c r="C126" s="280" t="s">
        <v>741</v>
      </c>
      <c r="D126" s="289">
        <f>ROUND((F126*'Pawn Weights'!$H$60)+(G126*'Pawn Weights'!$H$61)+(H126*'Pawn Weights'!$H$62)+(I126*'Pawn Weights'!$H$63)+(J126*'Pawn Weights'!$H$64)+(K126*'Pawn Weights'!$H$65)+(L126*'Pawn Weights'!$H$66)+(M126*'Pawn Weights'!$H$67)+(N126*'Pawn Weights'!$H$68)+(O126*'Pawn Weights'!$H$69)+(P126*'Pawn Weights'!$H$70)+(Q126*'Pawn Weights'!$H$71), 2)</f>
        <v>232.43</v>
      </c>
      <c r="E126" s="280">
        <v>31.0</v>
      </c>
      <c r="F126" s="280"/>
      <c r="G126" s="280">
        <v>45.0</v>
      </c>
      <c r="H126" s="280">
        <v>92.0</v>
      </c>
      <c r="I126" s="280">
        <v>37.0</v>
      </c>
      <c r="J126" s="280"/>
      <c r="K126" s="280"/>
      <c r="L126" s="280"/>
      <c r="M126" s="280"/>
      <c r="N126" s="280"/>
      <c r="O126" s="280"/>
      <c r="P126" s="280"/>
      <c r="Q126" s="280"/>
      <c r="R126" s="290"/>
      <c r="S126" s="281"/>
      <c r="T126" s="294"/>
      <c r="U126" s="281"/>
      <c r="V126" s="281"/>
      <c r="W126" s="281"/>
      <c r="X126" s="281"/>
    </row>
    <row r="127">
      <c r="A127" s="301"/>
      <c r="B127" s="288" t="s">
        <v>880</v>
      </c>
      <c r="C127" s="280" t="s">
        <v>881</v>
      </c>
      <c r="D127" s="289">
        <f>ROUND((F127*'Pawn Weights'!$H$60)+(G127*'Pawn Weights'!$H$61)+(H127*'Pawn Weights'!$H$62)+(I127*'Pawn Weights'!$H$63)+(J127*'Pawn Weights'!$H$64)+(K127*'Pawn Weights'!$H$65)+(L127*'Pawn Weights'!$H$66)+(M127*'Pawn Weights'!$H$67)+(N127*'Pawn Weights'!$H$68)+(O127*'Pawn Weights'!$H$69)+(P127*'Pawn Weights'!$H$70)+(Q127*'Pawn Weights'!$H$71), 2)</f>
        <v>231.4</v>
      </c>
      <c r="E127" s="280">
        <v>28.0</v>
      </c>
      <c r="F127" s="280"/>
      <c r="G127" s="280">
        <v>32.0</v>
      </c>
      <c r="H127" s="280">
        <v>64.0</v>
      </c>
      <c r="I127" s="280"/>
      <c r="J127" s="280">
        <v>28.0</v>
      </c>
      <c r="K127" s="280"/>
      <c r="L127" s="280"/>
      <c r="M127" s="280"/>
      <c r="N127" s="280"/>
      <c r="O127" s="280">
        <v>2.0</v>
      </c>
      <c r="P127" s="280"/>
      <c r="Q127" s="280">
        <v>1.0</v>
      </c>
      <c r="R127" s="290" t="s">
        <v>882</v>
      </c>
      <c r="S127" s="281"/>
      <c r="T127" s="294"/>
      <c r="U127" s="281"/>
      <c r="V127" s="281"/>
      <c r="W127" s="281"/>
      <c r="X127" s="281"/>
    </row>
    <row r="128">
      <c r="A128" s="301" t="s">
        <v>640</v>
      </c>
      <c r="B128" s="288" t="s">
        <v>1348</v>
      </c>
      <c r="C128" s="280" t="s">
        <v>639</v>
      </c>
      <c r="D128" s="289">
        <f>ROUND((F128*'Pawn Weights'!$H$60)+(G128*'Pawn Weights'!$H$61)+(H128*'Pawn Weights'!$H$62)+(I128*'Pawn Weights'!$H$63)+(J128*'Pawn Weights'!$H$64)+(K128*'Pawn Weights'!$H$65)+(L128*'Pawn Weights'!$H$66)+(M128*'Pawn Weights'!$H$67)+(N128*'Pawn Weights'!$H$68)+(O128*'Pawn Weights'!$H$69)+(P128*'Pawn Weights'!$H$70)+(Q128*'Pawn Weights'!$H$71), 2)</f>
        <v>226.55</v>
      </c>
      <c r="E128" s="280">
        <v>67.0</v>
      </c>
      <c r="F128" s="280">
        <v>46.0</v>
      </c>
      <c r="G128" s="280"/>
      <c r="H128" s="280"/>
      <c r="I128" s="280">
        <v>39.0</v>
      </c>
      <c r="J128" s="280">
        <v>21.0</v>
      </c>
      <c r="K128" s="280"/>
      <c r="L128" s="280"/>
      <c r="M128" s="280"/>
      <c r="N128" s="280"/>
      <c r="O128" s="280"/>
      <c r="P128" s="280"/>
      <c r="Q128" s="280">
        <v>1.0</v>
      </c>
      <c r="R128" s="290" t="s">
        <v>784</v>
      </c>
      <c r="S128" s="281"/>
      <c r="T128" s="294"/>
      <c r="U128" s="281"/>
      <c r="V128" s="281"/>
      <c r="W128" s="281"/>
      <c r="X128" s="281"/>
    </row>
    <row r="129">
      <c r="A129" s="295" t="s">
        <v>635</v>
      </c>
      <c r="B129" s="296" t="s">
        <v>1347</v>
      </c>
      <c r="C129" s="297" t="s">
        <v>637</v>
      </c>
      <c r="D129" s="289">
        <f>ROUND((F129*'Pawn Weights'!$H$60)+(G129*'Pawn Weights'!$H$61)+(H129*'Pawn Weights'!$H$62)+(I129*'Pawn Weights'!$H$63)+(J129*'Pawn Weights'!$H$64)+(K129*'Pawn Weights'!$H$65)+(L129*'Pawn Weights'!$H$66)+(M129*'Pawn Weights'!$H$67)+(N129*'Pawn Weights'!$H$68)+(O129*'Pawn Weights'!$H$69)+(P129*'Pawn Weights'!$H$70)+(Q129*'Pawn Weights'!$H$71), 2)</f>
        <v>224.07</v>
      </c>
      <c r="E129" s="298">
        <v>74.0</v>
      </c>
      <c r="F129" s="298">
        <v>43.0</v>
      </c>
      <c r="G129" s="297"/>
      <c r="H129" s="297"/>
      <c r="I129" s="298">
        <v>41.0</v>
      </c>
      <c r="J129" s="298">
        <v>17.0</v>
      </c>
      <c r="K129" s="297"/>
      <c r="L129" s="297"/>
      <c r="M129" s="298">
        <v>84.0</v>
      </c>
      <c r="N129" s="297"/>
      <c r="O129" s="297"/>
      <c r="P129" s="297"/>
      <c r="Q129" s="297"/>
      <c r="R129" s="295"/>
      <c r="S129" s="137"/>
      <c r="T129" s="297" t="s">
        <v>861</v>
      </c>
      <c r="U129" s="137"/>
      <c r="V129" s="137"/>
      <c r="W129" s="137"/>
      <c r="X129" s="137"/>
      <c r="Y129" s="137"/>
      <c r="Z129" s="137"/>
    </row>
    <row r="130">
      <c r="A130" s="301"/>
      <c r="B130" s="288" t="s">
        <v>1349</v>
      </c>
      <c r="C130" s="280" t="s">
        <v>1195</v>
      </c>
      <c r="D130" s="289">
        <f>ROUND((F130*'Pawn Weights'!$H$60)+(G130*'Pawn Weights'!$H$61)+(H130*'Pawn Weights'!$H$62)+(I130*'Pawn Weights'!$H$63)+(J130*'Pawn Weights'!$H$64)+(K130*'Pawn Weights'!$H$65)+(L130*'Pawn Weights'!$H$66)+(M130*'Pawn Weights'!$H$67)+(N130*'Pawn Weights'!$H$68)+(O130*'Pawn Weights'!$H$69)+(P130*'Pawn Weights'!$H$70)+(Q130*'Pawn Weights'!$H$71), 2)</f>
        <v>216.53</v>
      </c>
      <c r="E130" s="280">
        <v>33.0</v>
      </c>
      <c r="F130" s="280"/>
      <c r="G130" s="280">
        <v>37.0</v>
      </c>
      <c r="H130" s="280">
        <v>88.0</v>
      </c>
      <c r="I130" s="280"/>
      <c r="J130" s="280"/>
      <c r="K130" s="280"/>
      <c r="L130" s="280"/>
      <c r="M130" s="280"/>
      <c r="N130" s="280"/>
      <c r="O130" s="280">
        <v>1.0</v>
      </c>
      <c r="P130" s="280">
        <v>1.0</v>
      </c>
      <c r="Q130" s="280">
        <v>1.0</v>
      </c>
      <c r="R130" s="290" t="s">
        <v>622</v>
      </c>
      <c r="S130" s="281"/>
      <c r="T130" s="294"/>
      <c r="U130" s="281"/>
      <c r="V130" s="281"/>
      <c r="W130" s="281"/>
      <c r="X130" s="281"/>
    </row>
    <row r="131">
      <c r="A131" s="301" t="s">
        <v>627</v>
      </c>
      <c r="B131" s="311" t="s">
        <v>1235</v>
      </c>
      <c r="C131" s="280" t="s">
        <v>904</v>
      </c>
      <c r="D131" s="289">
        <f>ROUND((F131*'Pawn Weights'!$H$60)+(G131*'Pawn Weights'!$H$61)+(H131*'Pawn Weights'!$H$62)+(I131*'Pawn Weights'!$H$63)+(J131*'Pawn Weights'!$H$64)+(K131*'Pawn Weights'!$H$65)+(L131*'Pawn Weights'!$H$66)+(M131*'Pawn Weights'!$H$67)+(N131*'Pawn Weights'!$H$68)+(O131*'Pawn Weights'!$H$69)+(P131*'Pawn Weights'!$H$70)+(Q131*'Pawn Weights'!$H$71)-44+39.4+8, 2)</f>
        <v>207.15</v>
      </c>
      <c r="E131" s="280"/>
      <c r="F131" s="280"/>
      <c r="G131" s="280"/>
      <c r="H131" s="280">
        <v>52.0</v>
      </c>
      <c r="I131" s="280">
        <v>25.0</v>
      </c>
      <c r="J131" s="280">
        <v>25.0</v>
      </c>
      <c r="K131" s="280"/>
      <c r="L131" s="280"/>
      <c r="M131" s="280"/>
      <c r="N131" s="280"/>
      <c r="O131" s="280">
        <v>1.0</v>
      </c>
      <c r="P131" s="280">
        <v>2.0</v>
      </c>
      <c r="Q131" s="280"/>
      <c r="R131" s="290" t="s">
        <v>745</v>
      </c>
      <c r="S131" s="281"/>
      <c r="T131" s="294"/>
      <c r="U131" s="281"/>
      <c r="V131" s="281"/>
      <c r="W131" s="281"/>
      <c r="X131" s="281"/>
    </row>
    <row r="132">
      <c r="A132" s="309"/>
      <c r="B132" s="288" t="s">
        <v>1238</v>
      </c>
      <c r="C132" s="280" t="s">
        <v>1239</v>
      </c>
      <c r="D132" s="289">
        <f>ROUND((F132*'Pawn Weights'!$H$60)+(G132*'Pawn Weights'!$H$61)+(H132*'Pawn Weights'!$H$62)+(I132*'Pawn Weights'!$H$63)+(J132*'Pawn Weights'!$H$64)+(K132*'Pawn Weights'!$H$65)+(L132*'Pawn Weights'!$H$66)+(M132*'Pawn Weights'!$H$67)+(N132*'Pawn Weights'!$H$68)+(O132*'Pawn Weights'!$H$69)+(P132*'Pawn Weights'!$H$70)+(Q132*'Pawn Weights'!$H$71), 2)</f>
        <v>205.71</v>
      </c>
      <c r="E132" s="280">
        <v>30.0</v>
      </c>
      <c r="F132" s="280"/>
      <c r="G132" s="280"/>
      <c r="H132" s="280">
        <v>64.0</v>
      </c>
      <c r="I132" s="280">
        <v>27.0</v>
      </c>
      <c r="J132" s="280">
        <v>17.0</v>
      </c>
      <c r="K132" s="280"/>
      <c r="L132" s="280"/>
      <c r="M132" s="281"/>
      <c r="N132" s="280"/>
      <c r="O132" s="280">
        <v>2.0</v>
      </c>
      <c r="P132" s="280"/>
      <c r="Q132" s="280">
        <v>1.0</v>
      </c>
      <c r="R132" s="290" t="s">
        <v>626</v>
      </c>
      <c r="S132" s="281"/>
      <c r="T132" s="291"/>
      <c r="U132" s="281"/>
      <c r="V132" s="281"/>
      <c r="W132" s="281"/>
    </row>
    <row r="133">
      <c r="A133" s="301" t="s">
        <v>647</v>
      </c>
      <c r="B133" s="288" t="s">
        <v>1478</v>
      </c>
      <c r="C133" s="280" t="s">
        <v>765</v>
      </c>
      <c r="D133" s="289">
        <f>ROUND((F133*'Pawn Weights'!$H$60)+(G133*'Pawn Weights'!$H$61)+(H133*'Pawn Weights'!$H$62)+(I133*'Pawn Weights'!$H$63)+(J133*'Pawn Weights'!$H$64)+(K133*'Pawn Weights'!$H$65)+(L133*'Pawn Weights'!$H$66)+(M133*'Pawn Weights'!$H$67)+(N133*'Pawn Weights'!$H$68)+(O133*'Pawn Weights'!$H$69)+(P133*'Pawn Weights'!$H$70)+(Q133*'Pawn Weights'!$H$71)+3.38, 2)</f>
        <v>205.15</v>
      </c>
      <c r="E133" s="280">
        <v>58.0</v>
      </c>
      <c r="F133" s="280">
        <v>41.0</v>
      </c>
      <c r="G133" s="280">
        <v>32.0</v>
      </c>
      <c r="H133" s="280"/>
      <c r="I133" s="280"/>
      <c r="J133" s="280">
        <v>21.0</v>
      </c>
      <c r="K133" s="280"/>
      <c r="L133" s="280"/>
      <c r="M133" s="280"/>
      <c r="N133" s="280"/>
      <c r="O133" s="280">
        <v>1.0</v>
      </c>
      <c r="P133" s="280"/>
      <c r="Q133" s="280"/>
      <c r="R133" s="290" t="s">
        <v>711</v>
      </c>
      <c r="S133" s="281"/>
      <c r="T133" s="294"/>
      <c r="U133" s="281"/>
      <c r="V133" s="281"/>
      <c r="W133" s="281"/>
      <c r="X133" s="281"/>
    </row>
    <row r="134">
      <c r="A134" s="309"/>
      <c r="B134" s="311" t="s">
        <v>1479</v>
      </c>
      <c r="C134" s="280" t="s">
        <v>1480</v>
      </c>
      <c r="D134" s="289">
        <f>ROUND((F134*'Pawn Weights'!$H$60)+(G134*'Pawn Weights'!$H$61)+(H134*'Pawn Weights'!$H$62)+(I134*'Pawn Weights'!$H$63)+(J134*'Pawn Weights'!$H$64)+(K134*'Pawn Weights'!$H$65)+(L134*'Pawn Weights'!$H$66)+(M134*'Pawn Weights'!$H$67)+(N134*'Pawn Weights'!$H$68)+(O134*'Pawn Weights'!$H$69)+(P134*'Pawn Weights'!$H$70)+(Q134*'Pawn Weights'!$H$71), 2)</f>
        <v>202.67</v>
      </c>
      <c r="E134" s="280">
        <v>24.0</v>
      </c>
      <c r="F134" s="280">
        <v>30.0</v>
      </c>
      <c r="G134" s="280">
        <v>30.0</v>
      </c>
      <c r="H134" s="280"/>
      <c r="I134" s="280"/>
      <c r="J134" s="280">
        <v>17.0</v>
      </c>
      <c r="K134" s="280"/>
      <c r="L134" s="280">
        <v>18.0</v>
      </c>
      <c r="M134" s="280"/>
      <c r="N134" s="280"/>
      <c r="O134" s="280"/>
      <c r="P134" s="280"/>
      <c r="Q134" s="280"/>
      <c r="R134" s="290"/>
      <c r="S134" s="281"/>
      <c r="T134" s="294"/>
      <c r="U134" s="281"/>
      <c r="V134" s="281"/>
      <c r="W134" s="281"/>
      <c r="X134" s="281"/>
    </row>
    <row r="135">
      <c r="A135" s="301" t="s">
        <v>644</v>
      </c>
      <c r="B135" s="288" t="s">
        <v>1481</v>
      </c>
      <c r="C135" s="280" t="s">
        <v>646</v>
      </c>
      <c r="D135" s="289">
        <f>ROUND((F135*'Pawn Weights'!$H$60)+(G135*'Pawn Weights'!$H$61)+(H135*'Pawn Weights'!$H$62)+(I135*'Pawn Weights'!$H$63)+(J135*'Pawn Weights'!$H$64)+(K135*'Pawn Weights'!$H$65)+(L135*'Pawn Weights'!$H$66)+(M135*'Pawn Weights'!$H$67)+(N135*'Pawn Weights'!$H$68)+(O135*'Pawn Weights'!$H$69)+(P135*'Pawn Weights'!$H$70)+(Q135*'Pawn Weights'!$H$71), 2)</f>
        <v>195.92</v>
      </c>
      <c r="E135" s="280">
        <v>67.0</v>
      </c>
      <c r="F135" s="280">
        <v>38.0</v>
      </c>
      <c r="G135" s="280"/>
      <c r="H135" s="280"/>
      <c r="I135" s="280">
        <v>36.0</v>
      </c>
      <c r="J135" s="280">
        <v>12.0</v>
      </c>
      <c r="K135" s="280"/>
      <c r="L135" s="280"/>
      <c r="M135" s="280">
        <v>84.0</v>
      </c>
      <c r="N135" s="280"/>
      <c r="O135" s="280"/>
      <c r="P135" s="280"/>
      <c r="Q135" s="280"/>
      <c r="R135" s="290"/>
      <c r="S135" s="281"/>
      <c r="T135" s="294"/>
      <c r="U135" s="281"/>
      <c r="V135" s="281"/>
      <c r="W135" s="281"/>
      <c r="X135" s="281"/>
    </row>
    <row r="136">
      <c r="A136" s="272" t="s">
        <v>883</v>
      </c>
      <c r="B136" s="281"/>
      <c r="C136" s="281"/>
      <c r="D136" s="360"/>
      <c r="E136" s="281"/>
      <c r="F136" s="281"/>
      <c r="G136" s="281"/>
      <c r="H136" s="281"/>
      <c r="I136" s="281"/>
      <c r="J136" s="281"/>
      <c r="K136" s="281"/>
      <c r="L136" s="281"/>
      <c r="M136" s="281"/>
      <c r="N136" s="281"/>
      <c r="O136" s="281"/>
      <c r="P136" s="281"/>
      <c r="Q136" s="281"/>
      <c r="R136" s="282"/>
      <c r="S136" s="281"/>
      <c r="T136" s="285"/>
      <c r="U136" s="281"/>
      <c r="V136" s="281"/>
      <c r="W136" s="281"/>
    </row>
    <row r="137">
      <c r="A137" s="301"/>
      <c r="B137" s="288" t="s">
        <v>886</v>
      </c>
      <c r="C137" s="280" t="s">
        <v>701</v>
      </c>
      <c r="D137" s="289">
        <f>ROUND((F137*'Pawn Weights'!$H$60)+(G137*'Pawn Weights'!$H$61)+(H137*'Pawn Weights'!$H$62)+(I137*'Pawn Weights'!$H$63)+(J137*'Pawn Weights'!$H$64)+(K137*'Pawn Weights'!$H$65)+(L137*'Pawn Weights'!$H$66)+(M137*'Pawn Weights'!$H$67)+(N137*'Pawn Weights'!$H$68)+(O137*'Pawn Weights'!$H$69)+(P137*'Pawn Weights'!$H$70)+(Q137*'Pawn Weights'!$H$71)-22+19.7+5.22, 2)</f>
        <v>203.2</v>
      </c>
      <c r="E137" s="280">
        <v>38.0</v>
      </c>
      <c r="F137" s="280"/>
      <c r="G137" s="280">
        <v>30.0</v>
      </c>
      <c r="H137" s="280">
        <v>76.0</v>
      </c>
      <c r="I137" s="280">
        <v>17.0</v>
      </c>
      <c r="J137" s="280"/>
      <c r="K137" s="280"/>
      <c r="L137" s="280"/>
      <c r="M137" s="281"/>
      <c r="N137" s="280"/>
      <c r="O137" s="280">
        <v>1.0</v>
      </c>
      <c r="P137" s="280">
        <v>1.0</v>
      </c>
      <c r="Q137" s="280"/>
      <c r="R137" s="290" t="s">
        <v>702</v>
      </c>
      <c r="S137" s="281"/>
      <c r="T137" s="291"/>
      <c r="U137" s="281"/>
      <c r="V137" s="281"/>
      <c r="W137" s="281"/>
    </row>
    <row r="138">
      <c r="A138" s="301"/>
      <c r="B138" s="288" t="s">
        <v>887</v>
      </c>
      <c r="C138" s="280" t="s">
        <v>727</v>
      </c>
      <c r="D138" s="289">
        <f>ROUND((F138*'Pawn Weights'!$H$60)+(G138*'Pawn Weights'!$H$61)+(H138*'Pawn Weights'!$H$62)+(I138*'Pawn Weights'!$H$63)+(J138*'Pawn Weights'!$H$64)+(K138*'Pawn Weights'!$H$65)+(L138*'Pawn Weights'!$H$66)+(M138*'Pawn Weights'!$H$67)+(N138*'Pawn Weights'!$H$68)+(O138*'Pawn Weights'!$H$69)+(P138*'Pawn Weights'!$H$70)+(Q138*'Pawn Weights'!$H$71), 2)</f>
        <v>195.6</v>
      </c>
      <c r="E138" s="280"/>
      <c r="F138" s="280"/>
      <c r="G138" s="280">
        <v>27.0</v>
      </c>
      <c r="H138" s="280">
        <v>76.0</v>
      </c>
      <c r="I138" s="280">
        <v>26.0</v>
      </c>
      <c r="J138" s="280">
        <v>17.0</v>
      </c>
      <c r="K138" s="280"/>
      <c r="L138" s="280"/>
      <c r="M138" s="281"/>
      <c r="N138" s="280"/>
      <c r="O138" s="280"/>
      <c r="P138" s="280"/>
      <c r="Q138" s="280"/>
      <c r="R138" s="290"/>
      <c r="S138" s="281"/>
      <c r="T138" s="291"/>
      <c r="U138" s="281"/>
      <c r="V138" s="281"/>
      <c r="W138" s="281"/>
    </row>
    <row r="139">
      <c r="A139" s="301"/>
      <c r="B139" s="288" t="s">
        <v>888</v>
      </c>
      <c r="C139" s="280" t="s">
        <v>889</v>
      </c>
      <c r="D139" s="289">
        <f>ROUND((F139*'Pawn Weights'!$H$60)+(G139*'Pawn Weights'!$H$61)+(H139*'Pawn Weights'!$H$62)+(I139*'Pawn Weights'!$H$63)+(J139*'Pawn Weights'!$H$64)+(K139*'Pawn Weights'!$H$65)+(L139*'Pawn Weights'!$H$66)+(M139*'Pawn Weights'!$H$67)+(N139*'Pawn Weights'!$H$68)+(O139*'Pawn Weights'!$H$69)+(P139*'Pawn Weights'!$H$70)+(Q139*'Pawn Weights'!$H$71), 2)</f>
        <v>190.19</v>
      </c>
      <c r="E139" s="280">
        <v>21.0</v>
      </c>
      <c r="F139" s="280"/>
      <c r="G139" s="280">
        <v>29.0</v>
      </c>
      <c r="H139" s="280">
        <v>60.0</v>
      </c>
      <c r="I139" s="280"/>
      <c r="J139" s="280">
        <v>22.0</v>
      </c>
      <c r="K139" s="280"/>
      <c r="L139" s="280"/>
      <c r="M139" s="281"/>
      <c r="N139" s="280"/>
      <c r="O139" s="280">
        <v>1.0</v>
      </c>
      <c r="P139" s="280"/>
      <c r="Q139" s="280">
        <v>1.0</v>
      </c>
      <c r="R139" s="290" t="s">
        <v>832</v>
      </c>
      <c r="S139" s="281"/>
      <c r="T139" s="291"/>
      <c r="U139" s="281"/>
      <c r="V139" s="281"/>
      <c r="W139" s="281"/>
    </row>
    <row r="140">
      <c r="A140" s="301"/>
      <c r="B140" s="288" t="s">
        <v>896</v>
      </c>
      <c r="C140" s="280" t="s">
        <v>835</v>
      </c>
      <c r="D140" s="289">
        <f>ROUND((F140*'Pawn Weights'!$H$60)+(G140*'Pawn Weights'!$H$61)+(H140*'Pawn Weights'!$H$62)+(I140*'Pawn Weights'!$H$63)+(J140*'Pawn Weights'!$H$64)+(K140*'Pawn Weights'!$H$65)+(L140*'Pawn Weights'!$H$66)+(M140*'Pawn Weights'!$H$67)+(N140*'Pawn Weights'!$H$68)+(O140*'Pawn Weights'!$H$69)+(P140*'Pawn Weights'!$H$70)+(Q140*'Pawn Weights'!$H$71)-22+19.7+5.07, 2)</f>
        <v>177.44</v>
      </c>
      <c r="E140" s="280">
        <v>30.0</v>
      </c>
      <c r="F140" s="280"/>
      <c r="G140" s="280">
        <v>28.0</v>
      </c>
      <c r="H140" s="280">
        <v>58.0</v>
      </c>
      <c r="I140" s="280"/>
      <c r="J140" s="280">
        <v>15.0</v>
      </c>
      <c r="K140" s="280"/>
      <c r="L140" s="280"/>
      <c r="M140" s="281"/>
      <c r="N140" s="280"/>
      <c r="O140" s="280">
        <v>1.0</v>
      </c>
      <c r="P140" s="280">
        <v>1.0</v>
      </c>
      <c r="Q140" s="280"/>
      <c r="R140" s="290" t="s">
        <v>695</v>
      </c>
      <c r="S140" s="281"/>
      <c r="T140" s="291"/>
      <c r="U140" s="281"/>
      <c r="V140" s="281"/>
      <c r="W140" s="281"/>
    </row>
    <row r="141">
      <c r="A141" s="295"/>
      <c r="B141" s="296" t="s">
        <v>890</v>
      </c>
      <c r="C141" s="297" t="s">
        <v>773</v>
      </c>
      <c r="D141" s="289">
        <f>ROUND((F141*'Pawn Weights'!$H$60)+(G141*'Pawn Weights'!$H$61)+(H141*'Pawn Weights'!$H$62)+(I141*'Pawn Weights'!$H$63)+(J141*'Pawn Weights'!$H$64)+(K141*'Pawn Weights'!$H$65)+(L141*'Pawn Weights'!$H$66)+(M141*'Pawn Weights'!$H$67)+(N141*'Pawn Weights'!$H$68)+(O141*'Pawn Weights'!$H$69)+(P141*'Pawn Weights'!$H$70)+(Q141*'Pawn Weights'!$H$71), 2)</f>
        <v>171.42</v>
      </c>
      <c r="E141" s="298">
        <v>28.0</v>
      </c>
      <c r="F141" s="297"/>
      <c r="G141" s="298">
        <v>28.0</v>
      </c>
      <c r="H141" s="298">
        <v>58.0</v>
      </c>
      <c r="I141" s="297"/>
      <c r="J141" s="297"/>
      <c r="K141" s="297"/>
      <c r="L141" s="297"/>
      <c r="M141" s="359">
        <v>126.0</v>
      </c>
      <c r="N141" s="297"/>
      <c r="O141" s="298">
        <v>1.0</v>
      </c>
      <c r="P141" s="297"/>
      <c r="Q141" s="297"/>
      <c r="R141" s="298" t="s">
        <v>674</v>
      </c>
      <c r="S141" s="137"/>
      <c r="T141" s="295"/>
      <c r="U141" s="137"/>
      <c r="V141" s="137"/>
      <c r="W141" s="137"/>
      <c r="X141" s="137"/>
      <c r="Y141" s="137"/>
      <c r="Z141" s="137"/>
    </row>
    <row r="142">
      <c r="A142" s="301"/>
      <c r="B142" s="288" t="s">
        <v>901</v>
      </c>
      <c r="C142" s="280" t="s">
        <v>649</v>
      </c>
      <c r="D142" s="289">
        <f>ROUND((F142*'Pawn Weights'!$H$60)+(G142*'Pawn Weights'!$H$61)+(H142*'Pawn Weights'!$H$62)+(I142*'Pawn Weights'!$H$63)+(J142*'Pawn Weights'!$H$64)+(K142*'Pawn Weights'!$H$65)+(L142*'Pawn Weights'!$H$66)+(M142*'Pawn Weights'!$H$67)+(N142*'Pawn Weights'!$H$68)+(O142*'Pawn Weights'!$H$69)+(P142*'Pawn Weights'!$H$70)+(Q142*'Pawn Weights'!$H$71), 2)</f>
        <v>165.77</v>
      </c>
      <c r="E142" s="280">
        <v>25.0</v>
      </c>
      <c r="F142" s="280"/>
      <c r="G142" s="280">
        <v>33.0</v>
      </c>
      <c r="H142" s="280">
        <v>66.0</v>
      </c>
      <c r="I142" s="280"/>
      <c r="J142" s="280"/>
      <c r="K142" s="280"/>
      <c r="L142" s="280"/>
      <c r="M142" s="281"/>
      <c r="N142" s="280"/>
      <c r="O142" s="280">
        <v>1.0</v>
      </c>
      <c r="P142" s="280"/>
      <c r="Q142" s="280">
        <v>1.0</v>
      </c>
      <c r="R142" s="290" t="s">
        <v>695</v>
      </c>
      <c r="S142" s="281"/>
      <c r="T142" s="291"/>
      <c r="U142" s="281"/>
      <c r="V142" s="281"/>
      <c r="W142" s="281"/>
    </row>
    <row r="143">
      <c r="A143" s="301"/>
      <c r="B143" s="288" t="s">
        <v>902</v>
      </c>
      <c r="C143" s="280" t="s">
        <v>871</v>
      </c>
      <c r="D143" s="289">
        <f>ROUND((F143*'Pawn Weights'!$H$60)+(G143*'Pawn Weights'!$H$61)+(H143*'Pawn Weights'!$H$62)+(I143*'Pawn Weights'!$H$63)+(J143*'Pawn Weights'!$H$64)+(K143*'Pawn Weights'!$H$65)+(L143*'Pawn Weights'!$H$66)+(M143*'Pawn Weights'!$H$67)+(N143*'Pawn Weights'!$H$68)+(O143*'Pawn Weights'!$H$69)+(P143*'Pawn Weights'!$H$70)+(Q143*'Pawn Weights'!$H$71), 2)</f>
        <v>165.77</v>
      </c>
      <c r="E143" s="280">
        <v>13.0</v>
      </c>
      <c r="F143" s="280"/>
      <c r="G143" s="280">
        <v>33.0</v>
      </c>
      <c r="H143" s="280">
        <v>66.0</v>
      </c>
      <c r="I143" s="280"/>
      <c r="J143" s="280"/>
      <c r="K143" s="280"/>
      <c r="L143" s="280"/>
      <c r="M143" s="281"/>
      <c r="N143" s="280"/>
      <c r="O143" s="280"/>
      <c r="P143" s="280"/>
      <c r="Q143" s="280">
        <v>2.0</v>
      </c>
      <c r="R143" s="290" t="s">
        <v>809</v>
      </c>
      <c r="S143" s="281"/>
      <c r="T143" s="291"/>
      <c r="U143" s="281"/>
      <c r="V143" s="281"/>
      <c r="W143" s="281"/>
    </row>
    <row r="144">
      <c r="A144" s="309"/>
      <c r="B144" s="288" t="s">
        <v>1103</v>
      </c>
      <c r="C144" s="280" t="s">
        <v>1104</v>
      </c>
      <c r="D144" s="289">
        <f>ROUND((F144*'Pawn Weights'!$H$60)+(G144*'Pawn Weights'!$H$61)+(H144*'Pawn Weights'!$H$62)+(I144*'Pawn Weights'!$H$63)+(J144*'Pawn Weights'!$H$64)+(K144*'Pawn Weights'!$H$65)+(L144*'Pawn Weights'!$H$66)+(M144*'Pawn Weights'!$H$67)+(N144*'Pawn Weights'!$H$68)+(O144*'Pawn Weights'!$H$69)+(P144*'Pawn Weights'!$H$70)+(Q144*'Pawn Weights'!$H$71)-22+19.7+5.07, 2)</f>
        <v>161.75</v>
      </c>
      <c r="E144" s="280">
        <v>28.0</v>
      </c>
      <c r="F144" s="280"/>
      <c r="G144" s="280">
        <v>29.0</v>
      </c>
      <c r="H144" s="280">
        <v>44.0</v>
      </c>
      <c r="I144" s="280"/>
      <c r="J144" s="280">
        <v>13.0</v>
      </c>
      <c r="K144" s="280"/>
      <c r="L144" s="280"/>
      <c r="M144" s="281"/>
      <c r="N144" s="280"/>
      <c r="O144" s="280">
        <v>1.0</v>
      </c>
      <c r="P144" s="280">
        <v>1.0</v>
      </c>
      <c r="Q144" s="280"/>
      <c r="R144" s="290" t="s">
        <v>832</v>
      </c>
      <c r="S144" s="281"/>
      <c r="T144" s="291"/>
      <c r="U144" s="281"/>
      <c r="V144" s="281"/>
      <c r="W144" s="281"/>
    </row>
    <row r="145">
      <c r="A145" s="301" t="s">
        <v>627</v>
      </c>
      <c r="B145" s="288" t="s">
        <v>897</v>
      </c>
      <c r="C145" s="280" t="s">
        <v>898</v>
      </c>
      <c r="D145" s="289">
        <f>ROUND((F145*'Pawn Weights'!$H$60)+(G145*'Pawn Weights'!$H$61)+(H145*'Pawn Weights'!$H$62)+(I145*'Pawn Weights'!$H$63)+(J145*'Pawn Weights'!$H$64)+(K145*'Pawn Weights'!$H$65)+(L145*'Pawn Weights'!$H$66)+(M145*'Pawn Weights'!$H$67)+(N145*'Pawn Weights'!$H$68)+(O145*'Pawn Weights'!$H$69)+(P145*'Pawn Weights'!$H$70)+(Q145*'Pawn Weights'!$H$71), 2)</f>
        <v>160.55</v>
      </c>
      <c r="E145" s="280">
        <v>34.0</v>
      </c>
      <c r="F145" s="280"/>
      <c r="G145" s="280"/>
      <c r="H145" s="280">
        <v>66.0</v>
      </c>
      <c r="I145" s="280">
        <v>32.0</v>
      </c>
      <c r="J145" s="280">
        <v>23.0</v>
      </c>
      <c r="K145" s="280"/>
      <c r="L145" s="280"/>
      <c r="M145" s="281"/>
      <c r="N145" s="280"/>
      <c r="O145" s="280"/>
      <c r="P145" s="280"/>
      <c r="Q145" s="280"/>
      <c r="R145" s="290"/>
      <c r="S145" s="281"/>
      <c r="T145" s="291"/>
      <c r="U145" s="281"/>
      <c r="V145" s="281"/>
      <c r="W145" s="281"/>
    </row>
    <row r="146">
      <c r="A146" s="301" t="s">
        <v>627</v>
      </c>
      <c r="B146" s="311" t="s">
        <v>903</v>
      </c>
      <c r="C146" s="280" t="s">
        <v>904</v>
      </c>
      <c r="D146" s="289">
        <f>ROUND((F146*'Pawn Weights'!$H$60)+(G146*'Pawn Weights'!$H$61)+(H146*'Pawn Weights'!$H$62)+(I146*'Pawn Weights'!$H$63)+(J146*'Pawn Weights'!$H$64)+(K146*'Pawn Weights'!$H$65)+(L146*'Pawn Weights'!$H$66)+(M146*'Pawn Weights'!$H$67)+(N146*'Pawn Weights'!$H$68)+(O146*'Pawn Weights'!$H$69)+(P146*'Pawn Weights'!$H$70)+(Q146*'Pawn Weights'!$H$71)-22+19.7+6, 2)</f>
        <v>155.53</v>
      </c>
      <c r="E146" s="280"/>
      <c r="F146" s="280"/>
      <c r="G146" s="280"/>
      <c r="H146" s="280">
        <v>36.0</v>
      </c>
      <c r="I146" s="280">
        <v>17.0</v>
      </c>
      <c r="J146" s="280">
        <v>25.0</v>
      </c>
      <c r="K146" s="280"/>
      <c r="L146" s="280"/>
      <c r="M146" s="281"/>
      <c r="N146" s="280"/>
      <c r="O146" s="280">
        <v>1.0</v>
      </c>
      <c r="P146" s="280">
        <v>1.0</v>
      </c>
      <c r="Q146" s="280"/>
      <c r="R146" s="290" t="s">
        <v>809</v>
      </c>
      <c r="S146" s="281"/>
      <c r="T146" s="291"/>
      <c r="U146" s="281"/>
      <c r="V146" s="281"/>
      <c r="W146" s="281"/>
    </row>
    <row r="147">
      <c r="A147" s="295" t="s">
        <v>671</v>
      </c>
      <c r="B147" s="296" t="s">
        <v>1351</v>
      </c>
      <c r="C147" s="297" t="s">
        <v>892</v>
      </c>
      <c r="D147" s="289">
        <f>ROUND((F147*'Pawn Weights'!$H$60)+(G147*'Pawn Weights'!$H$61)+(H147*'Pawn Weights'!$H$62)+(I147*'Pawn Weights'!$H$63)+(J147*'Pawn Weights'!$H$64)+(K147*'Pawn Weights'!$H$65)+(L147*'Pawn Weights'!$H$66)+(M147*'Pawn Weights'!$H$67)+(N147*'Pawn Weights'!$H$68)+(O147*'Pawn Weights'!$H$69)+(P147*'Pawn Weights'!$H$70)+(Q147*'Pawn Weights'!$H$71), 2)</f>
        <v>149.72</v>
      </c>
      <c r="E147" s="298">
        <v>55.0</v>
      </c>
      <c r="F147" s="298">
        <v>38.0</v>
      </c>
      <c r="G147" s="297"/>
      <c r="H147" s="297"/>
      <c r="I147" s="298">
        <v>38.0</v>
      </c>
      <c r="J147" s="297"/>
      <c r="K147" s="297"/>
      <c r="L147" s="297"/>
      <c r="M147" s="137"/>
      <c r="N147" s="297"/>
      <c r="O147" s="297"/>
      <c r="P147" s="297"/>
      <c r="Q147" s="297"/>
      <c r="R147" s="295"/>
      <c r="S147" s="137"/>
      <c r="T147" s="297" t="s">
        <v>850</v>
      </c>
      <c r="U147" s="137"/>
      <c r="V147" s="137"/>
      <c r="W147" s="137"/>
      <c r="X147" s="137"/>
      <c r="Y147" s="137"/>
      <c r="Z147" s="137"/>
    </row>
    <row r="148">
      <c r="A148" s="309"/>
      <c r="B148" s="288" t="s">
        <v>1241</v>
      </c>
      <c r="C148" s="280" t="s">
        <v>683</v>
      </c>
      <c r="D148" s="289">
        <f>ROUND((F148*'Pawn Weights'!$H$60)+(G148*'Pawn Weights'!$H$61)+(H148*'Pawn Weights'!$H$62)+(I148*'Pawn Weights'!$H$63)+(J148*'Pawn Weights'!$H$64)+(K148*'Pawn Weights'!$H$65)+(L148*'Pawn Weights'!$H$66)+(M148*'Pawn Weights'!$H$67)+(N148*'Pawn Weights'!$H$68)+(O148*'Pawn Weights'!$H$69)+(P148*'Pawn Weights'!$H$70)+(Q148*'Pawn Weights'!$H$71), 2)</f>
        <v>128.98</v>
      </c>
      <c r="E148" s="280">
        <v>41.0</v>
      </c>
      <c r="F148" s="280"/>
      <c r="G148" s="280">
        <v>42.0</v>
      </c>
      <c r="H148" s="280">
        <v>58.0</v>
      </c>
      <c r="I148" s="280"/>
      <c r="J148" s="280"/>
      <c r="K148" s="280"/>
      <c r="L148" s="280"/>
      <c r="M148" s="281"/>
      <c r="N148" s="280"/>
      <c r="O148" s="280"/>
      <c r="P148" s="280"/>
      <c r="Q148" s="280"/>
      <c r="R148" s="290"/>
      <c r="S148" s="281"/>
      <c r="T148" s="291"/>
      <c r="U148" s="281"/>
      <c r="V148" s="281"/>
      <c r="W148" s="281"/>
    </row>
    <row r="149">
      <c r="A149" s="224" t="s">
        <v>905</v>
      </c>
      <c r="B149" s="281"/>
      <c r="C149" s="281"/>
      <c r="D149" s="360"/>
      <c r="E149" s="281"/>
      <c r="F149" s="281"/>
      <c r="G149" s="281"/>
      <c r="H149" s="281"/>
      <c r="I149" s="281"/>
      <c r="J149" s="281"/>
      <c r="K149" s="281"/>
      <c r="L149" s="281"/>
      <c r="M149" s="281"/>
      <c r="N149" s="281"/>
      <c r="O149" s="281"/>
      <c r="P149" s="281"/>
      <c r="Q149" s="281"/>
      <c r="R149" s="282"/>
      <c r="S149" s="281"/>
      <c r="T149" s="285"/>
      <c r="U149" s="281"/>
      <c r="V149" s="281"/>
      <c r="W149" s="281"/>
    </row>
    <row r="150">
      <c r="A150" s="281"/>
      <c r="B150" s="288" t="s">
        <v>907</v>
      </c>
      <c r="C150" s="280" t="s">
        <v>632</v>
      </c>
      <c r="D150" s="289">
        <f>ROUND((F150*'Pawn Weights'!$H$60)+(G150*'Pawn Weights'!$H$61)+(H150*'Pawn Weights'!$H$62)+(I150*'Pawn Weights'!$H$63)+(J150*'Pawn Weights'!$H$64)+(K150*'Pawn Weights'!$H$65)+(L150*'Pawn Weights'!$H$66)+(M150*'Pawn Weights'!$H$67)+(N150*'Pawn Weights'!$H$68)+(O150*'Pawn Weights'!$H$69)+(P150*'Pawn Weights'!$H$70)+(Q150*'Pawn Weights'!$H$71), 2)</f>
        <v>160.8</v>
      </c>
      <c r="E150" s="280">
        <v>33.0</v>
      </c>
      <c r="F150" s="280"/>
      <c r="G150" s="280"/>
      <c r="H150" s="280">
        <v>66.0</v>
      </c>
      <c r="I150" s="280"/>
      <c r="J150" s="280">
        <v>30.0</v>
      </c>
      <c r="K150" s="280"/>
      <c r="L150" s="280"/>
      <c r="M150" s="280">
        <v>126.0</v>
      </c>
      <c r="N150" s="280"/>
      <c r="O150" s="280"/>
      <c r="P150" s="280"/>
      <c r="Q150" s="280"/>
      <c r="R150" s="290"/>
      <c r="S150" s="281"/>
      <c r="T150" s="291"/>
      <c r="U150" s="281"/>
      <c r="V150" s="281"/>
      <c r="W150" s="281"/>
    </row>
    <row r="151">
      <c r="A151" s="137" t="s">
        <v>627</v>
      </c>
      <c r="B151" s="296" t="s">
        <v>910</v>
      </c>
      <c r="C151" s="297" t="s">
        <v>911</v>
      </c>
      <c r="D151" s="289">
        <f>ROUND((F151*'Pawn Weights'!$H$60)+(G151*'Pawn Weights'!$H$61)+(H151*'Pawn Weights'!$H$62)+(I151*'Pawn Weights'!$H$63)+(J151*'Pawn Weights'!$H$64)+(K151*'Pawn Weights'!$H$65)+(L151*'Pawn Weights'!$H$66)+(M151*'Pawn Weights'!$H$67)+(N151*'Pawn Weights'!$H$68)+(O151*'Pawn Weights'!$H$69)+(P151*'Pawn Weights'!$H$70)+(Q151*'Pawn Weights'!$H$71), 2)</f>
        <v>159.66</v>
      </c>
      <c r="E151" s="298">
        <v>42.0</v>
      </c>
      <c r="F151" s="297"/>
      <c r="G151" s="298">
        <v>30.0</v>
      </c>
      <c r="H151" s="298">
        <v>58.0</v>
      </c>
      <c r="I151" s="297"/>
      <c r="J151" s="297"/>
      <c r="K151" s="298">
        <v>28.0</v>
      </c>
      <c r="L151" s="297"/>
      <c r="M151" s="295"/>
      <c r="N151" s="297"/>
      <c r="O151" s="297"/>
      <c r="P151" s="297"/>
      <c r="Q151" s="297"/>
      <c r="R151" s="295"/>
      <c r="S151" s="137"/>
      <c r="T151" s="295"/>
      <c r="U151" s="137"/>
      <c r="V151" s="137"/>
      <c r="W151" s="137"/>
      <c r="X151" s="137"/>
      <c r="Y151" s="137"/>
      <c r="Z151" s="137"/>
    </row>
    <row r="152">
      <c r="A152" s="137"/>
      <c r="B152" s="296" t="s">
        <v>908</v>
      </c>
      <c r="C152" s="297" t="s">
        <v>909</v>
      </c>
      <c r="D152" s="289">
        <f>ROUND((F152*'Pawn Weights'!$H$60)+(G152*'Pawn Weights'!$H$61)+(H152*'Pawn Weights'!$H$62)+(I152*'Pawn Weights'!$H$63)+(J152*'Pawn Weights'!$H$64)+(K152*'Pawn Weights'!$H$65)+(L152*'Pawn Weights'!$H$66)+(M152*'Pawn Weights'!$H$67)+(N152*'Pawn Weights'!$H$68)+(O152*'Pawn Weights'!$H$69)+(P152*'Pawn Weights'!$H$70)+(Q152*'Pawn Weights'!$H$71), 2)</f>
        <v>151.11</v>
      </c>
      <c r="E152" s="298">
        <v>28.0</v>
      </c>
      <c r="F152" s="297"/>
      <c r="G152" s="298">
        <v>29.0</v>
      </c>
      <c r="H152" s="298">
        <v>58.0</v>
      </c>
      <c r="I152" s="297"/>
      <c r="J152" s="297"/>
      <c r="K152" s="297"/>
      <c r="L152" s="297"/>
      <c r="M152" s="298">
        <v>126.0</v>
      </c>
      <c r="N152" s="297"/>
      <c r="O152" s="297"/>
      <c r="P152" s="297"/>
      <c r="Q152" s="297"/>
      <c r="R152" s="295"/>
      <c r="S152" s="137"/>
      <c r="T152" s="295"/>
      <c r="U152" s="137"/>
      <c r="V152" s="137"/>
      <c r="W152" s="137"/>
      <c r="X152" s="137"/>
      <c r="Y152" s="137"/>
      <c r="Z152" s="137"/>
    </row>
    <row r="153">
      <c r="A153" s="281"/>
      <c r="B153" s="288" t="s">
        <v>912</v>
      </c>
      <c r="C153" s="280" t="s">
        <v>913</v>
      </c>
      <c r="D153" s="289">
        <f>ROUND((F153*'Pawn Weights'!$H$60)+(G153*'Pawn Weights'!$H$61)+(H153*'Pawn Weights'!$H$62)+(I153*'Pawn Weights'!$H$63)+(J153*'Pawn Weights'!$H$64)+(K153*'Pawn Weights'!$H$65)+(L153*'Pawn Weights'!$H$66)+(M153*'Pawn Weights'!$H$67)+(N153*'Pawn Weights'!$H$68)+(O153*'Pawn Weights'!$H$69)+(P153*'Pawn Weights'!$H$70)+(Q153*'Pawn Weights'!$H$71), 2)</f>
        <v>149.42</v>
      </c>
      <c r="E153" s="280">
        <v>30.0</v>
      </c>
      <c r="F153" s="280"/>
      <c r="G153" s="280">
        <v>28.0</v>
      </c>
      <c r="H153" s="280">
        <v>58.0</v>
      </c>
      <c r="I153" s="280"/>
      <c r="J153" s="280"/>
      <c r="K153" s="280"/>
      <c r="L153" s="280"/>
      <c r="M153" s="280">
        <v>126.0</v>
      </c>
      <c r="N153" s="280"/>
      <c r="O153" s="280"/>
      <c r="P153" s="280"/>
      <c r="Q153" s="280"/>
      <c r="R153" s="290"/>
      <c r="S153" s="281"/>
      <c r="T153" s="291"/>
      <c r="U153" s="281"/>
      <c r="V153" s="281"/>
      <c r="W153" s="281"/>
    </row>
    <row r="154">
      <c r="A154" s="281"/>
      <c r="B154" s="288" t="s">
        <v>918</v>
      </c>
      <c r="C154" s="280" t="s">
        <v>919</v>
      </c>
      <c r="D154" s="289">
        <f>ROUND((F154*'Pawn Weights'!$H$60)+(G154*'Pawn Weights'!$H$61)+(H154*'Pawn Weights'!$H$62)+(I154*'Pawn Weights'!$H$63)+(J154*'Pawn Weights'!$H$64)+(K154*'Pawn Weights'!$H$65)+(L154*'Pawn Weights'!$H$66)+(M154*'Pawn Weights'!$H$67)+(N154*'Pawn Weights'!$H$68)+(O154*'Pawn Weights'!$H$69)+(P154*'Pawn Weights'!$H$70)+(Q154*'Pawn Weights'!$H$71)+26.666, 2)</f>
        <v>135.68</v>
      </c>
      <c r="E154" s="280">
        <v>43.0</v>
      </c>
      <c r="F154" s="280"/>
      <c r="G154" s="280">
        <v>29.0</v>
      </c>
      <c r="H154" s="280">
        <v>60.0</v>
      </c>
      <c r="I154" s="280"/>
      <c r="J154" s="280"/>
      <c r="K154" s="280"/>
      <c r="L154" s="280"/>
      <c r="M154" s="281"/>
      <c r="N154" s="280"/>
      <c r="O154" s="280"/>
      <c r="P154" s="280"/>
      <c r="Q154" s="280"/>
      <c r="R154" s="290"/>
      <c r="S154" s="281"/>
      <c r="T154" s="291" t="s">
        <v>920</v>
      </c>
      <c r="U154" s="281"/>
      <c r="V154" s="281"/>
      <c r="W154" s="281"/>
    </row>
    <row r="155">
      <c r="A155" s="281"/>
      <c r="B155" s="288" t="s">
        <v>917</v>
      </c>
      <c r="C155" s="280" t="s">
        <v>741</v>
      </c>
      <c r="D155" s="289">
        <f>ROUND((F155*'Pawn Weights'!$H$60)+(G155*'Pawn Weights'!$H$61)+(H155*'Pawn Weights'!$H$62)+(I155*'Pawn Weights'!$H$63)+(J155*'Pawn Weights'!$H$64)+(K155*'Pawn Weights'!$H$65)+(L155*'Pawn Weights'!$H$66)+(M155*'Pawn Weights'!$H$67)+(N155*'Pawn Weights'!$H$68)+(O155*'Pawn Weights'!$H$69)+(P155*'Pawn Weights'!$H$70)+(Q155*'Pawn Weights'!$H$71), 2)</f>
        <v>135.14</v>
      </c>
      <c r="E155" s="280">
        <v>27.0</v>
      </c>
      <c r="F155" s="280"/>
      <c r="G155" s="280"/>
      <c r="H155" s="280">
        <v>56.0</v>
      </c>
      <c r="I155" s="280">
        <v>28.0</v>
      </c>
      <c r="J155" s="280">
        <v>18.0</v>
      </c>
      <c r="K155" s="280"/>
      <c r="L155" s="280"/>
      <c r="M155" s="281"/>
      <c r="N155" s="280"/>
      <c r="O155" s="280"/>
      <c r="P155" s="280"/>
      <c r="Q155" s="280"/>
      <c r="R155" s="290"/>
      <c r="S155" s="281"/>
      <c r="T155" s="291"/>
      <c r="U155" s="281"/>
      <c r="V155" s="281"/>
      <c r="W155" s="281"/>
    </row>
    <row r="156">
      <c r="A156" s="281"/>
      <c r="B156" s="288" t="s">
        <v>914</v>
      </c>
      <c r="C156" s="280" t="s">
        <v>857</v>
      </c>
      <c r="D156" s="289">
        <f>ROUND((F156*'Pawn Weights'!$H$60)+(G156*'Pawn Weights'!$H$61)+(H156*'Pawn Weights'!$H$62)+(I156*'Pawn Weights'!$H$63)+(J156*'Pawn Weights'!$H$64)+(K156*'Pawn Weights'!$H$65)+(L156*'Pawn Weights'!$H$66)+(M156*'Pawn Weights'!$H$67)+(N156*'Pawn Weights'!$H$68)+(O156*'Pawn Weights'!$H$69)+(P156*'Pawn Weights'!$H$70)+(Q156*'Pawn Weights'!$H$71), 2)</f>
        <v>131.4</v>
      </c>
      <c r="E156" s="280">
        <v>28.0</v>
      </c>
      <c r="F156" s="280">
        <v>36.0</v>
      </c>
      <c r="G156" s="280"/>
      <c r="H156" s="280"/>
      <c r="I156" s="280">
        <v>30.0</v>
      </c>
      <c r="J156" s="280"/>
      <c r="K156" s="280"/>
      <c r="L156" s="280"/>
      <c r="M156" s="281"/>
      <c r="N156" s="280"/>
      <c r="O156" s="280"/>
      <c r="P156" s="280"/>
      <c r="Q156" s="280"/>
      <c r="R156" s="290"/>
      <c r="S156" s="281"/>
      <c r="T156" s="291"/>
      <c r="U156" s="281"/>
      <c r="V156" s="281"/>
      <c r="W156" s="281"/>
    </row>
    <row r="157">
      <c r="A157" s="281"/>
      <c r="B157" s="288" t="s">
        <v>926</v>
      </c>
      <c r="C157" s="280" t="s">
        <v>723</v>
      </c>
      <c r="D157" s="289">
        <f>ROUND((F157*'Pawn Weights'!$H$60)+(G157*'Pawn Weights'!$H$61)+(H157*'Pawn Weights'!$H$62)+(I157*'Pawn Weights'!$H$63)+(J157*'Pawn Weights'!$H$64)+(K157*'Pawn Weights'!$H$65)+(L157*'Pawn Weights'!$H$66)+(M157*'Pawn Weights'!$H$67)+(N157*'Pawn Weights'!$H$68)+(O157*'Pawn Weights'!$H$69)+(P157*'Pawn Weights'!$H$70)+(Q157*'Pawn Weights'!$H$71), 2)</f>
        <v>125.6</v>
      </c>
      <c r="E157" s="280">
        <v>42.0</v>
      </c>
      <c r="F157" s="280"/>
      <c r="G157" s="280">
        <v>21.0</v>
      </c>
      <c r="H157" s="280">
        <v>58.0</v>
      </c>
      <c r="I157" s="280"/>
      <c r="J157" s="280">
        <v>19.0</v>
      </c>
      <c r="K157" s="280"/>
      <c r="L157" s="280"/>
      <c r="M157" s="281"/>
      <c r="N157" s="280"/>
      <c r="O157" s="280"/>
      <c r="P157" s="280"/>
      <c r="Q157" s="280"/>
      <c r="R157" s="290"/>
      <c r="S157" s="281"/>
      <c r="T157" s="291"/>
      <c r="U157" s="281"/>
      <c r="V157" s="281"/>
      <c r="W157" s="281"/>
    </row>
    <row r="158">
      <c r="A158" s="137" t="s">
        <v>671</v>
      </c>
      <c r="B158" s="296" t="s">
        <v>915</v>
      </c>
      <c r="C158" s="297" t="s">
        <v>916</v>
      </c>
      <c r="D158" s="289">
        <f>ROUND((F158*'Pawn Weights'!$H$60)+(G158*'Pawn Weights'!$H$61)+(H158*'Pawn Weights'!$H$62)+(I158*'Pawn Weights'!$H$63)+(J158*'Pawn Weights'!$H$64)+(K158*'Pawn Weights'!$H$65)+(L158*'Pawn Weights'!$H$66)+(M158*'Pawn Weights'!$H$67)+(N158*'Pawn Weights'!$H$68)+(O158*'Pawn Weights'!$H$69)+(P158*'Pawn Weights'!$H$70)+(Q158*'Pawn Weights'!$H$71), 2)</f>
        <v>123.8</v>
      </c>
      <c r="E158" s="298">
        <v>38.0</v>
      </c>
      <c r="F158" s="297"/>
      <c r="G158" s="297"/>
      <c r="H158" s="298">
        <v>52.0</v>
      </c>
      <c r="I158" s="298">
        <v>30.0</v>
      </c>
      <c r="J158" s="297"/>
      <c r="K158" s="297"/>
      <c r="L158" s="297"/>
      <c r="M158" s="359">
        <v>56.0</v>
      </c>
      <c r="N158" s="297"/>
      <c r="O158" s="297"/>
      <c r="P158" s="297"/>
      <c r="Q158" s="297"/>
      <c r="R158" s="295"/>
      <c r="S158" s="137"/>
      <c r="T158" s="297" t="s">
        <v>861</v>
      </c>
      <c r="U158" s="137"/>
      <c r="V158" s="137"/>
      <c r="W158" s="137"/>
      <c r="X158" s="137"/>
      <c r="Y158" s="137"/>
      <c r="Z158" s="137"/>
    </row>
    <row r="159">
      <c r="A159" s="281"/>
      <c r="B159" s="288" t="s">
        <v>927</v>
      </c>
      <c r="C159" s="280" t="s">
        <v>710</v>
      </c>
      <c r="D159" s="289">
        <f>ROUND((F159*'Pawn Weights'!$H$60)+(G159*'Pawn Weights'!$H$61)+(H159*'Pawn Weights'!$H$62)+(I159*'Pawn Weights'!$H$63)+(J159*'Pawn Weights'!$H$64)+(K159*'Pawn Weights'!$H$65)+(L159*'Pawn Weights'!$H$66)+(M159*'Pawn Weights'!$H$67)+(N159*'Pawn Weights'!$H$68)+(O159*'Pawn Weights'!$H$69)+(P159*'Pawn Weights'!$H$70)+(Q159*'Pawn Weights'!$H$71), 2)</f>
        <v>122.67</v>
      </c>
      <c r="E159" s="280">
        <v>19.0</v>
      </c>
      <c r="F159" s="280"/>
      <c r="G159" s="280">
        <v>24.0</v>
      </c>
      <c r="H159" s="280">
        <v>50.0</v>
      </c>
      <c r="I159" s="280"/>
      <c r="J159" s="280">
        <v>19.0</v>
      </c>
      <c r="K159" s="280"/>
      <c r="L159" s="280"/>
      <c r="M159" s="281"/>
      <c r="N159" s="280"/>
      <c r="O159" s="280"/>
      <c r="P159" s="280"/>
      <c r="Q159" s="280"/>
      <c r="R159" s="290"/>
      <c r="S159" s="281"/>
      <c r="T159" s="291"/>
      <c r="U159" s="281"/>
      <c r="V159" s="281"/>
      <c r="W159" s="281"/>
    </row>
    <row r="160">
      <c r="A160" s="281"/>
      <c r="B160" s="288" t="s">
        <v>921</v>
      </c>
      <c r="C160" s="280" t="s">
        <v>821</v>
      </c>
      <c r="D160" s="289">
        <f>ROUND((F160*'Pawn Weights'!$H$60)+(G160*'Pawn Weights'!$H$61)+(H160*'Pawn Weights'!$H$62)+(I160*'Pawn Weights'!$H$63)+(J160*'Pawn Weights'!$H$64)+(K160*'Pawn Weights'!$H$65)+(L160*'Pawn Weights'!$H$66)+(M160*'Pawn Weights'!$H$67)+(N160*'Pawn Weights'!$H$68)+(O160*'Pawn Weights'!$H$69)+(P160*'Pawn Weights'!$H$70)+(Q160*'Pawn Weights'!$H$71), 2)</f>
        <v>122.42</v>
      </c>
      <c r="E160" s="280"/>
      <c r="F160" s="280"/>
      <c r="G160" s="280"/>
      <c r="H160" s="280">
        <v>66.0</v>
      </c>
      <c r="I160" s="280"/>
      <c r="J160" s="280"/>
      <c r="K160" s="280">
        <v>31.0</v>
      </c>
      <c r="L160" s="280"/>
      <c r="M160" s="281"/>
      <c r="N160" s="280"/>
      <c r="O160" s="280"/>
      <c r="P160" s="280"/>
      <c r="Q160" s="280"/>
      <c r="R160" s="290"/>
      <c r="S160" s="281"/>
      <c r="T160" s="291"/>
      <c r="U160" s="281"/>
      <c r="V160" s="281"/>
      <c r="W160" s="281"/>
    </row>
    <row r="161">
      <c r="A161" s="281"/>
      <c r="B161" s="288" t="s">
        <v>922</v>
      </c>
      <c r="C161" s="280" t="s">
        <v>708</v>
      </c>
      <c r="D161" s="289">
        <f>ROUND((F161*'Pawn Weights'!$H$60)+(G161*'Pawn Weights'!$H$61)+(H161*'Pawn Weights'!$H$62)+(I161*'Pawn Weights'!$H$63)+(J161*'Pawn Weights'!$H$64)+(K161*'Pawn Weights'!$H$65)+(L161*'Pawn Weights'!$H$66)+(M161*'Pawn Weights'!$H$67)+(N161*'Pawn Weights'!$H$68)+(O161*'Pawn Weights'!$H$69)+(P161*'Pawn Weights'!$H$70)+(Q161*'Pawn Weights'!$H$71), 2)</f>
        <v>120.41</v>
      </c>
      <c r="E161" s="280"/>
      <c r="F161" s="280"/>
      <c r="G161" s="280"/>
      <c r="H161" s="280">
        <v>62.0</v>
      </c>
      <c r="I161" s="280">
        <v>19.0</v>
      </c>
      <c r="J161" s="280">
        <v>15.0</v>
      </c>
      <c r="K161" s="280"/>
      <c r="L161" s="280"/>
      <c r="M161" s="281"/>
      <c r="N161" s="280"/>
      <c r="O161" s="280"/>
      <c r="P161" s="280"/>
      <c r="Q161" s="280"/>
      <c r="R161" s="290"/>
      <c r="S161" s="281"/>
      <c r="T161" s="291"/>
      <c r="U161" s="281"/>
      <c r="V161" s="281"/>
      <c r="W161" s="281"/>
    </row>
    <row r="162">
      <c r="A162" s="281"/>
      <c r="B162" s="288" t="s">
        <v>923</v>
      </c>
      <c r="C162" s="280" t="s">
        <v>656</v>
      </c>
      <c r="D162" s="289">
        <f>ROUND((F162*'Pawn Weights'!$H$60)+(G162*'Pawn Weights'!$H$61)+(H162*'Pawn Weights'!$H$62)+(I162*'Pawn Weights'!$H$63)+(J162*'Pawn Weights'!$H$64)+(K162*'Pawn Weights'!$H$65)+(L162*'Pawn Weights'!$H$66)+(M162*'Pawn Weights'!$H$67)+(N162*'Pawn Weights'!$H$68)+(O162*'Pawn Weights'!$H$69)+(P162*'Pawn Weights'!$H$70)+(Q162*'Pawn Weights'!$H$71), 2)</f>
        <v>116.13</v>
      </c>
      <c r="E162" s="280">
        <v>21.0</v>
      </c>
      <c r="F162" s="280"/>
      <c r="G162" s="280"/>
      <c r="H162" s="280">
        <v>44.0</v>
      </c>
      <c r="I162" s="280">
        <v>23.0</v>
      </c>
      <c r="J162" s="280">
        <v>19.0</v>
      </c>
      <c r="K162" s="280"/>
      <c r="L162" s="280"/>
      <c r="M162" s="281"/>
      <c r="N162" s="280"/>
      <c r="O162" s="280"/>
      <c r="P162" s="280"/>
      <c r="Q162" s="280"/>
      <c r="R162" s="290"/>
      <c r="S162" s="281"/>
      <c r="T162" s="291"/>
      <c r="U162" s="281"/>
      <c r="V162" s="281"/>
      <c r="W162" s="281"/>
    </row>
    <row r="163">
      <c r="A163" s="281"/>
      <c r="B163" s="288" t="s">
        <v>1111</v>
      </c>
      <c r="C163" s="280" t="s">
        <v>1112</v>
      </c>
      <c r="D163" s="289">
        <f>ROUND((F163*'Pawn Weights'!$H$60)+(G163*'Pawn Weights'!$H$61)+(H163*'Pawn Weights'!$H$62)+(I163*'Pawn Weights'!$H$63)+(J163*'Pawn Weights'!$H$64)+(K163*'Pawn Weights'!$H$65)+(L163*'Pawn Weights'!$H$66)+(M163*'Pawn Weights'!$H$67)+(N163*'Pawn Weights'!$H$68)+(O163*'Pawn Weights'!$H$69)+(P163*'Pawn Weights'!$H$70)+(Q163*'Pawn Weights'!$H$71), 2)</f>
        <v>106.91</v>
      </c>
      <c r="E163" s="280"/>
      <c r="F163" s="280"/>
      <c r="G163" s="280"/>
      <c r="H163" s="280">
        <v>40.0</v>
      </c>
      <c r="I163" s="280">
        <v>20.0</v>
      </c>
      <c r="J163" s="280">
        <v>19.0</v>
      </c>
      <c r="K163" s="280"/>
      <c r="L163" s="280"/>
      <c r="M163" s="281"/>
      <c r="N163" s="280"/>
      <c r="O163" s="280"/>
      <c r="P163" s="280"/>
      <c r="Q163" s="280"/>
      <c r="R163" s="290"/>
      <c r="S163" s="281"/>
      <c r="T163" s="291"/>
      <c r="U163" s="281"/>
      <c r="V163" s="281"/>
      <c r="W163" s="281"/>
    </row>
    <row r="164">
      <c r="A164" s="281"/>
      <c r="B164" s="288" t="s">
        <v>1114</v>
      </c>
      <c r="C164" s="280" t="s">
        <v>683</v>
      </c>
      <c r="D164" s="289">
        <f>ROUND((F164*'Pawn Weights'!$H$60)+(G164*'Pawn Weights'!$H$61)+(H164*'Pawn Weights'!$H$62)+(I164*'Pawn Weights'!$H$63)+(J164*'Pawn Weights'!$H$64)+(K164*'Pawn Weights'!$H$65)+(L164*'Pawn Weights'!$H$66)+(M164*'Pawn Weights'!$H$67)+(N164*'Pawn Weights'!$H$68)+(O164*'Pawn Weights'!$H$69)+(P164*'Pawn Weights'!$H$70)+(Q164*'Pawn Weights'!$H$71), 2)</f>
        <v>105.89</v>
      </c>
      <c r="E164" s="280">
        <v>30.0</v>
      </c>
      <c r="F164" s="280">
        <v>32.0</v>
      </c>
      <c r="G164" s="280">
        <v>21.0</v>
      </c>
      <c r="H164" s="280"/>
      <c r="I164" s="280"/>
      <c r="J164" s="280"/>
      <c r="K164" s="280"/>
      <c r="L164" s="280"/>
      <c r="M164" s="281"/>
      <c r="N164" s="280"/>
      <c r="O164" s="280"/>
      <c r="P164" s="280"/>
      <c r="Q164" s="280"/>
      <c r="R164" s="290"/>
      <c r="S164" s="281"/>
      <c r="T164" s="291"/>
      <c r="U164" s="281"/>
      <c r="V164" s="281"/>
      <c r="W164" s="281"/>
    </row>
    <row r="165">
      <c r="A165" s="281"/>
      <c r="B165" s="288" t="s">
        <v>1244</v>
      </c>
      <c r="C165" s="280" t="s">
        <v>1245</v>
      </c>
      <c r="D165" s="289">
        <f>ROUND((F165*'Pawn Weights'!$H$60)+(G165*'Pawn Weights'!$H$61)+(H165*'Pawn Weights'!$H$62)+(I165*'Pawn Weights'!$H$63)+(J165*'Pawn Weights'!$H$64)+(K165*'Pawn Weights'!$H$65)+(L165*'Pawn Weights'!$H$66)+(M165*'Pawn Weights'!$H$67)+(N165*'Pawn Weights'!$H$68)+(O165*'Pawn Weights'!$H$69)+(P165*'Pawn Weights'!$H$70)+(Q165*'Pawn Weights'!$H$71), 2)</f>
        <v>105.85</v>
      </c>
      <c r="E165" s="280">
        <v>18.0</v>
      </c>
      <c r="F165" s="280"/>
      <c r="G165" s="280">
        <v>25.0</v>
      </c>
      <c r="H165" s="280"/>
      <c r="I165" s="280"/>
      <c r="J165" s="280"/>
      <c r="K165" s="280"/>
      <c r="L165" s="280">
        <v>20.0</v>
      </c>
      <c r="M165" s="281"/>
      <c r="N165" s="280"/>
      <c r="O165" s="280"/>
      <c r="P165" s="280"/>
      <c r="Q165" s="280"/>
      <c r="R165" s="290"/>
      <c r="S165" s="281"/>
      <c r="T165" s="291" t="s">
        <v>1246</v>
      </c>
      <c r="U165" s="281"/>
      <c r="V165" s="281"/>
      <c r="W165" s="281"/>
    </row>
    <row r="166">
      <c r="A166" s="281"/>
      <c r="B166" s="288" t="s">
        <v>1115</v>
      </c>
      <c r="C166" s="280" t="s">
        <v>1116</v>
      </c>
      <c r="D166" s="289">
        <f>ROUND((F166*'Pawn Weights'!$H$60)+(G166*'Pawn Weights'!$H$61)+(H166*'Pawn Weights'!$H$62)+(I166*'Pawn Weights'!$H$63)+(J166*'Pawn Weights'!$H$64)+(K166*'Pawn Weights'!$H$65)+(L166*'Pawn Weights'!$H$66)+(M166*'Pawn Weights'!$H$67)+(N166*'Pawn Weights'!$H$68)+(O166*'Pawn Weights'!$H$69)+(P166*'Pawn Weights'!$H$70)+(Q166*'Pawn Weights'!$H$71), 2)</f>
        <v>104.22</v>
      </c>
      <c r="E166" s="280">
        <v>25.0</v>
      </c>
      <c r="F166" s="280"/>
      <c r="G166" s="280">
        <v>20.0</v>
      </c>
      <c r="H166" s="280">
        <v>40.0</v>
      </c>
      <c r="I166" s="280"/>
      <c r="J166" s="280">
        <v>18.0</v>
      </c>
      <c r="K166" s="280"/>
      <c r="L166" s="280"/>
      <c r="M166" s="281"/>
      <c r="N166" s="280"/>
      <c r="O166" s="280"/>
      <c r="P166" s="280"/>
      <c r="Q166" s="280"/>
      <c r="R166" s="290"/>
      <c r="S166" s="281"/>
      <c r="T166" s="291"/>
      <c r="U166" s="281"/>
      <c r="V166" s="281"/>
      <c r="W166" s="281"/>
    </row>
    <row r="167">
      <c r="A167" s="281"/>
      <c r="B167" s="288" t="s">
        <v>1242</v>
      </c>
      <c r="C167" s="280" t="s">
        <v>1243</v>
      </c>
      <c r="D167" s="289">
        <f>ROUND((F167*'Pawn Weights'!$H$60)+(G167*'Pawn Weights'!$H$61)+(H167*'Pawn Weights'!$H$62)+(I167*'Pawn Weights'!$H$63)+(J167*'Pawn Weights'!$H$64)+(K167*'Pawn Weights'!$H$65)+(L167*'Pawn Weights'!$H$66)+(M167*'Pawn Weights'!$H$67)+(N167*'Pawn Weights'!$H$68)+(O167*'Pawn Weights'!$H$69)+(P167*'Pawn Weights'!$H$70)+(Q167*'Pawn Weights'!$H$71), 2)</f>
        <v>98.25</v>
      </c>
      <c r="E167" s="280">
        <v>28.0</v>
      </c>
      <c r="F167" s="280"/>
      <c r="G167" s="280"/>
      <c r="H167" s="280">
        <v>56.0</v>
      </c>
      <c r="I167" s="280"/>
      <c r="J167" s="280">
        <v>25.0</v>
      </c>
      <c r="K167" s="280"/>
      <c r="L167" s="280"/>
      <c r="M167" s="281"/>
      <c r="N167" s="280"/>
      <c r="O167" s="280"/>
      <c r="P167" s="280"/>
      <c r="Q167" s="280"/>
      <c r="R167" s="290"/>
      <c r="S167" s="281"/>
      <c r="T167" s="291"/>
      <c r="U167" s="281"/>
      <c r="V167" s="281"/>
      <c r="W167" s="281"/>
    </row>
    <row r="168">
      <c r="A168" s="224" t="s">
        <v>928</v>
      </c>
      <c r="B168" s="401" t="s">
        <v>929</v>
      </c>
      <c r="C168" s="281"/>
      <c r="D168" s="360"/>
      <c r="E168" s="313" t="s">
        <v>607</v>
      </c>
      <c r="F168" s="314" t="s">
        <v>608</v>
      </c>
      <c r="G168" s="314" t="s">
        <v>561</v>
      </c>
      <c r="H168" s="314" t="s">
        <v>930</v>
      </c>
      <c r="I168" s="314" t="s">
        <v>330</v>
      </c>
      <c r="J168" s="314" t="s">
        <v>344</v>
      </c>
      <c r="K168" s="314" t="s">
        <v>356</v>
      </c>
      <c r="L168" s="314" t="s">
        <v>563</v>
      </c>
      <c r="M168" s="314" t="s">
        <v>564</v>
      </c>
      <c r="N168" s="281"/>
      <c r="O168" s="281"/>
      <c r="P168" s="281"/>
      <c r="Q168" s="281"/>
      <c r="R168" s="282"/>
      <c r="S168" s="281"/>
      <c r="T168" s="285"/>
      <c r="U168" s="281"/>
      <c r="V168" s="281"/>
      <c r="W168" s="281"/>
    </row>
    <row r="169">
      <c r="A169" s="295"/>
      <c r="B169" s="296" t="s">
        <v>938</v>
      </c>
      <c r="C169" s="361" t="s">
        <v>939</v>
      </c>
      <c r="D169" s="289">
        <f>ROUND((F169*'Pawn Weights'!$H$60)+(G169*'Pawn Weights'!$H$61)+(H169*'Pawn Weights'!$H$62)+(I169*'Pawn Weights'!$H$63)+(J169*'Pawn Weights'!$H$64)+(K169*'Pawn Weights'!$H$65)+(L169*'Pawn Weights'!$H$66)+(M169*'Pawn Weights'!$H$67)+(N169*'Pawn Weights'!$H$68)+(O169*'Pawn Weights'!$H$69)+(P169*'Pawn Weights'!$H$70)+(Q169*'Pawn Weights'!$H$71), 2)</f>
        <v>231.92</v>
      </c>
      <c r="E169" s="361"/>
      <c r="F169" s="297"/>
      <c r="G169" s="297"/>
      <c r="H169" s="298">
        <v>92.0</v>
      </c>
      <c r="I169" s="297"/>
      <c r="J169" s="297"/>
      <c r="K169" s="297"/>
      <c r="L169" s="298">
        <v>44.0</v>
      </c>
      <c r="M169" s="295"/>
      <c r="N169" s="361"/>
      <c r="O169" s="361"/>
      <c r="P169" s="361"/>
      <c r="Q169" s="361"/>
      <c r="R169" s="137"/>
      <c r="S169" s="137"/>
      <c r="T169" s="361" t="s">
        <v>940</v>
      </c>
      <c r="U169" s="137"/>
      <c r="V169" s="137"/>
      <c r="W169" s="137"/>
      <c r="X169" s="137"/>
      <c r="Y169" s="137"/>
      <c r="Z169" s="137"/>
    </row>
    <row r="170">
      <c r="A170" s="281"/>
      <c r="B170" s="288" t="s">
        <v>936</v>
      </c>
      <c r="C170" s="280" t="s">
        <v>823</v>
      </c>
      <c r="D170" s="289">
        <f>ROUND((F170*'Pawn Weights'!$H$60)+(G170*'Pawn Weights'!$H$61)+(H170*'Pawn Weights'!$H$62)+(I170*'Pawn Weights'!$H$63)+(J170*'Pawn Weights'!$H$64)+(K170*'Pawn Weights'!$H$65)+(L170*'Pawn Weights'!$H$66)+(M170*'Pawn Weights'!$H$67)+(N170*'Pawn Weights'!$H$68)+(O170*'Pawn Weights'!$H$69)+(P170*'Pawn Weights'!$H$70)+(Q170*'Pawn Weights'!$H$71), 2)</f>
        <v>223.37</v>
      </c>
      <c r="E170" s="280"/>
      <c r="F170" s="280"/>
      <c r="G170" s="280"/>
      <c r="H170" s="280">
        <v>40.0</v>
      </c>
      <c r="I170" s="280"/>
      <c r="J170" s="280"/>
      <c r="K170" s="280">
        <v>100.75</v>
      </c>
      <c r="L170" s="280"/>
      <c r="M170" s="281"/>
      <c r="N170" s="280"/>
      <c r="O170" s="280"/>
      <c r="P170" s="280"/>
      <c r="Q170" s="280"/>
      <c r="R170" s="290"/>
      <c r="S170" s="281"/>
      <c r="T170" s="291" t="s">
        <v>1352</v>
      </c>
      <c r="U170" s="281"/>
      <c r="V170" s="281"/>
      <c r="W170" s="281"/>
    </row>
    <row r="171">
      <c r="A171" s="281"/>
      <c r="B171" s="288" t="s">
        <v>941</v>
      </c>
      <c r="C171" s="280" t="s">
        <v>639</v>
      </c>
      <c r="D171" s="289">
        <f>ROUND((F171*'Pawn Weights'!$H$60)+(G171*'Pawn Weights'!$H$61)+(H171*'Pawn Weights'!$H$62)+(I171*'Pawn Weights'!$H$63)+(J171*'Pawn Weights'!$H$64)+(K171*'Pawn Weights'!$H$65)+(L171*'Pawn Weights'!$H$66)+(M171*'Pawn Weights'!$H$67)+(N171*'Pawn Weights'!$H$68)+(O171*'Pawn Weights'!$H$69)+(P171*'Pawn Weights'!$H$70)+(Q171*'Pawn Weights'!$H$71), 2)</f>
        <v>170.3</v>
      </c>
      <c r="E171" s="280"/>
      <c r="F171" s="280"/>
      <c r="G171" s="280"/>
      <c r="H171" s="280">
        <v>84.0</v>
      </c>
      <c r="I171" s="280"/>
      <c r="J171" s="280">
        <v>20.0</v>
      </c>
      <c r="K171" s="280"/>
      <c r="L171" s="280"/>
      <c r="M171" s="316">
        <v>150.0</v>
      </c>
      <c r="N171" s="280"/>
      <c r="O171" s="280"/>
      <c r="P171" s="280"/>
      <c r="Q171" s="280"/>
      <c r="R171" s="290"/>
      <c r="S171" s="281"/>
      <c r="T171" s="291" t="s">
        <v>1353</v>
      </c>
      <c r="U171" s="281"/>
      <c r="V171" s="281"/>
      <c r="W171" s="281"/>
    </row>
    <row r="172">
      <c r="A172" s="281"/>
      <c r="B172" s="288" t="s">
        <v>946</v>
      </c>
      <c r="C172" s="280" t="s">
        <v>947</v>
      </c>
      <c r="D172" s="289">
        <f>ROUND((F172*'Pawn Weights'!$H$60)+(G172*'Pawn Weights'!$H$61)+(H172*'Pawn Weights'!$H$62)+(I172*'Pawn Weights'!$H$63)+(J172*'Pawn Weights'!$H$64)+(K172*'Pawn Weights'!$H$65)+(L172*'Pawn Weights'!$H$66)+(M172*'Pawn Weights'!$H$67)+(N172*'Pawn Weights'!$H$68)+(O172*'Pawn Weights'!$H$69)+(P172*'Pawn Weights'!$H$70)+(Q172*'Pawn Weights'!$H$71), 2)</f>
        <v>150</v>
      </c>
      <c r="E172" s="280"/>
      <c r="F172" s="280"/>
      <c r="G172" s="280"/>
      <c r="H172" s="280">
        <v>150.0</v>
      </c>
      <c r="I172" s="280"/>
      <c r="J172" s="280"/>
      <c r="K172" s="280"/>
      <c r="L172" s="280"/>
      <c r="M172" s="281"/>
      <c r="N172" s="280"/>
      <c r="O172" s="280"/>
      <c r="P172" s="280"/>
      <c r="Q172" s="280"/>
      <c r="R172" s="290"/>
      <c r="S172" s="281"/>
      <c r="T172" s="291" t="s">
        <v>948</v>
      </c>
      <c r="U172" s="281"/>
      <c r="V172" s="281"/>
      <c r="W172" s="281"/>
    </row>
    <row r="173">
      <c r="A173" s="292" t="s">
        <v>949</v>
      </c>
      <c r="B173" s="288" t="s">
        <v>950</v>
      </c>
      <c r="C173" s="280" t="s">
        <v>951</v>
      </c>
      <c r="D173" s="289">
        <f>ROUND((F173*'Pawn Weights'!$H$60)+(G173*'Pawn Weights'!$H$61)+(H173*'Pawn Weights'!$H$62)+(I173*'Pawn Weights'!$H$63)+(J173*'Pawn Weights'!$H$64)+(K173*'Pawn Weights'!$H$65)+(L173*'Pawn Weights'!$H$66)+(M173*'Pawn Weights'!$H$67)+(N173*'Pawn Weights'!$H$68)+(O173*'Pawn Weights'!$H$69)+(P173*'Pawn Weights'!$H$70)+(Q173*'Pawn Weights'!$H$71), 2)</f>
        <v>150</v>
      </c>
      <c r="E173" s="280"/>
      <c r="F173" s="280"/>
      <c r="G173" s="280"/>
      <c r="H173" s="280">
        <v>150.0</v>
      </c>
      <c r="I173" s="280"/>
      <c r="J173" s="280"/>
      <c r="K173" s="280"/>
      <c r="L173" s="280"/>
      <c r="M173" s="281"/>
      <c r="N173" s="280"/>
      <c r="O173" s="280"/>
      <c r="P173" s="280"/>
      <c r="Q173" s="280"/>
      <c r="R173" s="290"/>
      <c r="S173" s="281"/>
      <c r="T173" s="291" t="s">
        <v>952</v>
      </c>
      <c r="U173" s="281"/>
      <c r="V173" s="281"/>
      <c r="W173" s="281"/>
    </row>
    <row r="174">
      <c r="A174" s="292"/>
      <c r="B174" s="288" t="s">
        <v>1354</v>
      </c>
      <c r="C174" s="280" t="s">
        <v>1355</v>
      </c>
      <c r="D174" s="289">
        <f>ROUND((F174*'Pawn Weights'!$H$60)+(G174*'Pawn Weights'!$H$61)+(H174*'Pawn Weights'!$H$62)+(I174*'Pawn Weights'!$H$63)+(J174*'Pawn Weights'!$H$64)+(K174*'Pawn Weights'!$H$65)+(L174*'Pawn Weights'!$H$66)+(M174*'Pawn Weights'!$H$67)+(N174*'Pawn Weights'!$H$68)+(O174*'Pawn Weights'!$H$69)+(P174*'Pawn Weights'!$H$70)+(Q174*'Pawn Weights'!$H$71), 2)</f>
        <v>137.5</v>
      </c>
      <c r="E174" s="280"/>
      <c r="F174" s="280"/>
      <c r="G174" s="280"/>
      <c r="H174" s="280">
        <v>137.5</v>
      </c>
      <c r="I174" s="280"/>
      <c r="J174" s="280"/>
      <c r="K174" s="280"/>
      <c r="L174" s="280"/>
      <c r="M174" s="281"/>
      <c r="N174" s="280"/>
      <c r="O174" s="280"/>
      <c r="P174" s="280"/>
      <c r="Q174" s="280"/>
      <c r="R174" s="290"/>
      <c r="S174" s="281"/>
      <c r="T174" s="291" t="s">
        <v>1356</v>
      </c>
      <c r="U174" s="281"/>
      <c r="V174" s="281"/>
      <c r="W174" s="281"/>
    </row>
    <row r="175">
      <c r="A175" s="295" t="s">
        <v>627</v>
      </c>
      <c r="B175" s="296" t="s">
        <v>953</v>
      </c>
      <c r="C175" s="297" t="s">
        <v>954</v>
      </c>
      <c r="D175" s="289">
        <f>ROUND((F175*'Pawn Weights'!$H$60)+(G175*'Pawn Weights'!$H$61)+(H175*'Pawn Weights'!$H$62)+(I175*'Pawn Weights'!$H$63)+(J175*'Pawn Weights'!$H$64)+(K175*'Pawn Weights'!$H$65)+(L175*'Pawn Weights'!$H$66)+(M175*'Pawn Weights'!$H$67)+(N175*'Pawn Weights'!$H$68)+(O175*'Pawn Weights'!$H$69)+(P175*'Pawn Weights'!$H$70)+(Q175*'Pawn Weights'!$H$71), 2)</f>
        <v>133.33</v>
      </c>
      <c r="E175" s="295"/>
      <c r="F175" s="295"/>
      <c r="G175" s="295"/>
      <c r="H175" s="298">
        <v>133.33</v>
      </c>
      <c r="I175" s="295"/>
      <c r="J175" s="295"/>
      <c r="K175" s="295"/>
      <c r="L175" s="295"/>
      <c r="M175" s="137"/>
      <c r="N175" s="295"/>
      <c r="O175" s="295"/>
      <c r="P175" s="295"/>
      <c r="Q175" s="295"/>
      <c r="R175" s="295"/>
      <c r="S175" s="137"/>
      <c r="T175" s="297" t="s">
        <v>955</v>
      </c>
      <c r="U175" s="137"/>
      <c r="V175" s="137"/>
      <c r="W175" s="137"/>
      <c r="X175" s="137"/>
      <c r="Y175" s="137"/>
      <c r="Z175" s="137"/>
    </row>
    <row r="176">
      <c r="A176" s="281"/>
      <c r="B176" s="288" t="s">
        <v>956</v>
      </c>
      <c r="C176" s="280" t="s">
        <v>957</v>
      </c>
      <c r="D176" s="289">
        <f>ROUND((F176*'Pawn Weights'!$H$60)+(G176*'Pawn Weights'!$H$61)+(H176*'Pawn Weights'!$H$62)+(I176*'Pawn Weights'!$H$63)+(J176*'Pawn Weights'!$H$64)+(K176*'Pawn Weights'!$H$65)+(L176*'Pawn Weights'!$H$66)+(M176*'Pawn Weights'!$H$67)+(N176*'Pawn Weights'!$H$68)+(O176*'Pawn Weights'!$H$69)+(P176*'Pawn Weights'!$H$70)+(Q176*'Pawn Weights'!$H$71), 2)</f>
        <v>127.02</v>
      </c>
      <c r="E176" s="280"/>
      <c r="F176" s="280"/>
      <c r="G176" s="280"/>
      <c r="H176" s="280">
        <v>44.0</v>
      </c>
      <c r="I176" s="280">
        <v>38.0</v>
      </c>
      <c r="J176" s="280">
        <v>10.0</v>
      </c>
      <c r="K176" s="280"/>
      <c r="L176" s="280"/>
      <c r="M176" s="281"/>
      <c r="N176" s="280"/>
      <c r="O176" s="280"/>
      <c r="P176" s="280"/>
      <c r="Q176" s="280"/>
      <c r="R176" s="290"/>
      <c r="S176" s="281"/>
      <c r="T176" s="291" t="s">
        <v>958</v>
      </c>
      <c r="U176" s="281"/>
      <c r="V176" s="281"/>
      <c r="W176" s="281"/>
    </row>
    <row r="177">
      <c r="A177" s="281"/>
      <c r="B177" s="288" t="s">
        <v>959</v>
      </c>
      <c r="C177" s="154" t="s">
        <v>960</v>
      </c>
      <c r="D177" s="289">
        <f>ROUND((F177*'Pawn Weights'!$H$60)+(G177*'Pawn Weights'!$H$61)+(H177*'Pawn Weights'!$H$62)+(I177*'Pawn Weights'!$H$63)+(J177*'Pawn Weights'!$H$64)+(K177*'Pawn Weights'!$H$65)+(L177*'Pawn Weights'!$H$66)+(M177*'Pawn Weights'!$H$67)+(N177*'Pawn Weights'!$H$68)+(O177*'Pawn Weights'!$H$69)+(P177*'Pawn Weights'!$H$70)+(Q177*'Pawn Weights'!$H$71), 2)</f>
        <v>120</v>
      </c>
      <c r="E177" s="280"/>
      <c r="F177" s="280"/>
      <c r="G177" s="280"/>
      <c r="H177" s="280">
        <v>120.0</v>
      </c>
      <c r="I177" s="280"/>
      <c r="J177" s="280"/>
      <c r="K177" s="280"/>
      <c r="L177" s="280"/>
      <c r="M177" s="280"/>
      <c r="N177" s="280"/>
      <c r="O177" s="280"/>
      <c r="P177" s="280"/>
      <c r="Q177" s="280"/>
      <c r="R177" s="290"/>
      <c r="S177" s="281"/>
      <c r="T177" s="291" t="s">
        <v>961</v>
      </c>
      <c r="U177" s="281"/>
      <c r="V177" s="281"/>
      <c r="W177" s="281"/>
      <c r="X177" s="281"/>
    </row>
    <row r="178">
      <c r="A178" s="281"/>
      <c r="B178" s="288" t="s">
        <v>962</v>
      </c>
      <c r="C178" s="280" t="s">
        <v>963</v>
      </c>
      <c r="D178" s="289">
        <f>ROUND((F178*'Pawn Weights'!$H$60)+(G178*'Pawn Weights'!$H$61)+(H178*'Pawn Weights'!$H$62)+(I178*'Pawn Weights'!$H$63)+(J178*'Pawn Weights'!$H$64)+(K178*'Pawn Weights'!$H$65)+(L178*'Pawn Weights'!$H$66)+(M178*'Pawn Weights'!$H$67)+(N178*'Pawn Weights'!$H$68)+(O178*'Pawn Weights'!$H$69)+(P178*'Pawn Weights'!$H$70)+(Q178*'Pawn Weights'!$H$71), 2)</f>
        <v>118</v>
      </c>
      <c r="E178" s="280"/>
      <c r="F178" s="280"/>
      <c r="G178" s="280"/>
      <c r="H178" s="280">
        <v>118.0</v>
      </c>
      <c r="I178" s="280"/>
      <c r="J178" s="280"/>
      <c r="K178" s="280"/>
      <c r="L178" s="280"/>
      <c r="M178" s="280"/>
      <c r="N178" s="280"/>
      <c r="O178" s="280"/>
      <c r="P178" s="280"/>
      <c r="Q178" s="280"/>
      <c r="R178" s="290"/>
      <c r="S178" s="281"/>
      <c r="T178" s="291" t="s">
        <v>964</v>
      </c>
      <c r="U178" s="281"/>
      <c r="V178" s="281"/>
      <c r="W178" s="281"/>
      <c r="X178" s="281"/>
    </row>
    <row r="179">
      <c r="A179" s="292" t="s">
        <v>965</v>
      </c>
      <c r="B179" s="288" t="s">
        <v>966</v>
      </c>
      <c r="C179" s="280" t="s">
        <v>967</v>
      </c>
      <c r="D179" s="289">
        <f>ROUND((F179*'Pawn Weights'!$H$60)+(G179*'Pawn Weights'!$H$61)+(H179*'Pawn Weights'!$H$62)+(I179*'Pawn Weights'!$H$63)+(J179*'Pawn Weights'!$H$64)+(K179*'Pawn Weights'!$H$65)+(L179*'Pawn Weights'!$H$66)+(M179*'Pawn Weights'!$H$67)+(N179*'Pawn Weights'!$H$68)+(O179*'Pawn Weights'!$H$69)+(P179*'Pawn Weights'!$H$70)+(Q179*'Pawn Weights'!$H$71), 2)</f>
        <v>107</v>
      </c>
      <c r="E179" s="280"/>
      <c r="F179" s="280"/>
      <c r="G179" s="280"/>
      <c r="H179" s="280">
        <v>107.0</v>
      </c>
      <c r="I179" s="280"/>
      <c r="J179" s="280"/>
      <c r="K179" s="280"/>
      <c r="L179" s="280"/>
      <c r="M179" s="281"/>
      <c r="N179" s="280"/>
      <c r="O179" s="280"/>
      <c r="P179" s="280"/>
      <c r="Q179" s="280"/>
      <c r="R179" s="290"/>
      <c r="S179" s="281"/>
      <c r="T179" s="291" t="s">
        <v>968</v>
      </c>
      <c r="U179" s="281"/>
      <c r="V179" s="281"/>
      <c r="W179" s="281"/>
    </row>
    <row r="180">
      <c r="A180" s="281"/>
      <c r="B180" s="311" t="s">
        <v>1357</v>
      </c>
      <c r="C180" s="280" t="s">
        <v>1358</v>
      </c>
      <c r="D180" s="289">
        <f>ROUND((F180*'Pawn Weights'!$H$60)+(G180*'Pawn Weights'!$H$61)+(H180*'Pawn Weights'!$H$62)+(I180*'Pawn Weights'!$H$63)+(J180*'Pawn Weights'!$H$64)+(K180*'Pawn Weights'!$H$65)+(L180*'Pawn Weights'!$H$66)+(M180*'Pawn Weights'!$H$67)+(N180*'Pawn Weights'!$H$68)+(O180*'Pawn Weights'!$H$69)+(P180*'Pawn Weights'!$H$70)+(Q180*'Pawn Weights'!$H$71), 2)</f>
        <v>103.4</v>
      </c>
      <c r="E180" s="280"/>
      <c r="F180" s="280"/>
      <c r="G180" s="280"/>
      <c r="H180" s="280">
        <v>64.0</v>
      </c>
      <c r="I180" s="280"/>
      <c r="J180" s="280"/>
      <c r="K180" s="280">
        <v>21.65</v>
      </c>
      <c r="L180" s="280"/>
      <c r="M180" s="281"/>
      <c r="N180" s="280"/>
      <c r="O180" s="280"/>
      <c r="P180" s="280"/>
      <c r="Q180" s="280"/>
      <c r="R180" s="290"/>
      <c r="S180" s="281"/>
      <c r="T180" s="291" t="s">
        <v>1359</v>
      </c>
      <c r="U180" s="281"/>
      <c r="V180" s="281"/>
      <c r="W180" s="281"/>
    </row>
    <row r="181">
      <c r="A181" s="281"/>
      <c r="B181" s="311" t="s">
        <v>969</v>
      </c>
      <c r="C181" s="280" t="s">
        <v>970</v>
      </c>
      <c r="D181" s="289">
        <f>ROUND((F181*'Pawn Weights'!$H$60)+(G181*'Pawn Weights'!$H$61)+(H181*'Pawn Weights'!$H$62)+(I181*'Pawn Weights'!$H$63)+(J181*'Pawn Weights'!$H$64)+(K181*'Pawn Weights'!$H$65)+(L181*'Pawn Weights'!$H$66)+(M181*'Pawn Weights'!$H$67)+(N181*'Pawn Weights'!$H$68)+(O181*'Pawn Weights'!$H$69)+(P181*'Pawn Weights'!$H$70)+(Q181*'Pawn Weights'!$H$71), 2)</f>
        <v>94.68</v>
      </c>
      <c r="E181" s="280"/>
      <c r="F181" s="280"/>
      <c r="G181" s="280"/>
      <c r="H181" s="280">
        <v>39.0</v>
      </c>
      <c r="I181" s="280">
        <v>32.0</v>
      </c>
      <c r="J181" s="280"/>
      <c r="K181" s="280"/>
      <c r="L181" s="280"/>
      <c r="M181" s="280"/>
      <c r="N181" s="280"/>
      <c r="O181" s="280"/>
      <c r="P181" s="280"/>
      <c r="Q181" s="280"/>
      <c r="R181" s="290"/>
      <c r="S181" s="281"/>
      <c r="T181" s="291" t="s">
        <v>971</v>
      </c>
      <c r="U181" s="281"/>
      <c r="V181" s="281"/>
      <c r="W181" s="281"/>
      <c r="X181" s="281"/>
    </row>
    <row r="182">
      <c r="A182" s="224" t="s">
        <v>1360</v>
      </c>
      <c r="B182" s="376" t="s">
        <v>1361</v>
      </c>
      <c r="C182" s="281"/>
      <c r="D182" s="301"/>
      <c r="E182" s="281"/>
      <c r="F182" s="281"/>
      <c r="G182" s="281"/>
      <c r="H182" s="281"/>
      <c r="I182" s="281"/>
      <c r="J182" s="281"/>
      <c r="K182" s="281"/>
      <c r="L182" s="281"/>
      <c r="M182" s="281"/>
      <c r="N182" s="281"/>
      <c r="O182" s="281"/>
      <c r="P182" s="281"/>
      <c r="Q182" s="281"/>
      <c r="R182" s="282"/>
      <c r="S182" s="281"/>
      <c r="T182" s="285"/>
      <c r="U182" s="281"/>
      <c r="V182" s="281"/>
      <c r="W182" s="281"/>
    </row>
    <row r="183">
      <c r="A183" s="281"/>
      <c r="B183" s="288" t="s">
        <v>1362</v>
      </c>
      <c r="C183" s="280" t="s">
        <v>1363</v>
      </c>
      <c r="D183" s="301" t="s">
        <v>1364</v>
      </c>
      <c r="E183" s="280"/>
      <c r="F183" s="280"/>
      <c r="G183" s="280"/>
      <c r="H183" s="280"/>
      <c r="I183" s="280"/>
      <c r="J183" s="280"/>
      <c r="K183" s="320"/>
      <c r="L183" s="320"/>
      <c r="M183" s="281"/>
      <c r="N183" s="320"/>
      <c r="O183" s="280"/>
      <c r="P183" s="320"/>
      <c r="Q183" s="320"/>
      <c r="R183" s="290"/>
      <c r="S183" s="281"/>
      <c r="T183" s="291"/>
      <c r="U183" s="281"/>
      <c r="V183" s="281"/>
      <c r="W183" s="281"/>
    </row>
    <row r="184">
      <c r="A184" s="281"/>
      <c r="B184" s="311" t="s">
        <v>1365</v>
      </c>
      <c r="C184" s="280" t="s">
        <v>1366</v>
      </c>
      <c r="D184" s="301" t="s">
        <v>1367</v>
      </c>
      <c r="E184" s="280"/>
      <c r="F184" s="280"/>
      <c r="G184" s="280"/>
      <c r="H184" s="280"/>
      <c r="I184" s="280"/>
      <c r="J184" s="280"/>
      <c r="K184" s="320"/>
      <c r="L184" s="320"/>
      <c r="M184" s="281"/>
      <c r="N184" s="320"/>
      <c r="O184" s="280"/>
      <c r="P184" s="320"/>
      <c r="Q184" s="320"/>
      <c r="R184" s="290"/>
      <c r="S184" s="281"/>
      <c r="T184" s="291"/>
      <c r="U184" s="281"/>
      <c r="V184" s="281"/>
      <c r="W184" s="281"/>
    </row>
    <row r="185">
      <c r="A185" s="281"/>
      <c r="B185" s="311" t="s">
        <v>1368</v>
      </c>
      <c r="C185" s="280" t="s">
        <v>1369</v>
      </c>
      <c r="D185" s="301" t="s">
        <v>1370</v>
      </c>
      <c r="E185" s="280"/>
      <c r="F185" s="280"/>
      <c r="G185" s="280"/>
      <c r="H185" s="280"/>
      <c r="I185" s="280"/>
      <c r="J185" s="280"/>
      <c r="K185" s="320"/>
      <c r="L185" s="320"/>
      <c r="M185" s="281"/>
      <c r="N185" s="320"/>
      <c r="O185" s="320"/>
      <c r="P185" s="320"/>
      <c r="Q185" s="320"/>
      <c r="R185" s="321"/>
      <c r="S185" s="281"/>
      <c r="T185" s="291"/>
      <c r="U185" s="281"/>
      <c r="V185" s="281"/>
      <c r="W185" s="281"/>
    </row>
    <row r="186">
      <c r="A186" s="281"/>
      <c r="B186" s="311" t="s">
        <v>1371</v>
      </c>
      <c r="C186" s="280" t="s">
        <v>1372</v>
      </c>
      <c r="D186" s="301" t="s">
        <v>1373</v>
      </c>
      <c r="E186" s="280"/>
      <c r="F186" s="280"/>
      <c r="G186" s="280"/>
      <c r="H186" s="280"/>
      <c r="I186" s="280"/>
      <c r="J186" s="280"/>
      <c r="K186" s="280"/>
      <c r="L186" s="280"/>
      <c r="M186" s="281"/>
      <c r="N186" s="280"/>
      <c r="O186" s="280"/>
      <c r="P186" s="280"/>
      <c r="Q186" s="280"/>
      <c r="R186" s="290"/>
      <c r="S186" s="281"/>
      <c r="T186" s="291"/>
      <c r="U186" s="281"/>
      <c r="V186" s="281"/>
      <c r="W186" s="281"/>
    </row>
    <row r="187">
      <c r="A187" s="281"/>
      <c r="B187" s="311" t="s">
        <v>1374</v>
      </c>
      <c r="C187" s="280" t="s">
        <v>1375</v>
      </c>
      <c r="D187" s="301" t="s">
        <v>1376</v>
      </c>
      <c r="E187" s="280"/>
      <c r="F187" s="280"/>
      <c r="G187" s="280"/>
      <c r="H187" s="280"/>
      <c r="I187" s="280"/>
      <c r="J187" s="280"/>
      <c r="K187" s="320"/>
      <c r="L187" s="320"/>
      <c r="M187" s="281"/>
      <c r="N187" s="320"/>
      <c r="O187" s="280"/>
      <c r="P187" s="320"/>
      <c r="Q187" s="320"/>
      <c r="R187" s="290"/>
      <c r="S187" s="281"/>
      <c r="T187" s="291"/>
      <c r="U187" s="281"/>
      <c r="V187" s="281"/>
      <c r="W187" s="281"/>
    </row>
    <row r="188">
      <c r="A188" s="281"/>
      <c r="B188" s="311" t="s">
        <v>1377</v>
      </c>
      <c r="C188" s="280" t="s">
        <v>1378</v>
      </c>
      <c r="D188" s="301" t="s">
        <v>1379</v>
      </c>
      <c r="E188" s="280"/>
      <c r="F188" s="280"/>
      <c r="G188" s="280"/>
      <c r="H188" s="280"/>
      <c r="I188" s="280"/>
      <c r="J188" s="280"/>
      <c r="K188" s="320"/>
      <c r="L188" s="320"/>
      <c r="M188" s="281"/>
      <c r="N188" s="320"/>
      <c r="O188" s="280"/>
      <c r="P188" s="320"/>
      <c r="Q188" s="320"/>
      <c r="R188" s="290"/>
      <c r="S188" s="281"/>
      <c r="T188" s="291"/>
      <c r="U188" s="281"/>
      <c r="V188" s="281"/>
      <c r="W188" s="281"/>
    </row>
    <row r="189">
      <c r="A189" s="224" t="s">
        <v>1002</v>
      </c>
      <c r="B189" s="323" t="s">
        <v>604</v>
      </c>
      <c r="C189" s="323" t="s">
        <v>605</v>
      </c>
      <c r="D189" s="386" t="s">
        <v>606</v>
      </c>
      <c r="E189" s="224" t="s">
        <v>1003</v>
      </c>
      <c r="F189" s="224" t="s">
        <v>1004</v>
      </c>
      <c r="G189" s="224" t="s">
        <v>561</v>
      </c>
      <c r="H189" s="224" t="s">
        <v>562</v>
      </c>
      <c r="I189" s="224" t="s">
        <v>330</v>
      </c>
      <c r="J189" s="224" t="s">
        <v>563</v>
      </c>
      <c r="K189" s="272" t="s">
        <v>344</v>
      </c>
      <c r="L189" s="224" t="s">
        <v>607</v>
      </c>
      <c r="M189" s="224" t="s">
        <v>564</v>
      </c>
      <c r="N189" s="224" t="s">
        <v>1006</v>
      </c>
      <c r="O189" s="274" t="s">
        <v>610</v>
      </c>
      <c r="P189" s="275" t="s">
        <v>611</v>
      </c>
      <c r="Q189" s="276" t="s">
        <v>612</v>
      </c>
      <c r="R189" s="277" t="s">
        <v>613</v>
      </c>
      <c r="S189" s="366" t="s">
        <v>1380</v>
      </c>
      <c r="T189" s="224" t="s">
        <v>615</v>
      </c>
      <c r="U189" s="366" t="s">
        <v>356</v>
      </c>
      <c r="V189" s="324"/>
      <c r="W189" s="366"/>
    </row>
    <row r="190">
      <c r="A190" s="292"/>
      <c r="B190" s="376" t="s">
        <v>1381</v>
      </c>
      <c r="C190" s="326"/>
      <c r="D190" s="387"/>
      <c r="E190" s="326"/>
      <c r="F190" s="326"/>
      <c r="G190" s="154"/>
      <c r="H190" s="326"/>
      <c r="I190" s="326"/>
      <c r="J190" s="326"/>
      <c r="K190" s="326"/>
      <c r="L190" s="326"/>
      <c r="M190" s="326"/>
      <c r="N190" s="326"/>
      <c r="O190" s="326"/>
      <c r="P190" s="326"/>
      <c r="Q190" s="326"/>
      <c r="R190" s="327"/>
      <c r="S190" s="326"/>
      <c r="T190" s="328"/>
      <c r="U190" s="326"/>
      <c r="V190" s="326"/>
      <c r="W190" s="329"/>
    </row>
    <row r="191">
      <c r="A191" s="295"/>
      <c r="B191" s="296" t="s">
        <v>1382</v>
      </c>
      <c r="C191" s="330" t="s">
        <v>637</v>
      </c>
      <c r="D191" s="289">
        <f>ROUND((E191*'Pawn Weights'!$H$72)+(G191*'Pawn Weights'!$H$61)+(H191*'Pawn Weights'!$H$62)+(I191*'Pawn Weights'!$H$63)+(J191*'Pawn Weights'!$H$66)+(K191*'Pawn Weights'!$H$64)+(M191*'Pawn Weights'!$H$67)+(N191*'Pawn Weights'!$H$60)+(O191*'Pawn Weights'!$H$69)+(P191*'Pawn Weights'!$H$70)+(Q191*'Pawn Weights'!$H$71)+(F191*'Pawn Weights'!$H$73)+(U191*'Pawn Weights'!$H$65), 2)</f>
        <v>1261.74</v>
      </c>
      <c r="E191" s="332">
        <v>107.9</v>
      </c>
      <c r="F191" s="332">
        <v>2.6</v>
      </c>
      <c r="G191" s="330"/>
      <c r="H191" s="332">
        <v>38.0</v>
      </c>
      <c r="I191" s="332">
        <v>22.0</v>
      </c>
      <c r="J191" s="330"/>
      <c r="K191" s="332">
        <v>9.0</v>
      </c>
      <c r="L191" s="332">
        <v>31.0</v>
      </c>
      <c r="M191" s="332">
        <v>49.0</v>
      </c>
      <c r="N191" s="330"/>
      <c r="O191" s="330"/>
      <c r="P191" s="330"/>
      <c r="Q191" s="330"/>
      <c r="R191" s="295"/>
      <c r="S191" s="330"/>
      <c r="T191" s="330" t="s">
        <v>986</v>
      </c>
      <c r="U191" s="330"/>
      <c r="V191" s="330"/>
      <c r="W191" s="137"/>
      <c r="X191" s="137"/>
      <c r="Y191" s="137"/>
      <c r="Z191" s="137"/>
    </row>
    <row r="192">
      <c r="A192" s="292" t="s">
        <v>627</v>
      </c>
      <c r="B192" s="288" t="s">
        <v>1055</v>
      </c>
      <c r="C192" s="326" t="s">
        <v>1016</v>
      </c>
      <c r="D192" s="289">
        <f>ROUND((E192*'Pawn Weights'!$H$72)+(G192*'Pawn Weights'!$H$61)+(H192*'Pawn Weights'!$H$62)+(I192*'Pawn Weights'!$H$63)+(J192*'Pawn Weights'!$H$66)+(K192*'Pawn Weights'!$H$64)+(M192*'Pawn Weights'!$H$67)+(N192*'Pawn Weights'!$H$60)+(O192*'Pawn Weights'!$H$69)+(P192*'Pawn Weights'!$H$70)+(Q192*'Pawn Weights'!$H$71)+(F192*'Pawn Weights'!$H$73)+(U192*'Pawn Weights'!$H$65)+(84.8*'Pawn Weights'!$H$65), 2)</f>
        <v>1221.74</v>
      </c>
      <c r="E192" s="326">
        <v>97.6</v>
      </c>
      <c r="F192" s="326">
        <v>2.7</v>
      </c>
      <c r="G192" s="326"/>
      <c r="H192" s="326"/>
      <c r="I192" s="326"/>
      <c r="J192" s="326"/>
      <c r="K192" s="326"/>
      <c r="L192" s="326">
        <v>19.0</v>
      </c>
      <c r="M192" s="326"/>
      <c r="N192" s="326"/>
      <c r="O192" s="326"/>
      <c r="P192" s="326"/>
      <c r="Q192" s="326"/>
      <c r="R192" s="327"/>
      <c r="S192" s="326"/>
      <c r="T192" s="328" t="s">
        <v>1297</v>
      </c>
      <c r="U192" s="326"/>
      <c r="V192" s="326"/>
      <c r="W192" s="329"/>
    </row>
    <row r="193">
      <c r="A193" s="292"/>
      <c r="B193" s="288" t="s">
        <v>1383</v>
      </c>
      <c r="C193" s="326" t="s">
        <v>646</v>
      </c>
      <c r="D193" s="289">
        <f>ROUND((E193*'Pawn Weights'!$H$72)+(G193*'Pawn Weights'!$H$61)+(H193*'Pawn Weights'!$H$62)+(I193*'Pawn Weights'!$H$63)+(J193*'Pawn Weights'!$H$66)+(K193*'Pawn Weights'!$H$64)+(M193*'Pawn Weights'!$H$67)+(N193*'Pawn Weights'!$H$60)+(O193*'Pawn Weights'!$H$69)+(P193*'Pawn Weights'!$H$70)+(Q193*'Pawn Weights'!$H$71)+(F193*'Pawn Weights'!$H$73)+(U193*'Pawn Weights'!$H$65), 2)</f>
        <v>1211.11</v>
      </c>
      <c r="E193" s="326">
        <v>103.1</v>
      </c>
      <c r="F193" s="326">
        <v>2.6</v>
      </c>
      <c r="G193" s="326"/>
      <c r="H193" s="326">
        <v>34.0</v>
      </c>
      <c r="I193" s="326">
        <v>21.0</v>
      </c>
      <c r="J193" s="326"/>
      <c r="K193" s="326">
        <v>8.0</v>
      </c>
      <c r="L193" s="326">
        <v>30.0</v>
      </c>
      <c r="M193" s="326">
        <v>49.0</v>
      </c>
      <c r="N193" s="326"/>
      <c r="O193" s="326"/>
      <c r="P193" s="326"/>
      <c r="Q193" s="326"/>
      <c r="R193" s="327"/>
      <c r="S193" s="326"/>
      <c r="T193" s="328" t="s">
        <v>986</v>
      </c>
      <c r="U193" s="326"/>
      <c r="V193" s="326"/>
      <c r="W193" s="329"/>
    </row>
    <row r="194">
      <c r="A194" s="295"/>
      <c r="B194" s="296" t="s">
        <v>1013</v>
      </c>
      <c r="C194" s="330" t="s">
        <v>1014</v>
      </c>
      <c r="D194" s="289">
        <f>ROUND((E194*'Pawn Weights'!$H$72)+(G194*'Pawn Weights'!$H$61)+(H194*'Pawn Weights'!$H$62)+(I194*'Pawn Weights'!$H$63)+(J194*'Pawn Weights'!$H$66)+(K194*'Pawn Weights'!$H$64)+(M194*'Pawn Weights'!$H$67)+(N194*'Pawn Weights'!$H$60)+(O194*'Pawn Weights'!$H$69)+(P194*'Pawn Weights'!$H$70)+(Q194*'Pawn Weights'!$H$71)+(F194*'Pawn Weights'!$H$73)+(U194*'Pawn Weights'!$H$65), 2)</f>
        <v>1184.87</v>
      </c>
      <c r="E194" s="332">
        <v>103.0</v>
      </c>
      <c r="F194" s="332">
        <v>2.5</v>
      </c>
      <c r="G194" s="332">
        <v>23.0</v>
      </c>
      <c r="H194" s="332">
        <v>44.0</v>
      </c>
      <c r="I194" s="330"/>
      <c r="J194" s="330"/>
      <c r="K194" s="330"/>
      <c r="L194" s="330"/>
      <c r="M194" s="330"/>
      <c r="N194" s="330"/>
      <c r="O194" s="330"/>
      <c r="P194" s="330"/>
      <c r="Q194" s="330"/>
      <c r="R194" s="295"/>
      <c r="S194" s="332">
        <v>21.0</v>
      </c>
      <c r="T194" s="295"/>
      <c r="U194" s="330"/>
      <c r="V194" s="330"/>
      <c r="W194" s="137"/>
      <c r="X194" s="137"/>
      <c r="Y194" s="137"/>
      <c r="Z194" s="137"/>
    </row>
    <row r="195">
      <c r="A195" s="295"/>
      <c r="B195" s="296" t="s">
        <v>1024</v>
      </c>
      <c r="C195" s="330" t="s">
        <v>1025</v>
      </c>
      <c r="D195" s="367">
        <f>ROUND((E195*'Pawn Weights'!$H$72)+(G195*'Pawn Weights'!$H$61)+(H195*'Pawn Weights'!$H$62)+(I195*'Pawn Weights'!$H$63)+(J195*'Pawn Weights'!$H$66)+(K195*'Pawn Weights'!$H$64)+(M195*'Pawn Weights'!$H$67)+(N195*'Pawn Weights'!$H$60)+(O195*'Pawn Weights'!$H$69)+(P195*'Pawn Weights'!$H$70)+(Q195*'Pawn Weights'!$H$71)+(F195*'Pawn Weights'!$H$73)+(U195*'Pawn Weights'!$H$65), 2)</f>
        <v>1167.91</v>
      </c>
      <c r="E195" s="332">
        <v>96.5</v>
      </c>
      <c r="F195" s="332">
        <v>2.7</v>
      </c>
      <c r="G195" s="330"/>
      <c r="H195" s="332">
        <v>52.0</v>
      </c>
      <c r="I195" s="332">
        <v>19.0</v>
      </c>
      <c r="J195" s="330"/>
      <c r="K195" s="332">
        <v>15.0</v>
      </c>
      <c r="L195" s="330"/>
      <c r="M195" s="330"/>
      <c r="N195" s="330"/>
      <c r="O195" s="330"/>
      <c r="P195" s="330"/>
      <c r="Q195" s="330"/>
      <c r="R195" s="295"/>
      <c r="S195" s="330"/>
      <c r="T195" s="295"/>
      <c r="U195" s="330"/>
      <c r="V195" s="330"/>
      <c r="W195" s="137"/>
      <c r="X195" s="137"/>
      <c r="Y195" s="137"/>
      <c r="Z195" s="137"/>
    </row>
    <row r="196">
      <c r="A196" s="292"/>
      <c r="B196" s="288" t="s">
        <v>1026</v>
      </c>
      <c r="C196" s="326" t="s">
        <v>716</v>
      </c>
      <c r="D196" s="289">
        <f>ROUND((E196*'Pawn Weights'!$H$72)+(G196*'Pawn Weights'!$H$61)+(H196*'Pawn Weights'!$H$62)+(I196*'Pawn Weights'!$H$63)+(J196*'Pawn Weights'!$H$66)+(K196*'Pawn Weights'!$H$64)+(M196*'Pawn Weights'!$H$67)+(N196*'Pawn Weights'!$H$60)+(O196*'Pawn Weights'!$H$69)+(P196*'Pawn Weights'!$H$70)+(Q196*'Pawn Weights'!$H$71)+(F196*'Pawn Weights'!$H$73)+(U196*'Pawn Weights'!$H$65), 2)</f>
        <v>1163.29</v>
      </c>
      <c r="E196" s="326">
        <v>100.2</v>
      </c>
      <c r="F196" s="326">
        <v>2.6</v>
      </c>
      <c r="G196" s="326"/>
      <c r="H196" s="326">
        <v>44.0</v>
      </c>
      <c r="I196" s="326"/>
      <c r="J196" s="326"/>
      <c r="K196" s="326">
        <v>21.0</v>
      </c>
      <c r="L196" s="326">
        <v>33.0</v>
      </c>
      <c r="M196" s="326"/>
      <c r="N196" s="326"/>
      <c r="O196" s="326"/>
      <c r="P196" s="326"/>
      <c r="Q196" s="326"/>
      <c r="R196" s="327"/>
      <c r="S196" s="326"/>
      <c r="T196" s="328" t="s">
        <v>1027</v>
      </c>
      <c r="U196" s="326"/>
      <c r="V196" s="326"/>
      <c r="W196" s="329"/>
    </row>
    <row r="197">
      <c r="A197" s="292" t="s">
        <v>943</v>
      </c>
      <c r="B197" s="288" t="s">
        <v>1022</v>
      </c>
      <c r="C197" s="326" t="s">
        <v>665</v>
      </c>
      <c r="D197" s="289">
        <f>ROUND((E197*'Pawn Weights'!$H$72)+(G197*'Pawn Weights'!$H$61)+(H197*'Pawn Weights'!$H$62)+(I197*'Pawn Weights'!$H$63)+(J197*'Pawn Weights'!$H$66)+(K197*'Pawn Weights'!$H$64)+(M197*'Pawn Weights'!$H$67)+(N197*'Pawn Weights'!$H$60)+(O197*'Pawn Weights'!$H$69)+(P197*'Pawn Weights'!$H$70)+(Q197*'Pawn Weights'!$H$71)+(F197*'Pawn Weights'!$H$73)+(U197*'Pawn Weights'!$H$65), 2)</f>
        <v>1147.8</v>
      </c>
      <c r="E197" s="326">
        <v>100.2</v>
      </c>
      <c r="F197" s="326">
        <v>2.8</v>
      </c>
      <c r="G197" s="326"/>
      <c r="H197" s="326">
        <v>50.0</v>
      </c>
      <c r="I197" s="326"/>
      <c r="J197" s="326"/>
      <c r="K197" s="326"/>
      <c r="L197" s="326"/>
      <c r="M197" s="326"/>
      <c r="N197" s="326"/>
      <c r="O197" s="326"/>
      <c r="P197" s="326"/>
      <c r="Q197" s="326"/>
      <c r="R197" s="327"/>
      <c r="S197" s="326"/>
      <c r="T197" s="328" t="s">
        <v>1386</v>
      </c>
      <c r="U197" s="326"/>
      <c r="V197" s="326"/>
      <c r="W197" s="329"/>
    </row>
    <row r="198">
      <c r="A198" s="292" t="s">
        <v>627</v>
      </c>
      <c r="B198" s="288" t="s">
        <v>1295</v>
      </c>
      <c r="C198" s="326" t="s">
        <v>1296</v>
      </c>
      <c r="D198" s="289">
        <f>ROUND((E198*'Pawn Weights'!$H$72)+(G198*'Pawn Weights'!$H$61)+(H198*'Pawn Weights'!$H$62)+(I198*'Pawn Weights'!$H$63)+(J198*'Pawn Weights'!$H$66)+(K198*'Pawn Weights'!$H$64)+(M198*'Pawn Weights'!$H$67)+(N198*'Pawn Weights'!$H$60)+(O198*'Pawn Weights'!$H$69)+(P198*'Pawn Weights'!$H$70)+(Q198*'Pawn Weights'!$H$71)+(F198*'Pawn Weights'!$H$73)+(U198*'Pawn Weights'!$H$65)+(84.8*'Pawn Weights'!$H$65), 2)</f>
        <v>1163.24</v>
      </c>
      <c r="E198" s="326">
        <v>91.1</v>
      </c>
      <c r="F198" s="326">
        <v>2.7</v>
      </c>
      <c r="G198" s="154"/>
      <c r="H198" s="326"/>
      <c r="I198" s="326"/>
      <c r="J198" s="326"/>
      <c r="K198" s="326"/>
      <c r="L198" s="326">
        <v>9.0</v>
      </c>
      <c r="M198" s="326"/>
      <c r="N198" s="326"/>
      <c r="O198" s="326"/>
      <c r="P198" s="326"/>
      <c r="Q198" s="326"/>
      <c r="R198" s="327"/>
      <c r="S198" s="326"/>
      <c r="T198" s="328" t="s">
        <v>1297</v>
      </c>
      <c r="U198" s="326"/>
      <c r="V198" s="326"/>
      <c r="W198" s="329"/>
    </row>
    <row r="199">
      <c r="A199" s="292"/>
      <c r="B199" s="288" t="s">
        <v>1028</v>
      </c>
      <c r="C199" s="326" t="s">
        <v>1029</v>
      </c>
      <c r="D199" s="289">
        <f>ROUND((E199*'Pawn Weights'!$H$72)+(G199*'Pawn Weights'!$H$61)+(H199*'Pawn Weights'!$H$62)+(I199*'Pawn Weights'!$H$63)+(J199*'Pawn Weights'!$H$66)+(K199*'Pawn Weights'!$H$64)+(M199*'Pawn Weights'!$H$67)+(N199*'Pawn Weights'!$H$60)+(O199*'Pawn Weights'!$H$69)+(P199*'Pawn Weights'!$H$70)+(Q199*'Pawn Weights'!$H$71)+(F199*'Pawn Weights'!$H$73)+(U199*'Pawn Weights'!$H$65), 2)</f>
        <v>1162.6</v>
      </c>
      <c r="E199" s="326">
        <v>100.2</v>
      </c>
      <c r="F199" s="326">
        <v>2.7</v>
      </c>
      <c r="G199" s="154">
        <v>20.0</v>
      </c>
      <c r="H199" s="326">
        <v>38.0</v>
      </c>
      <c r="I199" s="326"/>
      <c r="J199" s="326"/>
      <c r="K199" s="326"/>
      <c r="L199" s="326">
        <v>28.0</v>
      </c>
      <c r="M199" s="326"/>
      <c r="N199" s="326"/>
      <c r="O199" s="326"/>
      <c r="P199" s="326"/>
      <c r="Q199" s="326"/>
      <c r="R199" s="327"/>
      <c r="S199" s="326"/>
      <c r="T199" s="328" t="s">
        <v>1030</v>
      </c>
      <c r="U199" s="326"/>
      <c r="V199" s="326"/>
      <c r="W199" s="329"/>
    </row>
    <row r="200">
      <c r="A200" s="292" t="s">
        <v>627</v>
      </c>
      <c r="B200" s="288" t="s">
        <v>1031</v>
      </c>
      <c r="C200" s="326" t="s">
        <v>1032</v>
      </c>
      <c r="D200" s="289">
        <f>ROUND((E200*'Pawn Weights'!$H$72)+(G200*'Pawn Weights'!$H$61)+(H200*'Pawn Weights'!$H$62)+(I200*'Pawn Weights'!$H$63)+(J200*'Pawn Weights'!$H$66)+(K200*'Pawn Weights'!$H$64)+(M200*'Pawn Weights'!$H$67)+(N200*'Pawn Weights'!$H$60)+(O200*'Pawn Weights'!$H$69)+(P200*'Pawn Weights'!$H$70)+(Q200*'Pawn Weights'!$H$71)+(F200*'Pawn Weights'!$H$73)+(U200*'Pawn Weights'!$H$65), 2)</f>
        <v>1155.42</v>
      </c>
      <c r="E200" s="326">
        <v>97.6</v>
      </c>
      <c r="F200" s="326">
        <v>2.7</v>
      </c>
      <c r="G200" s="326"/>
      <c r="H200" s="326">
        <v>48.0</v>
      </c>
      <c r="I200" s="326">
        <v>23.0</v>
      </c>
      <c r="J200" s="326"/>
      <c r="K200" s="326"/>
      <c r="L200" s="326"/>
      <c r="M200" s="326"/>
      <c r="N200" s="326"/>
      <c r="O200" s="326"/>
      <c r="P200" s="326"/>
      <c r="Q200" s="326"/>
      <c r="R200" s="327"/>
      <c r="S200" s="326"/>
      <c r="T200" s="328" t="s">
        <v>1384</v>
      </c>
      <c r="U200" s="326"/>
      <c r="V200" s="326"/>
      <c r="W200" s="329"/>
    </row>
    <row r="201">
      <c r="A201" s="281"/>
      <c r="B201" s="288" t="s">
        <v>1020</v>
      </c>
      <c r="C201" s="326" t="s">
        <v>741</v>
      </c>
      <c r="D201" s="289">
        <f>ROUND((E201*'Pawn Weights'!$H$72)+(G201*'Pawn Weights'!$H$61)+(H201*'Pawn Weights'!$H$62)+(I201*'Pawn Weights'!$H$63)+(J201*'Pawn Weights'!$H$66)+(K201*'Pawn Weights'!$H$64)+(M201*'Pawn Weights'!$H$67)+(N201*'Pawn Weights'!$H$60)+(O201*'Pawn Weights'!$H$69)+(P201*'Pawn Weights'!$H$70)+(Q201*'Pawn Weights'!$H$71)+(F201*'Pawn Weights'!$H$73)+(U201*'Pawn Weights'!$H$65), 2)</f>
        <v>1142.8</v>
      </c>
      <c r="E201" s="326">
        <v>100.2</v>
      </c>
      <c r="F201" s="326">
        <v>2.7</v>
      </c>
      <c r="G201" s="326"/>
      <c r="H201" s="326">
        <v>52.0</v>
      </c>
      <c r="I201" s="326"/>
      <c r="J201" s="326"/>
      <c r="K201" s="326"/>
      <c r="L201" s="326"/>
      <c r="M201" s="326"/>
      <c r="N201" s="326"/>
      <c r="O201" s="326"/>
      <c r="P201" s="326"/>
      <c r="Q201" s="326"/>
      <c r="R201" s="327"/>
      <c r="S201" s="326"/>
      <c r="T201" s="328" t="s">
        <v>1021</v>
      </c>
      <c r="U201" s="326"/>
      <c r="V201" s="326"/>
      <c r="W201" s="329"/>
    </row>
    <row r="202">
      <c r="A202" s="281"/>
      <c r="B202" s="288" t="s">
        <v>1385</v>
      </c>
      <c r="C202" s="326" t="s">
        <v>997</v>
      </c>
      <c r="D202" s="289">
        <f>ROUND((E202*'Pawn Weights'!$H$72)+(G202*'Pawn Weights'!$H$61)+(H202*'Pawn Weights'!$H$62)+(I202*'Pawn Weights'!$H$63)+(J202*'Pawn Weights'!$H$66)+(K202*'Pawn Weights'!$H$64)+(M202*'Pawn Weights'!$H$67)+(N202*'Pawn Weights'!$H$60)+(O202*'Pawn Weights'!$H$69)+(P202*'Pawn Weights'!$H$70)+(Q202*'Pawn Weights'!$H$71)+(F202*'Pawn Weights'!$H$73)+(U202*'Pawn Weights'!$H$65), 2)</f>
        <v>1141.26</v>
      </c>
      <c r="E202" s="326">
        <v>97.7</v>
      </c>
      <c r="F202" s="326">
        <v>2.6</v>
      </c>
      <c r="G202" s="326"/>
      <c r="H202" s="326">
        <v>30.0</v>
      </c>
      <c r="I202" s="326">
        <v>19.0</v>
      </c>
      <c r="J202" s="326"/>
      <c r="K202" s="326">
        <v>10.0</v>
      </c>
      <c r="L202" s="326">
        <v>27.0</v>
      </c>
      <c r="M202" s="326"/>
      <c r="N202" s="326"/>
      <c r="O202" s="326"/>
      <c r="P202" s="326"/>
      <c r="Q202" s="326"/>
      <c r="R202" s="327"/>
      <c r="S202" s="326"/>
      <c r="T202" s="328" t="s">
        <v>1034</v>
      </c>
      <c r="U202" s="326"/>
      <c r="V202" s="326"/>
      <c r="W202" s="329"/>
    </row>
    <row r="203">
      <c r="A203" s="281"/>
      <c r="B203" s="288" t="s">
        <v>1037</v>
      </c>
      <c r="C203" s="326" t="s">
        <v>1025</v>
      </c>
      <c r="D203" s="289">
        <f>ROUND((E203*'Pawn Weights'!$H$72)+(G203*'Pawn Weights'!$H$61)+(H203*'Pawn Weights'!$H$62)+(I203*'Pawn Weights'!$H$63)+(J203*'Pawn Weights'!$H$66)+(K203*'Pawn Weights'!$H$64)+(M203*'Pawn Weights'!$H$67)+(N203*'Pawn Weights'!$H$60)+(O203*'Pawn Weights'!$H$69)+(P203*'Pawn Weights'!$H$70)+(Q203*'Pawn Weights'!$H$71)+(F203*'Pawn Weights'!$H$73)+(U203*'Pawn Weights'!$H$65), 2)</f>
        <v>1132.75</v>
      </c>
      <c r="E203" s="326">
        <v>96.5</v>
      </c>
      <c r="F203" s="326">
        <v>2.6</v>
      </c>
      <c r="G203" s="326">
        <v>25.0</v>
      </c>
      <c r="H203" s="326">
        <v>40.0</v>
      </c>
      <c r="I203" s="326"/>
      <c r="J203" s="326"/>
      <c r="K203" s="326"/>
      <c r="L203" s="326">
        <v>21.0</v>
      </c>
      <c r="M203" s="326"/>
      <c r="N203" s="326"/>
      <c r="O203" s="326"/>
      <c r="P203" s="326"/>
      <c r="Q203" s="326"/>
      <c r="R203" s="327"/>
      <c r="S203" s="326"/>
      <c r="T203" s="328"/>
      <c r="U203" s="326"/>
      <c r="V203" s="326"/>
      <c r="W203" s="329"/>
    </row>
    <row r="204">
      <c r="A204" s="292" t="s">
        <v>627</v>
      </c>
      <c r="B204" s="288" t="s">
        <v>1298</v>
      </c>
      <c r="C204" s="326" t="s">
        <v>1299</v>
      </c>
      <c r="D204" s="289">
        <f>ROUND((E204*'Pawn Weights'!$H$72)+(G204*'Pawn Weights'!$H$61)+(H204*'Pawn Weights'!$H$62)+(I204*'Pawn Weights'!$H$63)+(J204*'Pawn Weights'!$H$66)+(K204*'Pawn Weights'!$H$64)+(M204*'Pawn Weights'!$H$67)+(N204*'Pawn Weights'!$H$60)+(O204*'Pawn Weights'!$H$69)+(P204*'Pawn Weights'!$H$70)+(Q204*'Pawn Weights'!$H$71)+(F204*'Pawn Weights'!$H$73)+(U204*'Pawn Weights'!$H$65)+(84.8*'Pawn Weights'!$H$65), 2)</f>
        <v>1102.04</v>
      </c>
      <c r="E204" s="326">
        <v>84.3</v>
      </c>
      <c r="F204" s="326">
        <v>2.7</v>
      </c>
      <c r="G204" s="154"/>
      <c r="H204" s="326"/>
      <c r="I204" s="326"/>
      <c r="J204" s="326"/>
      <c r="K204" s="326"/>
      <c r="L204" s="326"/>
      <c r="M204" s="326"/>
      <c r="N204" s="326"/>
      <c r="O204" s="326"/>
      <c r="P204" s="326"/>
      <c r="Q204" s="326"/>
      <c r="R204" s="327"/>
      <c r="S204" s="326"/>
      <c r="T204" s="328" t="s">
        <v>1297</v>
      </c>
      <c r="U204" s="326"/>
      <c r="V204" s="326"/>
      <c r="W204" s="329"/>
    </row>
    <row r="205">
      <c r="A205" s="292" t="s">
        <v>627</v>
      </c>
      <c r="B205" s="288" t="s">
        <v>1392</v>
      </c>
      <c r="C205" s="326" t="s">
        <v>1393</v>
      </c>
      <c r="D205" s="289">
        <f>ROUND((E205*'Pawn Weights'!$H$72)+(G205*'Pawn Weights'!$H$61)+(H205*'Pawn Weights'!$H$62)+(I205*'Pawn Weights'!$H$63)+(J205*'Pawn Weights'!$H$66)+(K205*'Pawn Weights'!$H$64)+(M205*'Pawn Weights'!$H$67)+(N205*'Pawn Weights'!$H$60)+(O205*'Pawn Weights'!$H$69)+(P205*'Pawn Weights'!$H$70)+(Q205*'Pawn Weights'!$H$71)+(F205*'Pawn Weights'!$H$73)+(U205*'Pawn Weights'!$H$65), 2)</f>
        <v>1089.44</v>
      </c>
      <c r="E205" s="326">
        <v>91.1</v>
      </c>
      <c r="F205" s="326">
        <v>2.7</v>
      </c>
      <c r="G205" s="326"/>
      <c r="H205" s="326">
        <v>44.0</v>
      </c>
      <c r="I205" s="326">
        <v>21.0</v>
      </c>
      <c r="J205" s="326"/>
      <c r="K205" s="326"/>
      <c r="L205" s="326"/>
      <c r="M205" s="326"/>
      <c r="N205" s="326"/>
      <c r="O205" s="326"/>
      <c r="P205" s="326"/>
      <c r="Q205" s="326"/>
      <c r="R205" s="327"/>
      <c r="S205" s="326"/>
      <c r="T205" s="328" t="s">
        <v>1384</v>
      </c>
      <c r="U205" s="326"/>
      <c r="V205" s="326"/>
      <c r="W205" s="329"/>
    </row>
    <row r="206">
      <c r="A206" s="301" t="s">
        <v>1412</v>
      </c>
      <c r="B206" s="288" t="s">
        <v>1290</v>
      </c>
      <c r="C206" s="326" t="s">
        <v>1291</v>
      </c>
      <c r="D206" s="289">
        <f>ROUND((E206*'Pawn Weights'!$H$72)+(G206*'Pawn Weights'!$H$61)+(H206*'Pawn Weights'!$H$62)+(I206*'Pawn Weights'!$H$63)+(J206*'Pawn Weights'!$H$66)+(K206*'Pawn Weights'!$H$64)+(M206*'Pawn Weights'!$H$67)+(N206*'Pawn Weights'!$H$60)+(O206*'Pawn Weights'!$H$69)+(P206*'Pawn Weights'!$H$70)+(Q206*'Pawn Weights'!$H$71)+(F206*'Pawn Weights'!$H$73)+(U206*'Pawn Weights'!$H$65)+(75.6*'Pawn Weights'!$H$65), 2)</f>
        <v>1072.89</v>
      </c>
      <c r="E206" s="326">
        <v>83.7</v>
      </c>
      <c r="F206" s="326">
        <v>2.6</v>
      </c>
      <c r="G206" s="154"/>
      <c r="H206" s="326"/>
      <c r="I206" s="326"/>
      <c r="J206" s="326"/>
      <c r="K206" s="326"/>
      <c r="L206" s="326"/>
      <c r="M206" s="326"/>
      <c r="N206" s="326"/>
      <c r="O206" s="326"/>
      <c r="P206" s="326"/>
      <c r="Q206" s="326"/>
      <c r="R206" s="327"/>
      <c r="S206" s="326"/>
      <c r="T206" s="328" t="s">
        <v>1482</v>
      </c>
      <c r="U206" s="326"/>
      <c r="V206" s="326"/>
      <c r="W206" s="329"/>
    </row>
    <row r="207">
      <c r="A207" s="271" t="s">
        <v>1040</v>
      </c>
      <c r="B207" s="407" t="s">
        <v>604</v>
      </c>
      <c r="C207" s="407" t="s">
        <v>605</v>
      </c>
      <c r="D207" s="409" t="s">
        <v>606</v>
      </c>
      <c r="E207" s="271" t="s">
        <v>1003</v>
      </c>
      <c r="F207" s="271" t="s">
        <v>1004</v>
      </c>
      <c r="G207" s="271" t="s">
        <v>561</v>
      </c>
      <c r="H207" s="271" t="s">
        <v>562</v>
      </c>
      <c r="I207" s="271" t="s">
        <v>330</v>
      </c>
      <c r="J207" s="271" t="s">
        <v>563</v>
      </c>
      <c r="K207" s="410" t="s">
        <v>344</v>
      </c>
      <c r="L207" s="271" t="s">
        <v>607</v>
      </c>
      <c r="M207" s="271" t="s">
        <v>564</v>
      </c>
      <c r="N207" s="271" t="s">
        <v>1006</v>
      </c>
      <c r="O207" s="411" t="s">
        <v>610</v>
      </c>
      <c r="P207" s="412" t="s">
        <v>611</v>
      </c>
      <c r="Q207" s="413" t="s">
        <v>612</v>
      </c>
      <c r="R207" s="414" t="s">
        <v>613</v>
      </c>
      <c r="S207" s="417"/>
      <c r="T207" s="271" t="s">
        <v>615</v>
      </c>
      <c r="U207" s="417" t="s">
        <v>356</v>
      </c>
      <c r="V207" s="415"/>
      <c r="W207" s="415"/>
      <c r="X207" s="416"/>
      <c r="Y207" s="416"/>
      <c r="Z207" s="416"/>
    </row>
    <row r="208" ht="14.25" customHeight="1">
      <c r="A208" s="281"/>
      <c r="B208" s="350" t="s">
        <v>1381</v>
      </c>
      <c r="C208" s="326"/>
      <c r="D208" s="387"/>
      <c r="E208" s="326"/>
      <c r="F208" s="326"/>
      <c r="G208" s="326"/>
      <c r="H208" s="326"/>
      <c r="I208" s="326"/>
      <c r="J208" s="326"/>
      <c r="K208" s="326"/>
      <c r="L208" s="326"/>
      <c r="M208" s="326"/>
      <c r="N208" s="326"/>
      <c r="O208" s="326"/>
      <c r="P208" s="326"/>
      <c r="Q208" s="326"/>
      <c r="R208" s="327"/>
      <c r="S208" s="326"/>
      <c r="T208" s="328"/>
      <c r="U208" s="326"/>
      <c r="V208" s="326"/>
      <c r="W208" s="329"/>
    </row>
    <row r="209" ht="14.25" customHeight="1">
      <c r="A209" s="137"/>
      <c r="B209" s="296" t="s">
        <v>1387</v>
      </c>
      <c r="C209" s="330" t="s">
        <v>637</v>
      </c>
      <c r="D209" s="289">
        <f>ROUND((E209*'Pawn Weights'!$H$74)+(G209*'Pawn Weights'!$H$61)+(H209*'Pawn Weights'!$H$62)+(I209*'Pawn Weights'!$H$63)+(J209*'Pawn Weights'!$H$66)+(K209*'Pawn Weights'!$H$64)+(M209*'Pawn Weights'!$H$67)+(N209*'Pawn Weights'!$H$60)+(O209*'Pawn Weights'!$H$69)+(P209*'Pawn Weights'!$H$70)+(Q209*'Pawn Weights'!$H$71)+(F209*'Pawn Weights'!$H$73)+(U209*'Pawn Weights'!$H$65), 2)</f>
        <v>689.87</v>
      </c>
      <c r="E209" s="332">
        <v>107.9</v>
      </c>
      <c r="F209" s="332">
        <v>2.6</v>
      </c>
      <c r="G209" s="330"/>
      <c r="H209" s="332">
        <v>38.0</v>
      </c>
      <c r="I209" s="332">
        <v>22.0</v>
      </c>
      <c r="J209" s="330"/>
      <c r="K209" s="332">
        <v>9.0</v>
      </c>
      <c r="L209" s="332">
        <v>31.0</v>
      </c>
      <c r="M209" s="332">
        <v>49.0</v>
      </c>
      <c r="N209" s="330"/>
      <c r="O209" s="330"/>
      <c r="P209" s="330"/>
      <c r="Q209" s="330"/>
      <c r="R209" s="295"/>
      <c r="S209" s="330"/>
      <c r="T209" s="330" t="s">
        <v>986</v>
      </c>
      <c r="U209" s="330"/>
      <c r="V209" s="330"/>
      <c r="W209" s="137"/>
      <c r="X209" s="137"/>
      <c r="Y209" s="137"/>
      <c r="Z209" s="137"/>
    </row>
    <row r="210" ht="14.25" customHeight="1">
      <c r="A210" s="295" t="s">
        <v>627</v>
      </c>
      <c r="B210" s="317" t="s">
        <v>1049</v>
      </c>
      <c r="C210" s="330" t="s">
        <v>1016</v>
      </c>
      <c r="D210" s="289">
        <f>ROUND((E210*'Pawn Weights'!$H$74)+(G210*'Pawn Weights'!$H$61)+(H210*'Pawn Weights'!$H$62)+(I210*'Pawn Weights'!$H$63)+(J210*'Pawn Weights'!$H$66)+(K210*'Pawn Weights'!$H$64)+(M210*'Pawn Weights'!$H$67)+(N210*'Pawn Weights'!$H$60)+(O210*'Pawn Weights'!$H$69)+(P210*'Pawn Weights'!$H$70)+(Q210*'Pawn Weights'!$H$71)+(F210*'Pawn Weights'!$H$73)+(U210*'Pawn Weights'!$H$65)+(72.08*'Pawn Weights'!$H$65), 2)</f>
        <v>681.31</v>
      </c>
      <c r="E210" s="332">
        <v>97.6</v>
      </c>
      <c r="F210" s="332">
        <v>2.7</v>
      </c>
      <c r="G210" s="330"/>
      <c r="H210" s="330"/>
      <c r="I210" s="330"/>
      <c r="J210" s="330"/>
      <c r="K210" s="330"/>
      <c r="L210" s="332">
        <v>19.0</v>
      </c>
      <c r="M210" s="330"/>
      <c r="N210" s="330"/>
      <c r="O210" s="330"/>
      <c r="P210" s="330"/>
      <c r="Q210" s="330"/>
      <c r="R210" s="295"/>
      <c r="S210" s="330"/>
      <c r="T210" s="402" t="s">
        <v>1297</v>
      </c>
      <c r="U210" s="330"/>
      <c r="V210" s="330"/>
      <c r="W210" s="137"/>
      <c r="X210" s="137"/>
      <c r="Y210" s="137"/>
      <c r="Z210" s="137"/>
    </row>
    <row r="211">
      <c r="A211" s="292"/>
      <c r="B211" s="288" t="s">
        <v>1383</v>
      </c>
      <c r="C211" s="326" t="s">
        <v>646</v>
      </c>
      <c r="D211" s="289">
        <f>ROUND((E211*'Pawn Weights'!$H$74)+(G211*'Pawn Weights'!$H$61)+(H211*'Pawn Weights'!$H$62)+(I211*'Pawn Weights'!$H$63)+(J211*'Pawn Weights'!$H$66)+(K211*'Pawn Weights'!$H$64)+(M211*'Pawn Weights'!$H$67)+(N211*'Pawn Weights'!$H$60)+(O211*'Pawn Weights'!$H$69)+(P211*'Pawn Weights'!$H$70)+(Q211*'Pawn Weights'!$H$71)+(F211*'Pawn Weights'!$H$73)+(U211*'Pawn Weights'!$H$65), 2)</f>
        <v>664.68</v>
      </c>
      <c r="E211" s="326">
        <v>103.1</v>
      </c>
      <c r="F211" s="326">
        <v>2.6</v>
      </c>
      <c r="G211" s="326"/>
      <c r="H211" s="326">
        <v>34.0</v>
      </c>
      <c r="I211" s="326">
        <v>21.0</v>
      </c>
      <c r="J211" s="326"/>
      <c r="K211" s="326">
        <v>8.0</v>
      </c>
      <c r="L211" s="326">
        <v>30.0</v>
      </c>
      <c r="M211" s="326">
        <v>49.0</v>
      </c>
      <c r="N211" s="326"/>
      <c r="O211" s="326"/>
      <c r="P211" s="326"/>
      <c r="Q211" s="326"/>
      <c r="R211" s="327"/>
      <c r="S211" s="326"/>
      <c r="T211" s="328" t="s">
        <v>986</v>
      </c>
      <c r="U211" s="326"/>
      <c r="V211" s="326"/>
      <c r="W211" s="329"/>
    </row>
    <row r="212">
      <c r="A212" s="295" t="s">
        <v>627</v>
      </c>
      <c r="B212" s="317" t="s">
        <v>1389</v>
      </c>
      <c r="C212" s="330" t="s">
        <v>1296</v>
      </c>
      <c r="D212" s="289">
        <f>ROUND((E212*'Pawn Weights'!$H$74)+(G212*'Pawn Weights'!$H$61)+(H212*'Pawn Weights'!$H$62)+(I212*'Pawn Weights'!$H$63)+(J212*'Pawn Weights'!$H$66)+(K212*'Pawn Weights'!$H$64)+(M212*'Pawn Weights'!$H$67)+(N212*'Pawn Weights'!$H$60)+(O212*'Pawn Weights'!$H$69)+(P212*'Pawn Weights'!$H$70)+(Q212*'Pawn Weights'!$H$71)+(F212*'Pawn Weights'!$H$73)+(U212*'Pawn Weights'!$H$65)+(72.08*'Pawn Weights'!$H$65), 2)</f>
        <v>657.26</v>
      </c>
      <c r="E212" s="332">
        <v>91.1</v>
      </c>
      <c r="F212" s="332">
        <v>2.7</v>
      </c>
      <c r="G212" s="295"/>
      <c r="H212" s="330"/>
      <c r="I212" s="330"/>
      <c r="J212" s="330"/>
      <c r="K212" s="330"/>
      <c r="L212" s="332">
        <v>9.0</v>
      </c>
      <c r="M212" s="330"/>
      <c r="N212" s="330"/>
      <c r="O212" s="330"/>
      <c r="P212" s="330"/>
      <c r="Q212" s="330"/>
      <c r="R212" s="295"/>
      <c r="S212" s="330"/>
      <c r="T212" s="402" t="s">
        <v>1297</v>
      </c>
      <c r="U212" s="330"/>
      <c r="V212" s="330"/>
      <c r="W212" s="137"/>
      <c r="X212" s="137"/>
      <c r="Y212" s="137"/>
      <c r="Z212" s="137"/>
    </row>
    <row r="213">
      <c r="A213" s="295" t="s">
        <v>627</v>
      </c>
      <c r="B213" s="296" t="s">
        <v>1031</v>
      </c>
      <c r="C213" s="330" t="s">
        <v>1032</v>
      </c>
      <c r="D213" s="289">
        <f>ROUND((E213*'Pawn Weights'!$H$74)+(G213*'Pawn Weights'!$H$61)+(H213*'Pawn Weights'!$H$62)+(I213*'Pawn Weights'!$H$63)+(J213*'Pawn Weights'!$H$66)+(K213*'Pawn Weights'!$H$64)+(M213*'Pawn Weights'!$H$67)+(N213*'Pawn Weights'!$H$60)+(O213*'Pawn Weights'!$H$69)+(P213*'Pawn Weights'!$H$70)+(Q213*'Pawn Weights'!$H$71)+(F213*'Pawn Weights'!$H$73)+(U213*'Pawn Weights'!$H$65), 2)</f>
        <v>638.14</v>
      </c>
      <c r="E213" s="332">
        <v>97.6</v>
      </c>
      <c r="F213" s="332">
        <v>2.7</v>
      </c>
      <c r="G213" s="330"/>
      <c r="H213" s="332">
        <v>48.0</v>
      </c>
      <c r="I213" s="332">
        <v>23.0</v>
      </c>
      <c r="J213" s="330"/>
      <c r="K213" s="330"/>
      <c r="L213" s="330"/>
      <c r="M213" s="330"/>
      <c r="N213" s="330"/>
      <c r="O213" s="330"/>
      <c r="P213" s="330"/>
      <c r="Q213" s="330"/>
      <c r="R213" s="295"/>
      <c r="S213" s="330"/>
      <c r="T213" s="402" t="s">
        <v>1391</v>
      </c>
      <c r="U213" s="330"/>
      <c r="V213" s="330"/>
      <c r="W213" s="137"/>
      <c r="X213" s="137"/>
      <c r="Y213" s="137"/>
      <c r="Z213" s="137"/>
    </row>
    <row r="214">
      <c r="A214" s="295"/>
      <c r="B214" s="296" t="s">
        <v>1046</v>
      </c>
      <c r="C214" s="330" t="s">
        <v>1047</v>
      </c>
      <c r="D214" s="289">
        <f>ROUND((E214*'Pawn Weights'!$H$74)+(G214*'Pawn Weights'!$H$61)+(H214*'Pawn Weights'!$H$62)+(I214*'Pawn Weights'!$H$63)+(J214*'Pawn Weights'!$H$66)+(K214*'Pawn Weights'!$H$64)+(M214*'Pawn Weights'!$H$67)+(N214*'Pawn Weights'!$H$60)+(O214*'Pawn Weights'!$H$69)+(P214*'Pawn Weights'!$H$70)+(Q214*'Pawn Weights'!$H$71)+(F214*'Pawn Weights'!$H$73)+(U214*'Pawn Weights'!$H$65), 2)</f>
        <v>635.59</v>
      </c>
      <c r="E214" s="332">
        <v>103.0</v>
      </c>
      <c r="F214" s="332">
        <v>2.5</v>
      </c>
      <c r="G214" s="330"/>
      <c r="H214" s="332">
        <v>44.0</v>
      </c>
      <c r="I214" s="330"/>
      <c r="J214" s="330"/>
      <c r="K214" s="332">
        <v>21.0</v>
      </c>
      <c r="L214" s="330"/>
      <c r="M214" s="330"/>
      <c r="N214" s="330"/>
      <c r="O214" s="330"/>
      <c r="P214" s="330"/>
      <c r="Q214" s="330"/>
      <c r="R214" s="295"/>
      <c r="S214" s="332">
        <v>23.0</v>
      </c>
      <c r="T214" s="295"/>
      <c r="U214" s="330"/>
      <c r="V214" s="330"/>
      <c r="W214" s="137"/>
      <c r="X214" s="137"/>
      <c r="Y214" s="137"/>
      <c r="Z214" s="137"/>
    </row>
    <row r="215">
      <c r="A215" s="292"/>
      <c r="B215" s="288" t="s">
        <v>1026</v>
      </c>
      <c r="C215" s="326" t="s">
        <v>716</v>
      </c>
      <c r="D215" s="289">
        <f>ROUND((E215*'Pawn Weights'!$H$74)+(G215*'Pawn Weights'!$H$61)+(H215*'Pawn Weights'!$H$62)+(I215*'Pawn Weights'!$H$63)+(J215*'Pawn Weights'!$H$66)+(K215*'Pawn Weights'!$H$64)+(M215*'Pawn Weights'!$H$67)+(N215*'Pawn Weights'!$H$60)+(O215*'Pawn Weights'!$H$69)+(P215*'Pawn Weights'!$H$70)+(Q215*'Pawn Weights'!$H$71)+(F215*'Pawn Weights'!$H$73)+(U215*'Pawn Weights'!$H$65), 2)</f>
        <v>632.23</v>
      </c>
      <c r="E215" s="326">
        <v>100.2</v>
      </c>
      <c r="F215" s="326">
        <v>2.6</v>
      </c>
      <c r="G215" s="326"/>
      <c r="H215" s="326">
        <v>44.0</v>
      </c>
      <c r="I215" s="326"/>
      <c r="J215" s="326"/>
      <c r="K215" s="326">
        <v>21.0</v>
      </c>
      <c r="L215" s="326">
        <v>33.0</v>
      </c>
      <c r="M215" s="326"/>
      <c r="N215" s="326"/>
      <c r="O215" s="326"/>
      <c r="P215" s="326"/>
      <c r="Q215" s="326"/>
      <c r="R215" s="327"/>
      <c r="S215" s="326"/>
      <c r="T215" s="328" t="s">
        <v>1027</v>
      </c>
      <c r="U215" s="326"/>
      <c r="V215" s="326"/>
      <c r="W215" s="329"/>
    </row>
    <row r="216">
      <c r="A216" s="292" t="s">
        <v>943</v>
      </c>
      <c r="B216" s="288" t="s">
        <v>1022</v>
      </c>
      <c r="C216" s="326" t="s">
        <v>665</v>
      </c>
      <c r="D216" s="289">
        <f>ROUND((E216*'Pawn Weights'!$H$74)+(G216*'Pawn Weights'!$H$61)+(H216*'Pawn Weights'!$H$62)+(I216*'Pawn Weights'!$H$63)+(J216*'Pawn Weights'!$H$66)+(K216*'Pawn Weights'!$H$64)+(M216*'Pawn Weights'!$H$67)+(N216*'Pawn Weights'!$H$60)+(O216*'Pawn Weights'!$H$69)+(P216*'Pawn Weights'!$H$70)+(Q216*'Pawn Weights'!$H$71)+(F216*'Pawn Weights'!$H$73)+(U216*'Pawn Weights'!$H$65), 2)</f>
        <v>616.74</v>
      </c>
      <c r="E216" s="326">
        <v>100.2</v>
      </c>
      <c r="F216" s="326">
        <v>2.8</v>
      </c>
      <c r="G216" s="326"/>
      <c r="H216" s="326">
        <v>50.0</v>
      </c>
      <c r="I216" s="326"/>
      <c r="J216" s="326"/>
      <c r="K216" s="326"/>
      <c r="L216" s="326"/>
      <c r="M216" s="326"/>
      <c r="N216" s="326"/>
      <c r="O216" s="326"/>
      <c r="P216" s="326"/>
      <c r="Q216" s="326"/>
      <c r="R216" s="327"/>
      <c r="S216" s="326"/>
      <c r="T216" s="328" t="s">
        <v>1386</v>
      </c>
      <c r="U216" s="326"/>
      <c r="V216" s="326"/>
      <c r="W216" s="329"/>
    </row>
    <row r="217">
      <c r="A217" s="295" t="s">
        <v>627</v>
      </c>
      <c r="B217" s="317" t="s">
        <v>1390</v>
      </c>
      <c r="C217" s="330" t="s">
        <v>1299</v>
      </c>
      <c r="D217" s="289">
        <f>ROUND((E217*'Pawn Weights'!$H$74)+(G217*'Pawn Weights'!$H$61)+(H217*'Pawn Weights'!$H$62)+(I217*'Pawn Weights'!$H$63)+(J217*'Pawn Weights'!$H$66)+(K217*'Pawn Weights'!$H$64)+(M217*'Pawn Weights'!$H$67)+(N217*'Pawn Weights'!$H$60)+(O217*'Pawn Weights'!$H$69)+(P217*'Pawn Weights'!$H$70)+(Q217*'Pawn Weights'!$H$71)+(F217*'Pawn Weights'!$H$73)+(U217*'Pawn Weights'!$H$65)+(72.08*'Pawn Weights'!$H$65), 2)</f>
        <v>632.1</v>
      </c>
      <c r="E217" s="332">
        <v>84.3</v>
      </c>
      <c r="F217" s="332">
        <v>2.7</v>
      </c>
      <c r="G217" s="295"/>
      <c r="H217" s="330"/>
      <c r="I217" s="330"/>
      <c r="J217" s="330"/>
      <c r="K217" s="330"/>
      <c r="L217" s="330"/>
      <c r="M217" s="330"/>
      <c r="N217" s="330"/>
      <c r="O217" s="330"/>
      <c r="P217" s="330"/>
      <c r="Q217" s="330"/>
      <c r="R217" s="295"/>
      <c r="S217" s="330"/>
      <c r="T217" s="402" t="s">
        <v>1297</v>
      </c>
      <c r="U217" s="330"/>
      <c r="V217" s="330"/>
      <c r="W217" s="137"/>
      <c r="X217" s="137"/>
      <c r="Y217" s="137"/>
      <c r="Z217" s="137"/>
    </row>
    <row r="218">
      <c r="A218" s="295" t="s">
        <v>627</v>
      </c>
      <c r="B218" s="296" t="s">
        <v>1055</v>
      </c>
      <c r="C218" s="330" t="s">
        <v>1016</v>
      </c>
      <c r="D218" s="289">
        <f>ROUND((E218*'Pawn Weights'!$H$74)+(G218*'Pawn Weights'!$H$61)+(H218*'Pawn Weights'!$H$62)+(I218*'Pawn Weights'!$H$63)+(J218*'Pawn Weights'!$H$66)+(K218*'Pawn Weights'!$H$64)+(M218*'Pawn Weights'!$H$67)+(N218*'Pawn Weights'!$H$60)+(O218*'Pawn Weights'!$H$69)+(P218*'Pawn Weights'!$H$70)+(Q218*'Pawn Weights'!$H$71)+(F218*'Pawn Weights'!$H$73)+(U218*'Pawn Weights'!$H$65)+(42.4*'Pawn Weights'!$H$65), 2)</f>
        <v>627.29</v>
      </c>
      <c r="E218" s="332">
        <v>97.6</v>
      </c>
      <c r="F218" s="332">
        <v>2.7</v>
      </c>
      <c r="G218" s="330"/>
      <c r="H218" s="330"/>
      <c r="I218" s="330"/>
      <c r="J218" s="330"/>
      <c r="K218" s="330"/>
      <c r="L218" s="332">
        <v>19.0</v>
      </c>
      <c r="M218" s="330"/>
      <c r="N218" s="330"/>
      <c r="O218" s="330"/>
      <c r="P218" s="330"/>
      <c r="Q218" s="330"/>
      <c r="R218" s="295"/>
      <c r="S218" s="330"/>
      <c r="T218" s="402" t="s">
        <v>1297</v>
      </c>
      <c r="U218" s="330"/>
      <c r="V218" s="330"/>
      <c r="W218" s="137"/>
      <c r="X218" s="137"/>
      <c r="Y218" s="137"/>
      <c r="Z218" s="137"/>
    </row>
    <row r="219">
      <c r="A219" s="137"/>
      <c r="B219" s="317" t="s">
        <v>1385</v>
      </c>
      <c r="C219" s="330" t="s">
        <v>997</v>
      </c>
      <c r="D219" s="289">
        <f>ROUND((E219*'Pawn Weights'!$H$74)+(G219*'Pawn Weights'!$H$61)+(H219*'Pawn Weights'!$H$62)+(I219*'Pawn Weights'!$H$63)+(J219*'Pawn Weights'!$H$66)+(K219*'Pawn Weights'!$H$64)+(M219*'Pawn Weights'!$H$67)+(N219*'Pawn Weights'!$H$60)+(O219*'Pawn Weights'!$H$69)+(P219*'Pawn Weights'!$H$70)+(Q219*'Pawn Weights'!$H$71)+(F219*'Pawn Weights'!$H$73)+(U219*'Pawn Weights'!$H$65), 2)</f>
        <v>623.45</v>
      </c>
      <c r="E219" s="332">
        <v>97.7</v>
      </c>
      <c r="F219" s="332">
        <v>2.6</v>
      </c>
      <c r="G219" s="330"/>
      <c r="H219" s="332">
        <v>30.0</v>
      </c>
      <c r="I219" s="332">
        <v>19.0</v>
      </c>
      <c r="J219" s="330"/>
      <c r="K219" s="332">
        <v>10.0</v>
      </c>
      <c r="L219" s="332">
        <v>27.0</v>
      </c>
      <c r="M219" s="330"/>
      <c r="N219" s="330"/>
      <c r="O219" s="330"/>
      <c r="P219" s="330"/>
      <c r="Q219" s="330"/>
      <c r="R219" s="295"/>
      <c r="S219" s="330"/>
      <c r="T219" s="402" t="s">
        <v>1034</v>
      </c>
      <c r="U219" s="330"/>
      <c r="V219" s="330"/>
      <c r="W219" s="137"/>
      <c r="X219" s="137"/>
      <c r="Y219" s="137"/>
      <c r="Z219" s="137"/>
    </row>
    <row r="220">
      <c r="A220" s="137"/>
      <c r="B220" s="296" t="s">
        <v>1037</v>
      </c>
      <c r="C220" s="330" t="s">
        <v>1025</v>
      </c>
      <c r="D220" s="289">
        <f>ROUND((E220*'Pawn Weights'!$H$74)+(G220*'Pawn Weights'!$H$61)+(H220*'Pawn Weights'!$H$62)+(I220*'Pawn Weights'!$H$63)+(J220*'Pawn Weights'!$H$66)+(K220*'Pawn Weights'!$H$64)+(M220*'Pawn Weights'!$H$67)+(N220*'Pawn Weights'!$H$60)+(O220*'Pawn Weights'!$H$69)+(P220*'Pawn Weights'!$H$70)+(Q220*'Pawn Weights'!$H$71)+(F220*'Pawn Weights'!$H$73)+(U220*'Pawn Weights'!$H$65), 2)</f>
        <v>621.3</v>
      </c>
      <c r="E220" s="332">
        <v>96.5</v>
      </c>
      <c r="F220" s="332">
        <v>2.6</v>
      </c>
      <c r="G220" s="332">
        <v>25.0</v>
      </c>
      <c r="H220" s="332">
        <v>40.0</v>
      </c>
      <c r="I220" s="330"/>
      <c r="J220" s="330"/>
      <c r="K220" s="330"/>
      <c r="L220" s="332">
        <v>21.0</v>
      </c>
      <c r="M220" s="330"/>
      <c r="N220" s="330"/>
      <c r="O220" s="330"/>
      <c r="P220" s="330"/>
      <c r="Q220" s="330"/>
      <c r="R220" s="295"/>
      <c r="S220" s="330"/>
      <c r="T220" s="299"/>
      <c r="U220" s="330"/>
      <c r="V220" s="330"/>
      <c r="W220" s="137"/>
      <c r="X220" s="137"/>
      <c r="Y220" s="137"/>
      <c r="Z220" s="137"/>
    </row>
    <row r="221">
      <c r="A221" s="142"/>
      <c r="B221" s="308" t="s">
        <v>1059</v>
      </c>
      <c r="C221" s="390" t="s">
        <v>839</v>
      </c>
      <c r="D221" s="367">
        <f>ROUND((E221*'Pawn Weights'!$H$74)+(G221*'Pawn Weights'!$H$61)+(H221*'Pawn Weights'!$H$62)+(I221*'Pawn Weights'!$H$63)+(J221*'Pawn Weights'!$H$66)+(K221*'Pawn Weights'!$H$64)+(M221*'Pawn Weights'!$H$67)+(N221*'Pawn Weights'!$H$60)+(O221*'Pawn Weights'!$H$69)+(P221*'Pawn Weights'!$H$70)+(Q221*'Pawn Weights'!$H$71)+(F221*'Pawn Weights'!$H$73)+(U221*'Pawn Weights'!$H$65), 2)</f>
        <v>617.52</v>
      </c>
      <c r="E221" s="394">
        <v>95.6</v>
      </c>
      <c r="F221" s="394">
        <v>2.6</v>
      </c>
      <c r="G221" s="395"/>
      <c r="H221" s="394">
        <v>26.0</v>
      </c>
      <c r="I221" s="395"/>
      <c r="J221" s="390"/>
      <c r="K221" s="394">
        <v>20.0</v>
      </c>
      <c r="L221" s="394">
        <v>20.0</v>
      </c>
      <c r="M221" s="395"/>
      <c r="N221" s="395"/>
      <c r="O221" s="394">
        <v>1.0</v>
      </c>
      <c r="P221" s="395"/>
      <c r="Q221" s="395"/>
      <c r="R221" s="394" t="s">
        <v>660</v>
      </c>
      <c r="S221" s="395"/>
      <c r="T221" s="395"/>
      <c r="U221" s="395"/>
      <c r="V221" s="395"/>
      <c r="W221" s="142"/>
      <c r="X221" s="142"/>
      <c r="Y221" s="142"/>
      <c r="Z221" s="142"/>
    </row>
    <row r="222">
      <c r="A222" s="137"/>
      <c r="B222" s="296" t="s">
        <v>1020</v>
      </c>
      <c r="C222" s="330" t="s">
        <v>741</v>
      </c>
      <c r="D222" s="289">
        <f>ROUND((E222*'Pawn Weights'!$H$74)+(G222*'Pawn Weights'!$H$61)+(H222*'Pawn Weights'!$H$62)+(I222*'Pawn Weights'!$H$63)+(J222*'Pawn Weights'!$H$66)+(K222*'Pawn Weights'!$H$64)+(M222*'Pawn Weights'!$H$67)+(N222*'Pawn Weights'!$H$60)+(O222*'Pawn Weights'!$H$69)+(P222*'Pawn Weights'!$H$70)+(Q222*'Pawn Weights'!$H$71)+(F222*'Pawn Weights'!$H$73)+(U222*'Pawn Weights'!$H$65), 2)</f>
        <v>611.74</v>
      </c>
      <c r="E222" s="332">
        <v>100.2</v>
      </c>
      <c r="F222" s="332">
        <v>2.7</v>
      </c>
      <c r="G222" s="330"/>
      <c r="H222" s="332">
        <v>52.0</v>
      </c>
      <c r="I222" s="330"/>
      <c r="J222" s="330"/>
      <c r="K222" s="330"/>
      <c r="L222" s="330"/>
      <c r="M222" s="330"/>
      <c r="N222" s="330"/>
      <c r="O222" s="330"/>
      <c r="P222" s="330"/>
      <c r="Q222" s="330"/>
      <c r="R222" s="295"/>
      <c r="S222" s="330"/>
      <c r="T222" s="402" t="s">
        <v>1021</v>
      </c>
      <c r="U222" s="330"/>
      <c r="V222" s="330"/>
      <c r="W222" s="137"/>
      <c r="X222" s="137"/>
      <c r="Y222" s="137"/>
      <c r="Z222" s="137"/>
    </row>
    <row r="223">
      <c r="A223" s="295" t="s">
        <v>627</v>
      </c>
      <c r="B223" s="296" t="s">
        <v>1392</v>
      </c>
      <c r="C223" s="330" t="s">
        <v>1393</v>
      </c>
      <c r="D223" s="289">
        <f>ROUND((E223*'Pawn Weights'!$H$74)+(G223*'Pawn Weights'!$H$61)+(H223*'Pawn Weights'!$H$62)+(I223*'Pawn Weights'!$H$63)+(J223*'Pawn Weights'!$H$66)+(K223*'Pawn Weights'!$H$64)+(M223*'Pawn Weights'!$H$67)+(N223*'Pawn Weights'!$H$60)+(O223*'Pawn Weights'!$H$69)+(P223*'Pawn Weights'!$H$70)+(Q223*'Pawn Weights'!$H$71)+(F223*'Pawn Weights'!$H$73)+(U223*'Pawn Weights'!$H$65), 2)</f>
        <v>606.61</v>
      </c>
      <c r="E223" s="332">
        <v>91.1</v>
      </c>
      <c r="F223" s="332">
        <v>2.7</v>
      </c>
      <c r="G223" s="330"/>
      <c r="H223" s="332">
        <v>44.0</v>
      </c>
      <c r="I223" s="332">
        <v>21.0</v>
      </c>
      <c r="J223" s="330"/>
      <c r="K223" s="330"/>
      <c r="L223" s="330"/>
      <c r="M223" s="330"/>
      <c r="N223" s="330"/>
      <c r="O223" s="330"/>
      <c r="P223" s="330"/>
      <c r="Q223" s="330"/>
      <c r="R223" s="295"/>
      <c r="S223" s="330"/>
      <c r="T223" s="402" t="s">
        <v>1391</v>
      </c>
      <c r="U223" s="330"/>
      <c r="V223" s="330"/>
      <c r="W223" s="137"/>
      <c r="X223" s="137"/>
      <c r="Y223" s="137"/>
      <c r="Z223" s="137"/>
    </row>
    <row r="224">
      <c r="A224" s="295" t="s">
        <v>627</v>
      </c>
      <c r="B224" s="296" t="s">
        <v>1295</v>
      </c>
      <c r="C224" s="330" t="s">
        <v>1296</v>
      </c>
      <c r="D224" s="289">
        <f>ROUND((E224*'Pawn Weights'!$H$74)+(G224*'Pawn Weights'!$H$61)+(H224*'Pawn Weights'!$H$62)+(I224*'Pawn Weights'!$H$63)+(J224*'Pawn Weights'!$H$66)+(K224*'Pawn Weights'!$H$64)+(M224*'Pawn Weights'!$H$67)+(N224*'Pawn Weights'!$H$60)+(O224*'Pawn Weights'!$H$69)+(P224*'Pawn Weights'!$H$70)+(Q224*'Pawn Weights'!$H$71)+(F224*'Pawn Weights'!$H$73)+(U224*'Pawn Weights'!$H$65)+(42.4*'Pawn Weights'!$H$65), 2)</f>
        <v>603.24</v>
      </c>
      <c r="E224" s="332">
        <v>91.1</v>
      </c>
      <c r="F224" s="332">
        <v>2.7</v>
      </c>
      <c r="G224" s="295"/>
      <c r="H224" s="330"/>
      <c r="I224" s="330"/>
      <c r="J224" s="330"/>
      <c r="K224" s="330"/>
      <c r="L224" s="332">
        <v>9.0</v>
      </c>
      <c r="M224" s="330"/>
      <c r="N224" s="330"/>
      <c r="O224" s="330"/>
      <c r="P224" s="330"/>
      <c r="Q224" s="330"/>
      <c r="R224" s="295"/>
      <c r="S224" s="330"/>
      <c r="T224" s="402" t="s">
        <v>1297</v>
      </c>
      <c r="U224" s="330"/>
      <c r="V224" s="330"/>
      <c r="W224" s="137"/>
      <c r="X224" s="137"/>
      <c r="Y224" s="137"/>
      <c r="Z224" s="137"/>
    </row>
    <row r="225">
      <c r="A225" s="295"/>
      <c r="B225" s="296" t="s">
        <v>1048</v>
      </c>
      <c r="C225" s="330" t="s">
        <v>1047</v>
      </c>
      <c r="D225" s="289">
        <f>ROUND((E225*'Pawn Weights'!$H$74)+(G225*'Pawn Weights'!$H$61)+(H225*'Pawn Weights'!$H$62)+(I225*'Pawn Weights'!$H$63)+(J225*'Pawn Weights'!$H$66)+(K225*'Pawn Weights'!$H$64)+(M225*'Pawn Weights'!$H$67)+(N225*'Pawn Weights'!$H$60)+(O225*'Pawn Weights'!$H$69)+(P225*'Pawn Weights'!$H$70)+(Q225*'Pawn Weights'!$H$71)+(F225*'Pawn Weights'!$H$73)+(U225*'Pawn Weights'!$H$65), 2)</f>
        <v>565.59</v>
      </c>
      <c r="E225" s="332">
        <v>103.0</v>
      </c>
      <c r="F225" s="332">
        <v>1.5</v>
      </c>
      <c r="G225" s="330"/>
      <c r="H225" s="332">
        <v>44.0</v>
      </c>
      <c r="I225" s="330"/>
      <c r="J225" s="330"/>
      <c r="K225" s="332">
        <v>21.0</v>
      </c>
      <c r="L225" s="330"/>
      <c r="M225" s="330"/>
      <c r="N225" s="330"/>
      <c r="O225" s="330"/>
      <c r="P225" s="330"/>
      <c r="Q225" s="330"/>
      <c r="R225" s="295"/>
      <c r="S225" s="332">
        <v>23.0</v>
      </c>
      <c r="T225" s="295"/>
      <c r="U225" s="330"/>
      <c r="V225" s="330"/>
      <c r="W225" s="137"/>
      <c r="X225" s="137"/>
      <c r="Y225" s="137"/>
      <c r="Z225" s="137"/>
    </row>
    <row r="226">
      <c r="A226" s="403"/>
      <c r="B226" s="350" t="s">
        <v>1064</v>
      </c>
      <c r="C226" s="336"/>
      <c r="D226" s="404"/>
      <c r="E226" s="336"/>
      <c r="F226" s="336"/>
      <c r="G226" s="336"/>
      <c r="H226" s="336"/>
      <c r="I226" s="336"/>
      <c r="J226" s="336"/>
      <c r="K226" s="336"/>
      <c r="L226" s="336"/>
      <c r="M226" s="336"/>
      <c r="N226" s="336"/>
      <c r="O226" s="336"/>
      <c r="P226" s="336"/>
      <c r="Q226" s="336"/>
      <c r="R226" s="337"/>
      <c r="S226" s="336"/>
      <c r="T226" s="338"/>
      <c r="U226" s="336"/>
      <c r="V226" s="339"/>
      <c r="W226" s="339"/>
      <c r="X226" s="340"/>
      <c r="Y226" s="340"/>
      <c r="Z226" s="340"/>
    </row>
    <row r="227">
      <c r="A227" s="345"/>
      <c r="B227" s="119" t="s">
        <v>1483</v>
      </c>
      <c r="C227" s="351"/>
      <c r="D227" s="405"/>
      <c r="E227" s="351"/>
      <c r="F227" s="351"/>
      <c r="G227" s="351"/>
      <c r="H227" s="351"/>
      <c r="I227" s="351"/>
      <c r="J227" s="351"/>
      <c r="K227" s="351"/>
      <c r="L227" s="351"/>
      <c r="M227" s="351"/>
      <c r="N227" s="351"/>
      <c r="O227" s="351"/>
      <c r="P227" s="351"/>
      <c r="Q227" s="351"/>
      <c r="R227" s="352"/>
      <c r="S227" s="351"/>
      <c r="T227" s="353"/>
      <c r="U227" s="351"/>
      <c r="V227" s="348"/>
      <c r="W227" s="348"/>
      <c r="X227" s="340"/>
      <c r="Y227" s="340"/>
      <c r="Z227" s="340"/>
    </row>
    <row r="228">
      <c r="A228" s="345"/>
      <c r="B228" s="351"/>
      <c r="C228" s="351"/>
      <c r="D228" s="405"/>
      <c r="E228" s="351"/>
      <c r="F228" s="351"/>
      <c r="G228" s="351"/>
      <c r="H228" s="351"/>
      <c r="I228" s="351"/>
      <c r="J228" s="351"/>
      <c r="K228" s="351"/>
      <c r="L228" s="351"/>
      <c r="M228" s="351"/>
      <c r="N228" s="351"/>
      <c r="O228" s="351"/>
      <c r="P228" s="351"/>
      <c r="Q228" s="351"/>
      <c r="R228" s="352"/>
      <c r="S228" s="351"/>
      <c r="T228" s="353"/>
      <c r="U228" s="351"/>
      <c r="V228" s="348"/>
      <c r="W228" s="348"/>
      <c r="X228" s="340"/>
      <c r="Y228" s="340"/>
      <c r="Z228" s="340"/>
    </row>
    <row r="229">
      <c r="A229" s="349"/>
      <c r="B229" s="351"/>
      <c r="C229" s="351"/>
      <c r="D229" s="405"/>
      <c r="E229" s="351"/>
      <c r="F229" s="351"/>
      <c r="G229" s="351"/>
      <c r="H229" s="351"/>
      <c r="I229" s="351"/>
      <c r="J229" s="351"/>
      <c r="K229" s="351"/>
      <c r="L229" s="351"/>
      <c r="M229" s="351"/>
      <c r="N229" s="351"/>
      <c r="O229" s="351"/>
      <c r="P229" s="351"/>
      <c r="Q229" s="351"/>
      <c r="R229" s="352"/>
      <c r="S229" s="351"/>
      <c r="T229" s="353"/>
      <c r="U229" s="351"/>
      <c r="V229" s="348"/>
      <c r="W229" s="348"/>
      <c r="X229" s="340"/>
      <c r="Y229" s="340"/>
      <c r="Z229" s="340"/>
    </row>
    <row r="230">
      <c r="A230" s="281"/>
      <c r="B230" s="354"/>
      <c r="C230" s="354"/>
      <c r="D230" s="392"/>
      <c r="E230" s="354"/>
      <c r="F230" s="354"/>
      <c r="G230" s="354"/>
      <c r="H230" s="354"/>
      <c r="I230" s="354"/>
      <c r="J230" s="354"/>
      <c r="K230" s="354"/>
      <c r="L230" s="354"/>
      <c r="M230" s="354"/>
      <c r="N230" s="354"/>
      <c r="O230" s="354"/>
      <c r="P230" s="354"/>
      <c r="Q230" s="354"/>
      <c r="R230" s="355"/>
      <c r="S230" s="354"/>
      <c r="T230" s="356"/>
      <c r="U230" s="354"/>
      <c r="V230" s="281"/>
      <c r="W230" s="281"/>
      <c r="X230" s="304"/>
      <c r="Y230" s="304"/>
      <c r="Z230" s="304"/>
    </row>
    <row r="231">
      <c r="A231" s="333"/>
      <c r="B231" s="354"/>
      <c r="C231" s="354"/>
      <c r="D231" s="392"/>
      <c r="E231" s="354"/>
      <c r="F231" s="354"/>
      <c r="G231" s="354"/>
      <c r="H231" s="354"/>
      <c r="I231" s="354"/>
      <c r="J231" s="354"/>
      <c r="K231" s="354"/>
      <c r="L231" s="354"/>
      <c r="M231" s="354"/>
      <c r="N231" s="354"/>
      <c r="O231" s="354"/>
      <c r="P231" s="354"/>
      <c r="Q231" s="354"/>
      <c r="R231" s="355"/>
      <c r="S231" s="354"/>
      <c r="T231" s="354"/>
      <c r="U231" s="354"/>
      <c r="V231" s="357"/>
      <c r="W231" s="357"/>
      <c r="X231" s="304"/>
      <c r="Y231" s="304"/>
      <c r="Z231" s="304"/>
    </row>
    <row r="232">
      <c r="A232" s="333"/>
      <c r="B232" s="354"/>
      <c r="C232" s="354"/>
      <c r="D232" s="392"/>
      <c r="E232" s="354"/>
      <c r="F232" s="354"/>
      <c r="G232" s="354"/>
      <c r="H232" s="354"/>
      <c r="I232" s="354"/>
      <c r="J232" s="354"/>
      <c r="K232" s="354"/>
      <c r="L232" s="354"/>
      <c r="M232" s="354"/>
      <c r="N232" s="354"/>
      <c r="O232" s="354"/>
      <c r="P232" s="354"/>
      <c r="Q232" s="354"/>
      <c r="R232" s="355"/>
      <c r="S232" s="354"/>
      <c r="T232" s="354"/>
      <c r="U232" s="354"/>
      <c r="V232" s="357"/>
      <c r="W232" s="357"/>
      <c r="X232" s="304"/>
      <c r="Y232" s="304"/>
      <c r="Z232" s="304"/>
    </row>
    <row r="233">
      <c r="A233" s="345"/>
      <c r="B233" s="354"/>
      <c r="C233" s="354"/>
      <c r="D233" s="392"/>
      <c r="E233" s="354"/>
      <c r="F233" s="354"/>
      <c r="G233" s="354"/>
      <c r="H233" s="354"/>
      <c r="I233" s="354"/>
      <c r="J233" s="354"/>
      <c r="K233" s="354"/>
      <c r="L233" s="354"/>
      <c r="M233" s="354"/>
      <c r="N233" s="354"/>
      <c r="O233" s="354"/>
      <c r="P233" s="354"/>
      <c r="Q233" s="354"/>
      <c r="R233" s="355"/>
      <c r="S233" s="354"/>
      <c r="T233" s="354"/>
      <c r="U233" s="354"/>
      <c r="V233" s="281"/>
      <c r="W233" s="281"/>
      <c r="X233" s="304"/>
      <c r="Y233" s="304"/>
      <c r="Z233" s="304"/>
    </row>
    <row r="234">
      <c r="A234" s="345"/>
      <c r="B234" s="354"/>
      <c r="C234" s="354"/>
      <c r="D234" s="392"/>
      <c r="E234" s="354"/>
      <c r="F234" s="354"/>
      <c r="G234" s="354"/>
      <c r="H234" s="354"/>
      <c r="I234" s="354"/>
      <c r="J234" s="354"/>
      <c r="K234" s="354"/>
      <c r="L234" s="354"/>
      <c r="M234" s="354"/>
      <c r="N234" s="354"/>
      <c r="O234" s="354"/>
      <c r="P234" s="354"/>
      <c r="Q234" s="354"/>
      <c r="R234" s="355"/>
      <c r="S234" s="354"/>
      <c r="T234" s="354"/>
      <c r="U234" s="354"/>
      <c r="V234" s="281"/>
      <c r="W234" s="281"/>
      <c r="X234" s="304"/>
      <c r="Y234" s="304"/>
      <c r="Z234" s="304"/>
    </row>
    <row r="235">
      <c r="A235" s="345"/>
      <c r="B235" s="354"/>
      <c r="C235" s="354"/>
      <c r="D235" s="392"/>
      <c r="E235" s="354"/>
      <c r="F235" s="354"/>
      <c r="G235" s="354"/>
      <c r="H235" s="354"/>
      <c r="I235" s="354"/>
      <c r="J235" s="354"/>
      <c r="K235" s="354"/>
      <c r="L235" s="354"/>
      <c r="M235" s="354"/>
      <c r="N235" s="354"/>
      <c r="O235" s="354"/>
      <c r="P235" s="354"/>
      <c r="Q235" s="354"/>
      <c r="R235" s="355"/>
      <c r="S235" s="354"/>
      <c r="T235" s="354"/>
      <c r="U235" s="354"/>
      <c r="V235" s="281"/>
      <c r="W235" s="281"/>
      <c r="X235" s="304"/>
      <c r="Y235" s="304"/>
      <c r="Z235" s="304"/>
    </row>
    <row r="236">
      <c r="A236" s="345"/>
      <c r="B236" s="281"/>
      <c r="C236" s="281"/>
      <c r="D236" s="397"/>
      <c r="E236" s="281"/>
      <c r="F236" s="281"/>
      <c r="G236" s="354"/>
      <c r="H236" s="281"/>
      <c r="I236" s="281"/>
      <c r="J236" s="281"/>
      <c r="K236" s="281"/>
      <c r="L236" s="281"/>
      <c r="M236" s="281"/>
      <c r="N236" s="281"/>
      <c r="O236" s="281"/>
      <c r="P236" s="281"/>
      <c r="Q236" s="281"/>
      <c r="R236" s="282"/>
      <c r="S236" s="281"/>
      <c r="T236" s="281"/>
      <c r="U236" s="281"/>
      <c r="V236" s="281"/>
      <c r="W236" s="281"/>
      <c r="X236" s="304"/>
      <c r="Y236" s="304"/>
      <c r="Z236" s="304"/>
    </row>
    <row r="237">
      <c r="A237" s="345"/>
      <c r="B237" s="281"/>
      <c r="C237" s="281"/>
      <c r="D237" s="397"/>
      <c r="E237" s="281"/>
      <c r="F237" s="281"/>
      <c r="G237" s="354"/>
      <c r="H237" s="281"/>
      <c r="I237" s="281"/>
      <c r="J237" s="281"/>
      <c r="K237" s="281"/>
      <c r="L237" s="281"/>
      <c r="M237" s="281"/>
      <c r="N237" s="281"/>
      <c r="O237" s="281"/>
      <c r="P237" s="281"/>
      <c r="Q237" s="281"/>
      <c r="R237" s="282"/>
      <c r="S237" s="281"/>
      <c r="T237" s="281"/>
      <c r="U237" s="281"/>
      <c r="V237" s="281"/>
      <c r="W237" s="281"/>
      <c r="X237" s="304"/>
      <c r="Y237" s="304"/>
      <c r="Z237" s="304"/>
    </row>
    <row r="238">
      <c r="A238" s="345"/>
      <c r="B238" s="281"/>
      <c r="C238" s="281"/>
      <c r="D238" s="397"/>
      <c r="E238" s="281"/>
      <c r="F238" s="281"/>
      <c r="G238" s="354"/>
      <c r="H238" s="281"/>
      <c r="I238" s="281"/>
      <c r="J238" s="281"/>
      <c r="K238" s="281"/>
      <c r="L238" s="281"/>
      <c r="M238" s="281"/>
      <c r="N238" s="281"/>
      <c r="O238" s="281"/>
      <c r="P238" s="281"/>
      <c r="Q238" s="281"/>
      <c r="R238" s="282"/>
      <c r="S238" s="281"/>
      <c r="T238" s="281"/>
      <c r="U238" s="281"/>
      <c r="V238" s="281"/>
      <c r="W238" s="281"/>
      <c r="X238" s="304"/>
      <c r="Y238" s="304"/>
      <c r="Z238" s="304"/>
    </row>
    <row r="239">
      <c r="A239" s="345"/>
      <c r="B239" s="281"/>
      <c r="C239" s="281"/>
      <c r="D239" s="397"/>
      <c r="E239" s="281"/>
      <c r="F239" s="281"/>
      <c r="G239" s="354"/>
      <c r="H239" s="281"/>
      <c r="I239" s="281"/>
      <c r="J239" s="281"/>
      <c r="K239" s="281"/>
      <c r="L239" s="281"/>
      <c r="M239" s="281"/>
      <c r="N239" s="281"/>
      <c r="O239" s="281"/>
      <c r="P239" s="281"/>
      <c r="Q239" s="281"/>
      <c r="R239" s="282"/>
      <c r="S239" s="281"/>
      <c r="T239" s="281"/>
      <c r="U239" s="281"/>
      <c r="V239" s="281"/>
      <c r="W239" s="281"/>
      <c r="X239" s="304"/>
      <c r="Y239" s="304"/>
      <c r="Z239" s="304"/>
    </row>
    <row r="240">
      <c r="A240" s="345"/>
      <c r="B240" s="281"/>
      <c r="C240" s="281"/>
      <c r="D240" s="397"/>
      <c r="E240" s="281"/>
      <c r="F240" s="281"/>
      <c r="G240" s="354"/>
      <c r="H240" s="281"/>
      <c r="I240" s="281"/>
      <c r="J240" s="281"/>
      <c r="K240" s="281"/>
      <c r="L240" s="281"/>
      <c r="M240" s="281"/>
      <c r="N240" s="281"/>
      <c r="O240" s="281"/>
      <c r="P240" s="281"/>
      <c r="Q240" s="281"/>
      <c r="R240" s="282"/>
      <c r="S240" s="281"/>
      <c r="T240" s="281"/>
      <c r="U240" s="281"/>
      <c r="V240" s="281"/>
      <c r="W240" s="281"/>
      <c r="X240" s="304"/>
      <c r="Y240" s="304"/>
      <c r="Z240" s="304"/>
    </row>
    <row r="241">
      <c r="A241" s="345"/>
      <c r="B241" s="281"/>
      <c r="C241" s="281"/>
      <c r="D241" s="397"/>
      <c r="E241" s="281"/>
      <c r="F241" s="281"/>
      <c r="G241" s="354"/>
      <c r="H241" s="281"/>
      <c r="I241" s="281"/>
      <c r="J241" s="281"/>
      <c r="K241" s="281"/>
      <c r="L241" s="281"/>
      <c r="M241" s="281"/>
      <c r="N241" s="281"/>
      <c r="O241" s="281"/>
      <c r="P241" s="281"/>
      <c r="Q241" s="281"/>
      <c r="R241" s="282"/>
      <c r="S241" s="281"/>
      <c r="T241" s="281"/>
      <c r="U241" s="281"/>
      <c r="V241" s="281"/>
      <c r="W241" s="281"/>
      <c r="X241" s="304"/>
      <c r="Y241" s="304"/>
      <c r="Z241" s="304"/>
    </row>
    <row r="242">
      <c r="A242" s="345"/>
      <c r="B242" s="281"/>
      <c r="C242" s="281"/>
      <c r="D242" s="397"/>
      <c r="E242" s="281"/>
      <c r="F242" s="281"/>
      <c r="G242" s="354"/>
      <c r="H242" s="281"/>
      <c r="I242" s="281"/>
      <c r="J242" s="281"/>
      <c r="K242" s="281"/>
      <c r="L242" s="281"/>
      <c r="M242" s="281"/>
      <c r="N242" s="281"/>
      <c r="O242" s="281"/>
      <c r="P242" s="281"/>
      <c r="Q242" s="281"/>
      <c r="R242" s="282"/>
      <c r="S242" s="281"/>
      <c r="T242" s="281"/>
      <c r="U242" s="281"/>
      <c r="V242" s="281"/>
      <c r="W242" s="281"/>
      <c r="X242" s="304"/>
      <c r="Y242" s="304"/>
      <c r="Z242" s="304"/>
    </row>
    <row r="243">
      <c r="A243" s="345"/>
      <c r="B243" s="281"/>
      <c r="C243" s="281"/>
      <c r="D243" s="397"/>
      <c r="E243" s="281"/>
      <c r="F243" s="281"/>
      <c r="G243" s="354"/>
      <c r="H243" s="281"/>
      <c r="I243" s="281"/>
      <c r="J243" s="281"/>
      <c r="K243" s="281"/>
      <c r="L243" s="281"/>
      <c r="M243" s="281"/>
      <c r="N243" s="281"/>
      <c r="O243" s="281"/>
      <c r="P243" s="281"/>
      <c r="Q243" s="281"/>
      <c r="R243" s="282"/>
      <c r="S243" s="281"/>
      <c r="T243" s="281"/>
      <c r="U243" s="281"/>
      <c r="V243" s="281"/>
      <c r="W243" s="281"/>
      <c r="X243" s="304"/>
      <c r="Y243" s="304"/>
      <c r="Z243" s="304"/>
    </row>
    <row r="244">
      <c r="A244" s="345"/>
      <c r="B244" s="281"/>
      <c r="C244" s="281"/>
      <c r="D244" s="397"/>
      <c r="E244" s="281"/>
      <c r="F244" s="281"/>
      <c r="G244" s="354"/>
      <c r="H244" s="281"/>
      <c r="I244" s="281"/>
      <c r="J244" s="281"/>
      <c r="K244" s="281"/>
      <c r="L244" s="281"/>
      <c r="M244" s="281"/>
      <c r="N244" s="281"/>
      <c r="O244" s="281"/>
      <c r="P244" s="281"/>
      <c r="Q244" s="281"/>
      <c r="R244" s="282"/>
      <c r="S244" s="281"/>
      <c r="T244" s="281"/>
      <c r="U244" s="281"/>
      <c r="V244" s="281"/>
      <c r="W244" s="281"/>
      <c r="X244" s="304"/>
      <c r="Y244" s="304"/>
      <c r="Z244" s="304"/>
    </row>
    <row r="245">
      <c r="A245" s="345"/>
      <c r="B245" s="281"/>
      <c r="C245" s="281"/>
      <c r="D245" s="397"/>
      <c r="E245" s="281"/>
      <c r="F245" s="281"/>
      <c r="G245" s="329"/>
      <c r="H245" s="281"/>
      <c r="I245" s="281"/>
      <c r="J245" s="281"/>
      <c r="K245" s="281"/>
      <c r="L245" s="281"/>
      <c r="M245" s="281"/>
      <c r="N245" s="281"/>
      <c r="O245" s="281"/>
      <c r="P245" s="281"/>
      <c r="Q245" s="281"/>
      <c r="R245" s="282"/>
      <c r="S245" s="281"/>
      <c r="T245" s="281"/>
      <c r="U245" s="281"/>
      <c r="V245" s="281"/>
      <c r="W245" s="281"/>
      <c r="X245" s="304"/>
      <c r="Y245" s="304"/>
      <c r="Z245" s="304"/>
    </row>
    <row r="246">
      <c r="A246" s="345"/>
      <c r="B246" s="281"/>
      <c r="C246" s="281"/>
      <c r="D246" s="397"/>
      <c r="E246" s="281"/>
      <c r="F246" s="281"/>
      <c r="G246" s="329"/>
      <c r="H246" s="281"/>
      <c r="I246" s="281"/>
      <c r="J246" s="281"/>
      <c r="K246" s="281"/>
      <c r="L246" s="281"/>
      <c r="M246" s="281"/>
      <c r="N246" s="281"/>
      <c r="O246" s="281"/>
      <c r="P246" s="281"/>
      <c r="Q246" s="281"/>
      <c r="R246" s="282"/>
      <c r="S246" s="281"/>
      <c r="T246" s="281"/>
      <c r="U246" s="281"/>
      <c r="V246" s="281"/>
      <c r="W246" s="281"/>
      <c r="X246" s="304"/>
      <c r="Y246" s="304"/>
      <c r="Z246" s="304"/>
    </row>
    <row r="247">
      <c r="A247" s="345"/>
      <c r="B247" s="281"/>
      <c r="C247" s="281"/>
      <c r="D247" s="397"/>
      <c r="E247" s="281"/>
      <c r="F247" s="281"/>
      <c r="G247" s="329"/>
      <c r="H247" s="281"/>
      <c r="I247" s="281"/>
      <c r="J247" s="281"/>
      <c r="K247" s="281"/>
      <c r="L247" s="281"/>
      <c r="M247" s="281"/>
      <c r="N247" s="281"/>
      <c r="O247" s="281"/>
      <c r="P247" s="281"/>
      <c r="Q247" s="281"/>
      <c r="R247" s="282"/>
      <c r="S247" s="281"/>
      <c r="T247" s="281"/>
      <c r="U247" s="281"/>
      <c r="V247" s="281"/>
      <c r="W247" s="281"/>
      <c r="X247" s="304"/>
      <c r="Y247" s="304"/>
      <c r="Z247" s="304"/>
    </row>
    <row r="248">
      <c r="A248" s="345"/>
      <c r="B248" s="281"/>
      <c r="C248" s="281"/>
      <c r="D248" s="397"/>
      <c r="E248" s="281"/>
      <c r="F248" s="281"/>
      <c r="G248" s="326"/>
      <c r="H248" s="281"/>
      <c r="I248" s="281"/>
      <c r="J248" s="281"/>
      <c r="K248" s="281"/>
      <c r="L248" s="281"/>
      <c r="M248" s="281"/>
      <c r="N248" s="281"/>
      <c r="O248" s="281"/>
      <c r="P248" s="281"/>
      <c r="Q248" s="281"/>
      <c r="R248" s="282"/>
      <c r="S248" s="281"/>
      <c r="T248" s="281"/>
      <c r="U248" s="281"/>
      <c r="V248" s="281"/>
      <c r="W248" s="281"/>
      <c r="X248" s="304"/>
      <c r="Y248" s="304"/>
      <c r="Z248" s="304"/>
    </row>
    <row r="249">
      <c r="A249" s="345"/>
      <c r="B249" s="281"/>
      <c r="C249" s="281"/>
      <c r="D249" s="397"/>
      <c r="E249" s="281"/>
      <c r="F249" s="281"/>
      <c r="G249" s="326"/>
      <c r="H249" s="281"/>
      <c r="I249" s="281"/>
      <c r="J249" s="281"/>
      <c r="K249" s="281"/>
      <c r="L249" s="281"/>
      <c r="M249" s="281"/>
      <c r="N249" s="281"/>
      <c r="O249" s="281"/>
      <c r="P249" s="281"/>
      <c r="Q249" s="281"/>
      <c r="R249" s="282"/>
      <c r="S249" s="281"/>
      <c r="T249" s="281"/>
      <c r="U249" s="281"/>
      <c r="V249" s="281"/>
      <c r="W249" s="281"/>
      <c r="X249" s="304"/>
      <c r="Y249" s="304"/>
      <c r="Z249" s="304"/>
    </row>
    <row r="250">
      <c r="A250" s="345"/>
      <c r="B250" s="281"/>
      <c r="C250" s="281"/>
      <c r="D250" s="397"/>
      <c r="E250" s="281"/>
      <c r="F250" s="281"/>
      <c r="G250" s="326"/>
      <c r="H250" s="281"/>
      <c r="I250" s="281"/>
      <c r="J250" s="281"/>
      <c r="K250" s="281"/>
      <c r="L250" s="281"/>
      <c r="M250" s="281"/>
      <c r="N250" s="281"/>
      <c r="O250" s="281"/>
      <c r="P250" s="281"/>
      <c r="Q250" s="281"/>
      <c r="R250" s="282"/>
      <c r="S250" s="281"/>
      <c r="T250" s="281"/>
      <c r="U250" s="281"/>
      <c r="V250" s="281"/>
      <c r="W250" s="281"/>
      <c r="X250" s="304"/>
      <c r="Y250" s="304"/>
      <c r="Z250" s="304"/>
    </row>
    <row r="251">
      <c r="A251" s="345"/>
      <c r="B251" s="281"/>
      <c r="C251" s="281"/>
      <c r="D251" s="397"/>
      <c r="E251" s="281"/>
      <c r="F251" s="281"/>
      <c r="G251" s="326"/>
      <c r="H251" s="281"/>
      <c r="I251" s="281"/>
      <c r="J251" s="281"/>
      <c r="K251" s="281"/>
      <c r="L251" s="281"/>
      <c r="M251" s="281"/>
      <c r="N251" s="281"/>
      <c r="O251" s="281"/>
      <c r="P251" s="281"/>
      <c r="Q251" s="281"/>
      <c r="R251" s="282"/>
      <c r="S251" s="281"/>
      <c r="T251" s="281"/>
      <c r="U251" s="281"/>
      <c r="V251" s="281"/>
      <c r="W251" s="281"/>
      <c r="X251" s="304"/>
      <c r="Y251" s="304"/>
      <c r="Z251" s="304"/>
    </row>
    <row r="252">
      <c r="A252" s="345"/>
      <c r="B252" s="281"/>
      <c r="C252" s="281"/>
      <c r="D252" s="397"/>
      <c r="E252" s="281"/>
      <c r="F252" s="281"/>
      <c r="G252" s="281"/>
      <c r="H252" s="281"/>
      <c r="I252" s="281"/>
      <c r="J252" s="281"/>
      <c r="K252" s="281"/>
      <c r="L252" s="281"/>
      <c r="M252" s="281"/>
      <c r="N252" s="281"/>
      <c r="O252" s="281"/>
      <c r="P252" s="281"/>
      <c r="Q252" s="281"/>
      <c r="R252" s="282"/>
      <c r="S252" s="281"/>
      <c r="T252" s="281"/>
      <c r="U252" s="281"/>
      <c r="V252" s="281"/>
      <c r="W252" s="281"/>
      <c r="X252" s="304"/>
      <c r="Y252" s="304"/>
      <c r="Z252" s="304"/>
    </row>
    <row r="253">
      <c r="A253" s="345"/>
      <c r="B253" s="281"/>
      <c r="C253" s="281"/>
      <c r="D253" s="397"/>
      <c r="E253" s="281"/>
      <c r="F253" s="281"/>
      <c r="G253" s="281"/>
      <c r="H253" s="281"/>
      <c r="I253" s="281"/>
      <c r="J253" s="281"/>
      <c r="K253" s="281"/>
      <c r="L253" s="281"/>
      <c r="M253" s="281"/>
      <c r="N253" s="281"/>
      <c r="O253" s="281"/>
      <c r="P253" s="281"/>
      <c r="Q253" s="281"/>
      <c r="R253" s="282"/>
      <c r="S253" s="281"/>
      <c r="T253" s="281"/>
      <c r="U253" s="281"/>
      <c r="V253" s="281"/>
      <c r="W253" s="281"/>
      <c r="X253" s="304"/>
      <c r="Y253" s="304"/>
      <c r="Z253" s="304"/>
    </row>
    <row r="254">
      <c r="A254" s="345"/>
      <c r="B254" s="281"/>
      <c r="C254" s="281"/>
      <c r="D254" s="397"/>
      <c r="E254" s="281"/>
      <c r="F254" s="281"/>
      <c r="G254" s="281"/>
      <c r="H254" s="281"/>
      <c r="I254" s="281"/>
      <c r="J254" s="281"/>
      <c r="K254" s="281"/>
      <c r="L254" s="281"/>
      <c r="M254" s="281"/>
      <c r="N254" s="281"/>
      <c r="O254" s="281"/>
      <c r="P254" s="281"/>
      <c r="Q254" s="281"/>
      <c r="R254" s="282"/>
      <c r="S254" s="281"/>
      <c r="T254" s="281"/>
      <c r="U254" s="281"/>
      <c r="V254" s="281"/>
      <c r="W254" s="281"/>
      <c r="X254" s="304"/>
      <c r="Y254" s="304"/>
      <c r="Z254" s="304"/>
    </row>
    <row r="255">
      <c r="A255" s="345"/>
      <c r="B255" s="281"/>
      <c r="C255" s="281"/>
      <c r="D255" s="397"/>
      <c r="E255" s="281"/>
      <c r="F255" s="281"/>
      <c r="G255" s="281"/>
      <c r="H255" s="281"/>
      <c r="I255" s="281"/>
      <c r="J255" s="281"/>
      <c r="K255" s="281"/>
      <c r="L255" s="281"/>
      <c r="M255" s="281"/>
      <c r="N255" s="281"/>
      <c r="O255" s="281"/>
      <c r="P255" s="281"/>
      <c r="Q255" s="281"/>
      <c r="R255" s="282"/>
      <c r="S255" s="281"/>
      <c r="T255" s="281"/>
      <c r="U255" s="281"/>
      <c r="V255" s="281"/>
      <c r="W255" s="281"/>
      <c r="X255" s="304"/>
      <c r="Y255" s="304"/>
      <c r="Z255" s="304"/>
    </row>
    <row r="256">
      <c r="A256" s="345"/>
      <c r="B256" s="281"/>
      <c r="C256" s="281"/>
      <c r="D256" s="397"/>
      <c r="E256" s="281"/>
      <c r="F256" s="281"/>
      <c r="G256" s="281"/>
      <c r="H256" s="281"/>
      <c r="I256" s="281"/>
      <c r="J256" s="281"/>
      <c r="K256" s="281"/>
      <c r="L256" s="281"/>
      <c r="M256" s="281"/>
      <c r="N256" s="281"/>
      <c r="O256" s="281"/>
      <c r="P256" s="281"/>
      <c r="Q256" s="281"/>
      <c r="R256" s="282"/>
      <c r="S256" s="281"/>
      <c r="T256" s="281"/>
      <c r="U256" s="281"/>
      <c r="V256" s="281"/>
      <c r="W256" s="281"/>
      <c r="X256" s="304"/>
      <c r="Y256" s="304"/>
      <c r="Z256" s="304"/>
    </row>
    <row r="257">
      <c r="A257" s="345"/>
      <c r="B257" s="281"/>
      <c r="C257" s="281"/>
      <c r="D257" s="397"/>
      <c r="E257" s="281"/>
      <c r="F257" s="281"/>
      <c r="G257" s="281"/>
      <c r="H257" s="281"/>
      <c r="I257" s="281"/>
      <c r="J257" s="281"/>
      <c r="K257" s="281"/>
      <c r="L257" s="281"/>
      <c r="M257" s="281"/>
      <c r="N257" s="281"/>
      <c r="O257" s="281"/>
      <c r="P257" s="281"/>
      <c r="Q257" s="281"/>
      <c r="R257" s="282"/>
      <c r="S257" s="281"/>
      <c r="T257" s="281"/>
      <c r="U257" s="281"/>
      <c r="V257" s="281"/>
      <c r="W257" s="281"/>
      <c r="X257" s="304"/>
      <c r="Y257" s="304"/>
      <c r="Z257" s="304"/>
    </row>
    <row r="258">
      <c r="A258" s="345"/>
      <c r="B258" s="281"/>
      <c r="C258" s="281"/>
      <c r="D258" s="397"/>
      <c r="E258" s="281"/>
      <c r="F258" s="281"/>
      <c r="G258" s="281"/>
      <c r="H258" s="281"/>
      <c r="I258" s="281"/>
      <c r="J258" s="281"/>
      <c r="K258" s="281"/>
      <c r="L258" s="281"/>
      <c r="M258" s="281"/>
      <c r="N258" s="281"/>
      <c r="O258" s="281"/>
      <c r="P258" s="281"/>
      <c r="Q258" s="281"/>
      <c r="R258" s="282"/>
      <c r="S258" s="281"/>
      <c r="T258" s="281"/>
      <c r="U258" s="281"/>
      <c r="V258" s="281"/>
      <c r="W258" s="281"/>
      <c r="X258" s="304"/>
      <c r="Y258" s="304"/>
      <c r="Z258" s="304"/>
    </row>
    <row r="259">
      <c r="A259" s="345"/>
      <c r="B259" s="281"/>
      <c r="C259" s="281"/>
      <c r="D259" s="397"/>
      <c r="E259" s="281"/>
      <c r="F259" s="281"/>
      <c r="G259" s="281"/>
      <c r="H259" s="281"/>
      <c r="I259" s="281"/>
      <c r="J259" s="281"/>
      <c r="K259" s="281"/>
      <c r="L259" s="281"/>
      <c r="M259" s="281"/>
      <c r="N259" s="281"/>
      <c r="O259" s="281"/>
      <c r="P259" s="281"/>
      <c r="Q259" s="281"/>
      <c r="R259" s="282"/>
      <c r="S259" s="281"/>
      <c r="T259" s="281"/>
      <c r="U259" s="281"/>
      <c r="V259" s="281"/>
      <c r="W259" s="281"/>
      <c r="X259" s="304"/>
      <c r="Y259" s="304"/>
      <c r="Z259" s="304"/>
    </row>
    <row r="260">
      <c r="A260" s="345"/>
      <c r="B260" s="281"/>
      <c r="C260" s="281"/>
      <c r="D260" s="397"/>
      <c r="E260" s="281"/>
      <c r="F260" s="281"/>
      <c r="G260" s="281"/>
      <c r="H260" s="281"/>
      <c r="I260" s="281"/>
      <c r="J260" s="281"/>
      <c r="K260" s="281"/>
      <c r="L260" s="281"/>
      <c r="M260" s="281"/>
      <c r="N260" s="281"/>
      <c r="O260" s="281"/>
      <c r="P260" s="281"/>
      <c r="Q260" s="281"/>
      <c r="R260" s="282"/>
      <c r="S260" s="281"/>
      <c r="T260" s="281"/>
      <c r="U260" s="281"/>
      <c r="V260" s="281"/>
      <c r="W260" s="281"/>
      <c r="X260" s="304"/>
      <c r="Y260" s="304"/>
      <c r="Z260" s="304"/>
    </row>
    <row r="261">
      <c r="A261" s="345"/>
      <c r="B261" s="281"/>
      <c r="C261" s="281"/>
      <c r="D261" s="397"/>
      <c r="E261" s="281"/>
      <c r="F261" s="281"/>
      <c r="G261" s="281"/>
      <c r="H261" s="281"/>
      <c r="I261" s="281"/>
      <c r="J261" s="281"/>
      <c r="K261" s="281"/>
      <c r="L261" s="281"/>
      <c r="M261" s="281"/>
      <c r="N261" s="281"/>
      <c r="O261" s="281"/>
      <c r="P261" s="281"/>
      <c r="Q261" s="281"/>
      <c r="R261" s="282"/>
      <c r="S261" s="281"/>
      <c r="T261" s="281"/>
      <c r="U261" s="281"/>
      <c r="V261" s="281"/>
      <c r="W261" s="281"/>
      <c r="X261" s="304"/>
      <c r="Y261" s="304"/>
      <c r="Z261" s="304"/>
    </row>
    <row r="262">
      <c r="A262" s="345"/>
      <c r="B262" s="281"/>
      <c r="C262" s="281"/>
      <c r="D262" s="397"/>
      <c r="E262" s="281"/>
      <c r="F262" s="281"/>
      <c r="G262" s="281"/>
      <c r="H262" s="281"/>
      <c r="I262" s="281"/>
      <c r="J262" s="281"/>
      <c r="K262" s="281"/>
      <c r="L262" s="281"/>
      <c r="M262" s="281"/>
      <c r="N262" s="281"/>
      <c r="O262" s="281"/>
      <c r="P262" s="281"/>
      <c r="Q262" s="281"/>
      <c r="R262" s="282"/>
      <c r="S262" s="281"/>
      <c r="T262" s="281"/>
      <c r="U262" s="281"/>
      <c r="V262" s="281"/>
      <c r="W262" s="281"/>
      <c r="X262" s="304"/>
      <c r="Y262" s="304"/>
      <c r="Z262" s="304"/>
    </row>
    <row r="263">
      <c r="A263" s="345"/>
      <c r="B263" s="281"/>
      <c r="C263" s="281"/>
      <c r="D263" s="397"/>
      <c r="E263" s="281"/>
      <c r="F263" s="281"/>
      <c r="G263" s="281"/>
      <c r="H263" s="281"/>
      <c r="I263" s="281"/>
      <c r="J263" s="281"/>
      <c r="K263" s="281"/>
      <c r="L263" s="281"/>
      <c r="M263" s="281"/>
      <c r="N263" s="281"/>
      <c r="O263" s="281"/>
      <c r="P263" s="281"/>
      <c r="Q263" s="281"/>
      <c r="R263" s="282"/>
      <c r="S263" s="281"/>
      <c r="T263" s="281"/>
      <c r="U263" s="281"/>
      <c r="V263" s="281"/>
      <c r="W263" s="281"/>
      <c r="X263" s="304"/>
      <c r="Y263" s="304"/>
      <c r="Z263" s="304"/>
    </row>
    <row r="264">
      <c r="A264" s="345"/>
      <c r="B264" s="281"/>
      <c r="C264" s="281"/>
      <c r="D264" s="397"/>
      <c r="E264" s="281"/>
      <c r="F264" s="281"/>
      <c r="G264" s="281"/>
      <c r="H264" s="281"/>
      <c r="I264" s="281"/>
      <c r="J264" s="281"/>
      <c r="K264" s="281"/>
      <c r="L264" s="281"/>
      <c r="M264" s="281"/>
      <c r="N264" s="281"/>
      <c r="O264" s="281"/>
      <c r="P264" s="281"/>
      <c r="Q264" s="281"/>
      <c r="R264" s="282"/>
      <c r="S264" s="281"/>
      <c r="T264" s="281"/>
      <c r="U264" s="281"/>
      <c r="V264" s="281"/>
      <c r="W264" s="281"/>
      <c r="X264" s="304"/>
      <c r="Y264" s="304"/>
      <c r="Z264" s="304"/>
    </row>
    <row r="265">
      <c r="A265" s="345"/>
      <c r="B265" s="281"/>
      <c r="C265" s="281"/>
      <c r="D265" s="397"/>
      <c r="E265" s="281"/>
      <c r="F265" s="281"/>
      <c r="G265" s="281"/>
      <c r="H265" s="281"/>
      <c r="I265" s="281"/>
      <c r="J265" s="281"/>
      <c r="K265" s="281"/>
      <c r="L265" s="281"/>
      <c r="M265" s="281"/>
      <c r="N265" s="281"/>
      <c r="O265" s="281"/>
      <c r="P265" s="281"/>
      <c r="Q265" s="281"/>
      <c r="R265" s="282"/>
      <c r="S265" s="281"/>
      <c r="T265" s="281"/>
      <c r="U265" s="281"/>
      <c r="V265" s="281"/>
      <c r="W265" s="281"/>
      <c r="X265" s="304"/>
      <c r="Y265" s="304"/>
      <c r="Z265" s="304"/>
    </row>
    <row r="266">
      <c r="A266" s="345"/>
      <c r="B266" s="281"/>
      <c r="C266" s="281"/>
      <c r="D266" s="397"/>
      <c r="E266" s="281"/>
      <c r="F266" s="281"/>
      <c r="G266" s="281"/>
      <c r="H266" s="281"/>
      <c r="I266" s="281"/>
      <c r="J266" s="281"/>
      <c r="K266" s="281"/>
      <c r="L266" s="281"/>
      <c r="M266" s="281"/>
      <c r="N266" s="281"/>
      <c r="O266" s="281"/>
      <c r="P266" s="281"/>
      <c r="Q266" s="281"/>
      <c r="R266" s="282"/>
      <c r="S266" s="281"/>
      <c r="T266" s="281"/>
      <c r="U266" s="281"/>
      <c r="V266" s="281"/>
      <c r="W266" s="281"/>
      <c r="X266" s="304"/>
      <c r="Y266" s="304"/>
      <c r="Z266" s="304"/>
    </row>
    <row r="267">
      <c r="A267" s="345"/>
      <c r="B267" s="281"/>
      <c r="C267" s="281"/>
      <c r="D267" s="397"/>
      <c r="E267" s="281"/>
      <c r="F267" s="281"/>
      <c r="G267" s="281"/>
      <c r="H267" s="281"/>
      <c r="I267" s="281"/>
      <c r="J267" s="281"/>
      <c r="K267" s="281"/>
      <c r="L267" s="281"/>
      <c r="M267" s="281"/>
      <c r="N267" s="281"/>
      <c r="O267" s="281"/>
      <c r="P267" s="281"/>
      <c r="Q267" s="281"/>
      <c r="R267" s="282"/>
      <c r="S267" s="281"/>
      <c r="T267" s="281"/>
      <c r="U267" s="281"/>
      <c r="V267" s="281"/>
      <c r="W267" s="281"/>
      <c r="X267" s="304"/>
      <c r="Y267" s="304"/>
      <c r="Z267" s="304"/>
    </row>
    <row r="268">
      <c r="A268" s="345"/>
      <c r="B268" s="281"/>
      <c r="C268" s="281"/>
      <c r="D268" s="397"/>
      <c r="E268" s="281"/>
      <c r="F268" s="281"/>
      <c r="G268" s="281"/>
      <c r="H268" s="281"/>
      <c r="I268" s="281"/>
      <c r="J268" s="281"/>
      <c r="K268" s="281"/>
      <c r="L268" s="281"/>
      <c r="M268" s="281"/>
      <c r="N268" s="281"/>
      <c r="O268" s="281"/>
      <c r="P268" s="281"/>
      <c r="Q268" s="281"/>
      <c r="R268" s="282"/>
      <c r="S268" s="281"/>
      <c r="T268" s="281"/>
      <c r="U268" s="281"/>
      <c r="V268" s="281"/>
      <c r="W268" s="281"/>
      <c r="X268" s="304"/>
      <c r="Y268" s="304"/>
      <c r="Z268" s="304"/>
    </row>
    <row r="269">
      <c r="A269" s="345"/>
      <c r="B269" s="281"/>
      <c r="C269" s="281"/>
      <c r="D269" s="397"/>
      <c r="E269" s="281"/>
      <c r="F269" s="281"/>
      <c r="G269" s="281"/>
      <c r="H269" s="281"/>
      <c r="I269" s="281"/>
      <c r="J269" s="281"/>
      <c r="K269" s="281"/>
      <c r="L269" s="281"/>
      <c r="M269" s="281"/>
      <c r="N269" s="281"/>
      <c r="O269" s="281"/>
      <c r="P269" s="281"/>
      <c r="Q269" s="281"/>
      <c r="R269" s="282"/>
      <c r="S269" s="281"/>
      <c r="T269" s="281"/>
      <c r="U269" s="281"/>
      <c r="V269" s="281"/>
      <c r="W269" s="281"/>
      <c r="X269" s="304"/>
      <c r="Y269" s="304"/>
      <c r="Z269" s="304"/>
    </row>
    <row r="270">
      <c r="A270" s="345"/>
      <c r="B270" s="281"/>
      <c r="C270" s="281"/>
      <c r="D270" s="397"/>
      <c r="E270" s="281"/>
      <c r="F270" s="281"/>
      <c r="G270" s="281"/>
      <c r="H270" s="281"/>
      <c r="I270" s="281"/>
      <c r="J270" s="281"/>
      <c r="K270" s="281"/>
      <c r="L270" s="281"/>
      <c r="M270" s="281"/>
      <c r="N270" s="281"/>
      <c r="O270" s="281"/>
      <c r="P270" s="281"/>
      <c r="Q270" s="281"/>
      <c r="R270" s="282"/>
      <c r="S270" s="281"/>
      <c r="T270" s="281"/>
      <c r="U270" s="281"/>
      <c r="V270" s="281"/>
      <c r="W270" s="281"/>
      <c r="X270" s="304"/>
      <c r="Y270" s="304"/>
      <c r="Z270" s="304"/>
    </row>
    <row r="271">
      <c r="A271" s="345"/>
      <c r="B271" s="281"/>
      <c r="C271" s="281"/>
      <c r="D271" s="397"/>
      <c r="E271" s="281"/>
      <c r="F271" s="281"/>
      <c r="G271" s="281"/>
      <c r="H271" s="281"/>
      <c r="I271" s="281"/>
      <c r="J271" s="281"/>
      <c r="K271" s="281"/>
      <c r="L271" s="281"/>
      <c r="M271" s="281"/>
      <c r="N271" s="281"/>
      <c r="O271" s="281"/>
      <c r="P271" s="281"/>
      <c r="Q271" s="281"/>
      <c r="R271" s="282"/>
      <c r="S271" s="281"/>
      <c r="T271" s="281"/>
      <c r="U271" s="281"/>
      <c r="V271" s="281"/>
      <c r="W271" s="281"/>
      <c r="X271" s="304"/>
      <c r="Y271" s="304"/>
      <c r="Z271" s="304"/>
    </row>
    <row r="272">
      <c r="A272" s="345"/>
      <c r="B272" s="281"/>
      <c r="C272" s="281"/>
      <c r="D272" s="397"/>
      <c r="E272" s="281"/>
      <c r="F272" s="281"/>
      <c r="G272" s="281"/>
      <c r="H272" s="281"/>
      <c r="I272" s="281"/>
      <c r="J272" s="281"/>
      <c r="K272" s="281"/>
      <c r="L272" s="281"/>
      <c r="M272" s="281"/>
      <c r="N272" s="281"/>
      <c r="O272" s="281"/>
      <c r="P272" s="281"/>
      <c r="Q272" s="281"/>
      <c r="R272" s="282"/>
      <c r="S272" s="281"/>
      <c r="T272" s="281"/>
      <c r="U272" s="281"/>
      <c r="V272" s="281"/>
      <c r="W272" s="281"/>
      <c r="X272" s="304"/>
      <c r="Y272" s="304"/>
      <c r="Z272" s="304"/>
    </row>
    <row r="273">
      <c r="A273" s="345"/>
      <c r="B273" s="281"/>
      <c r="C273" s="281"/>
      <c r="D273" s="397"/>
      <c r="E273" s="281"/>
      <c r="F273" s="281"/>
      <c r="G273" s="281"/>
      <c r="H273" s="281"/>
      <c r="I273" s="281"/>
      <c r="J273" s="281"/>
      <c r="K273" s="281"/>
      <c r="L273" s="281"/>
      <c r="M273" s="281"/>
      <c r="N273" s="281"/>
      <c r="O273" s="281"/>
      <c r="P273" s="281"/>
      <c r="Q273" s="281"/>
      <c r="R273" s="282"/>
      <c r="S273" s="281"/>
      <c r="T273" s="281"/>
      <c r="U273" s="281"/>
      <c r="V273" s="281"/>
      <c r="W273" s="281"/>
      <c r="X273" s="304"/>
      <c r="Y273" s="304"/>
      <c r="Z273" s="304"/>
    </row>
    <row r="274">
      <c r="A274" s="345"/>
      <c r="B274" s="281"/>
      <c r="C274" s="281"/>
      <c r="D274" s="397"/>
      <c r="E274" s="281"/>
      <c r="F274" s="281"/>
      <c r="G274" s="281"/>
      <c r="H274" s="281"/>
      <c r="I274" s="281"/>
      <c r="J274" s="281"/>
      <c r="K274" s="281"/>
      <c r="L274" s="281"/>
      <c r="M274" s="281"/>
      <c r="N274" s="281"/>
      <c r="O274" s="281"/>
      <c r="P274" s="281"/>
      <c r="Q274" s="281"/>
      <c r="R274" s="282"/>
      <c r="S274" s="281"/>
      <c r="T274" s="281"/>
      <c r="U274" s="281"/>
      <c r="V274" s="281"/>
      <c r="W274" s="281"/>
      <c r="X274" s="304"/>
      <c r="Y274" s="304"/>
      <c r="Z274" s="304"/>
    </row>
    <row r="275">
      <c r="A275" s="345"/>
      <c r="B275" s="281"/>
      <c r="C275" s="281"/>
      <c r="D275" s="397"/>
      <c r="E275" s="281"/>
      <c r="F275" s="281"/>
      <c r="G275" s="281"/>
      <c r="H275" s="281"/>
      <c r="I275" s="281"/>
      <c r="J275" s="281"/>
      <c r="K275" s="281"/>
      <c r="L275" s="281"/>
      <c r="M275" s="281"/>
      <c r="N275" s="281"/>
      <c r="O275" s="281"/>
      <c r="P275" s="281"/>
      <c r="Q275" s="281"/>
      <c r="R275" s="281"/>
      <c r="S275" s="281"/>
      <c r="T275" s="281"/>
      <c r="U275" s="281"/>
      <c r="V275" s="281"/>
      <c r="W275" s="281"/>
      <c r="X275" s="304"/>
      <c r="Y275" s="304"/>
      <c r="Z275" s="304"/>
    </row>
    <row r="276">
      <c r="A276" s="345"/>
      <c r="B276" s="281"/>
      <c r="C276" s="281"/>
      <c r="D276" s="397"/>
      <c r="E276" s="281"/>
      <c r="F276" s="281"/>
      <c r="G276" s="281"/>
      <c r="H276" s="281"/>
      <c r="I276" s="281"/>
      <c r="J276" s="281"/>
      <c r="K276" s="281"/>
      <c r="L276" s="281"/>
      <c r="M276" s="281"/>
      <c r="N276" s="281"/>
      <c r="O276" s="281"/>
      <c r="P276" s="281"/>
      <c r="Q276" s="281"/>
      <c r="R276" s="281"/>
      <c r="S276" s="281"/>
      <c r="T276" s="281"/>
      <c r="U276" s="281"/>
      <c r="V276" s="281"/>
      <c r="W276" s="281"/>
      <c r="X276" s="304"/>
      <c r="Y276" s="304"/>
      <c r="Z276" s="304"/>
    </row>
    <row r="277">
      <c r="A277" s="345"/>
      <c r="B277" s="281"/>
      <c r="C277" s="281"/>
      <c r="D277" s="397"/>
      <c r="E277" s="281"/>
      <c r="F277" s="281"/>
      <c r="G277" s="281"/>
      <c r="H277" s="281"/>
      <c r="I277" s="281"/>
      <c r="J277" s="281"/>
      <c r="K277" s="281"/>
      <c r="L277" s="281"/>
      <c r="M277" s="281"/>
      <c r="N277" s="281"/>
      <c r="O277" s="281"/>
      <c r="P277" s="281"/>
      <c r="Q277" s="281"/>
      <c r="R277" s="281"/>
      <c r="S277" s="281"/>
      <c r="T277" s="281"/>
      <c r="U277" s="281"/>
      <c r="V277" s="281"/>
      <c r="W277" s="281"/>
      <c r="X277" s="304"/>
      <c r="Y277" s="304"/>
      <c r="Z277" s="304"/>
    </row>
    <row r="278">
      <c r="A278" s="345"/>
      <c r="B278" s="281"/>
      <c r="C278" s="281"/>
      <c r="D278" s="397"/>
      <c r="E278" s="281"/>
      <c r="F278" s="281"/>
      <c r="G278" s="281"/>
      <c r="H278" s="281"/>
      <c r="I278" s="281"/>
      <c r="J278" s="281"/>
      <c r="K278" s="281"/>
      <c r="L278" s="281"/>
      <c r="M278" s="281"/>
      <c r="N278" s="281"/>
      <c r="O278" s="281"/>
      <c r="P278" s="281"/>
      <c r="Q278" s="281"/>
      <c r="R278" s="281"/>
      <c r="S278" s="281"/>
      <c r="T278" s="281"/>
      <c r="U278" s="281"/>
      <c r="V278" s="281"/>
      <c r="W278" s="281"/>
      <c r="X278" s="304"/>
      <c r="Y278" s="304"/>
      <c r="Z278" s="304"/>
    </row>
    <row r="279">
      <c r="A279" s="345"/>
      <c r="B279" s="281"/>
      <c r="C279" s="281"/>
      <c r="D279" s="397"/>
      <c r="E279" s="281"/>
      <c r="F279" s="281"/>
      <c r="G279" s="281"/>
      <c r="H279" s="281"/>
      <c r="I279" s="281"/>
      <c r="J279" s="281"/>
      <c r="K279" s="281"/>
      <c r="L279" s="281"/>
      <c r="M279" s="281"/>
      <c r="N279" s="281"/>
      <c r="O279" s="281"/>
      <c r="P279" s="281"/>
      <c r="Q279" s="281"/>
      <c r="R279" s="281"/>
      <c r="S279" s="281"/>
      <c r="T279" s="281"/>
      <c r="U279" s="281"/>
      <c r="V279" s="281"/>
      <c r="W279" s="281"/>
      <c r="X279" s="304"/>
      <c r="Y279" s="304"/>
      <c r="Z279" s="304"/>
    </row>
    <row r="280">
      <c r="A280" s="345"/>
      <c r="B280" s="281"/>
      <c r="C280" s="281"/>
      <c r="D280" s="397"/>
      <c r="E280" s="281"/>
      <c r="F280" s="281"/>
      <c r="G280" s="281"/>
      <c r="H280" s="281"/>
      <c r="I280" s="281"/>
      <c r="J280" s="281"/>
      <c r="K280" s="281"/>
      <c r="L280" s="281"/>
      <c r="M280" s="281"/>
      <c r="N280" s="281"/>
      <c r="O280" s="281"/>
      <c r="P280" s="281"/>
      <c r="Q280" s="281"/>
      <c r="R280" s="281"/>
      <c r="S280" s="281"/>
      <c r="T280" s="281"/>
      <c r="U280" s="281"/>
      <c r="V280" s="281"/>
      <c r="W280" s="281"/>
      <c r="X280" s="304"/>
      <c r="Y280" s="304"/>
      <c r="Z280" s="304"/>
    </row>
    <row r="281">
      <c r="A281" s="345"/>
      <c r="B281" s="281"/>
      <c r="C281" s="281"/>
      <c r="D281" s="397"/>
      <c r="E281" s="281"/>
      <c r="F281" s="281"/>
      <c r="G281" s="281"/>
      <c r="H281" s="281"/>
      <c r="I281" s="281"/>
      <c r="J281" s="281"/>
      <c r="K281" s="281"/>
      <c r="L281" s="281"/>
      <c r="M281" s="281"/>
      <c r="N281" s="281"/>
      <c r="O281" s="281"/>
      <c r="P281" s="281"/>
      <c r="Q281" s="281"/>
      <c r="R281" s="281"/>
      <c r="S281" s="281"/>
      <c r="T281" s="281"/>
      <c r="U281" s="281"/>
      <c r="V281" s="281"/>
      <c r="W281" s="281"/>
      <c r="X281" s="304"/>
      <c r="Y281" s="304"/>
      <c r="Z281" s="304"/>
    </row>
    <row r="282">
      <c r="A282" s="345"/>
      <c r="B282" s="281"/>
      <c r="C282" s="281"/>
      <c r="D282" s="397"/>
      <c r="E282" s="281"/>
      <c r="F282" s="281"/>
      <c r="G282" s="281"/>
      <c r="H282" s="281"/>
      <c r="I282" s="281"/>
      <c r="J282" s="281"/>
      <c r="K282" s="281"/>
      <c r="L282" s="281"/>
      <c r="M282" s="281"/>
      <c r="N282" s="281"/>
      <c r="O282" s="281"/>
      <c r="P282" s="281"/>
      <c r="Q282" s="281"/>
      <c r="R282" s="281"/>
      <c r="S282" s="281"/>
      <c r="T282" s="281"/>
      <c r="U282" s="281"/>
      <c r="V282" s="281"/>
      <c r="W282" s="281"/>
      <c r="X282" s="304"/>
      <c r="Y282" s="304"/>
      <c r="Z282" s="304"/>
    </row>
    <row r="283">
      <c r="A283" s="345"/>
      <c r="B283" s="281"/>
      <c r="C283" s="281"/>
      <c r="D283" s="397"/>
      <c r="E283" s="281"/>
      <c r="F283" s="281"/>
      <c r="G283" s="281"/>
      <c r="H283" s="281"/>
      <c r="I283" s="281"/>
      <c r="J283" s="281"/>
      <c r="K283" s="281"/>
      <c r="L283" s="281"/>
      <c r="M283" s="281"/>
      <c r="N283" s="281"/>
      <c r="O283" s="281"/>
      <c r="P283" s="281"/>
      <c r="Q283" s="281"/>
      <c r="R283" s="281"/>
      <c r="S283" s="281"/>
      <c r="T283" s="281"/>
      <c r="U283" s="281"/>
      <c r="V283" s="281"/>
      <c r="W283" s="281"/>
      <c r="X283" s="304"/>
      <c r="Y283" s="304"/>
      <c r="Z283" s="304"/>
    </row>
    <row r="284">
      <c r="A284" s="345"/>
      <c r="B284" s="281"/>
      <c r="C284" s="281"/>
      <c r="D284" s="397"/>
      <c r="E284" s="281"/>
      <c r="F284" s="281"/>
      <c r="G284" s="281"/>
      <c r="H284" s="281"/>
      <c r="I284" s="281"/>
      <c r="J284" s="281"/>
      <c r="K284" s="281"/>
      <c r="L284" s="281"/>
      <c r="M284" s="281"/>
      <c r="N284" s="281"/>
      <c r="O284" s="281"/>
      <c r="P284" s="281"/>
      <c r="Q284" s="281"/>
      <c r="R284" s="281"/>
      <c r="S284" s="281"/>
      <c r="T284" s="281"/>
      <c r="U284" s="281"/>
      <c r="V284" s="281"/>
      <c r="W284" s="281"/>
      <c r="X284" s="304"/>
      <c r="Y284" s="304"/>
      <c r="Z284" s="304"/>
    </row>
    <row r="285">
      <c r="A285" s="345"/>
      <c r="B285" s="281"/>
      <c r="C285" s="281"/>
      <c r="D285" s="397"/>
      <c r="E285" s="281"/>
      <c r="F285" s="281"/>
      <c r="G285" s="281"/>
      <c r="H285" s="281"/>
      <c r="I285" s="281"/>
      <c r="J285" s="281"/>
      <c r="K285" s="281"/>
      <c r="L285" s="281"/>
      <c r="M285" s="281"/>
      <c r="N285" s="281"/>
      <c r="O285" s="281"/>
      <c r="P285" s="281"/>
      <c r="Q285" s="281"/>
      <c r="R285" s="281"/>
      <c r="S285" s="281"/>
      <c r="T285" s="281"/>
      <c r="U285" s="281"/>
      <c r="V285" s="281"/>
      <c r="W285" s="281"/>
      <c r="X285" s="304"/>
      <c r="Y285" s="304"/>
      <c r="Z285" s="304"/>
    </row>
    <row r="286">
      <c r="A286" s="345"/>
      <c r="B286" s="281"/>
      <c r="C286" s="281"/>
      <c r="D286" s="397"/>
      <c r="E286" s="281"/>
      <c r="F286" s="281"/>
      <c r="G286" s="281"/>
      <c r="H286" s="281"/>
      <c r="I286" s="281"/>
      <c r="J286" s="281"/>
      <c r="K286" s="281"/>
      <c r="L286" s="281"/>
      <c r="M286" s="281"/>
      <c r="N286" s="281"/>
      <c r="O286" s="281"/>
      <c r="P286" s="281"/>
      <c r="Q286" s="281"/>
      <c r="R286" s="281"/>
      <c r="S286" s="281"/>
      <c r="T286" s="281"/>
      <c r="U286" s="281"/>
      <c r="V286" s="281"/>
      <c r="W286" s="281"/>
      <c r="X286" s="304"/>
      <c r="Y286" s="304"/>
      <c r="Z286" s="304"/>
    </row>
    <row r="287">
      <c r="A287" s="345"/>
      <c r="B287" s="281"/>
      <c r="C287" s="281"/>
      <c r="D287" s="397"/>
      <c r="E287" s="281"/>
      <c r="F287" s="281"/>
      <c r="G287" s="281"/>
      <c r="H287" s="281"/>
      <c r="I287" s="281"/>
      <c r="J287" s="281"/>
      <c r="K287" s="281"/>
      <c r="L287" s="281"/>
      <c r="M287" s="281"/>
      <c r="N287" s="281"/>
      <c r="O287" s="281"/>
      <c r="P287" s="281"/>
      <c r="Q287" s="281"/>
      <c r="R287" s="281"/>
      <c r="S287" s="281"/>
      <c r="T287" s="281"/>
      <c r="U287" s="281"/>
      <c r="V287" s="281"/>
      <c r="W287" s="281"/>
      <c r="X287" s="304"/>
      <c r="Y287" s="304"/>
      <c r="Z287" s="304"/>
    </row>
    <row r="288">
      <c r="A288" s="345"/>
      <c r="B288" s="281"/>
      <c r="C288" s="281"/>
      <c r="D288" s="397"/>
      <c r="E288" s="281"/>
      <c r="F288" s="281"/>
      <c r="G288" s="281"/>
      <c r="H288" s="281"/>
      <c r="I288" s="281"/>
      <c r="J288" s="281"/>
      <c r="K288" s="281"/>
      <c r="L288" s="281"/>
      <c r="M288" s="281"/>
      <c r="N288" s="281"/>
      <c r="O288" s="281"/>
      <c r="P288" s="281"/>
      <c r="Q288" s="281"/>
      <c r="R288" s="281"/>
      <c r="S288" s="281"/>
      <c r="T288" s="281"/>
      <c r="U288" s="281"/>
      <c r="V288" s="281"/>
      <c r="W288" s="281"/>
      <c r="X288" s="304"/>
      <c r="Y288" s="304"/>
      <c r="Z288" s="304"/>
    </row>
    <row r="289">
      <c r="A289" s="345"/>
      <c r="B289" s="281"/>
      <c r="C289" s="281"/>
      <c r="D289" s="397"/>
      <c r="E289" s="281"/>
      <c r="F289" s="281"/>
      <c r="G289" s="281"/>
      <c r="H289" s="281"/>
      <c r="I289" s="281"/>
      <c r="J289" s="281"/>
      <c r="K289" s="281"/>
      <c r="L289" s="281"/>
      <c r="M289" s="281"/>
      <c r="N289" s="281"/>
      <c r="O289" s="281"/>
      <c r="P289" s="281"/>
      <c r="Q289" s="281"/>
      <c r="R289" s="281"/>
      <c r="S289" s="281"/>
      <c r="T289" s="281"/>
      <c r="U289" s="281"/>
      <c r="V289" s="281"/>
      <c r="W289" s="281"/>
      <c r="X289" s="304"/>
      <c r="Y289" s="304"/>
      <c r="Z289" s="304"/>
    </row>
    <row r="290">
      <c r="A290" s="345"/>
      <c r="B290" s="281"/>
      <c r="C290" s="281"/>
      <c r="D290" s="397"/>
      <c r="E290" s="281"/>
      <c r="F290" s="281"/>
      <c r="G290" s="281"/>
      <c r="H290" s="281"/>
      <c r="I290" s="281"/>
      <c r="J290" s="281"/>
      <c r="K290" s="281"/>
      <c r="L290" s="281"/>
      <c r="M290" s="281"/>
      <c r="N290" s="281"/>
      <c r="O290" s="281"/>
      <c r="P290" s="281"/>
      <c r="Q290" s="281"/>
      <c r="R290" s="281"/>
      <c r="S290" s="281"/>
      <c r="T290" s="281"/>
      <c r="U290" s="281"/>
      <c r="V290" s="281"/>
      <c r="W290" s="281"/>
      <c r="X290" s="304"/>
      <c r="Y290" s="304"/>
      <c r="Z290" s="304"/>
    </row>
    <row r="291">
      <c r="A291" s="345"/>
      <c r="B291" s="281"/>
      <c r="C291" s="281"/>
      <c r="D291" s="397"/>
      <c r="E291" s="281"/>
      <c r="F291" s="281"/>
      <c r="G291" s="281"/>
      <c r="H291" s="281"/>
      <c r="I291" s="281"/>
      <c r="J291" s="281"/>
      <c r="K291" s="281"/>
      <c r="L291" s="281"/>
      <c r="M291" s="281"/>
      <c r="N291" s="281"/>
      <c r="O291" s="281"/>
      <c r="P291" s="281"/>
      <c r="Q291" s="281"/>
      <c r="R291" s="281"/>
      <c r="S291" s="281"/>
      <c r="T291" s="281"/>
      <c r="U291" s="281"/>
      <c r="V291" s="281"/>
      <c r="W291" s="281"/>
      <c r="X291" s="304"/>
      <c r="Y291" s="304"/>
      <c r="Z291" s="304"/>
    </row>
    <row r="292">
      <c r="A292" s="345"/>
      <c r="B292" s="281"/>
      <c r="C292" s="281"/>
      <c r="D292" s="397"/>
      <c r="E292" s="281"/>
      <c r="F292" s="281"/>
      <c r="G292" s="281"/>
      <c r="H292" s="281"/>
      <c r="I292" s="281"/>
      <c r="J292" s="281"/>
      <c r="K292" s="281"/>
      <c r="L292" s="281"/>
      <c r="M292" s="281"/>
      <c r="N292" s="281"/>
      <c r="O292" s="281"/>
      <c r="P292" s="281"/>
      <c r="Q292" s="281"/>
      <c r="R292" s="281"/>
      <c r="S292" s="281"/>
      <c r="T292" s="281"/>
      <c r="U292" s="281"/>
      <c r="V292" s="281"/>
      <c r="W292" s="281"/>
      <c r="X292" s="304"/>
      <c r="Y292" s="304"/>
      <c r="Z292" s="304"/>
    </row>
  </sheetData>
  <conditionalFormatting sqref="D1">
    <cfRule type="notContainsBlanks" dxfId="0" priority="1">
      <formula>LEN(TRIM(D1))&gt;0</formula>
    </cfRule>
  </conditionalFormatting>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9C6E"/>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0"/>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3.29"/>
    <col customWidth="1" min="21" max="21" width="14.86"/>
  </cols>
  <sheetData>
    <row r="1">
      <c r="A1" s="271" t="s">
        <v>603</v>
      </c>
      <c r="B1" s="272" t="s">
        <v>604</v>
      </c>
      <c r="C1" s="224" t="s">
        <v>605</v>
      </c>
      <c r="D1" s="418"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24" t="s">
        <v>615</v>
      </c>
    </row>
    <row r="2" ht="20.25" customHeight="1">
      <c r="A2" s="278"/>
      <c r="B2" s="279" t="s">
        <v>616</v>
      </c>
      <c r="C2" s="280"/>
      <c r="D2" s="280"/>
      <c r="E2" s="281"/>
      <c r="F2" s="281"/>
      <c r="G2" s="281"/>
      <c r="H2" s="281"/>
      <c r="I2" s="281"/>
      <c r="J2" s="281"/>
      <c r="K2" s="281"/>
      <c r="L2" s="281"/>
      <c r="M2" s="281"/>
      <c r="N2" s="280"/>
      <c r="O2" s="280"/>
      <c r="P2" s="280"/>
      <c r="Q2" s="280"/>
      <c r="R2" s="282"/>
      <c r="S2" s="281"/>
      <c r="T2" s="285"/>
    </row>
    <row r="3">
      <c r="A3" s="272"/>
      <c r="B3" s="284" t="s">
        <v>1484</v>
      </c>
      <c r="C3" s="280"/>
      <c r="D3" s="280"/>
      <c r="E3" s="281"/>
      <c r="F3" s="281"/>
      <c r="G3" s="281"/>
      <c r="H3" s="281"/>
      <c r="I3" s="281"/>
      <c r="J3" s="281"/>
      <c r="K3" s="281"/>
      <c r="L3" s="281"/>
      <c r="M3" s="281"/>
      <c r="N3" s="281"/>
      <c r="O3" s="281"/>
      <c r="P3" s="281"/>
      <c r="Q3" s="281"/>
      <c r="R3" s="282"/>
      <c r="S3" s="281"/>
      <c r="T3" s="285"/>
    </row>
    <row r="4">
      <c r="A4" s="286" t="s">
        <v>619</v>
      </c>
      <c r="B4" s="287"/>
      <c r="C4" s="280"/>
      <c r="D4" s="280"/>
      <c r="E4" s="281"/>
      <c r="F4" s="281"/>
      <c r="G4" s="281"/>
      <c r="H4" s="281"/>
      <c r="I4" s="281"/>
      <c r="J4" s="281"/>
      <c r="K4" s="281"/>
      <c r="L4" s="281"/>
      <c r="M4" s="281"/>
      <c r="N4" s="281"/>
      <c r="O4" s="281"/>
      <c r="P4" s="281"/>
      <c r="Q4" s="281"/>
      <c r="R4" s="282"/>
      <c r="S4" s="281"/>
      <c r="T4" s="285"/>
    </row>
    <row r="5">
      <c r="A5" s="137" t="s">
        <v>627</v>
      </c>
      <c r="B5" s="341" t="s">
        <v>628</v>
      </c>
      <c r="C5" s="297" t="s">
        <v>629</v>
      </c>
      <c r="D5" s="289">
        <f>ROUND((F5*'Pawn Weights'!$E$3)+(G5*'Pawn Weights'!$E$4)+(H5*'Pawn Weights'!$E$5)+(I5*'Pawn Weights'!$E$6)+(J5*'Pawn Weights'!$E$7)+(K5*'Pawn Weights'!$E$8)+(L5*'Pawn Weights'!$E$9)+(M5*'Pawn Weights'!$E$10)+(N5*'Pawn Weights'!$E$11)+(O5*'Pawn Weights'!$E$12)+(P5*'Pawn Weights'!$E$13)+(Q5*'Pawn Weights'!$E$14), 2)</f>
        <v>175.05</v>
      </c>
      <c r="E5" s="359">
        <v>47.0</v>
      </c>
      <c r="F5" s="359">
        <v>62.0</v>
      </c>
      <c r="G5" s="137"/>
      <c r="H5" s="137"/>
      <c r="I5" s="359">
        <v>51.0</v>
      </c>
      <c r="J5" s="359">
        <v>26.0</v>
      </c>
      <c r="K5" s="137"/>
      <c r="L5" s="137"/>
      <c r="M5" s="137"/>
      <c r="N5" s="359">
        <v>1.0</v>
      </c>
      <c r="O5" s="137"/>
      <c r="P5" s="137"/>
      <c r="Q5" s="359">
        <v>1.0</v>
      </c>
      <c r="R5" s="359" t="s">
        <v>624</v>
      </c>
      <c r="S5" s="137"/>
      <c r="T5" s="137" t="s">
        <v>630</v>
      </c>
      <c r="U5" s="137"/>
      <c r="V5" s="137"/>
      <c r="W5" s="137"/>
      <c r="X5" s="137"/>
      <c r="Y5" s="137"/>
      <c r="Z5" s="137"/>
    </row>
    <row r="6">
      <c r="A6" s="25"/>
      <c r="B6" s="288" t="s">
        <v>631</v>
      </c>
      <c r="C6" s="280" t="s">
        <v>632</v>
      </c>
      <c r="D6" s="289">
        <f>ROUND((F6*'Pawn Weights'!$E$3)+(G6*'Pawn Weights'!$E$4)+(H6*'Pawn Weights'!$E$5)+(I6*'Pawn Weights'!$E$6)+(J6*'Pawn Weights'!$E$7)+(K6*'Pawn Weights'!$E$8)+(L6*'Pawn Weights'!$E$9)+(M6*'Pawn Weights'!$E$10)+(N6*'Pawn Weights'!$E$11)+(O6*'Pawn Weights'!$E$12)+(P6*'Pawn Weights'!$E$13)+(Q6*'Pawn Weights'!$E$14), 2)</f>
        <v>173.12</v>
      </c>
      <c r="E6" s="280">
        <v>46.0</v>
      </c>
      <c r="F6" s="280"/>
      <c r="G6" s="280">
        <v>39.0</v>
      </c>
      <c r="H6" s="280">
        <v>108.0</v>
      </c>
      <c r="I6" s="280">
        <v>38.0</v>
      </c>
      <c r="J6" s="280">
        <v>21.0</v>
      </c>
      <c r="K6" s="280"/>
      <c r="L6" s="280"/>
      <c r="M6" s="281"/>
      <c r="N6" s="280">
        <v>1.0</v>
      </c>
      <c r="O6" s="280"/>
      <c r="P6" s="280">
        <v>1.0</v>
      </c>
      <c r="Q6" s="280"/>
      <c r="R6" s="290" t="s">
        <v>633</v>
      </c>
      <c r="S6" s="281"/>
      <c r="T6" s="291" t="s">
        <v>634</v>
      </c>
    </row>
    <row r="7">
      <c r="A7" s="295" t="s">
        <v>635</v>
      </c>
      <c r="B7" s="296" t="s">
        <v>636</v>
      </c>
      <c r="C7" s="297" t="s">
        <v>637</v>
      </c>
      <c r="D7" s="289">
        <f>ROUND((F7*'Pawn Weights'!$E$3)+(G7*'Pawn Weights'!$E$4)+(H7*'Pawn Weights'!$E$5)+(I7*'Pawn Weights'!$E$6)+(J7*'Pawn Weights'!$E$7)+(K7*'Pawn Weights'!$E$8)+(L7*'Pawn Weights'!$E$9)+(M7*'Pawn Weights'!$E$10)+(N7*'Pawn Weights'!$E$11)+(O7*'Pawn Weights'!$E$12)+(P7*'Pawn Weights'!$E$13)+(Q7*'Pawn Weights'!$E$14)-10+9.55+3.64, 2)</f>
        <v>161.38</v>
      </c>
      <c r="E7" s="298">
        <v>68.0</v>
      </c>
      <c r="F7" s="298">
        <v>45.0</v>
      </c>
      <c r="G7" s="297"/>
      <c r="H7" s="297"/>
      <c r="I7" s="298">
        <v>41.0</v>
      </c>
      <c r="J7" s="298">
        <v>18.0</v>
      </c>
      <c r="K7" s="297"/>
      <c r="L7" s="297"/>
      <c r="M7" s="359">
        <v>84.0</v>
      </c>
      <c r="N7" s="298">
        <v>1.0</v>
      </c>
      <c r="O7" s="297"/>
      <c r="P7" s="298">
        <v>1.0</v>
      </c>
      <c r="Q7" s="297"/>
      <c r="R7" s="298" t="s">
        <v>624</v>
      </c>
      <c r="S7" s="137"/>
      <c r="T7" s="295"/>
      <c r="U7" s="137"/>
      <c r="V7" s="137"/>
      <c r="W7" s="137"/>
      <c r="X7" s="137"/>
      <c r="Y7" s="137"/>
      <c r="Z7" s="137"/>
    </row>
    <row r="8">
      <c r="A8" s="25"/>
      <c r="B8" s="288" t="s">
        <v>638</v>
      </c>
      <c r="C8" s="280" t="s">
        <v>639</v>
      </c>
      <c r="D8" s="289">
        <f>ROUND((F8*'Pawn Weights'!$E$3)+(G8*'Pawn Weights'!$E$4)+(H8*'Pawn Weights'!$E$5)+(I8*'Pawn Weights'!$E$6)+(J8*'Pawn Weights'!$E$7)+(K8*'Pawn Weights'!$E$8)+(L8*'Pawn Weights'!$E$9)+(M8*'Pawn Weights'!$E$10)+(N8*'Pawn Weights'!$E$11)+(O8*'Pawn Weights'!$E$12)+(P8*'Pawn Weights'!$E$13)+(Q8*'Pawn Weights'!$E$14), 2)</f>
        <v>160.98</v>
      </c>
      <c r="E8" s="280">
        <v>29.0</v>
      </c>
      <c r="F8" s="280">
        <v>51.0</v>
      </c>
      <c r="G8" s="280"/>
      <c r="H8" s="280"/>
      <c r="I8" s="280">
        <v>42.0</v>
      </c>
      <c r="J8" s="280">
        <v>34.0</v>
      </c>
      <c r="K8" s="280"/>
      <c r="L8" s="280"/>
      <c r="M8" s="281"/>
      <c r="N8" s="280">
        <v>1.0</v>
      </c>
      <c r="O8" s="280"/>
      <c r="P8" s="280">
        <v>1.0</v>
      </c>
      <c r="Q8" s="280"/>
      <c r="R8" s="290" t="s">
        <v>633</v>
      </c>
      <c r="S8" s="281"/>
      <c r="T8" s="291"/>
    </row>
    <row r="9">
      <c r="A9" s="25" t="s">
        <v>640</v>
      </c>
      <c r="B9" s="288" t="s">
        <v>641</v>
      </c>
      <c r="C9" s="280" t="s">
        <v>642</v>
      </c>
      <c r="D9" s="289">
        <f>ROUND((F9*'Pawn Weights'!$E$3)+(G9*'Pawn Weights'!$E$4)+(H9*'Pawn Weights'!$E$5)+(I9*'Pawn Weights'!$E$6)+(J9*'Pawn Weights'!$E$7)+(K9*'Pawn Weights'!$E$8)+(L9*'Pawn Weights'!$E$9)+(M9*'Pawn Weights'!$E$10)+(N9*'Pawn Weights'!$E$11)+(O9*'Pawn Weights'!$E$12)+(P9*'Pawn Weights'!$E$13)+(Q9*'Pawn Weights'!$E$14)+4, 2)</f>
        <v>153.3</v>
      </c>
      <c r="E9" s="280">
        <v>54.0</v>
      </c>
      <c r="F9" s="280">
        <v>54.0</v>
      </c>
      <c r="G9" s="280">
        <v>41.0</v>
      </c>
      <c r="H9" s="280"/>
      <c r="I9" s="280"/>
      <c r="J9" s="280"/>
      <c r="K9" s="280"/>
      <c r="L9" s="280"/>
      <c r="M9" s="280">
        <v>105.0</v>
      </c>
      <c r="N9" s="280">
        <v>1.0</v>
      </c>
      <c r="O9" s="280">
        <v>1.0</v>
      </c>
      <c r="P9" s="280"/>
      <c r="Q9" s="280"/>
      <c r="R9" s="290" t="s">
        <v>643</v>
      </c>
      <c r="S9" s="281"/>
      <c r="T9" s="291"/>
    </row>
    <row r="10">
      <c r="A10" s="25" t="s">
        <v>644</v>
      </c>
      <c r="B10" s="288" t="s">
        <v>645</v>
      </c>
      <c r="C10" s="280" t="s">
        <v>646</v>
      </c>
      <c r="D10" s="289">
        <f>ROUND((F10*'Pawn Weights'!$E$3)+(G10*'Pawn Weights'!$E$4)+(H10*'Pawn Weights'!$E$5)+(I10*'Pawn Weights'!$E$6)+(J10*'Pawn Weights'!$E$7)+(K10*'Pawn Weights'!$E$8)+(L10*'Pawn Weights'!$E$9)+(M10*'Pawn Weights'!$E$10)+(N10*'Pawn Weights'!$E$11)+(O10*'Pawn Weights'!$E$12)+(P10*'Pawn Weights'!$E$13)+(Q10*'Pawn Weights'!$E$14)-10+9.55+3.64, 2)</f>
        <v>146.08</v>
      </c>
      <c r="E10" s="280">
        <v>61.0</v>
      </c>
      <c r="F10" s="280">
        <v>39.0</v>
      </c>
      <c r="G10" s="280"/>
      <c r="H10" s="280"/>
      <c r="I10" s="280">
        <v>35.0</v>
      </c>
      <c r="J10" s="280">
        <v>12.0</v>
      </c>
      <c r="K10" s="280"/>
      <c r="L10" s="280"/>
      <c r="M10" s="280">
        <v>84.0</v>
      </c>
      <c r="N10" s="280">
        <v>1.0</v>
      </c>
      <c r="O10" s="280"/>
      <c r="P10" s="280">
        <v>1.0</v>
      </c>
      <c r="Q10" s="280"/>
      <c r="R10" s="290" t="s">
        <v>624</v>
      </c>
      <c r="S10" s="281"/>
      <c r="T10" s="291"/>
    </row>
    <row r="11">
      <c r="A11" s="25" t="s">
        <v>647</v>
      </c>
      <c r="B11" s="288" t="s">
        <v>648</v>
      </c>
      <c r="C11" s="280" t="s">
        <v>649</v>
      </c>
      <c r="D11" s="289">
        <f>ROUND((F11*'Pawn Weights'!$E$3)+(G11*'Pawn Weights'!$E$4)+(H11*'Pawn Weights'!$E$5)+(I11*'Pawn Weights'!$E$6)+(J11*'Pawn Weights'!$E$7)+(K11*'Pawn Weights'!$E$8)+(L11*'Pawn Weights'!$E$9)+(M11*'Pawn Weights'!$E$10)+(N11*'Pawn Weights'!$E$11)+(O11*'Pawn Weights'!$E$12)+(P11*'Pawn Weights'!$E$13)+(Q11*'Pawn Weights'!$E$14), 2)</f>
        <v>143.2</v>
      </c>
      <c r="E11" s="280">
        <v>45.0</v>
      </c>
      <c r="F11" s="280">
        <v>47.0</v>
      </c>
      <c r="G11" s="280"/>
      <c r="H11" s="280"/>
      <c r="I11" s="280">
        <v>36.0</v>
      </c>
      <c r="J11" s="280">
        <v>21.0</v>
      </c>
      <c r="K11" s="280"/>
      <c r="L11" s="280"/>
      <c r="M11" s="281"/>
      <c r="N11" s="280">
        <v>1.0</v>
      </c>
      <c r="O11" s="280"/>
      <c r="P11" s="280"/>
      <c r="Q11" s="280">
        <v>1.0</v>
      </c>
      <c r="R11" s="290" t="s">
        <v>643</v>
      </c>
      <c r="S11" s="281"/>
      <c r="T11" s="291"/>
    </row>
    <row r="12">
      <c r="A12" s="292"/>
      <c r="B12" s="288" t="s">
        <v>650</v>
      </c>
      <c r="C12" s="154" t="s">
        <v>639</v>
      </c>
      <c r="D12" s="289">
        <f>ROUND((F12*'Pawn Weights'!$E$3)+(G12*'Pawn Weights'!$E$4)+(H12*'Pawn Weights'!$E$5)+(I12*'Pawn Weights'!$E$6)+(J12*'Pawn Weights'!$E$7)+(K12*'Pawn Weights'!$E$8)+(L12*'Pawn Weights'!$E$9)+(M12*'Pawn Weights'!$E$10)+(N12*'Pawn Weights'!$E$11)+(O12*'Pawn Weights'!$E$12)+(P12*'Pawn Weights'!$E$13)+(Q12*'Pawn Weights'!$E$14), 2)</f>
        <v>141.66</v>
      </c>
      <c r="E12" s="280">
        <v>29.0</v>
      </c>
      <c r="F12" s="280"/>
      <c r="G12" s="280">
        <v>42.0</v>
      </c>
      <c r="H12" s="280">
        <v>100.0</v>
      </c>
      <c r="I12" s="280">
        <v>20.0</v>
      </c>
      <c r="J12" s="280"/>
      <c r="K12" s="280"/>
      <c r="L12" s="280"/>
      <c r="M12" s="281"/>
      <c r="N12" s="280">
        <v>1.0</v>
      </c>
      <c r="O12" s="280">
        <v>1.0</v>
      </c>
      <c r="P12" s="280"/>
      <c r="Q12" s="280"/>
      <c r="R12" s="290" t="s">
        <v>651</v>
      </c>
      <c r="S12" s="281"/>
      <c r="T12" s="291"/>
    </row>
    <row r="13">
      <c r="A13" s="292" t="s">
        <v>627</v>
      </c>
      <c r="B13" s="288" t="s">
        <v>652</v>
      </c>
      <c r="C13" s="154" t="s">
        <v>653</v>
      </c>
      <c r="D13" s="289">
        <f>ROUND((F13*'Pawn Weights'!$E$3)+(G13*'Pawn Weights'!$E$4)+(H13*'Pawn Weights'!$E$5)+(I13*'Pawn Weights'!$E$6)+(J13*'Pawn Weights'!$E$7)+(K13*'Pawn Weights'!$E$8)+(L13*'Pawn Weights'!$E$9)+(M13*'Pawn Weights'!$E$10)+(N13*'Pawn Weights'!$E$11)+(O13*'Pawn Weights'!$E$12)+(P13*'Pawn Weights'!$E$13)+(Q13*'Pawn Weights'!$E$14), 2)</f>
        <v>140.9</v>
      </c>
      <c r="E13" s="280">
        <v>28.0</v>
      </c>
      <c r="F13" s="280">
        <v>48.0</v>
      </c>
      <c r="G13" s="280"/>
      <c r="H13" s="280"/>
      <c r="I13" s="280">
        <v>38.0</v>
      </c>
      <c r="J13" s="280">
        <v>13.0</v>
      </c>
      <c r="K13" s="280"/>
      <c r="L13" s="280"/>
      <c r="M13" s="281"/>
      <c r="N13" s="280">
        <v>1.0</v>
      </c>
      <c r="O13" s="280"/>
      <c r="P13" s="280"/>
      <c r="Q13" s="280">
        <v>1.0</v>
      </c>
      <c r="R13" s="290" t="s">
        <v>624</v>
      </c>
      <c r="S13" s="281"/>
      <c r="T13" s="291"/>
    </row>
    <row r="14">
      <c r="A14" s="25" t="s">
        <v>654</v>
      </c>
      <c r="B14" s="288" t="s">
        <v>655</v>
      </c>
      <c r="C14" s="280" t="s">
        <v>656</v>
      </c>
      <c r="D14" s="289">
        <f>ROUND((F14*'Pawn Weights'!$E$3)+(G14*'Pawn Weights'!$E$4)+(H14*'Pawn Weights'!$E$5)+(I14*'Pawn Weights'!$E$6)+(J14*'Pawn Weights'!$E$7)+(K14*'Pawn Weights'!$E$8)+(L14*'Pawn Weights'!$E$9)+(M14*'Pawn Weights'!$E$10)+(N14*'Pawn Weights'!$E$11)+(O14*'Pawn Weights'!$E$12)+(P14*'Pawn Weights'!$E$13)+(Q14*'Pawn Weights'!$E$14)-10+9.55+2.56, 2)</f>
        <v>127.91</v>
      </c>
      <c r="E14" s="280">
        <v>45.0</v>
      </c>
      <c r="F14" s="280">
        <v>45.0</v>
      </c>
      <c r="G14" s="280"/>
      <c r="H14" s="280"/>
      <c r="I14" s="280">
        <v>24.0</v>
      </c>
      <c r="J14" s="280">
        <v>14.0</v>
      </c>
      <c r="K14" s="280"/>
      <c r="L14" s="280"/>
      <c r="M14" s="281"/>
      <c r="N14" s="280">
        <v>1.0</v>
      </c>
      <c r="O14" s="280"/>
      <c r="P14" s="280">
        <v>1.0</v>
      </c>
      <c r="Q14" s="280"/>
      <c r="R14" s="290" t="s">
        <v>626</v>
      </c>
      <c r="S14" s="281"/>
      <c r="T14" s="291"/>
    </row>
    <row r="15">
      <c r="A15" s="25" t="s">
        <v>1068</v>
      </c>
      <c r="B15" s="288" t="s">
        <v>1069</v>
      </c>
      <c r="C15" s="280" t="s">
        <v>1070</v>
      </c>
      <c r="D15" s="289">
        <f>ROUND((F15*'Pawn Weights'!$E$3)+(G15*'Pawn Weights'!$E$4)+(H15*'Pawn Weights'!$E$5)+(I15*'Pawn Weights'!$E$6)+(J15*'Pawn Weights'!$E$7)+(K15*'Pawn Weights'!$E$8)+(L15*'Pawn Weights'!$E$9)+(M15*'Pawn Weights'!$E$10)+(N15*'Pawn Weights'!$E$11)+(O15*'Pawn Weights'!$E$12)+(P15*'Pawn Weights'!$E$13)+(Q15*'Pawn Weights'!$E$14)-10+9.55+4, 2)</f>
        <v>125.72</v>
      </c>
      <c r="E15" s="280">
        <v>54.0</v>
      </c>
      <c r="F15" s="280">
        <v>35.0</v>
      </c>
      <c r="G15" s="280"/>
      <c r="H15" s="280"/>
      <c r="I15" s="280">
        <v>31.0</v>
      </c>
      <c r="J15" s="280">
        <v>14.0</v>
      </c>
      <c r="K15" s="280"/>
      <c r="L15" s="280"/>
      <c r="M15" s="281"/>
      <c r="N15" s="280">
        <v>1.0</v>
      </c>
      <c r="O15" s="280"/>
      <c r="P15" s="280">
        <v>1.0</v>
      </c>
      <c r="Q15" s="280"/>
      <c r="R15" s="290" t="s">
        <v>643</v>
      </c>
      <c r="S15" s="281"/>
      <c r="T15" s="291" t="s">
        <v>1071</v>
      </c>
    </row>
    <row r="16">
      <c r="A16" s="25"/>
      <c r="B16" s="288" t="s">
        <v>1397</v>
      </c>
      <c r="C16" s="280" t="s">
        <v>1195</v>
      </c>
      <c r="D16" s="289">
        <f>ROUND((F16*'Pawn Weights'!$E$3)+(G16*'Pawn Weights'!$E$4)+(H16*'Pawn Weights'!$E$5)+(I16*'Pawn Weights'!$E$6)+(J16*'Pawn Weights'!$E$7)+(K16*'Pawn Weights'!$E$8)+(L16*'Pawn Weights'!$E$9)+(M16*'Pawn Weights'!$E$10)+(N16*'Pawn Weights'!$E$11)+(O16*'Pawn Weights'!$E$12)+(P16*'Pawn Weights'!$E$13)+(Q16*'Pawn Weights'!$E$14), 2)</f>
        <v>105.24</v>
      </c>
      <c r="E16" s="280">
        <v>46.0</v>
      </c>
      <c r="F16" s="280">
        <v>46.0</v>
      </c>
      <c r="G16" s="280"/>
      <c r="H16" s="280"/>
      <c r="I16" s="280">
        <v>44.0</v>
      </c>
      <c r="J16" s="280">
        <v>30.0</v>
      </c>
      <c r="K16" s="280"/>
      <c r="L16" s="280"/>
      <c r="M16" s="281"/>
      <c r="N16" s="280"/>
      <c r="O16" s="280"/>
      <c r="P16" s="280"/>
      <c r="Q16" s="280"/>
      <c r="R16" s="290"/>
      <c r="S16" s="281"/>
      <c r="T16" s="291"/>
    </row>
    <row r="17">
      <c r="A17" s="295"/>
      <c r="B17" s="296" t="s">
        <v>1398</v>
      </c>
      <c r="C17" s="318" t="s">
        <v>1399</v>
      </c>
      <c r="D17" s="289">
        <f>ROUND((F17*'Pawn Weights'!$E$3)+(G17*'Pawn Weights'!$E$4)+(H17*'Pawn Weights'!$E$5)+(I17*'Pawn Weights'!$E$6)+(J17*'Pawn Weights'!$E$7)+(K17*'Pawn Weights'!$E$8)+(L17*'Pawn Weights'!$E$9)+(M17*'Pawn Weights'!$E$10)+(N17*'Pawn Weights'!$E$11)+(O17*'Pawn Weights'!$E$12)+(P17*'Pawn Weights'!$E$13)+(Q17*'Pawn Weights'!$E$14), 2)</f>
        <v>97.12</v>
      </c>
      <c r="E17" s="298">
        <v>51.0</v>
      </c>
      <c r="F17" s="298">
        <v>46.0</v>
      </c>
      <c r="G17" s="297"/>
      <c r="H17" s="297"/>
      <c r="I17" s="297"/>
      <c r="J17" s="298">
        <v>33.0</v>
      </c>
      <c r="K17" s="297"/>
      <c r="L17" s="297"/>
      <c r="M17" s="137"/>
      <c r="N17" s="297"/>
      <c r="O17" s="298">
        <v>1.0</v>
      </c>
      <c r="P17" s="298">
        <v>1.0</v>
      </c>
      <c r="Q17" s="298">
        <v>1.0</v>
      </c>
      <c r="R17" s="298" t="s">
        <v>633</v>
      </c>
      <c r="S17" s="137"/>
      <c r="T17" s="297" t="s">
        <v>1400</v>
      </c>
      <c r="U17" s="137"/>
      <c r="V17" s="137"/>
      <c r="W17" s="137"/>
      <c r="X17" s="137"/>
      <c r="Y17" s="137"/>
      <c r="Z17" s="137"/>
    </row>
    <row r="18">
      <c r="A18" s="272" t="s">
        <v>657</v>
      </c>
      <c r="B18" s="281"/>
      <c r="C18" s="281"/>
      <c r="D18" s="360"/>
      <c r="E18" s="281"/>
      <c r="F18" s="281"/>
      <c r="G18" s="281"/>
      <c r="H18" s="281"/>
      <c r="I18" s="281"/>
      <c r="J18" s="281"/>
      <c r="K18" s="281"/>
      <c r="L18" s="281"/>
      <c r="M18" s="281"/>
      <c r="N18" s="281"/>
      <c r="O18" s="281"/>
      <c r="P18" s="281"/>
      <c r="Q18" s="281"/>
      <c r="R18" s="282"/>
      <c r="S18" s="281"/>
      <c r="T18" s="285"/>
    </row>
    <row r="19">
      <c r="A19" s="137" t="s">
        <v>627</v>
      </c>
      <c r="B19" s="341" t="s">
        <v>658</v>
      </c>
      <c r="C19" s="361" t="s">
        <v>659</v>
      </c>
      <c r="D19" s="289">
        <f>ROUND((F19*'Pawn Weights'!$E$3)+(G19*'Pawn Weights'!$E$4)+(H19*'Pawn Weights'!$E$5)+(I19*'Pawn Weights'!$E$6)+(J19*'Pawn Weights'!$E$7)+(K19*'Pawn Weights'!$E$8)+(L19*'Pawn Weights'!$E$9)+(M19*'Pawn Weights'!$E$10)+(N19*'Pawn Weights'!$E$11)+(O19*'Pawn Weights'!$E$12)+(P19*'Pawn Weights'!$E$13)+(Q19*'Pawn Weights'!$E$14)-10+9.55+1.818, 2)</f>
        <v>85.71</v>
      </c>
      <c r="E19" s="359">
        <v>42.0</v>
      </c>
      <c r="F19" s="137"/>
      <c r="G19" s="137"/>
      <c r="H19" s="359">
        <v>58.0</v>
      </c>
      <c r="I19" s="137"/>
      <c r="J19" s="137"/>
      <c r="K19" s="359">
        <v>29.0</v>
      </c>
      <c r="L19" s="137"/>
      <c r="M19" s="359">
        <v>150.0</v>
      </c>
      <c r="N19" s="137"/>
      <c r="O19" s="137"/>
      <c r="P19" s="359">
        <v>1.0</v>
      </c>
      <c r="Q19" s="137"/>
      <c r="R19" s="359" t="s">
        <v>660</v>
      </c>
      <c r="S19" s="137"/>
      <c r="T19" s="137" t="s">
        <v>661</v>
      </c>
      <c r="U19" s="137"/>
      <c r="V19" s="137"/>
      <c r="W19" s="137"/>
      <c r="X19" s="137"/>
      <c r="Y19" s="137"/>
      <c r="Z19" s="137"/>
    </row>
    <row r="20">
      <c r="A20" s="281"/>
      <c r="B20" s="288" t="s">
        <v>664</v>
      </c>
      <c r="C20" s="280" t="s">
        <v>665</v>
      </c>
      <c r="D20" s="289">
        <f>ROUND((F20*'Pawn Weights'!$E$3)+(G20*'Pawn Weights'!$E$4)+(H20*'Pawn Weights'!$E$5)+(I20*'Pawn Weights'!$E$6)+(J20*'Pawn Weights'!$E$7)+(K20*'Pawn Weights'!$E$8)+(L20*'Pawn Weights'!$E$9)+(M20*'Pawn Weights'!$E$10)+(N20*'Pawn Weights'!$E$11)+(O20*'Pawn Weights'!$E$12)+(P20*'Pawn Weights'!$E$13)+(Q20*'Pawn Weights'!$E$14), 2)</f>
        <v>70.73</v>
      </c>
      <c r="E20" s="280"/>
      <c r="F20" s="280"/>
      <c r="G20" s="280"/>
      <c r="H20" s="280">
        <v>72.0</v>
      </c>
      <c r="I20" s="280">
        <v>27.0</v>
      </c>
      <c r="J20" s="280">
        <v>21.0</v>
      </c>
      <c r="K20" s="280"/>
      <c r="L20" s="280"/>
      <c r="M20" s="280"/>
      <c r="N20" s="280"/>
      <c r="O20" s="280"/>
      <c r="P20" s="280"/>
      <c r="Q20" s="280"/>
      <c r="R20" s="290"/>
      <c r="S20" s="281"/>
      <c r="T20" s="222"/>
      <c r="U20" s="281"/>
      <c r="X20" s="281"/>
    </row>
    <row r="21">
      <c r="A21" s="281"/>
      <c r="B21" s="288" t="s">
        <v>666</v>
      </c>
      <c r="C21" s="280" t="s">
        <v>1485</v>
      </c>
      <c r="D21" s="289">
        <f>ROUND((F21*'Pawn Weights'!$E$3)+(G21*'Pawn Weights'!$E$4)+(H21*'Pawn Weights'!$E$5)+(I21*'Pawn Weights'!$E$6)+(J21*'Pawn Weights'!$E$7)+(K21*'Pawn Weights'!$E$8)+(L21*'Pawn Weights'!$E$9)+(M21*'Pawn Weights'!$E$10)+(N21*'Pawn Weights'!$E$11)+(O21*'Pawn Weights'!$E$12)+(P21*'Pawn Weights'!$E$13)+(Q21*'Pawn Weights'!$E$14), 2)</f>
        <v>61.74</v>
      </c>
      <c r="E21" s="280">
        <v>37.0</v>
      </c>
      <c r="F21" s="280"/>
      <c r="G21" s="280"/>
      <c r="H21" s="280">
        <v>70.0</v>
      </c>
      <c r="I21" s="280"/>
      <c r="J21" s="280"/>
      <c r="K21" s="280"/>
      <c r="L21" s="280"/>
      <c r="M21" s="280">
        <v>175.0</v>
      </c>
      <c r="N21" s="280"/>
      <c r="O21" s="280"/>
      <c r="P21" s="280"/>
      <c r="Q21" s="280"/>
      <c r="R21" s="290"/>
      <c r="S21" s="281"/>
      <c r="T21" s="222"/>
      <c r="U21" s="281"/>
      <c r="X21" s="281"/>
    </row>
    <row r="22">
      <c r="A22" s="137" t="s">
        <v>671</v>
      </c>
      <c r="B22" s="296" t="s">
        <v>672</v>
      </c>
      <c r="C22" s="297" t="s">
        <v>673</v>
      </c>
      <c r="D22" s="289">
        <f>ROUND((F22*'Pawn Weights'!$E$3)+(G22*'Pawn Weights'!$E$4)+(H22*'Pawn Weights'!$E$5)+(I22*'Pawn Weights'!$E$6)+(J22*'Pawn Weights'!$E$7)+(K22*'Pawn Weights'!$E$8)+(L22*'Pawn Weights'!$E$9)+(M22*'Pawn Weights'!$E$10)+(N22*'Pawn Weights'!$E$11)+(O22*'Pawn Weights'!$E$12)+(P22*'Pawn Weights'!$E$13)+(Q22*'Pawn Weights'!$E$14), 2)</f>
        <v>60.02</v>
      </c>
      <c r="E22" s="298">
        <v>39.0</v>
      </c>
      <c r="F22" s="297"/>
      <c r="G22" s="297"/>
      <c r="H22" s="298">
        <v>58.0</v>
      </c>
      <c r="I22" s="298">
        <v>26.0</v>
      </c>
      <c r="J22" s="297"/>
      <c r="K22" s="297"/>
      <c r="L22" s="297"/>
      <c r="M22" s="295"/>
      <c r="N22" s="297"/>
      <c r="O22" s="297"/>
      <c r="P22" s="298">
        <v>1.0</v>
      </c>
      <c r="Q22" s="297"/>
      <c r="R22" s="298" t="s">
        <v>674</v>
      </c>
      <c r="S22" s="137"/>
      <c r="T22" s="361" t="s">
        <v>675</v>
      </c>
      <c r="U22" s="137"/>
      <c r="V22" s="137"/>
      <c r="W22" s="137"/>
      <c r="X22" s="137"/>
      <c r="Y22" s="137"/>
      <c r="Z22" s="137"/>
    </row>
    <row r="23">
      <c r="A23" s="137" t="s">
        <v>676</v>
      </c>
      <c r="B23" s="296" t="s">
        <v>677</v>
      </c>
      <c r="C23" s="297" t="s">
        <v>678</v>
      </c>
      <c r="D23" s="289">
        <f>ROUND((F23*'Pawn Weights'!$E$3)+(G23*'Pawn Weights'!$E$4)+(H23*'Pawn Weights'!$E$5)+(I23*'Pawn Weights'!$E$6)+(J23*'Pawn Weights'!$E$7)+(K23*'Pawn Weights'!$E$8)+(L23*'Pawn Weights'!$E$9)+(M23*'Pawn Weights'!$E$10)+(N23*'Pawn Weights'!$E$11)+(O23*'Pawn Weights'!$E$12)+(P23*'Pawn Weights'!$E$13)+(Q23*'Pawn Weights'!$E$14)+17.82, 2)</f>
        <v>58.91</v>
      </c>
      <c r="E23" s="298">
        <v>19.0</v>
      </c>
      <c r="F23" s="297"/>
      <c r="G23" s="298">
        <v>18.0</v>
      </c>
      <c r="H23" s="298">
        <v>64.0</v>
      </c>
      <c r="I23" s="297"/>
      <c r="J23" s="297"/>
      <c r="K23" s="297"/>
      <c r="L23" s="297"/>
      <c r="M23" s="295"/>
      <c r="N23" s="297"/>
      <c r="O23" s="297"/>
      <c r="P23" s="297"/>
      <c r="Q23" s="297"/>
      <c r="R23" s="295"/>
      <c r="S23" s="137"/>
      <c r="T23" s="362" t="s">
        <v>679</v>
      </c>
      <c r="U23" s="194"/>
      <c r="V23" s="194"/>
      <c r="W23" s="137"/>
      <c r="X23" s="137"/>
      <c r="Y23" s="137"/>
      <c r="Z23" s="137"/>
    </row>
    <row r="24">
      <c r="A24" s="281"/>
      <c r="B24" s="288" t="s">
        <v>680</v>
      </c>
      <c r="C24" s="280" t="s">
        <v>681</v>
      </c>
      <c r="D24" s="289">
        <f>ROUND((F24*'Pawn Weights'!$E$3)+(G24*'Pawn Weights'!$E$4)+(H24*'Pawn Weights'!$E$5)+(I24*'Pawn Weights'!$E$6)+(J24*'Pawn Weights'!$E$7)+(K24*'Pawn Weights'!$E$8)+(L24*'Pawn Weights'!$E$9)+(M24*'Pawn Weights'!$E$10)+(N24*'Pawn Weights'!$E$11)+(O24*'Pawn Weights'!$E$12)+(P24*'Pawn Weights'!$E$13)+(Q24*'Pawn Weights'!$E$14), 2)</f>
        <v>52.93</v>
      </c>
      <c r="E24" s="280">
        <v>24.0</v>
      </c>
      <c r="F24" s="280">
        <v>32.0</v>
      </c>
      <c r="G24" s="280"/>
      <c r="H24" s="280"/>
      <c r="I24" s="280">
        <v>23.0</v>
      </c>
      <c r="J24" s="280"/>
      <c r="K24" s="280"/>
      <c r="L24" s="280"/>
      <c r="M24" s="280"/>
      <c r="N24" s="280"/>
      <c r="O24" s="280"/>
      <c r="P24" s="280"/>
      <c r="Q24" s="280"/>
      <c r="R24" s="290"/>
      <c r="S24" s="281"/>
      <c r="T24" s="222"/>
      <c r="U24" s="281"/>
      <c r="X24" s="281"/>
    </row>
    <row r="25">
      <c r="A25" s="292" t="s">
        <v>991</v>
      </c>
      <c r="B25" s="288" t="s">
        <v>1075</v>
      </c>
      <c r="C25" s="280" t="s">
        <v>673</v>
      </c>
      <c r="D25" s="289">
        <f>ROUND((F25*'Pawn Weights'!$E$3)+(G25*'Pawn Weights'!$E$4)+(H25*'Pawn Weights'!$E$5)+(I25*'Pawn Weights'!$E$6)+(J25*'Pawn Weights'!$E$7)+(K25*'Pawn Weights'!$E$8)+(L25*'Pawn Weights'!$E$9)+(M25*'Pawn Weights'!$E$10)+(N25*'Pawn Weights'!$E$11)+(O25*'Pawn Weights'!$E$12)+(P25*'Pawn Weights'!$E$13)+(Q25*'Pawn Weights'!$E$14), 2)</f>
        <v>52.75</v>
      </c>
      <c r="E25" s="280">
        <v>35.0</v>
      </c>
      <c r="F25" s="280"/>
      <c r="G25" s="280"/>
      <c r="H25" s="280">
        <v>50.0</v>
      </c>
      <c r="I25" s="280">
        <v>22.0</v>
      </c>
      <c r="J25" s="280"/>
      <c r="K25" s="280"/>
      <c r="L25" s="280"/>
      <c r="M25" s="280"/>
      <c r="N25" s="280"/>
      <c r="O25" s="280"/>
      <c r="P25" s="280">
        <v>1.0</v>
      </c>
      <c r="Q25" s="280"/>
      <c r="R25" s="290" t="s">
        <v>674</v>
      </c>
      <c r="S25" s="281"/>
      <c r="T25" s="294" t="s">
        <v>675</v>
      </c>
      <c r="U25" s="281"/>
      <c r="X25" s="281"/>
    </row>
    <row r="26">
      <c r="A26" s="281"/>
      <c r="B26" s="288" t="s">
        <v>682</v>
      </c>
      <c r="C26" s="280" t="s">
        <v>683</v>
      </c>
      <c r="D26" s="289">
        <f>ROUND((F26*'Pawn Weights'!$E$3)+(G26*'Pawn Weights'!$E$4)+(H26*'Pawn Weights'!$E$5)+(I26*'Pawn Weights'!$E$6)+(J26*'Pawn Weights'!$E$7)+(K26*'Pawn Weights'!$E$8)+(L26*'Pawn Weights'!$E$9)+(M26*'Pawn Weights'!$E$10)+(N26*'Pawn Weights'!$E$11)+(O26*'Pawn Weights'!$E$12)+(P26*'Pawn Weights'!$E$13)+(Q26*'Pawn Weights'!$E$14), 2)</f>
        <v>50.02</v>
      </c>
      <c r="E26" s="280">
        <v>24.0</v>
      </c>
      <c r="F26" s="280"/>
      <c r="G26" s="280"/>
      <c r="H26" s="280">
        <v>64.0</v>
      </c>
      <c r="I26" s="280">
        <v>23.0</v>
      </c>
      <c r="J26" s="280"/>
      <c r="K26" s="280"/>
      <c r="L26" s="280"/>
      <c r="M26" s="281"/>
      <c r="N26" s="280"/>
      <c r="O26" s="280"/>
      <c r="P26" s="280"/>
      <c r="Q26" s="280"/>
      <c r="R26" s="290"/>
      <c r="S26" s="281"/>
      <c r="T26" s="294"/>
      <c r="U26" s="281"/>
      <c r="X26" s="281"/>
    </row>
    <row r="27">
      <c r="A27" s="281"/>
      <c r="B27" s="288" t="s">
        <v>684</v>
      </c>
      <c r="C27" s="280" t="s">
        <v>685</v>
      </c>
      <c r="D27" s="289">
        <f>ROUND((F27*'Pawn Weights'!$E$3)+(G27*'Pawn Weights'!$E$4)+(H27*'Pawn Weights'!$E$5)+(I27*'Pawn Weights'!$E$6)+(J27*'Pawn Weights'!$E$7)+(K27*'Pawn Weights'!$E$8)+(L27*'Pawn Weights'!$E$9)+(M27*'Pawn Weights'!$E$10)+(N27*'Pawn Weights'!$E$11)+(O27*'Pawn Weights'!$E$12)+(P27*'Pawn Weights'!$E$13)+(Q27*'Pawn Weights'!$E$14), 2)</f>
        <v>49.82</v>
      </c>
      <c r="E27" s="280">
        <v>26.0</v>
      </c>
      <c r="F27" s="280"/>
      <c r="G27" s="280">
        <v>27.0</v>
      </c>
      <c r="H27" s="280">
        <v>70.0</v>
      </c>
      <c r="I27" s="280"/>
      <c r="J27" s="280"/>
      <c r="K27" s="280"/>
      <c r="L27" s="280"/>
      <c r="M27" s="281"/>
      <c r="N27" s="280"/>
      <c r="O27" s="280"/>
      <c r="P27" s="280"/>
      <c r="Q27" s="280"/>
      <c r="R27" s="290"/>
      <c r="S27" s="281"/>
      <c r="T27" s="222"/>
      <c r="U27" s="281"/>
      <c r="V27" s="281"/>
      <c r="W27" s="281"/>
      <c r="X27" s="281"/>
    </row>
    <row r="28">
      <c r="A28" s="281"/>
      <c r="B28" s="288" t="s">
        <v>686</v>
      </c>
      <c r="C28" s="280" t="s">
        <v>687</v>
      </c>
      <c r="D28" s="289">
        <f>ROUND((F28*'Pawn Weights'!$E$3)+(G28*'Pawn Weights'!$E$4)+(H28*'Pawn Weights'!$E$5)+(I28*'Pawn Weights'!$E$6)+(J28*'Pawn Weights'!$E$7)+(K28*'Pawn Weights'!$E$8)+(L28*'Pawn Weights'!$E$9)+(M28*'Pawn Weights'!$E$10)+(N28*'Pawn Weights'!$E$11)+(O28*'Pawn Weights'!$E$12)+(P28*'Pawn Weights'!$E$13)+(Q28*'Pawn Weights'!$E$14), 2)</f>
        <v>43.95</v>
      </c>
      <c r="E28" s="280">
        <v>18.0</v>
      </c>
      <c r="F28" s="280"/>
      <c r="G28" s="280">
        <v>20.0</v>
      </c>
      <c r="H28" s="280">
        <v>42.0</v>
      </c>
      <c r="I28" s="280"/>
      <c r="J28" s="280">
        <v>18.0</v>
      </c>
      <c r="K28" s="280"/>
      <c r="L28" s="280"/>
      <c r="M28" s="280"/>
      <c r="N28" s="280"/>
      <c r="O28" s="280"/>
      <c r="P28" s="280"/>
      <c r="Q28" s="280"/>
      <c r="R28" s="290"/>
      <c r="S28" s="281"/>
      <c r="T28" s="294"/>
      <c r="U28" s="281"/>
      <c r="V28" s="281"/>
      <c r="W28" s="281"/>
      <c r="X28" s="281"/>
    </row>
    <row r="29">
      <c r="A29" s="281"/>
      <c r="B29" s="288" t="s">
        <v>1077</v>
      </c>
      <c r="C29" s="280" t="s">
        <v>1078</v>
      </c>
      <c r="D29" s="289">
        <f>ROUND((F29*'Pawn Weights'!$E$3)+(G29*'Pawn Weights'!$E$4)+(H29*'Pawn Weights'!$E$5)+(I29*'Pawn Weights'!$E$6)+(J29*'Pawn Weights'!$E$7)+(K29*'Pawn Weights'!$E$8)+(L29*'Pawn Weights'!$E$9)+(M29*'Pawn Weights'!$E$10)+(N29*'Pawn Weights'!$E$11)+(O29*'Pawn Weights'!$E$12)+(P29*'Pawn Weights'!$E$13)+(Q29*'Pawn Weights'!$E$14), 2)</f>
        <v>43.31</v>
      </c>
      <c r="E29" s="280">
        <v>21.0</v>
      </c>
      <c r="F29" s="280"/>
      <c r="G29" s="280">
        <v>20.0</v>
      </c>
      <c r="H29" s="280">
        <v>42.0</v>
      </c>
      <c r="I29" s="280"/>
      <c r="J29" s="280">
        <v>17.0</v>
      </c>
      <c r="K29" s="280"/>
      <c r="L29" s="280"/>
      <c r="M29" s="280"/>
      <c r="N29" s="280"/>
      <c r="O29" s="280"/>
      <c r="P29" s="280"/>
      <c r="Q29" s="280"/>
      <c r="R29" s="290"/>
      <c r="S29" s="281"/>
      <c r="T29" s="222"/>
      <c r="U29" s="281"/>
      <c r="V29" s="281"/>
      <c r="W29" s="281"/>
      <c r="X29" s="281"/>
    </row>
    <row r="30">
      <c r="A30" s="137" t="s">
        <v>676</v>
      </c>
      <c r="B30" s="296" t="s">
        <v>688</v>
      </c>
      <c r="C30" s="297" t="s">
        <v>678</v>
      </c>
      <c r="D30" s="289">
        <f>ROUND((F30*'Pawn Weights'!$E$3)+(G30*'Pawn Weights'!$E$4)+(H30*'Pawn Weights'!$E$5)+(I30*'Pawn Weights'!$E$6)+(J30*'Pawn Weights'!$E$7)+(K30*'Pawn Weights'!$E$8)+(L30*'Pawn Weights'!$E$9)+(M30*'Pawn Weights'!$E$10)+(N30*'Pawn Weights'!$E$11)+(O30*'Pawn Weights'!$E$12)+(P30*'Pawn Weights'!$E$13)+(Q30*'Pawn Weights'!$E$14), 2)</f>
        <v>41.09</v>
      </c>
      <c r="E30" s="298">
        <v>19.0</v>
      </c>
      <c r="F30" s="297"/>
      <c r="G30" s="298">
        <v>18.0</v>
      </c>
      <c r="H30" s="298">
        <v>64.0</v>
      </c>
      <c r="I30" s="297"/>
      <c r="J30" s="297"/>
      <c r="K30" s="297"/>
      <c r="L30" s="297"/>
      <c r="M30" s="295"/>
      <c r="N30" s="297"/>
      <c r="O30" s="297"/>
      <c r="P30" s="297"/>
      <c r="Q30" s="297"/>
      <c r="R30" s="295"/>
      <c r="S30" s="137"/>
      <c r="T30" s="361" t="s">
        <v>689</v>
      </c>
      <c r="U30" s="137"/>
      <c r="V30" s="137"/>
      <c r="W30" s="137"/>
      <c r="X30" s="137"/>
      <c r="Y30" s="137"/>
      <c r="Z30" s="137"/>
    </row>
    <row r="31">
      <c r="A31" s="137"/>
      <c r="B31" s="296" t="s">
        <v>690</v>
      </c>
      <c r="C31" s="318" t="s">
        <v>691</v>
      </c>
      <c r="D31" s="289">
        <f>ROUND((F31*'Pawn Weights'!$E$3)+(G31*'Pawn Weights'!$E$4)+(H31*'Pawn Weights'!$E$5)+(I31*'Pawn Weights'!$E$6)+(J31*'Pawn Weights'!$E$7)+(K31*'Pawn Weights'!$E$8)+(L31*'Pawn Weights'!$E$9)+(M31*'Pawn Weights'!$E$10)+(N31*'Pawn Weights'!$E$11)+(O31*'Pawn Weights'!$E$12)+(P31*'Pawn Weights'!$E$13)+(Q31*'Pawn Weights'!$E$14), 2)</f>
        <v>40.12</v>
      </c>
      <c r="E31" s="297"/>
      <c r="F31" s="297"/>
      <c r="G31" s="297"/>
      <c r="H31" s="297"/>
      <c r="I31" s="297"/>
      <c r="J31" s="298">
        <v>22.0</v>
      </c>
      <c r="K31" s="297"/>
      <c r="L31" s="298">
        <v>21.0</v>
      </c>
      <c r="M31" s="295"/>
      <c r="N31" s="297"/>
      <c r="O31" s="297"/>
      <c r="P31" s="297"/>
      <c r="Q31" s="297"/>
      <c r="R31" s="295"/>
      <c r="S31" s="137"/>
      <c r="T31" s="137"/>
      <c r="U31" s="137"/>
      <c r="V31" s="137"/>
      <c r="W31" s="137"/>
      <c r="X31" s="137"/>
      <c r="Y31" s="137"/>
      <c r="Z31" s="137"/>
    </row>
    <row r="32">
      <c r="A32" s="272" t="s">
        <v>692</v>
      </c>
      <c r="B32" s="281"/>
      <c r="C32" s="281"/>
      <c r="D32" s="360"/>
      <c r="E32" s="281"/>
      <c r="F32" s="281"/>
      <c r="G32" s="281"/>
      <c r="H32" s="281"/>
      <c r="I32" s="281"/>
      <c r="J32" s="281"/>
      <c r="K32" s="281"/>
      <c r="L32" s="281"/>
      <c r="M32" s="281"/>
      <c r="N32" s="281"/>
      <c r="O32" s="281"/>
      <c r="P32" s="281"/>
      <c r="Q32" s="281"/>
      <c r="R32" s="282"/>
      <c r="S32" s="281"/>
      <c r="T32" s="285"/>
      <c r="U32" s="281"/>
      <c r="V32" s="281"/>
      <c r="W32" s="281"/>
    </row>
    <row r="33">
      <c r="A33" s="301" t="s">
        <v>640</v>
      </c>
      <c r="B33" s="288" t="s">
        <v>700</v>
      </c>
      <c r="C33" s="280" t="s">
        <v>701</v>
      </c>
      <c r="D33" s="289">
        <f>ROUND((F33*'Pawn Weights'!$E$3)+(G33*'Pawn Weights'!$E$4)+(H33*'Pawn Weights'!$E$5)+(I33*'Pawn Weights'!$E$6)+(J33*'Pawn Weights'!$E$7)+(K33*'Pawn Weights'!$E$8)+(L33*'Pawn Weights'!$E$9)+(M33*'Pawn Weights'!$E$10)+(N33*'Pawn Weights'!$E$11)+(O33*'Pawn Weights'!$E$12)+(P33*'Pawn Weights'!$E$13)+(Q33*'Pawn Weights'!$E$14), 2)</f>
        <v>100.57</v>
      </c>
      <c r="E33" s="280">
        <v>34.0</v>
      </c>
      <c r="F33" s="280">
        <v>39.0</v>
      </c>
      <c r="G33" s="280">
        <v>39.0</v>
      </c>
      <c r="H33" s="280"/>
      <c r="I33" s="280"/>
      <c r="J33" s="280"/>
      <c r="K33" s="280"/>
      <c r="L33" s="280"/>
      <c r="M33" s="280">
        <v>91.0</v>
      </c>
      <c r="N33" s="280"/>
      <c r="O33" s="280"/>
      <c r="P33" s="280">
        <v>1.0</v>
      </c>
      <c r="Q33" s="280">
        <v>1.0</v>
      </c>
      <c r="R33" s="290" t="s">
        <v>702</v>
      </c>
      <c r="S33" s="281"/>
      <c r="T33" s="291"/>
      <c r="U33" s="281"/>
      <c r="V33" s="281"/>
      <c r="W33" s="281"/>
    </row>
    <row r="34">
      <c r="A34" s="295" t="s">
        <v>635</v>
      </c>
      <c r="B34" s="296" t="s">
        <v>703</v>
      </c>
      <c r="C34" s="297" t="s">
        <v>637</v>
      </c>
      <c r="D34" s="289">
        <f>ROUND((F34*'Pawn Weights'!$E$3)+(G34*'Pawn Weights'!$E$4)+(H34*'Pawn Weights'!$E$5)+(I34*'Pawn Weights'!$E$6)+(J34*'Pawn Weights'!$E$7)+(K34*'Pawn Weights'!$E$8)+(L34*'Pawn Weights'!$E$9)+(M34*'Pawn Weights'!$E$10)+(N34*'Pawn Weights'!$E$11)+(O34*'Pawn Weights'!$E$12)+(P34*'Pawn Weights'!$E$13)+(Q34*'Pawn Weights'!$E$14)-10+9.55+2.73, 2)</f>
        <v>92.13</v>
      </c>
      <c r="E34" s="298">
        <v>64.0</v>
      </c>
      <c r="F34" s="298">
        <v>38.0</v>
      </c>
      <c r="G34" s="297"/>
      <c r="H34" s="297"/>
      <c r="I34" s="298">
        <v>35.0</v>
      </c>
      <c r="J34" s="297"/>
      <c r="K34" s="297"/>
      <c r="L34" s="297"/>
      <c r="M34" s="295"/>
      <c r="N34" s="297"/>
      <c r="O34" s="298">
        <v>1.0</v>
      </c>
      <c r="P34" s="298">
        <v>1.0</v>
      </c>
      <c r="Q34" s="297"/>
      <c r="R34" s="298" t="s">
        <v>702</v>
      </c>
      <c r="S34" s="137"/>
      <c r="T34" s="297" t="s">
        <v>704</v>
      </c>
      <c r="U34" s="137"/>
      <c r="V34" s="137"/>
      <c r="W34" s="137"/>
      <c r="X34" s="137"/>
      <c r="Y34" s="137"/>
      <c r="Z34" s="137"/>
    </row>
    <row r="35">
      <c r="A35" s="301"/>
      <c r="B35" s="288" t="s">
        <v>705</v>
      </c>
      <c r="C35" s="280" t="s">
        <v>706</v>
      </c>
      <c r="D35" s="289">
        <f>ROUND((F35*'Pawn Weights'!$E$3)+(G35*'Pawn Weights'!$E$4)+(H35*'Pawn Weights'!$E$5)+(I35*'Pawn Weights'!$E$6)+(J35*'Pawn Weights'!$E$7)+(K35*'Pawn Weights'!$E$8)+(L35*'Pawn Weights'!$E$9)+(M35*'Pawn Weights'!$E$10)+(N35*'Pawn Weights'!$E$11)+(O35*'Pawn Weights'!$E$12)+(P35*'Pawn Weights'!$E$13)+(Q35*'Pawn Weights'!$E$14), 2)</f>
        <v>90.84</v>
      </c>
      <c r="E35" s="280">
        <v>34.0</v>
      </c>
      <c r="F35" s="280">
        <v>47.0</v>
      </c>
      <c r="G35" s="280"/>
      <c r="H35" s="280"/>
      <c r="I35" s="280">
        <v>32.0</v>
      </c>
      <c r="J35" s="280">
        <v>23.0</v>
      </c>
      <c r="K35" s="280"/>
      <c r="L35" s="280"/>
      <c r="M35" s="281"/>
      <c r="N35" s="280"/>
      <c r="O35" s="280"/>
      <c r="P35" s="280"/>
      <c r="Q35" s="280"/>
      <c r="R35" s="290"/>
      <c r="S35" s="281"/>
      <c r="T35" s="291"/>
      <c r="U35" s="281"/>
      <c r="V35" s="281"/>
      <c r="W35" s="281"/>
    </row>
    <row r="36">
      <c r="A36" s="301"/>
      <c r="B36" s="288" t="s">
        <v>707</v>
      </c>
      <c r="C36" s="280" t="s">
        <v>708</v>
      </c>
      <c r="D36" s="289">
        <f>ROUND((F36*'Pawn Weights'!$E$3)+(G36*'Pawn Weights'!$E$4)+(H36*'Pawn Weights'!$E$5)+(I36*'Pawn Weights'!$E$6)+(J36*'Pawn Weights'!$E$7)+(K36*'Pawn Weights'!$E$8)+(L36*'Pawn Weights'!$E$9)+(M36*'Pawn Weights'!$E$10)+(N36*'Pawn Weights'!$E$11)+(O36*'Pawn Weights'!$E$12)+(P36*'Pawn Weights'!$E$13)+(Q36*'Pawn Weights'!$E$14)-20+19.1+3, 2)</f>
        <v>89.44</v>
      </c>
      <c r="E36" s="280"/>
      <c r="F36" s="280">
        <v>39.0</v>
      </c>
      <c r="G36" s="280"/>
      <c r="H36" s="280"/>
      <c r="I36" s="280">
        <v>22.0</v>
      </c>
      <c r="J36" s="280">
        <v>13.0</v>
      </c>
      <c r="K36" s="280"/>
      <c r="L36" s="280"/>
      <c r="M36" s="281"/>
      <c r="N36" s="280"/>
      <c r="O36" s="280"/>
      <c r="P36" s="280">
        <v>2.0</v>
      </c>
      <c r="Q36" s="280"/>
      <c r="R36" s="290" t="s">
        <v>698</v>
      </c>
      <c r="S36" s="281"/>
      <c r="T36" s="291"/>
      <c r="U36" s="281"/>
      <c r="V36" s="281"/>
      <c r="W36" s="281"/>
    </row>
    <row r="37">
      <c r="A37" s="301"/>
      <c r="B37" s="288" t="s">
        <v>709</v>
      </c>
      <c r="C37" s="280" t="s">
        <v>710</v>
      </c>
      <c r="D37" s="289">
        <f>ROUND((F37*'Pawn Weights'!$E$3)+(G37*'Pawn Weights'!$E$4)+(H37*'Pawn Weights'!$E$5)+(I37*'Pawn Weights'!$E$6)+(J37*'Pawn Weights'!$E$7)+(K37*'Pawn Weights'!$E$8)+(L37*'Pawn Weights'!$E$9)+(M37*'Pawn Weights'!$E$10)+(N37*'Pawn Weights'!$E$11)+(O37*'Pawn Weights'!$E$12)+(P37*'Pawn Weights'!$E$13)+(Q37*'Pawn Weights'!$E$14)+1.334, 2)</f>
        <v>87.58</v>
      </c>
      <c r="E37" s="280">
        <v>28.0</v>
      </c>
      <c r="F37" s="280"/>
      <c r="G37" s="280">
        <v>33.0</v>
      </c>
      <c r="H37" s="280">
        <v>60.0</v>
      </c>
      <c r="I37" s="280">
        <v>16.0</v>
      </c>
      <c r="J37" s="280"/>
      <c r="K37" s="280"/>
      <c r="L37" s="280">
        <v>10.0</v>
      </c>
      <c r="M37" s="281"/>
      <c r="N37" s="280"/>
      <c r="O37" s="280">
        <v>1.0</v>
      </c>
      <c r="P37" s="280"/>
      <c r="Q37" s="280"/>
      <c r="R37" s="290" t="s">
        <v>711</v>
      </c>
      <c r="S37" s="281"/>
      <c r="T37" s="291" t="s">
        <v>1079</v>
      </c>
      <c r="U37" s="281"/>
      <c r="V37" s="281"/>
      <c r="W37" s="281"/>
    </row>
    <row r="38">
      <c r="A38" s="301"/>
      <c r="B38" s="288" t="s">
        <v>715</v>
      </c>
      <c r="C38" s="280" t="s">
        <v>716</v>
      </c>
      <c r="D38" s="289">
        <f>ROUND((F38*'Pawn Weights'!$E$3)+(G38*'Pawn Weights'!$E$4)+(H38*'Pawn Weights'!$E$5)+(I38*'Pawn Weights'!$E$6)+(J38*'Pawn Weights'!$E$7)+(K38*'Pawn Weights'!$E$8)+(L38*'Pawn Weights'!$E$9)+(M38*'Pawn Weights'!$E$10)+(N38*'Pawn Weights'!$E$11)+(O38*'Pawn Weights'!$E$12)+(P38*'Pawn Weights'!$E$13)+(Q38*'Pawn Weights'!$E$14), 2)</f>
        <v>86.83</v>
      </c>
      <c r="E38" s="280">
        <v>34.0</v>
      </c>
      <c r="F38" s="280"/>
      <c r="G38" s="280"/>
      <c r="H38" s="280">
        <v>94.0</v>
      </c>
      <c r="I38" s="280">
        <v>33.0</v>
      </c>
      <c r="J38" s="280">
        <v>22.0</v>
      </c>
      <c r="K38" s="280"/>
      <c r="L38" s="280"/>
      <c r="M38" s="281"/>
      <c r="N38" s="280"/>
      <c r="O38" s="280"/>
      <c r="P38" s="280"/>
      <c r="Q38" s="280"/>
      <c r="R38" s="290"/>
      <c r="S38" s="281"/>
      <c r="T38" s="291"/>
      <c r="U38" s="281"/>
      <c r="V38" s="281"/>
      <c r="W38" s="281"/>
    </row>
    <row r="39">
      <c r="A39" s="301" t="s">
        <v>627</v>
      </c>
      <c r="B39" s="288" t="s">
        <v>713</v>
      </c>
      <c r="C39" s="280" t="s">
        <v>714</v>
      </c>
      <c r="D39" s="289">
        <f>ROUND((F39*'Pawn Weights'!$E$3)+(G39*'Pawn Weights'!$E$4)+(H39*'Pawn Weights'!$E$5)+(I39*'Pawn Weights'!$E$6)+(J39*'Pawn Weights'!$E$7)+(K39*'Pawn Weights'!$E$8)+(L39*'Pawn Weights'!$E$9)+(M39*'Pawn Weights'!$E$10)+(N39*'Pawn Weights'!$E$11)+(O39*'Pawn Weights'!$E$12)+(P39*'Pawn Weights'!$E$13)+(Q39*'Pawn Weights'!$E$14), 2)</f>
        <v>86.11</v>
      </c>
      <c r="E39" s="280">
        <v>29.0</v>
      </c>
      <c r="F39" s="280">
        <v>47.0</v>
      </c>
      <c r="G39" s="280"/>
      <c r="H39" s="280"/>
      <c r="I39" s="280"/>
      <c r="J39" s="280">
        <v>19.0</v>
      </c>
      <c r="K39" s="280">
        <v>35.0</v>
      </c>
      <c r="L39" s="280"/>
      <c r="M39" s="281"/>
      <c r="N39" s="280"/>
      <c r="O39" s="280"/>
      <c r="P39" s="280"/>
      <c r="Q39" s="280"/>
      <c r="R39" s="290"/>
      <c r="S39" s="281"/>
      <c r="T39" s="291"/>
      <c r="U39" s="281"/>
      <c r="V39" s="281"/>
      <c r="W39" s="281"/>
    </row>
    <row r="40">
      <c r="A40" s="301" t="s">
        <v>647</v>
      </c>
      <c r="B40" s="288" t="s">
        <v>719</v>
      </c>
      <c r="C40" s="280" t="s">
        <v>720</v>
      </c>
      <c r="D40" s="289">
        <f>ROUND((F40*'Pawn Weights'!$E$3)+(G40*'Pawn Weights'!$E$4)+(H40*'Pawn Weights'!$E$5)+(I40*'Pawn Weights'!$E$6)+(J40*'Pawn Weights'!$E$7)+(K40*'Pawn Weights'!$E$8)+(L40*'Pawn Weights'!$E$9)+(M40*'Pawn Weights'!$E$10)+(N40*'Pawn Weights'!$E$11)+(O40*'Pawn Weights'!$E$12)+(P40*'Pawn Weights'!$E$13)+(Q40*'Pawn Weights'!$E$14), 2)</f>
        <v>85.72</v>
      </c>
      <c r="E40" s="280">
        <v>38.0</v>
      </c>
      <c r="F40" s="280">
        <v>36.0</v>
      </c>
      <c r="G40" s="280"/>
      <c r="H40" s="280"/>
      <c r="I40" s="280">
        <v>20.0</v>
      </c>
      <c r="J40" s="280">
        <v>18.0</v>
      </c>
      <c r="K40" s="280"/>
      <c r="L40" s="280"/>
      <c r="M40" s="281"/>
      <c r="N40" s="280"/>
      <c r="O40" s="280"/>
      <c r="P40" s="280">
        <v>1.0</v>
      </c>
      <c r="Q40" s="280">
        <v>1.0</v>
      </c>
      <c r="R40" s="290" t="s">
        <v>698</v>
      </c>
      <c r="S40" s="281"/>
      <c r="T40" s="291"/>
      <c r="U40" s="281"/>
      <c r="V40" s="281"/>
      <c r="W40" s="281"/>
      <c r="X40" s="281"/>
    </row>
    <row r="41">
      <c r="A41" s="301"/>
      <c r="B41" s="288" t="s">
        <v>721</v>
      </c>
      <c r="C41" s="280" t="s">
        <v>710</v>
      </c>
      <c r="D41" s="289">
        <f>ROUND((F41*'Pawn Weights'!$E$3)+(G41*'Pawn Weights'!$E$4)+(H41*'Pawn Weights'!$E$5)+(I41*'Pawn Weights'!$E$6)+(J41*'Pawn Weights'!$E$7)+(K41*'Pawn Weights'!$E$8)+(L41*'Pawn Weights'!$E$9)+(M41*'Pawn Weights'!$E$10)+(N41*'Pawn Weights'!$E$11)+(O41*'Pawn Weights'!$E$12)+(P41*'Pawn Weights'!$E$13)+(Q41*'Pawn Weights'!$E$14), 2)</f>
        <v>84.39</v>
      </c>
      <c r="E41" s="280">
        <v>21.0</v>
      </c>
      <c r="F41" s="280">
        <v>38.0</v>
      </c>
      <c r="G41" s="280"/>
      <c r="H41" s="280"/>
      <c r="I41" s="280">
        <v>29.0</v>
      </c>
      <c r="J41" s="280"/>
      <c r="K41" s="280"/>
      <c r="L41" s="280"/>
      <c r="M41" s="281"/>
      <c r="N41" s="280"/>
      <c r="O41" s="280">
        <v>1.0</v>
      </c>
      <c r="P41" s="280"/>
      <c r="Q41" s="280">
        <v>1.0</v>
      </c>
      <c r="R41" s="290" t="s">
        <v>702</v>
      </c>
      <c r="S41" s="281"/>
      <c r="T41" s="291"/>
      <c r="U41" s="281"/>
      <c r="V41" s="281"/>
      <c r="W41" s="281"/>
    </row>
    <row r="42">
      <c r="A42" s="301"/>
      <c r="B42" s="288" t="s">
        <v>722</v>
      </c>
      <c r="C42" s="280" t="s">
        <v>723</v>
      </c>
      <c r="D42" s="289">
        <f>ROUND((F42*'Pawn Weights'!$E$3)+(G42*'Pawn Weights'!$E$4)+(H42*'Pawn Weights'!$E$5)+(I42*'Pawn Weights'!$E$6)+(J42*'Pawn Weights'!$E$7)+(K42*'Pawn Weights'!$E$8)+(L42*'Pawn Weights'!$E$9)+(M42*'Pawn Weights'!$E$10)+(N42*'Pawn Weights'!$E$11)+(O42*'Pawn Weights'!$E$12)+(P42*'Pawn Weights'!$E$13)+(Q42*'Pawn Weights'!$E$14), 2)</f>
        <v>83.55</v>
      </c>
      <c r="E42" s="280">
        <v>37.0</v>
      </c>
      <c r="F42" s="280"/>
      <c r="G42" s="280">
        <v>38.0</v>
      </c>
      <c r="H42" s="280">
        <v>76.0</v>
      </c>
      <c r="I42" s="280">
        <v>26.0</v>
      </c>
      <c r="J42" s="280"/>
      <c r="K42" s="280"/>
      <c r="L42" s="280"/>
      <c r="M42" s="281"/>
      <c r="N42" s="280"/>
      <c r="O42" s="280"/>
      <c r="P42" s="280"/>
      <c r="Q42" s="280"/>
      <c r="R42" s="290"/>
      <c r="S42" s="281"/>
      <c r="T42" s="291"/>
      <c r="U42" s="281"/>
      <c r="V42" s="281"/>
      <c r="W42" s="281"/>
      <c r="X42" s="281"/>
    </row>
    <row r="43">
      <c r="A43" s="295"/>
      <c r="B43" s="296" t="s">
        <v>717</v>
      </c>
      <c r="C43" s="297" t="s">
        <v>718</v>
      </c>
      <c r="D43" s="289">
        <f>ROUND((F43*'Pawn Weights'!$E$3)+(G43*'Pawn Weights'!$E$4)+(H43*'Pawn Weights'!$E$5)+(I43*'Pawn Weights'!$E$6)+(J43*'Pawn Weights'!$E$7)+(K43*'Pawn Weights'!$E$8)+(L43*'Pawn Weights'!$E$9)+(M43*'Pawn Weights'!$E$10)+(N43*'Pawn Weights'!$E$11)+(O43*'Pawn Weights'!$E$12)+(P43*'Pawn Weights'!$E$13)+(Q43*'Pawn Weights'!$E$14), 2)</f>
        <v>83.05</v>
      </c>
      <c r="E43" s="298">
        <v>33.0</v>
      </c>
      <c r="F43" s="298">
        <v>42.0</v>
      </c>
      <c r="G43" s="297"/>
      <c r="H43" s="297"/>
      <c r="I43" s="297"/>
      <c r="J43" s="298">
        <v>23.0</v>
      </c>
      <c r="K43" s="297"/>
      <c r="L43" s="297"/>
      <c r="M43" s="359">
        <v>154.0</v>
      </c>
      <c r="N43" s="297"/>
      <c r="O43" s="297"/>
      <c r="P43" s="297"/>
      <c r="Q43" s="297"/>
      <c r="R43" s="295"/>
      <c r="S43" s="137"/>
      <c r="T43" s="295"/>
      <c r="U43" s="137"/>
      <c r="V43" s="137"/>
      <c r="W43" s="137"/>
      <c r="X43" s="137"/>
      <c r="Y43" s="137"/>
      <c r="Z43" s="137"/>
    </row>
    <row r="44">
      <c r="A44" s="301" t="s">
        <v>644</v>
      </c>
      <c r="B44" s="288" t="s">
        <v>1080</v>
      </c>
      <c r="C44" s="280" t="s">
        <v>646</v>
      </c>
      <c r="D44" s="289">
        <f>ROUND((F44*'Pawn Weights'!$E$3)+(G44*'Pawn Weights'!$E$4)+(H44*'Pawn Weights'!$E$5)+(I44*'Pawn Weights'!$E$6)+(J44*'Pawn Weights'!$E$7)+(K44*'Pawn Weights'!$E$8)+(L44*'Pawn Weights'!$E$9)+(M44*'Pawn Weights'!$E$10)+(N44*'Pawn Weights'!$E$11)+(O44*'Pawn Weights'!$E$12)+(P44*'Pawn Weights'!$E$13)+(Q44*'Pawn Weights'!$E$14)-10+9.55+2.73, 2)</f>
        <v>82.58</v>
      </c>
      <c r="E44" s="280">
        <v>57.0</v>
      </c>
      <c r="F44" s="280">
        <v>33.0</v>
      </c>
      <c r="G44" s="280"/>
      <c r="H44" s="280"/>
      <c r="I44" s="280">
        <v>30.0</v>
      </c>
      <c r="J44" s="280"/>
      <c r="K44" s="280"/>
      <c r="L44" s="280"/>
      <c r="M44" s="281"/>
      <c r="N44" s="280"/>
      <c r="O44" s="280">
        <v>1.0</v>
      </c>
      <c r="P44" s="280">
        <v>1.0</v>
      </c>
      <c r="Q44" s="280"/>
      <c r="R44" s="290" t="s">
        <v>702</v>
      </c>
      <c r="S44" s="281"/>
      <c r="T44" s="291" t="s">
        <v>704</v>
      </c>
      <c r="U44" s="281"/>
      <c r="V44" s="281"/>
      <c r="W44" s="281"/>
    </row>
    <row r="45">
      <c r="A45" s="301" t="s">
        <v>627</v>
      </c>
      <c r="B45" s="288" t="s">
        <v>1190</v>
      </c>
      <c r="C45" s="280" t="s">
        <v>1191</v>
      </c>
      <c r="D45" s="289">
        <f>ROUND((F45*'Pawn Weights'!$E$3)+(G45*'Pawn Weights'!$E$4)+(H45*'Pawn Weights'!$E$5)+(I45*'Pawn Weights'!$E$6)+(J45*'Pawn Weights'!$E$7)+(K45*'Pawn Weights'!$E$8)+(L45*'Pawn Weights'!$E$9)+(M45*'Pawn Weights'!$E$10)+(N45*'Pawn Weights'!$E$11)+(O45*'Pawn Weights'!$E$12)+(P45*'Pawn Weights'!$E$13)+(Q45*'Pawn Weights'!$E$14), 2)</f>
        <v>82.24</v>
      </c>
      <c r="E45" s="280">
        <v>34.0</v>
      </c>
      <c r="F45" s="280"/>
      <c r="G45" s="280">
        <v>29.0</v>
      </c>
      <c r="H45" s="280">
        <v>74.0</v>
      </c>
      <c r="I45" s="280"/>
      <c r="J45" s="280"/>
      <c r="K45" s="280">
        <v>38.0</v>
      </c>
      <c r="L45" s="280"/>
      <c r="M45" s="281"/>
      <c r="N45" s="280"/>
      <c r="O45" s="280"/>
      <c r="P45" s="280"/>
      <c r="Q45" s="280"/>
      <c r="R45" s="290"/>
      <c r="S45" s="281"/>
      <c r="T45" s="291"/>
      <c r="U45" s="281"/>
      <c r="V45" s="281"/>
      <c r="W45" s="281"/>
    </row>
    <row r="46">
      <c r="A46" s="301" t="s">
        <v>627</v>
      </c>
      <c r="B46" s="288" t="s">
        <v>1322</v>
      </c>
      <c r="C46" s="280" t="s">
        <v>1191</v>
      </c>
      <c r="D46" s="289">
        <f>ROUND((F46*'Pawn Weights'!$E$3)+(G46*'Pawn Weights'!$E$4)+(H46*'Pawn Weights'!$E$5)+(I46*'Pawn Weights'!$E$6)+(J46*'Pawn Weights'!$E$7)+(K46*'Pawn Weights'!$E$8)+(L46*'Pawn Weights'!$E$9)+(M46*'Pawn Weights'!$E$10)+(N46*'Pawn Weights'!$E$11)+(O46*'Pawn Weights'!$E$12)+(P46*'Pawn Weights'!$E$13)+(Q46*'Pawn Weights'!$E$14), 2)</f>
        <v>80.13</v>
      </c>
      <c r="E46" s="280">
        <v>19.0</v>
      </c>
      <c r="F46" s="280"/>
      <c r="G46" s="280">
        <v>27.0</v>
      </c>
      <c r="H46" s="280">
        <v>74.0</v>
      </c>
      <c r="I46" s="280"/>
      <c r="J46" s="280"/>
      <c r="K46" s="280">
        <v>37.0</v>
      </c>
      <c r="L46" s="280"/>
      <c r="M46" s="281"/>
      <c r="N46" s="280"/>
      <c r="O46" s="280"/>
      <c r="P46" s="280"/>
      <c r="Q46" s="280"/>
      <c r="R46" s="290"/>
      <c r="S46" s="281"/>
      <c r="T46" s="291"/>
      <c r="U46" s="281"/>
      <c r="V46" s="281"/>
      <c r="W46" s="281"/>
    </row>
    <row r="47">
      <c r="A47" s="301" t="s">
        <v>1068</v>
      </c>
      <c r="B47" s="288" t="s">
        <v>1081</v>
      </c>
      <c r="C47" s="280" t="s">
        <v>997</v>
      </c>
      <c r="D47" s="289">
        <f>ROUND((F47*'Pawn Weights'!$E$3)+(G47*'Pawn Weights'!$E$4)+(H47*'Pawn Weights'!$E$5)+(I47*'Pawn Weights'!$E$6)+(J47*'Pawn Weights'!$E$7)+(K47*'Pawn Weights'!$E$8)+(L47*'Pawn Weights'!$E$9)+(M47*'Pawn Weights'!$E$10)+(N47*'Pawn Weights'!$E$11)+(O47*'Pawn Weights'!$E$12)+(P47*'Pawn Weights'!$E$13)+(Q47*'Pawn Weights'!$E$14)-10+9.55+3, 2)</f>
        <v>76.12</v>
      </c>
      <c r="E47" s="280">
        <v>51.0</v>
      </c>
      <c r="F47" s="280">
        <v>29.0</v>
      </c>
      <c r="G47" s="280"/>
      <c r="H47" s="280"/>
      <c r="I47" s="280">
        <v>27.0</v>
      </c>
      <c r="J47" s="280"/>
      <c r="K47" s="280"/>
      <c r="L47" s="280"/>
      <c r="M47" s="281"/>
      <c r="N47" s="280"/>
      <c r="O47" s="280">
        <v>1.0</v>
      </c>
      <c r="P47" s="280">
        <v>1.0</v>
      </c>
      <c r="Q47" s="280"/>
      <c r="R47" s="290" t="s">
        <v>698</v>
      </c>
      <c r="S47" s="281"/>
      <c r="T47" s="291" t="s">
        <v>704</v>
      </c>
      <c r="U47" s="281"/>
      <c r="V47" s="281"/>
      <c r="W47" s="281"/>
    </row>
    <row r="48">
      <c r="A48" s="301"/>
      <c r="B48" s="288" t="s">
        <v>1199</v>
      </c>
      <c r="C48" s="280" t="s">
        <v>842</v>
      </c>
      <c r="D48" s="289">
        <f>ROUND((F48*'Pawn Weights'!$E$3)+(G48*'Pawn Weights'!$E$4)+(H48*'Pawn Weights'!$E$5)+(I48*'Pawn Weights'!$E$6)+(J48*'Pawn Weights'!$E$7)+(K48*'Pawn Weights'!$E$8)+(L48*'Pawn Weights'!$E$9)+(M48*'Pawn Weights'!$E$10)+(N48*'Pawn Weights'!$E$11)+(O48*'Pawn Weights'!$E$12)+(P48*'Pawn Weights'!$E$13)+(Q48*'Pawn Weights'!$E$14), 2)</f>
        <v>74.15</v>
      </c>
      <c r="E48" s="280">
        <v>55.0</v>
      </c>
      <c r="F48" s="280"/>
      <c r="G48" s="280">
        <v>28.0</v>
      </c>
      <c r="H48" s="280">
        <v>76.0</v>
      </c>
      <c r="I48" s="280">
        <v>23.0</v>
      </c>
      <c r="J48" s="280"/>
      <c r="K48" s="280"/>
      <c r="L48" s="280"/>
      <c r="M48" s="281"/>
      <c r="N48" s="280"/>
      <c r="O48" s="280"/>
      <c r="P48" s="280"/>
      <c r="Q48" s="280"/>
      <c r="R48" s="290"/>
      <c r="S48" s="281"/>
      <c r="T48" s="291"/>
      <c r="U48" s="281"/>
      <c r="V48" s="281"/>
      <c r="W48" s="281"/>
    </row>
    <row r="49">
      <c r="A49" s="272" t="s">
        <v>724</v>
      </c>
      <c r="B49" s="281"/>
      <c r="C49" s="281"/>
      <c r="D49" s="360"/>
      <c r="E49" s="281"/>
      <c r="F49" s="281"/>
      <c r="G49" s="281"/>
      <c r="H49" s="281"/>
      <c r="I49" s="281"/>
      <c r="J49" s="281"/>
      <c r="K49" s="281"/>
      <c r="L49" s="281"/>
      <c r="M49" s="281"/>
      <c r="N49" s="281"/>
      <c r="O49" s="281"/>
      <c r="P49" s="281"/>
      <c r="Q49" s="281"/>
      <c r="R49" s="282"/>
      <c r="S49" s="281"/>
      <c r="T49" s="285"/>
      <c r="U49" s="281"/>
      <c r="V49" s="281"/>
      <c r="W49" s="281"/>
    </row>
    <row r="50">
      <c r="A50" s="281"/>
      <c r="B50" s="302" t="s">
        <v>726</v>
      </c>
      <c r="C50" s="280" t="s">
        <v>727</v>
      </c>
      <c r="D50" s="289">
        <f>ROUND((F50*'Pawn Weights'!$E$3)+(G50*'Pawn Weights'!$E$4)+(H50*'Pawn Weights'!$E$5)+(I50*'Pawn Weights'!$E$6)+(J50*'Pawn Weights'!$E$7)+(K50*'Pawn Weights'!$E$8)+(L50*'Pawn Weights'!$E$9)+(M50*'Pawn Weights'!$E$10)+(N50*'Pawn Weights'!$E$11)+(O50*'Pawn Weights'!$E$12)+(P50*'Pawn Weights'!$E$13)+(Q50*'Pawn Weights'!$E$14), 2)</f>
        <v>65.44</v>
      </c>
      <c r="E50" s="280">
        <v>24.0</v>
      </c>
      <c r="F50" s="280"/>
      <c r="G50" s="280"/>
      <c r="H50" s="280">
        <v>72.0</v>
      </c>
      <c r="I50" s="280">
        <v>24.0</v>
      </c>
      <c r="J50" s="280">
        <v>17.0</v>
      </c>
      <c r="K50" s="280"/>
      <c r="L50" s="280"/>
      <c r="M50" s="280"/>
      <c r="N50" s="280"/>
      <c r="O50" s="280"/>
      <c r="P50" s="280"/>
      <c r="Q50" s="280"/>
      <c r="R50" s="290"/>
      <c r="S50" s="281"/>
      <c r="T50" s="222"/>
      <c r="U50" s="281"/>
      <c r="V50" s="281"/>
      <c r="W50" s="281"/>
      <c r="X50" s="281"/>
    </row>
    <row r="51">
      <c r="A51" s="137"/>
      <c r="B51" s="296" t="s">
        <v>728</v>
      </c>
      <c r="C51" s="318" t="s">
        <v>718</v>
      </c>
      <c r="D51" s="289">
        <f>ROUND((F51*'Pawn Weights'!$E$3)+(G51*'Pawn Weights'!$E$4)+(H51*'Pawn Weights'!$E$5)+(I51*'Pawn Weights'!$E$6)+(J51*'Pawn Weights'!$E$7)+(K51*'Pawn Weights'!$E$8)+(L51*'Pawn Weights'!$E$9)+(M51*'Pawn Weights'!$E$10)+(N51*'Pawn Weights'!$E$11)+(O51*'Pawn Weights'!$E$12)+(P51*'Pawn Weights'!$E$13)+(Q51*'Pawn Weights'!$E$14), 2)</f>
        <v>58.26</v>
      </c>
      <c r="E51" s="298">
        <v>34.0</v>
      </c>
      <c r="F51" s="297"/>
      <c r="G51" s="297"/>
      <c r="H51" s="298">
        <v>46.0</v>
      </c>
      <c r="I51" s="298">
        <v>20.0</v>
      </c>
      <c r="J51" s="297"/>
      <c r="K51" s="297"/>
      <c r="L51" s="297"/>
      <c r="M51" s="298">
        <v>112.0</v>
      </c>
      <c r="N51" s="297"/>
      <c r="O51" s="297"/>
      <c r="P51" s="297"/>
      <c r="Q51" s="297"/>
      <c r="R51" s="295"/>
      <c r="S51" s="137"/>
      <c r="T51" s="361" t="s">
        <v>704</v>
      </c>
      <c r="U51" s="137"/>
      <c r="V51" s="137"/>
      <c r="W51" s="137"/>
      <c r="X51" s="137"/>
      <c r="Y51" s="137"/>
      <c r="Z51" s="137"/>
    </row>
    <row r="52">
      <c r="A52" s="292" t="s">
        <v>627</v>
      </c>
      <c r="B52" s="288" t="s">
        <v>729</v>
      </c>
      <c r="C52" s="280" t="s">
        <v>730</v>
      </c>
      <c r="D52" s="289">
        <f>ROUND((F52*'Pawn Weights'!$E$3)+(G52*'Pawn Weights'!$E$4)+(H52*'Pawn Weights'!$E$5)+(I52*'Pawn Weights'!$E$6)+(J52*'Pawn Weights'!$E$7)+(K52*'Pawn Weights'!$E$8)+(L52*'Pawn Weights'!$E$9)+(M52*'Pawn Weights'!$E$10)+(N52*'Pawn Weights'!$E$11)+(O52*'Pawn Weights'!$E$12)+(P52*'Pawn Weights'!$E$13)+(Q52*'Pawn Weights'!$E$14)+1.28, 2)</f>
        <v>55.84</v>
      </c>
      <c r="E52" s="280"/>
      <c r="F52" s="280"/>
      <c r="G52" s="280"/>
      <c r="H52" s="280">
        <v>52.0</v>
      </c>
      <c r="I52" s="280">
        <v>23.0</v>
      </c>
      <c r="J52" s="280"/>
      <c r="K52" s="280"/>
      <c r="L52" s="280"/>
      <c r="M52" s="281"/>
      <c r="N52" s="280"/>
      <c r="O52" s="280">
        <v>1.0</v>
      </c>
      <c r="P52" s="280"/>
      <c r="Q52" s="280"/>
      <c r="R52" s="290" t="s">
        <v>731</v>
      </c>
      <c r="S52" s="281"/>
      <c r="T52" s="222"/>
      <c r="U52" s="281"/>
      <c r="V52" s="281"/>
      <c r="W52" s="281"/>
      <c r="X52" s="281"/>
    </row>
    <row r="53">
      <c r="A53" s="303" t="s">
        <v>627</v>
      </c>
      <c r="B53" s="302" t="s">
        <v>734</v>
      </c>
      <c r="C53" s="154" t="s">
        <v>735</v>
      </c>
      <c r="D53" s="289">
        <f>ROUND((F53*'Pawn Weights'!$E$3)+(G53*'Pawn Weights'!$E$4)+(H53*'Pawn Weights'!$E$5)+(I53*'Pawn Weights'!$E$6)+(J53*'Pawn Weights'!$E$7)+(K53*'Pawn Weights'!$E$8)+(L53*'Pawn Weights'!$E$9)+(M53*'Pawn Weights'!$E$10)+(N53*'Pawn Weights'!$E$11)+(O53*'Pawn Weights'!$E$12)+(P53*'Pawn Weights'!$E$13)+(Q53*'Pawn Weights'!$E$14), 2)</f>
        <v>54.84</v>
      </c>
      <c r="E53" s="280">
        <v>25.0</v>
      </c>
      <c r="F53" s="280">
        <v>23.0</v>
      </c>
      <c r="G53" s="280"/>
      <c r="H53" s="280"/>
      <c r="I53" s="280">
        <v>24.0</v>
      </c>
      <c r="J53" s="280"/>
      <c r="K53" s="280"/>
      <c r="L53" s="280"/>
      <c r="M53" s="281"/>
      <c r="N53" s="280"/>
      <c r="O53" s="280"/>
      <c r="P53" s="280"/>
      <c r="Q53" s="280">
        <v>1.0</v>
      </c>
      <c r="R53" s="290" t="s">
        <v>736</v>
      </c>
      <c r="S53" s="281"/>
      <c r="T53" s="291" t="s">
        <v>737</v>
      </c>
      <c r="U53" s="281"/>
      <c r="V53" s="281"/>
      <c r="W53" s="281"/>
      <c r="X53" s="304"/>
      <c r="Y53" s="304"/>
      <c r="Z53" s="304"/>
    </row>
    <row r="54">
      <c r="A54" s="281"/>
      <c r="B54" s="302" t="s">
        <v>738</v>
      </c>
      <c r="C54" s="280" t="s">
        <v>739</v>
      </c>
      <c r="D54" s="289">
        <f>ROUND((F54*'Pawn Weights'!$E$3)+(G54*'Pawn Weights'!$E$4)+(H54*'Pawn Weights'!$E$5)+(I54*'Pawn Weights'!$E$6)+(J54*'Pawn Weights'!$E$7)+(K54*'Pawn Weights'!$E$8)+(L54*'Pawn Weights'!$E$9)+(M54*'Pawn Weights'!$E$10)+(N54*'Pawn Weights'!$E$11)+(O54*'Pawn Weights'!$E$12)+(P54*'Pawn Weights'!$E$13)+(Q54*'Pawn Weights'!$E$14), 2)</f>
        <v>54.57</v>
      </c>
      <c r="E54" s="280"/>
      <c r="F54" s="280"/>
      <c r="G54" s="280"/>
      <c r="H54" s="280">
        <v>60.0</v>
      </c>
      <c r="I54" s="280">
        <v>30.0</v>
      </c>
      <c r="J54" s="280"/>
      <c r="K54" s="280"/>
      <c r="L54" s="280"/>
      <c r="M54" s="280"/>
      <c r="N54" s="280"/>
      <c r="O54" s="280"/>
      <c r="P54" s="280"/>
      <c r="Q54" s="280"/>
      <c r="R54" s="290"/>
      <c r="S54" s="281"/>
      <c r="T54" s="222"/>
      <c r="U54" s="281"/>
      <c r="V54" s="281"/>
      <c r="W54" s="281"/>
      <c r="X54" s="281"/>
    </row>
    <row r="55" ht="1.5" customHeight="1">
      <c r="A55" s="281"/>
      <c r="B55" s="302" t="s">
        <v>740</v>
      </c>
      <c r="C55" s="280" t="s">
        <v>741</v>
      </c>
      <c r="D55" s="289">
        <f>ROUND((F55*'Pawn Weights'!$E$3)+(G55*'Pawn Weights'!$E$4)+(H55*'Pawn Weights'!$E$5)+(I55*'Pawn Weights'!$E$6)+(J55*'Pawn Weights'!$E$7)+(K55*'Pawn Weights'!$E$8)+(L55*'Pawn Weights'!$E$9)+(M55*'Pawn Weights'!$E$10)+(N55*'Pawn Weights'!$E$11)+(O55*'Pawn Weights'!$E$12)+(P55*'Pawn Weights'!$E$13)+(Q55*'Pawn Weights'!$E$14), 2)</f>
        <v>49.58</v>
      </c>
      <c r="E55" s="280">
        <v>28.0</v>
      </c>
      <c r="F55" s="280"/>
      <c r="G55" s="280">
        <v>28.0</v>
      </c>
      <c r="H55" s="280">
        <v>68.0</v>
      </c>
      <c r="I55" s="280"/>
      <c r="J55" s="280"/>
      <c r="K55" s="280"/>
      <c r="L55" s="280"/>
      <c r="M55" s="280"/>
      <c r="N55" s="280"/>
      <c r="O55" s="280"/>
      <c r="P55" s="280"/>
      <c r="Q55" s="280"/>
      <c r="R55" s="290"/>
      <c r="S55" s="281"/>
      <c r="T55" s="222"/>
      <c r="U55" s="281"/>
      <c r="V55" s="281"/>
      <c r="W55" s="281"/>
      <c r="X55" s="281"/>
    </row>
    <row r="56">
      <c r="A56" s="281"/>
      <c r="B56" s="302" t="s">
        <v>1084</v>
      </c>
      <c r="C56" s="280" t="s">
        <v>900</v>
      </c>
      <c r="D56" s="289">
        <f>ROUND((F56*'Pawn Weights'!$E$3)+(G56*'Pawn Weights'!$E$4)+(H56*'Pawn Weights'!$E$5)+(I56*'Pawn Weights'!$E$6)+(J56*'Pawn Weights'!$E$7)+(K56*'Pawn Weights'!$E$8)+(L56*'Pawn Weights'!$E$9)+(M56*'Pawn Weights'!$E$10)+(N56*'Pawn Weights'!$E$11)+(O56*'Pawn Weights'!$E$12)+(P56*'Pawn Weights'!$E$13)+(Q56*'Pawn Weights'!$E$14), 2)</f>
        <v>48.34</v>
      </c>
      <c r="E56" s="280">
        <v>22.0</v>
      </c>
      <c r="F56" s="280">
        <v>33.0</v>
      </c>
      <c r="G56" s="280">
        <v>23.0</v>
      </c>
      <c r="H56" s="280"/>
      <c r="I56" s="280"/>
      <c r="J56" s="280"/>
      <c r="K56" s="280"/>
      <c r="L56" s="280"/>
      <c r="M56" s="280"/>
      <c r="N56" s="280"/>
      <c r="O56" s="280"/>
      <c r="P56" s="280"/>
      <c r="Q56" s="280"/>
      <c r="R56" s="290"/>
      <c r="S56" s="281"/>
      <c r="T56" s="222"/>
      <c r="U56" s="281"/>
      <c r="V56" s="281"/>
      <c r="W56" s="281"/>
      <c r="X56" s="281"/>
    </row>
    <row r="57">
      <c r="A57" s="272" t="s">
        <v>742</v>
      </c>
      <c r="B57" s="281"/>
      <c r="C57" s="281"/>
      <c r="D57" s="360"/>
      <c r="E57" s="281"/>
      <c r="F57" s="281"/>
      <c r="G57" s="281"/>
      <c r="H57" s="281"/>
      <c r="I57" s="281"/>
      <c r="J57" s="281"/>
      <c r="K57" s="281"/>
      <c r="L57" s="281"/>
      <c r="M57" s="281"/>
      <c r="N57" s="281"/>
      <c r="O57" s="281"/>
      <c r="P57" s="281"/>
      <c r="Q57" s="281"/>
      <c r="R57" s="282"/>
      <c r="S57" s="281"/>
      <c r="T57" s="222"/>
      <c r="U57" s="281"/>
      <c r="V57" s="281"/>
      <c r="W57" s="281"/>
    </row>
    <row r="58">
      <c r="A58" s="137" t="s">
        <v>627</v>
      </c>
      <c r="B58" s="381" t="s">
        <v>746</v>
      </c>
      <c r="C58" s="361" t="s">
        <v>747</v>
      </c>
      <c r="D58" s="289">
        <f>ROUND((F58*'Pawn Weights'!$E$3)+(G58*'Pawn Weights'!$E$4)+(H58*'Pawn Weights'!$E$5)+(I58*'Pawn Weights'!$E$6)+(J58*'Pawn Weights'!$E$7)+(K58*'Pawn Weights'!$E$8)+(L58*'Pawn Weights'!$E$9)+(M58*'Pawn Weights'!$E$10)+(N58*'Pawn Weights'!$E$11)+(O58*'Pawn Weights'!$E$12)+(P58*'Pawn Weights'!$E$13)+(Q58*'Pawn Weights'!$E$14)+3.64, 2)</f>
        <v>179.83</v>
      </c>
      <c r="E58" s="359">
        <v>55.0</v>
      </c>
      <c r="F58" s="359">
        <v>61.0</v>
      </c>
      <c r="G58" s="361"/>
      <c r="H58" s="361"/>
      <c r="I58" s="359">
        <v>41.0</v>
      </c>
      <c r="J58" s="361"/>
      <c r="K58" s="361"/>
      <c r="L58" s="361"/>
      <c r="M58" s="359">
        <v>280.0</v>
      </c>
      <c r="N58" s="361"/>
      <c r="O58" s="359">
        <v>3.0</v>
      </c>
      <c r="P58" s="361"/>
      <c r="Q58" s="361"/>
      <c r="R58" s="359" t="s">
        <v>624</v>
      </c>
      <c r="S58" s="137"/>
      <c r="T58" s="361" t="s">
        <v>748</v>
      </c>
      <c r="U58" s="137"/>
      <c r="V58" s="137"/>
      <c r="W58" s="137"/>
      <c r="X58" s="137"/>
      <c r="Y58" s="137"/>
      <c r="Z58" s="137"/>
    </row>
    <row r="59">
      <c r="A59" s="137"/>
      <c r="B59" s="381" t="s">
        <v>749</v>
      </c>
      <c r="C59" s="361" t="s">
        <v>750</v>
      </c>
      <c r="D59" s="289">
        <f>ROUND((F59*'Pawn Weights'!$E$3)+(G59*'Pawn Weights'!$E$4)+(H59*'Pawn Weights'!$E$5)+(I59*'Pawn Weights'!$E$6)+(J59*'Pawn Weights'!$E$7)+(K59*'Pawn Weights'!$E$8)+(L59*'Pawn Weights'!$E$9)+(M59*'Pawn Weights'!$E$10)+(N59*'Pawn Weights'!$E$11)+(O59*'Pawn Weights'!$E$12)+(P59*'Pawn Weights'!$E$13)+(Q59*'Pawn Weights'!$E$14)-10+9.55+3.636, 2)</f>
        <v>164.2</v>
      </c>
      <c r="E59" s="359">
        <v>45.0</v>
      </c>
      <c r="F59" s="361"/>
      <c r="G59" s="359">
        <v>42.0</v>
      </c>
      <c r="H59" s="359">
        <v>120.0</v>
      </c>
      <c r="I59" s="361"/>
      <c r="J59" s="359">
        <v>30.0</v>
      </c>
      <c r="K59" s="359">
        <v>38.0</v>
      </c>
      <c r="L59" s="361"/>
      <c r="M59" s="137"/>
      <c r="N59" s="361"/>
      <c r="O59" s="359">
        <v>2.0</v>
      </c>
      <c r="P59" s="359">
        <v>1.0</v>
      </c>
      <c r="Q59" s="361"/>
      <c r="R59" s="359" t="s">
        <v>745</v>
      </c>
      <c r="S59" s="137"/>
      <c r="T59" s="406" t="s">
        <v>748</v>
      </c>
      <c r="U59" s="137"/>
      <c r="V59" s="137"/>
      <c r="W59" s="137"/>
      <c r="X59" s="137"/>
      <c r="Y59" s="137"/>
      <c r="Z59" s="137"/>
    </row>
    <row r="60">
      <c r="A60" s="137" t="s">
        <v>635</v>
      </c>
      <c r="B60" s="381" t="s">
        <v>754</v>
      </c>
      <c r="C60" s="361" t="s">
        <v>637</v>
      </c>
      <c r="D60" s="289">
        <f>ROUND((F60*'Pawn Weights'!$E$3)+(G60*'Pawn Weights'!$E$4)+(H60*'Pawn Weights'!$E$5)+(I60*'Pawn Weights'!$E$6)+(J60*'Pawn Weights'!$E$7)+(K60*'Pawn Weights'!$E$8)+(L60*'Pawn Weights'!$E$9)+(M60*'Pawn Weights'!$E$10)+(N60*'Pawn Weights'!$E$11)+(O60*'Pawn Weights'!$E$12)+(P60*'Pawn Weights'!$E$13)+(Q60*'Pawn Weights'!$E$14)-10+9.55+3.64, 2)</f>
        <v>145.02</v>
      </c>
      <c r="E60" s="359">
        <v>76.0</v>
      </c>
      <c r="F60" s="359">
        <v>45.0</v>
      </c>
      <c r="G60" s="361"/>
      <c r="H60" s="361"/>
      <c r="I60" s="359">
        <v>45.0</v>
      </c>
      <c r="J60" s="359">
        <v>18.0</v>
      </c>
      <c r="K60" s="361"/>
      <c r="L60" s="361"/>
      <c r="M60" s="359">
        <v>84.0</v>
      </c>
      <c r="N60" s="361"/>
      <c r="O60" s="359">
        <v>2.0</v>
      </c>
      <c r="P60" s="359">
        <v>1.0</v>
      </c>
      <c r="Q60" s="361"/>
      <c r="R60" s="359" t="s">
        <v>624</v>
      </c>
      <c r="S60" s="137"/>
      <c r="T60" s="361" t="s">
        <v>755</v>
      </c>
      <c r="U60" s="137"/>
      <c r="V60" s="137"/>
      <c r="W60" s="137"/>
      <c r="X60" s="137"/>
      <c r="Y60" s="137"/>
      <c r="Z60" s="137"/>
    </row>
    <row r="61">
      <c r="A61" s="137" t="s">
        <v>627</v>
      </c>
      <c r="B61" s="381" t="s">
        <v>753</v>
      </c>
      <c r="C61" s="361" t="s">
        <v>750</v>
      </c>
      <c r="D61" s="289">
        <f>ROUND((F61*'Pawn Weights'!$E$3)+(G61*'Pawn Weights'!$E$4)+(H61*'Pawn Weights'!$E$5)+(I61*'Pawn Weights'!$E$6)+(J61*'Pawn Weights'!$E$7)+(K61*'Pawn Weights'!$E$8)+(L61*'Pawn Weights'!$E$9)+(M61*'Pawn Weights'!$E$10)+(N61*'Pawn Weights'!$E$11)+(O61*'Pawn Weights'!$E$12)+(P61*'Pawn Weights'!$E$13)+(Q61*'Pawn Weights'!$E$14)+3.636, 2)</f>
        <v>144.13</v>
      </c>
      <c r="E61" s="359">
        <v>43.0</v>
      </c>
      <c r="F61" s="361"/>
      <c r="G61" s="359">
        <v>44.0</v>
      </c>
      <c r="H61" s="359">
        <v>104.0</v>
      </c>
      <c r="I61" s="361"/>
      <c r="J61" s="361"/>
      <c r="K61" s="359">
        <v>44.0</v>
      </c>
      <c r="L61" s="361"/>
      <c r="M61" s="137"/>
      <c r="N61" s="361"/>
      <c r="O61" s="359">
        <v>3.0</v>
      </c>
      <c r="P61" s="361"/>
      <c r="Q61" s="361"/>
      <c r="R61" s="359" t="s">
        <v>745</v>
      </c>
      <c r="S61" s="137"/>
      <c r="T61" s="406" t="s">
        <v>748</v>
      </c>
      <c r="U61" s="137"/>
      <c r="V61" s="137"/>
      <c r="W61" s="137"/>
      <c r="X61" s="137"/>
      <c r="Y61" s="137"/>
      <c r="Z61" s="137"/>
    </row>
    <row r="62">
      <c r="A62" s="292"/>
      <c r="B62" s="305" t="s">
        <v>758</v>
      </c>
      <c r="C62" s="280" t="s">
        <v>642</v>
      </c>
      <c r="D62" s="289">
        <f>ROUND((F62*'Pawn Weights'!$E$3)+(G62*'Pawn Weights'!$E$4)+(H62*'Pawn Weights'!$E$5)+(I62*'Pawn Weights'!$E$6)+(J62*'Pawn Weights'!$E$7)+(K62*'Pawn Weights'!$E$8)+(L62*'Pawn Weights'!$E$9)+(M62*'Pawn Weights'!$E$10)+(N62*'Pawn Weights'!$E$11)+(O62*'Pawn Weights'!$E$12)+(P62*'Pawn Weights'!$E$13)+(Q62*'Pawn Weights'!$E$14), 2)</f>
        <v>138.6</v>
      </c>
      <c r="E62" s="280">
        <v>64.0</v>
      </c>
      <c r="F62" s="280"/>
      <c r="G62" s="280"/>
      <c r="H62" s="280">
        <v>106.0</v>
      </c>
      <c r="I62" s="280">
        <v>46.0</v>
      </c>
      <c r="J62" s="280">
        <v>29.0</v>
      </c>
      <c r="K62" s="280"/>
      <c r="L62" s="280"/>
      <c r="M62" s="281"/>
      <c r="N62" s="280"/>
      <c r="O62" s="280">
        <v>1.0</v>
      </c>
      <c r="P62" s="280">
        <v>1.0</v>
      </c>
      <c r="Q62" s="280">
        <v>1.0</v>
      </c>
      <c r="R62" s="290" t="s">
        <v>745</v>
      </c>
      <c r="S62" s="281"/>
      <c r="T62" s="291"/>
      <c r="U62" s="281"/>
      <c r="V62" s="281"/>
      <c r="W62" s="281"/>
    </row>
    <row r="63">
      <c r="A63" s="292" t="s">
        <v>640</v>
      </c>
      <c r="B63" s="305" t="s">
        <v>757</v>
      </c>
      <c r="C63" s="280" t="s">
        <v>632</v>
      </c>
      <c r="D63" s="289">
        <f>ROUND((F63*'Pawn Weights'!$E$3)+(G63*'Pawn Weights'!$E$4)+(H63*'Pawn Weights'!$E$5)+(I63*'Pawn Weights'!$E$6)+(J63*'Pawn Weights'!$E$7)+(K63*'Pawn Weights'!$E$8)+(L63*'Pawn Weights'!$E$9)+(M63*'Pawn Weights'!$E$10)+(N63*'Pawn Weights'!$E$11)+(O63*'Pawn Weights'!$E$12)+(P63*'Pawn Weights'!$E$13)+(Q63*'Pawn Weights'!$E$14), 2)</f>
        <v>137.46</v>
      </c>
      <c r="E63" s="280">
        <v>54.0</v>
      </c>
      <c r="F63" s="280">
        <v>53.0</v>
      </c>
      <c r="G63" s="280">
        <v>34.0</v>
      </c>
      <c r="H63" s="280"/>
      <c r="I63" s="280"/>
      <c r="J63" s="280">
        <v>16.0</v>
      </c>
      <c r="K63" s="280"/>
      <c r="L63" s="280"/>
      <c r="M63" s="280">
        <v>126.0</v>
      </c>
      <c r="N63" s="280"/>
      <c r="O63" s="280">
        <v>1.0</v>
      </c>
      <c r="P63" s="280"/>
      <c r="Q63" s="280">
        <v>2.0</v>
      </c>
      <c r="R63" s="290" t="s">
        <v>624</v>
      </c>
      <c r="S63" s="281"/>
      <c r="T63" s="291"/>
      <c r="U63" s="281"/>
      <c r="V63" s="281"/>
      <c r="W63" s="281"/>
    </row>
    <row r="64">
      <c r="A64" s="292" t="s">
        <v>644</v>
      </c>
      <c r="B64" s="305" t="s">
        <v>759</v>
      </c>
      <c r="C64" s="280" t="s">
        <v>646</v>
      </c>
      <c r="D64" s="289">
        <f>ROUND((F64*'Pawn Weights'!$E$3)+(G64*'Pawn Weights'!$E$4)+(H64*'Pawn Weights'!$E$5)+(I64*'Pawn Weights'!$E$6)+(J64*'Pawn Weights'!$E$7)+(K64*'Pawn Weights'!$E$8)+(L64*'Pawn Weights'!$E$9)+(M64*'Pawn Weights'!$E$10)+(N64*'Pawn Weights'!$E$11)+(O64*'Pawn Weights'!$E$12)+(P64*'Pawn Weights'!$E$13)+(Q64*'Pawn Weights'!$E$14)-10+9.55+3.64, 2)</f>
        <v>129.72</v>
      </c>
      <c r="E64" s="280">
        <v>67.0</v>
      </c>
      <c r="F64" s="280">
        <v>39.0</v>
      </c>
      <c r="G64" s="280"/>
      <c r="H64" s="280"/>
      <c r="I64" s="280">
        <v>39.0</v>
      </c>
      <c r="J64" s="280">
        <v>12.0</v>
      </c>
      <c r="K64" s="280"/>
      <c r="L64" s="280"/>
      <c r="M64" s="280">
        <v>84.0</v>
      </c>
      <c r="N64" s="280"/>
      <c r="O64" s="280">
        <v>2.0</v>
      </c>
      <c r="P64" s="280">
        <v>1.0</v>
      </c>
      <c r="Q64" s="280"/>
      <c r="R64" s="290" t="s">
        <v>624</v>
      </c>
      <c r="S64" s="281"/>
      <c r="T64" s="291" t="s">
        <v>755</v>
      </c>
      <c r="U64" s="281"/>
      <c r="V64" s="281"/>
      <c r="W64" s="281"/>
    </row>
    <row r="65">
      <c r="A65" s="292" t="s">
        <v>627</v>
      </c>
      <c r="B65" s="305" t="s">
        <v>760</v>
      </c>
      <c r="C65" s="280" t="s">
        <v>761</v>
      </c>
      <c r="D65" s="289">
        <f>ROUND((F65*'Pawn Weights'!$E$3)+(G65*'Pawn Weights'!$E$4)+(H65*'Pawn Weights'!$E$5)+(I65*'Pawn Weights'!$E$6)+(J65*'Pawn Weights'!$E$7)+(K65*'Pawn Weights'!$E$8)+(L65*'Pawn Weights'!$E$9)+(M65*'Pawn Weights'!$E$10)+(N65*'Pawn Weights'!$E$11)+(O65*'Pawn Weights'!$E$12)+(P65*'Pawn Weights'!$E$13)+(Q65*'Pawn Weights'!$E$14), 2)</f>
        <v>123.31</v>
      </c>
      <c r="E65" s="280">
        <v>56.0</v>
      </c>
      <c r="F65" s="280">
        <v>40.0</v>
      </c>
      <c r="G65" s="280"/>
      <c r="H65" s="280"/>
      <c r="I65" s="280">
        <v>41.0</v>
      </c>
      <c r="J65" s="280">
        <v>25.0</v>
      </c>
      <c r="K65" s="280"/>
      <c r="L65" s="280"/>
      <c r="M65" s="281"/>
      <c r="N65" s="280"/>
      <c r="O65" s="280"/>
      <c r="P65" s="280">
        <v>2.0</v>
      </c>
      <c r="Q65" s="280">
        <v>1.0</v>
      </c>
      <c r="R65" s="290" t="s">
        <v>624</v>
      </c>
      <c r="S65" s="281"/>
      <c r="T65" s="291" t="s">
        <v>762</v>
      </c>
      <c r="U65" s="281"/>
      <c r="V65" s="281"/>
      <c r="W65" s="281"/>
    </row>
    <row r="66">
      <c r="A66" s="292"/>
      <c r="B66" s="305" t="s">
        <v>763</v>
      </c>
      <c r="C66" s="280" t="s">
        <v>701</v>
      </c>
      <c r="D66" s="289">
        <f>ROUND((F66*'Pawn Weights'!$E$3)+(G66*'Pawn Weights'!$E$4)+(H66*'Pawn Weights'!$E$5)+(I66*'Pawn Weights'!$E$6)+(J66*'Pawn Weights'!$E$7)+(K66*'Pawn Weights'!$E$8)+(L66*'Pawn Weights'!$E$9)+(M66*'Pawn Weights'!$E$10)+(N66*'Pawn Weights'!$E$11)+(O66*'Pawn Weights'!$E$12)+(P66*'Pawn Weights'!$E$13)+(Q66*'Pawn Weights'!$E$14), 2)</f>
        <v>122.24</v>
      </c>
      <c r="E66" s="280">
        <v>45.0</v>
      </c>
      <c r="F66" s="280">
        <v>63.0</v>
      </c>
      <c r="G66" s="280"/>
      <c r="H66" s="280"/>
      <c r="I66" s="280">
        <v>44.0</v>
      </c>
      <c r="J66" s="280">
        <v>30.0</v>
      </c>
      <c r="K66" s="280"/>
      <c r="L66" s="280"/>
      <c r="M66" s="281"/>
      <c r="N66" s="280"/>
      <c r="O66" s="280"/>
      <c r="P66" s="280"/>
      <c r="Q66" s="280"/>
      <c r="R66" s="290"/>
      <c r="S66" s="281"/>
      <c r="T66" s="291"/>
      <c r="U66" s="281"/>
      <c r="V66" s="281"/>
      <c r="W66" s="281"/>
    </row>
    <row r="67">
      <c r="A67" s="281"/>
      <c r="B67" s="305" t="s">
        <v>764</v>
      </c>
      <c r="C67" s="307" t="s">
        <v>765</v>
      </c>
      <c r="D67" s="289">
        <f>ROUND((F67*'Pawn Weights'!$E$3)+(G67*'Pawn Weights'!$E$4)+(H67*'Pawn Weights'!$E$5)+(I67*'Pawn Weights'!$E$6)+(J67*'Pawn Weights'!$E$7)+(K67*'Pawn Weights'!$E$8)+(L67*'Pawn Weights'!$E$9)+(M67*'Pawn Weights'!$E$10)+(N67*'Pawn Weights'!$E$11)+(O67*'Pawn Weights'!$E$12)+(P67*'Pawn Weights'!$E$13)+(Q67*'Pawn Weights'!$E$14), 2)</f>
        <v>121.85</v>
      </c>
      <c r="E67" s="280">
        <v>24.0</v>
      </c>
      <c r="F67" s="280"/>
      <c r="G67" s="280"/>
      <c r="H67" s="280">
        <v>92.0</v>
      </c>
      <c r="I67" s="280">
        <v>36.0</v>
      </c>
      <c r="J67" s="280">
        <v>27.0</v>
      </c>
      <c r="K67" s="280"/>
      <c r="L67" s="280"/>
      <c r="M67" s="281"/>
      <c r="N67" s="280"/>
      <c r="O67" s="280"/>
      <c r="P67" s="280">
        <v>2.0</v>
      </c>
      <c r="Q67" s="280">
        <v>1.0</v>
      </c>
      <c r="R67" s="290" t="s">
        <v>745</v>
      </c>
      <c r="S67" s="281"/>
      <c r="T67" s="291"/>
      <c r="U67" s="281"/>
      <c r="V67" s="281"/>
      <c r="W67" s="281"/>
    </row>
    <row r="68">
      <c r="A68" s="292" t="s">
        <v>647</v>
      </c>
      <c r="B68" s="305" t="s">
        <v>766</v>
      </c>
      <c r="C68" s="280" t="s">
        <v>741</v>
      </c>
      <c r="D68" s="289">
        <f>ROUND((F68*'Pawn Weights'!$E$3)+(G68*'Pawn Weights'!$E$4)+(H68*'Pawn Weights'!$E$5)+(I68*'Pawn Weights'!$E$6)+(J68*'Pawn Weights'!$E$7)+(K68*'Pawn Weights'!$E$8)+(L68*'Pawn Weights'!$E$9)+(M68*'Pawn Weights'!$E$10)+(N68*'Pawn Weights'!$E$11)+(O68*'Pawn Weights'!$E$12)+(P68*'Pawn Weights'!$E$13)+(Q68*'Pawn Weights'!$E$14), 2)</f>
        <v>119.63</v>
      </c>
      <c r="E68" s="280">
        <v>48.0</v>
      </c>
      <c r="F68" s="280">
        <v>50.0</v>
      </c>
      <c r="G68" s="280"/>
      <c r="H68" s="280"/>
      <c r="I68" s="280">
        <v>33.0</v>
      </c>
      <c r="J68" s="280">
        <v>15.0</v>
      </c>
      <c r="K68" s="280"/>
      <c r="L68" s="280"/>
      <c r="M68" s="281"/>
      <c r="N68" s="280"/>
      <c r="O68" s="280">
        <v>1.0</v>
      </c>
      <c r="P68" s="280">
        <v>1.0</v>
      </c>
      <c r="Q68" s="280">
        <v>1.0</v>
      </c>
      <c r="R68" s="290" t="s">
        <v>643</v>
      </c>
      <c r="S68" s="281"/>
      <c r="T68" s="291"/>
      <c r="U68" s="281"/>
      <c r="V68" s="281"/>
      <c r="W68" s="281"/>
    </row>
    <row r="69">
      <c r="A69" s="292"/>
      <c r="B69" s="305" t="s">
        <v>767</v>
      </c>
      <c r="C69" s="280" t="s">
        <v>665</v>
      </c>
      <c r="D69" s="289">
        <f>ROUND((F69*'Pawn Weights'!$E$3)+(G69*'Pawn Weights'!$E$4)+(H69*'Pawn Weights'!$E$5)+(I69*'Pawn Weights'!$E$6)+(J69*'Pawn Weights'!$E$7)+(K69*'Pawn Weights'!$E$8)+(L69*'Pawn Weights'!$E$9)+(M69*'Pawn Weights'!$E$10)+(N69*'Pawn Weights'!$E$11)+(O69*'Pawn Weights'!$E$12)+(P69*'Pawn Weights'!$E$13)+(Q69*'Pawn Weights'!$E$14), 2)</f>
        <v>115.5</v>
      </c>
      <c r="E69" s="280">
        <v>52.0</v>
      </c>
      <c r="F69" s="280"/>
      <c r="G69" s="280">
        <v>36.0</v>
      </c>
      <c r="H69" s="280">
        <v>86.0</v>
      </c>
      <c r="I69" s="280"/>
      <c r="J69" s="280">
        <v>35.0</v>
      </c>
      <c r="K69" s="280"/>
      <c r="L69" s="280"/>
      <c r="M69" s="281"/>
      <c r="N69" s="280"/>
      <c r="O69" s="280">
        <v>1.0</v>
      </c>
      <c r="P69" s="280">
        <v>1.0</v>
      </c>
      <c r="Q69" s="280">
        <v>1.0</v>
      </c>
      <c r="R69" s="290" t="s">
        <v>745</v>
      </c>
      <c r="S69" s="281"/>
      <c r="T69" s="291"/>
      <c r="U69" s="281"/>
      <c r="V69" s="281"/>
      <c r="W69" s="281"/>
    </row>
    <row r="70">
      <c r="A70" s="292" t="s">
        <v>627</v>
      </c>
      <c r="B70" s="305" t="s">
        <v>770</v>
      </c>
      <c r="C70" s="280" t="s">
        <v>771</v>
      </c>
      <c r="D70" s="289">
        <f>ROUND((F70*'Pawn Weights'!$E$3)+(G70*'Pawn Weights'!$E$4)+(H70*'Pawn Weights'!$E$5)+(I70*'Pawn Weights'!$E$6)+(J70*'Pawn Weights'!$E$7)+(K70*'Pawn Weights'!$E$8)+(L70*'Pawn Weights'!$E$9)+(M70*'Pawn Weights'!$E$10)+(N70*'Pawn Weights'!$E$11)+(O70*'Pawn Weights'!$E$12)+(P70*'Pawn Weights'!$E$13)+(Q70*'Pawn Weights'!$E$14), 2)</f>
        <v>113.39</v>
      </c>
      <c r="E70" s="280">
        <v>55.0</v>
      </c>
      <c r="F70" s="280">
        <v>35.0</v>
      </c>
      <c r="G70" s="280"/>
      <c r="H70" s="280"/>
      <c r="I70" s="280">
        <v>37.0</v>
      </c>
      <c r="J70" s="280">
        <v>23.0</v>
      </c>
      <c r="K70" s="280"/>
      <c r="L70" s="280"/>
      <c r="M70" s="281"/>
      <c r="N70" s="280"/>
      <c r="O70" s="280"/>
      <c r="P70" s="280">
        <v>2.0</v>
      </c>
      <c r="Q70" s="280">
        <v>1.0</v>
      </c>
      <c r="R70" s="290" t="s">
        <v>624</v>
      </c>
      <c r="S70" s="281"/>
      <c r="T70" s="291" t="s">
        <v>762</v>
      </c>
      <c r="U70" s="281"/>
      <c r="V70" s="281"/>
      <c r="W70" s="281"/>
    </row>
    <row r="71">
      <c r="A71" s="295"/>
      <c r="B71" s="308" t="s">
        <v>772</v>
      </c>
      <c r="C71" s="297" t="s">
        <v>773</v>
      </c>
      <c r="D71" s="289">
        <f>ROUND((F71*'Pawn Weights'!$E$3)+(G71*'Pawn Weights'!$E$4)+(H71*'Pawn Weights'!$E$5)+(I71*'Pawn Weights'!$E$6)+(J71*'Pawn Weights'!$E$7)+(K71*'Pawn Weights'!$E$8)+(L71*'Pawn Weights'!$E$9)+(M71*'Pawn Weights'!$E$10)+(N71*'Pawn Weights'!$E$11)+(O71*'Pawn Weights'!$E$12)+(P71*'Pawn Weights'!$E$13)+(Q71*'Pawn Weights'!$E$14), 2)</f>
        <v>112.82</v>
      </c>
      <c r="E71" s="298">
        <v>42.0</v>
      </c>
      <c r="F71" s="298">
        <v>44.0</v>
      </c>
      <c r="G71" s="297"/>
      <c r="H71" s="297"/>
      <c r="I71" s="298">
        <v>30.0</v>
      </c>
      <c r="J71" s="298">
        <v>18.0</v>
      </c>
      <c r="K71" s="297"/>
      <c r="L71" s="297"/>
      <c r="M71" s="137"/>
      <c r="N71" s="297"/>
      <c r="O71" s="298">
        <v>1.0</v>
      </c>
      <c r="P71" s="298">
        <v>1.0</v>
      </c>
      <c r="Q71" s="298">
        <v>1.0</v>
      </c>
      <c r="R71" s="298" t="s">
        <v>643</v>
      </c>
      <c r="S71" s="137"/>
      <c r="T71" s="295"/>
      <c r="U71" s="137"/>
      <c r="V71" s="137"/>
      <c r="W71" s="137"/>
      <c r="X71" s="137"/>
      <c r="Y71" s="137"/>
      <c r="Z71" s="137"/>
    </row>
    <row r="72">
      <c r="A72" s="292"/>
      <c r="B72" s="305" t="s">
        <v>776</v>
      </c>
      <c r="C72" s="280" t="s">
        <v>739</v>
      </c>
      <c r="D72" s="289">
        <f>ROUND((F72*'Pawn Weights'!$E$3)+(G72*'Pawn Weights'!$E$4)+(H72*'Pawn Weights'!$E$5)+(I72*'Pawn Weights'!$E$6)+(J72*'Pawn Weights'!$E$7)+(K72*'Pawn Weights'!$E$8)+(L72*'Pawn Weights'!$E$9)+(M72*'Pawn Weights'!$E$10)+(N72*'Pawn Weights'!$E$11)+(O72*'Pawn Weights'!$E$12)+(P72*'Pawn Weights'!$E$13)+(Q72*'Pawn Weights'!$E$14)-20+19.1+3.64, 2)</f>
        <v>112.56</v>
      </c>
      <c r="E72" s="280"/>
      <c r="F72" s="280"/>
      <c r="G72" s="280"/>
      <c r="H72" s="280">
        <v>96.0</v>
      </c>
      <c r="I72" s="280">
        <v>25.0</v>
      </c>
      <c r="J72" s="280">
        <v>21.0</v>
      </c>
      <c r="K72" s="280"/>
      <c r="L72" s="280"/>
      <c r="M72" s="281"/>
      <c r="N72" s="280"/>
      <c r="O72" s="280">
        <v>1.0</v>
      </c>
      <c r="P72" s="280">
        <v>2.0</v>
      </c>
      <c r="Q72" s="280"/>
      <c r="R72" s="290" t="s">
        <v>624</v>
      </c>
      <c r="S72" s="281"/>
      <c r="T72" s="291"/>
      <c r="U72" s="281"/>
      <c r="V72" s="281"/>
      <c r="W72" s="281"/>
    </row>
    <row r="73">
      <c r="A73" s="295"/>
      <c r="B73" s="308" t="s">
        <v>774</v>
      </c>
      <c r="C73" s="297" t="s">
        <v>775</v>
      </c>
      <c r="D73" s="289">
        <f>ROUND((F73*'Pawn Weights'!$E$3)+(G73*'Pawn Weights'!$E$4)+(H73*'Pawn Weights'!$E$5)+(I73*'Pawn Weights'!$E$6)+(J73*'Pawn Weights'!$E$7)+(K73*'Pawn Weights'!$E$8)+(L73*'Pawn Weights'!$E$9)+(M73*'Pawn Weights'!$E$10)+(N73*'Pawn Weights'!$E$11)+(O73*'Pawn Weights'!$E$12)+(P73*'Pawn Weights'!$E$13)+(Q73*'Pawn Weights'!$E$14)-10+9.55+1.818, 2)</f>
        <v>108.33</v>
      </c>
      <c r="E73" s="298">
        <v>39.0</v>
      </c>
      <c r="F73" s="297"/>
      <c r="G73" s="298">
        <v>47.0</v>
      </c>
      <c r="H73" s="298">
        <v>102.0</v>
      </c>
      <c r="I73" s="297"/>
      <c r="J73" s="297"/>
      <c r="K73" s="298">
        <v>25.0</v>
      </c>
      <c r="L73" s="297"/>
      <c r="M73" s="137"/>
      <c r="N73" s="297"/>
      <c r="O73" s="297"/>
      <c r="P73" s="298">
        <v>1.0</v>
      </c>
      <c r="Q73" s="297"/>
      <c r="R73" s="298" t="s">
        <v>660</v>
      </c>
      <c r="S73" s="137"/>
      <c r="T73" s="295"/>
      <c r="U73" s="137"/>
      <c r="V73" s="137"/>
      <c r="W73" s="137"/>
      <c r="X73" s="137"/>
      <c r="Y73" s="137"/>
      <c r="Z73" s="137"/>
    </row>
    <row r="74">
      <c r="A74" s="292" t="s">
        <v>1068</v>
      </c>
      <c r="B74" s="305" t="s">
        <v>1087</v>
      </c>
      <c r="C74" s="280" t="s">
        <v>997</v>
      </c>
      <c r="D74" s="289">
        <f>ROUND((F74*'Pawn Weights'!$E$3)+(G74*'Pawn Weights'!$E$4)+(H74*'Pawn Weights'!$E$5)+(I74*'Pawn Weights'!$E$6)+(J74*'Pawn Weights'!$E$7)+(K74*'Pawn Weights'!$E$8)+(L74*'Pawn Weights'!$E$9)+(M74*'Pawn Weights'!$E$10)+(N74*'Pawn Weights'!$E$11)+(O74*'Pawn Weights'!$E$12)+(P74*'Pawn Weights'!$E$13)+(Q74*'Pawn Weights'!$E$14)-10+9.55+3.64, 2)</f>
        <v>109</v>
      </c>
      <c r="E74" s="280">
        <v>60.0</v>
      </c>
      <c r="F74" s="280">
        <v>35.0</v>
      </c>
      <c r="G74" s="280"/>
      <c r="H74" s="280"/>
      <c r="I74" s="280">
        <v>35.0</v>
      </c>
      <c r="J74" s="280">
        <v>14.0</v>
      </c>
      <c r="K74" s="280"/>
      <c r="L74" s="280"/>
      <c r="M74" s="281"/>
      <c r="N74" s="280"/>
      <c r="O74" s="280">
        <v>2.0</v>
      </c>
      <c r="P74" s="280">
        <v>1.0</v>
      </c>
      <c r="Q74" s="280"/>
      <c r="R74" s="290" t="s">
        <v>624</v>
      </c>
      <c r="S74" s="281"/>
      <c r="T74" s="291" t="s">
        <v>755</v>
      </c>
      <c r="U74" s="281"/>
      <c r="V74" s="281"/>
      <c r="W74" s="281"/>
    </row>
    <row r="75">
      <c r="A75" s="281"/>
      <c r="B75" s="305" t="s">
        <v>1086</v>
      </c>
      <c r="C75" s="307" t="s">
        <v>649</v>
      </c>
      <c r="D75" s="289">
        <f>ROUND((F75*'Pawn Weights'!$E$3)+(G75*'Pawn Weights'!$E$4)+(H75*'Pawn Weights'!$E$5)+(I75*'Pawn Weights'!$E$6)+(J75*'Pawn Weights'!$E$7)+(K75*'Pawn Weights'!$E$8)+(L75*'Pawn Weights'!$E$9)+(M75*'Pawn Weights'!$E$10)+(N75*'Pawn Weights'!$E$11)+(O75*'Pawn Weights'!$E$12)+(P75*'Pawn Weights'!$E$13)+(Q75*'Pawn Weights'!$E$14), 2)</f>
        <v>108.88</v>
      </c>
      <c r="E75" s="280">
        <v>42.0</v>
      </c>
      <c r="F75" s="280">
        <v>61.0</v>
      </c>
      <c r="G75" s="280">
        <v>43.0</v>
      </c>
      <c r="H75" s="280"/>
      <c r="I75" s="280"/>
      <c r="J75" s="280">
        <v>30.0</v>
      </c>
      <c r="K75" s="280"/>
      <c r="L75" s="280"/>
      <c r="M75" s="281"/>
      <c r="N75" s="280"/>
      <c r="O75" s="280"/>
      <c r="P75" s="280"/>
      <c r="Q75" s="280"/>
      <c r="R75" s="290"/>
      <c r="S75" s="281"/>
      <c r="T75" s="291"/>
      <c r="U75" s="281"/>
      <c r="V75" s="281"/>
      <c r="W75" s="281"/>
    </row>
    <row r="76" ht="1.5" customHeight="1">
      <c r="A76" s="292"/>
      <c r="B76" s="305" t="s">
        <v>1401</v>
      </c>
      <c r="C76" s="280" t="s">
        <v>642</v>
      </c>
      <c r="D76" s="289">
        <f>ROUND((F76*'Pawn Weights'!$E$3)+(G76*'Pawn Weights'!$E$4)+(H76*'Pawn Weights'!$E$5)+(I76*'Pawn Weights'!$E$6)+(J76*'Pawn Weights'!$E$7)+(K76*'Pawn Weights'!$E$8)+(L76*'Pawn Weights'!$E$9)+(M76*'Pawn Weights'!$E$10)+(N76*'Pawn Weights'!$E$11)+(O76*'Pawn Weights'!$E$12)+(P76*'Pawn Weights'!$E$13)+(Q76*'Pawn Weights'!$E$14), 2)</f>
        <v>108.16</v>
      </c>
      <c r="E76" s="280">
        <v>66.0</v>
      </c>
      <c r="F76" s="280"/>
      <c r="G76" s="280">
        <v>49.0</v>
      </c>
      <c r="H76" s="280">
        <v>108.0</v>
      </c>
      <c r="I76" s="280">
        <v>29.0</v>
      </c>
      <c r="J76" s="280"/>
      <c r="K76" s="280"/>
      <c r="L76" s="280"/>
      <c r="M76" s="281"/>
      <c r="N76" s="280"/>
      <c r="O76" s="280"/>
      <c r="P76" s="280"/>
      <c r="Q76" s="280"/>
      <c r="R76" s="290"/>
      <c r="S76" s="281"/>
      <c r="T76" s="291"/>
      <c r="U76" s="281"/>
      <c r="V76" s="281"/>
      <c r="W76" s="281"/>
    </row>
    <row r="77" ht="1.5" customHeight="1">
      <c r="A77" s="295"/>
      <c r="B77" s="308" t="s">
        <v>777</v>
      </c>
      <c r="C77" s="297" t="s">
        <v>775</v>
      </c>
      <c r="D77" s="289">
        <f>ROUND((F77*'Pawn Weights'!$E$3)+(G77*'Pawn Weights'!$E$4)+(H77*'Pawn Weights'!$E$5)+(I77*'Pawn Weights'!$E$6)+(J77*'Pawn Weights'!$E$7)+(K77*'Pawn Weights'!$E$8)+(L77*'Pawn Weights'!$E$9)+(M77*'Pawn Weights'!$E$10)+(N77*'Pawn Weights'!$E$11)+(O77*'Pawn Weights'!$E$12)+(P77*'Pawn Weights'!$E$13)+(Q77*'Pawn Weights'!$E$14), 2)</f>
        <v>107.47</v>
      </c>
      <c r="E77" s="298">
        <v>51.0</v>
      </c>
      <c r="F77" s="297"/>
      <c r="G77" s="298">
        <v>44.0</v>
      </c>
      <c r="H77" s="298">
        <v>102.0</v>
      </c>
      <c r="I77" s="297"/>
      <c r="J77" s="298">
        <v>34.0</v>
      </c>
      <c r="K77" s="297"/>
      <c r="L77" s="297"/>
      <c r="M77" s="137"/>
      <c r="N77" s="297"/>
      <c r="O77" s="298">
        <v>1.0</v>
      </c>
      <c r="P77" s="297"/>
      <c r="Q77" s="297"/>
      <c r="R77" s="298" t="s">
        <v>674</v>
      </c>
      <c r="S77" s="137"/>
      <c r="T77" s="295"/>
      <c r="U77" s="137"/>
      <c r="V77" s="137"/>
      <c r="W77" s="137"/>
      <c r="X77" s="137"/>
      <c r="Y77" s="137"/>
      <c r="Z77" s="137"/>
    </row>
    <row r="78">
      <c r="A78" s="301"/>
      <c r="B78" s="305" t="s">
        <v>1333</v>
      </c>
      <c r="C78" s="280" t="s">
        <v>710</v>
      </c>
      <c r="D78" s="289">
        <f>ROUND((F78*'Pawn Weights'!$E$3)+(G78*'Pawn Weights'!$E$4)+(H78*'Pawn Weights'!$E$5)+(I78*'Pawn Weights'!$E$6)+(J78*'Pawn Weights'!$E$7)+(K78*'Pawn Weights'!$E$8)+(L78*'Pawn Weights'!$E$9)+(M78*'Pawn Weights'!$E$10)+(N78*'Pawn Weights'!$E$11)+(O78*'Pawn Weights'!$E$12)+(P78*'Pawn Weights'!$E$13)+(Q78*'Pawn Weights'!$E$14), 2)</f>
        <v>106.75</v>
      </c>
      <c r="E78" s="280">
        <v>19.0</v>
      </c>
      <c r="F78" s="280"/>
      <c r="G78" s="280">
        <v>36.0</v>
      </c>
      <c r="H78" s="280">
        <v>88.0</v>
      </c>
      <c r="I78" s="280">
        <v>14.0</v>
      </c>
      <c r="J78" s="280"/>
      <c r="K78" s="280"/>
      <c r="L78" s="280"/>
      <c r="M78" s="281"/>
      <c r="N78" s="280"/>
      <c r="O78" s="280">
        <v>1.0</v>
      </c>
      <c r="P78" s="280">
        <v>1.0</v>
      </c>
      <c r="Q78" s="280">
        <v>1.0</v>
      </c>
      <c r="R78" s="290" t="s">
        <v>622</v>
      </c>
      <c r="S78" s="281"/>
      <c r="T78" s="291"/>
      <c r="U78" s="281"/>
      <c r="V78" s="281"/>
      <c r="W78" s="281"/>
    </row>
    <row r="79">
      <c r="A79" s="292" t="s">
        <v>627</v>
      </c>
      <c r="B79" s="305" t="s">
        <v>1418</v>
      </c>
      <c r="C79" s="280" t="s">
        <v>1419</v>
      </c>
      <c r="D79" s="289">
        <f>ROUND((F79*'Pawn Weights'!$E$3)+(G79*'Pawn Weights'!$E$4)+(H79*'Pawn Weights'!$E$5)+(I79*'Pawn Weights'!$E$6)+(J79*'Pawn Weights'!$E$7)+(K79*'Pawn Weights'!$E$8)+(L79*'Pawn Weights'!$E$9)+(M79*'Pawn Weights'!$E$10)+(N79*'Pawn Weights'!$E$11)+(O79*'Pawn Weights'!$E$12)+(P79*'Pawn Weights'!$E$13)+(Q79*'Pawn Weights'!$E$14), 2)</f>
        <v>102.01</v>
      </c>
      <c r="E79" s="280">
        <v>46.0</v>
      </c>
      <c r="F79" s="280">
        <v>31.0</v>
      </c>
      <c r="G79" s="280"/>
      <c r="H79" s="280"/>
      <c r="I79" s="280">
        <v>31.0</v>
      </c>
      <c r="J79" s="280">
        <v>20.0</v>
      </c>
      <c r="K79" s="280"/>
      <c r="L79" s="280"/>
      <c r="M79" s="281"/>
      <c r="N79" s="280"/>
      <c r="O79" s="280"/>
      <c r="P79" s="280">
        <v>2.0</v>
      </c>
      <c r="Q79" s="280">
        <v>1.0</v>
      </c>
      <c r="R79" s="290" t="s">
        <v>624</v>
      </c>
      <c r="S79" s="281"/>
      <c r="T79" s="291"/>
      <c r="U79" s="281"/>
      <c r="V79" s="281"/>
      <c r="W79" s="281"/>
    </row>
    <row r="80">
      <c r="A80" s="295"/>
      <c r="B80" s="308" t="s">
        <v>1404</v>
      </c>
      <c r="C80" s="297" t="s">
        <v>1399</v>
      </c>
      <c r="D80" s="289">
        <f>ROUND((F80*'Pawn Weights'!$E$3)+(G80*'Pawn Weights'!$E$4)+(H80*'Pawn Weights'!$E$5)+(I80*'Pawn Weights'!$E$6)+(J80*'Pawn Weights'!$E$7)+(K80*'Pawn Weights'!$E$8)+(L80*'Pawn Weights'!$E$9)+(M80*'Pawn Weights'!$E$10)+(N80*'Pawn Weights'!$E$11)+(O80*'Pawn Weights'!$E$12)+(P80*'Pawn Weights'!$E$13)+(Q80*'Pawn Weights'!$E$14), 2)</f>
        <v>101.67</v>
      </c>
      <c r="E80" s="298">
        <v>36.0</v>
      </c>
      <c r="F80" s="298">
        <v>46.0</v>
      </c>
      <c r="G80" s="298">
        <v>45.0</v>
      </c>
      <c r="H80" s="297"/>
      <c r="I80" s="297"/>
      <c r="J80" s="297"/>
      <c r="K80" s="297"/>
      <c r="L80" s="297"/>
      <c r="M80" s="359">
        <v>150.0</v>
      </c>
      <c r="N80" s="297"/>
      <c r="O80" s="297"/>
      <c r="P80" s="297"/>
      <c r="Q80" s="297"/>
      <c r="R80" s="295"/>
      <c r="S80" s="137"/>
      <c r="T80" s="295"/>
      <c r="U80" s="137"/>
      <c r="V80" s="137"/>
      <c r="W80" s="137"/>
      <c r="X80" s="137"/>
      <c r="Y80" s="137"/>
      <c r="Z80" s="137"/>
    </row>
    <row r="81">
      <c r="A81" s="295"/>
      <c r="B81" s="308" t="s">
        <v>778</v>
      </c>
      <c r="C81" s="297" t="s">
        <v>775</v>
      </c>
      <c r="D81" s="289">
        <f>ROUND((F81*'Pawn Weights'!$E$3)+(G81*'Pawn Weights'!$E$4)+(H81*'Pawn Weights'!$E$5)+(I81*'Pawn Weights'!$E$6)+(J81*'Pawn Weights'!$E$7)+(K81*'Pawn Weights'!$E$8)+(L81*'Pawn Weights'!$E$9)+(M81*'Pawn Weights'!$E$10)+(N81*'Pawn Weights'!$E$11)+(O81*'Pawn Weights'!$E$12)+(P81*'Pawn Weights'!$E$13)+(Q81*'Pawn Weights'!$E$14), 2)</f>
        <v>101.27</v>
      </c>
      <c r="E81" s="298">
        <v>65.0</v>
      </c>
      <c r="F81" s="298">
        <v>52.0</v>
      </c>
      <c r="G81" s="297"/>
      <c r="H81" s="297"/>
      <c r="I81" s="297"/>
      <c r="J81" s="297"/>
      <c r="K81" s="298">
        <v>51.0</v>
      </c>
      <c r="L81" s="297"/>
      <c r="M81" s="361"/>
      <c r="N81" s="297"/>
      <c r="O81" s="298">
        <v>1.0</v>
      </c>
      <c r="P81" s="297"/>
      <c r="Q81" s="297"/>
      <c r="R81" s="298" t="s">
        <v>674</v>
      </c>
      <c r="S81" s="137"/>
      <c r="T81" s="295"/>
      <c r="U81" s="137"/>
      <c r="V81" s="137"/>
      <c r="W81" s="137"/>
      <c r="X81" s="137"/>
      <c r="Y81" s="137"/>
      <c r="Z81" s="137"/>
    </row>
    <row r="82">
      <c r="A82" s="292" t="s">
        <v>654</v>
      </c>
      <c r="B82" s="305" t="s">
        <v>1420</v>
      </c>
      <c r="C82" s="280" t="s">
        <v>1163</v>
      </c>
      <c r="D82" s="289">
        <f>ROUND((F82*'Pawn Weights'!$E$3)+(G82*'Pawn Weights'!$E$4)+(H82*'Pawn Weights'!$E$5)+(I82*'Pawn Weights'!$E$6)+(J82*'Pawn Weights'!$E$7)+(K82*'Pawn Weights'!$E$8)+(L82*'Pawn Weights'!$E$9)+(M82*'Pawn Weights'!$E$10)+(N82*'Pawn Weights'!$E$11)+(O82*'Pawn Weights'!$E$12)+(P82*'Pawn Weights'!$E$13)+(Q82*'Pawn Weights'!$E$14), 2)</f>
        <v>97.66</v>
      </c>
      <c r="E82" s="280">
        <v>39.0</v>
      </c>
      <c r="F82" s="280">
        <v>44.0</v>
      </c>
      <c r="G82" s="280"/>
      <c r="H82" s="280"/>
      <c r="I82" s="280">
        <v>26.0</v>
      </c>
      <c r="J82" s="280"/>
      <c r="K82" s="280"/>
      <c r="L82" s="280"/>
      <c r="M82" s="281"/>
      <c r="N82" s="280"/>
      <c r="O82" s="280"/>
      <c r="P82" s="280">
        <v>1.0</v>
      </c>
      <c r="Q82" s="280">
        <v>2.0</v>
      </c>
      <c r="R82" s="290" t="s">
        <v>624</v>
      </c>
      <c r="S82" s="281"/>
      <c r="T82" s="291" t="s">
        <v>1421</v>
      </c>
      <c r="U82" s="281"/>
      <c r="V82" s="281"/>
      <c r="W82" s="281"/>
    </row>
    <row r="83">
      <c r="A83" s="301" t="s">
        <v>627</v>
      </c>
      <c r="B83" s="305" t="s">
        <v>1422</v>
      </c>
      <c r="C83" s="280" t="s">
        <v>1423</v>
      </c>
      <c r="D83" s="289">
        <f>ROUND((F83*'Pawn Weights'!$E$3)+(G83*'Pawn Weights'!$E$4)+(H83*'Pawn Weights'!$E$5)+(I83*'Pawn Weights'!$E$6)+(J83*'Pawn Weights'!$E$7)+(K83*'Pawn Weights'!$E$8)+(L83*'Pawn Weights'!$E$9)+(M83*'Pawn Weights'!$E$10)+(N83*'Pawn Weights'!$E$11)+(O83*'Pawn Weights'!$E$12)+(P83*'Pawn Weights'!$E$13)+(Q83*'Pawn Weights'!$E$14), 2)</f>
        <v>93.8</v>
      </c>
      <c r="E83" s="280">
        <v>12.0</v>
      </c>
      <c r="F83" s="280">
        <v>32.0</v>
      </c>
      <c r="G83" s="280">
        <v>40.0</v>
      </c>
      <c r="H83" s="280"/>
      <c r="I83" s="280"/>
      <c r="J83" s="280">
        <v>8.0</v>
      </c>
      <c r="K83" s="280"/>
      <c r="L83" s="280"/>
      <c r="M83" s="281"/>
      <c r="N83" s="280"/>
      <c r="O83" s="280">
        <v>1.0</v>
      </c>
      <c r="P83" s="280">
        <v>1.0</v>
      </c>
      <c r="Q83" s="280">
        <v>1.0</v>
      </c>
      <c r="R83" s="290" t="s">
        <v>622</v>
      </c>
      <c r="S83" s="281"/>
      <c r="T83" s="291"/>
      <c r="U83" s="281"/>
      <c r="V83" s="281"/>
      <c r="W83" s="281"/>
    </row>
    <row r="84">
      <c r="A84" s="292"/>
      <c r="B84" s="305" t="s">
        <v>1424</v>
      </c>
      <c r="C84" s="280" t="s">
        <v>857</v>
      </c>
      <c r="D84" s="289">
        <f>ROUND((F84*'Pawn Weights'!$E$3)+(G84*'Pawn Weights'!$E$4)+(H84*'Pawn Weights'!$E$5)+(I84*'Pawn Weights'!$E$6)+(J84*'Pawn Weights'!$E$7)+(K84*'Pawn Weights'!$E$8)+(L84*'Pawn Weights'!$E$9)+(M84*'Pawn Weights'!$E$10)+(N84*'Pawn Weights'!$E$11)+(O84*'Pawn Weights'!$E$12)+(P84*'Pawn Weights'!$E$13)+(Q84*'Pawn Weights'!$E$14), 2)</f>
        <v>91.41</v>
      </c>
      <c r="E84" s="280">
        <v>27.0</v>
      </c>
      <c r="F84" s="280"/>
      <c r="G84" s="280">
        <v>58.0</v>
      </c>
      <c r="H84" s="280">
        <v>116.0</v>
      </c>
      <c r="I84" s="280"/>
      <c r="J84" s="280"/>
      <c r="K84" s="280"/>
      <c r="L84" s="280"/>
      <c r="M84" s="281"/>
      <c r="N84" s="280"/>
      <c r="O84" s="280"/>
      <c r="P84" s="280"/>
      <c r="Q84" s="280"/>
      <c r="R84" s="290"/>
      <c r="S84" s="281"/>
      <c r="T84" s="291"/>
      <c r="U84" s="281"/>
      <c r="V84" s="281"/>
      <c r="W84" s="281"/>
    </row>
    <row r="85">
      <c r="A85" s="272" t="s">
        <v>779</v>
      </c>
      <c r="B85" s="281"/>
      <c r="C85" s="281"/>
      <c r="D85" s="360"/>
      <c r="E85" s="281"/>
      <c r="F85" s="281"/>
      <c r="G85" s="281"/>
      <c r="H85" s="281"/>
      <c r="I85" s="281"/>
      <c r="J85" s="281"/>
      <c r="K85" s="281"/>
      <c r="L85" s="281"/>
      <c r="M85" s="281"/>
      <c r="N85" s="281"/>
      <c r="O85" s="281"/>
      <c r="P85" s="281"/>
      <c r="Q85" s="281"/>
      <c r="R85" s="282"/>
      <c r="S85" s="281"/>
      <c r="T85" s="285"/>
      <c r="U85" s="281"/>
      <c r="V85" s="281"/>
      <c r="W85" s="281"/>
    </row>
    <row r="86">
      <c r="A86" s="281"/>
      <c r="B86" s="288" t="s">
        <v>782</v>
      </c>
      <c r="C86" s="280" t="s">
        <v>706</v>
      </c>
      <c r="D86" s="289">
        <f>ROUND((F86*'Pawn Weights'!$E$3)+(G86*'Pawn Weights'!$E$4)+(H86*'Pawn Weights'!$E$5)+(I86*'Pawn Weights'!$E$6)+(J86*'Pawn Weights'!$E$7)+(K86*'Pawn Weights'!$E$8)+(L86*'Pawn Weights'!$E$9)+(M86*'Pawn Weights'!$E$10)+(N86*'Pawn Weights'!$E$11)+(O86*'Pawn Weights'!$E$12)+(P86*'Pawn Weights'!$E$13)+(Q86*'Pawn Weights'!$E$14), 2)</f>
        <v>69.52</v>
      </c>
      <c r="E86" s="280">
        <v>28.0</v>
      </c>
      <c r="F86" s="280"/>
      <c r="G86" s="280"/>
      <c r="H86" s="280">
        <v>58.0</v>
      </c>
      <c r="I86" s="280">
        <v>28.0</v>
      </c>
      <c r="J86" s="280">
        <v>12.0</v>
      </c>
      <c r="K86" s="280"/>
      <c r="L86" s="280"/>
      <c r="M86" s="280"/>
      <c r="N86" s="280"/>
      <c r="O86" s="280"/>
      <c r="P86" s="280">
        <v>1.0</v>
      </c>
      <c r="Q86" s="280"/>
      <c r="R86" s="290" t="s">
        <v>674</v>
      </c>
      <c r="S86" s="281"/>
      <c r="T86" s="222"/>
      <c r="U86" s="281"/>
      <c r="V86" s="281"/>
      <c r="W86" s="281"/>
      <c r="X86" s="281"/>
    </row>
    <row r="87">
      <c r="A87" s="281"/>
      <c r="B87" s="288" t="s">
        <v>783</v>
      </c>
      <c r="C87" s="280" t="s">
        <v>683</v>
      </c>
      <c r="D87" s="289">
        <f>ROUND((F87*'Pawn Weights'!$E$3)+(G87*'Pawn Weights'!$E$4)+(H87*'Pawn Weights'!$E$5)+(I87*'Pawn Weights'!$E$6)+(J87*'Pawn Weights'!$E$7)+(K87*'Pawn Weights'!$E$8)+(L87*'Pawn Weights'!$E$9)+(M87*'Pawn Weights'!$E$10)+(N87*'Pawn Weights'!$E$11)+(O87*'Pawn Weights'!$E$12)+(P87*'Pawn Weights'!$E$13)+(Q87*'Pawn Weights'!$E$14), 2)</f>
        <v>67.72</v>
      </c>
      <c r="E87" s="280">
        <v>12.0</v>
      </c>
      <c r="F87" s="280">
        <v>25.0</v>
      </c>
      <c r="G87" s="280"/>
      <c r="H87" s="280"/>
      <c r="I87" s="280">
        <v>24.0</v>
      </c>
      <c r="J87" s="280">
        <v>17.0</v>
      </c>
      <c r="K87" s="280"/>
      <c r="L87" s="280"/>
      <c r="M87" s="280"/>
      <c r="N87" s="280"/>
      <c r="O87" s="280"/>
      <c r="P87" s="280"/>
      <c r="Q87" s="280">
        <v>1.0</v>
      </c>
      <c r="R87" s="290" t="s">
        <v>784</v>
      </c>
      <c r="S87" s="281"/>
      <c r="T87" s="222"/>
      <c r="U87" s="281"/>
      <c r="V87" s="281"/>
      <c r="W87" s="281"/>
      <c r="X87" s="281"/>
    </row>
    <row r="88">
      <c r="A88" s="281"/>
      <c r="B88" s="288" t="s">
        <v>785</v>
      </c>
      <c r="C88" s="280" t="s">
        <v>727</v>
      </c>
      <c r="D88" s="289">
        <f>ROUND((F88*'Pawn Weights'!$E$3)+(G88*'Pawn Weights'!$E$4)+(H88*'Pawn Weights'!$E$5)+(I88*'Pawn Weights'!$E$6)+(J88*'Pawn Weights'!$E$7)+(K88*'Pawn Weights'!$E$8)+(L88*'Pawn Weights'!$E$9)+(M88*'Pawn Weights'!$E$10)+(N88*'Pawn Weights'!$E$11)+(O88*'Pawn Weights'!$E$12)+(P88*'Pawn Weights'!$E$13)+(Q88*'Pawn Weights'!$E$14)-10+9.55+1.334, 2)</f>
        <v>63.6</v>
      </c>
      <c r="E88" s="280">
        <v>28.0</v>
      </c>
      <c r="F88" s="280"/>
      <c r="G88" s="280">
        <v>28.0</v>
      </c>
      <c r="H88" s="280">
        <v>58.0</v>
      </c>
      <c r="I88" s="280"/>
      <c r="J88" s="280">
        <v>12.0</v>
      </c>
      <c r="K88" s="280"/>
      <c r="L88" s="280"/>
      <c r="M88" s="280"/>
      <c r="N88" s="280"/>
      <c r="O88" s="280"/>
      <c r="P88" s="280">
        <v>1.0</v>
      </c>
      <c r="Q88" s="280"/>
      <c r="R88" s="290" t="s">
        <v>1088</v>
      </c>
      <c r="S88" s="281"/>
      <c r="T88" s="222"/>
      <c r="U88" s="281"/>
      <c r="V88" s="281"/>
      <c r="W88" s="281"/>
      <c r="X88" s="281"/>
    </row>
    <row r="89">
      <c r="A89" s="281"/>
      <c r="B89" s="288" t="s">
        <v>786</v>
      </c>
      <c r="C89" s="280" t="s">
        <v>706</v>
      </c>
      <c r="D89" s="289">
        <f>ROUND((F89*'Pawn Weights'!$E$3)+(G89*'Pawn Weights'!$E$4)+(H89*'Pawn Weights'!$E$5)+(I89*'Pawn Weights'!$E$6)+(J89*'Pawn Weights'!$E$7)+(K89*'Pawn Weights'!$E$8)+(L89*'Pawn Weights'!$E$9)+(M89*'Pawn Weights'!$E$10)+(N89*'Pawn Weights'!$E$11)+(O89*'Pawn Weights'!$E$12)+(P89*'Pawn Weights'!$E$13)+(Q89*'Pawn Weights'!$E$14), 2)</f>
        <v>62.29</v>
      </c>
      <c r="E89" s="280">
        <v>28.0</v>
      </c>
      <c r="F89" s="280">
        <v>35.0</v>
      </c>
      <c r="G89" s="280"/>
      <c r="H89" s="280"/>
      <c r="I89" s="280">
        <v>19.0</v>
      </c>
      <c r="J89" s="280"/>
      <c r="K89" s="280"/>
      <c r="L89" s="280"/>
      <c r="M89" s="280"/>
      <c r="N89" s="280"/>
      <c r="O89" s="280"/>
      <c r="P89" s="280">
        <v>1.0</v>
      </c>
      <c r="Q89" s="280"/>
      <c r="R89" s="290" t="s">
        <v>674</v>
      </c>
      <c r="S89" s="281"/>
      <c r="T89" s="222"/>
      <c r="U89" s="281"/>
      <c r="V89" s="281"/>
      <c r="W89" s="281"/>
      <c r="X89" s="281"/>
    </row>
    <row r="90">
      <c r="A90" s="281"/>
      <c r="B90" s="288" t="s">
        <v>789</v>
      </c>
      <c r="C90" s="280" t="s">
        <v>790</v>
      </c>
      <c r="D90" s="289">
        <f>ROUND((F90*'Pawn Weights'!$E$3)+(G90*'Pawn Weights'!$E$4)+(H90*'Pawn Weights'!$E$5)+(I90*'Pawn Weights'!$E$6)+(J90*'Pawn Weights'!$E$7)+(K90*'Pawn Weights'!$E$8)+(L90*'Pawn Weights'!$E$9)+(M90*'Pawn Weights'!$E$10)+(N90*'Pawn Weights'!$E$11)+(O90*'Pawn Weights'!$E$12)+(P90*'Pawn Weights'!$E$13)+(Q90*'Pawn Weights'!$E$14), 2)</f>
        <v>61.84</v>
      </c>
      <c r="E90" s="280">
        <v>16.0</v>
      </c>
      <c r="F90" s="280">
        <v>20.0</v>
      </c>
      <c r="G90" s="280"/>
      <c r="H90" s="280"/>
      <c r="I90" s="280">
        <v>24.0</v>
      </c>
      <c r="J90" s="280"/>
      <c r="K90" s="280"/>
      <c r="L90" s="280"/>
      <c r="M90" s="280"/>
      <c r="N90" s="280"/>
      <c r="O90" s="280">
        <v>1.0</v>
      </c>
      <c r="P90" s="280"/>
      <c r="Q90" s="280">
        <v>1.0</v>
      </c>
      <c r="R90" s="290" t="s">
        <v>698</v>
      </c>
      <c r="S90" s="281"/>
      <c r="T90" s="222"/>
      <c r="U90" s="281"/>
      <c r="V90" s="281"/>
      <c r="W90" s="281"/>
      <c r="X90" s="281"/>
    </row>
    <row r="91">
      <c r="A91" s="137"/>
      <c r="B91" s="296" t="s">
        <v>795</v>
      </c>
      <c r="C91" s="297" t="s">
        <v>691</v>
      </c>
      <c r="D91" s="289">
        <f>ROUND((F91*'Pawn Weights'!$E$3)+(G91*'Pawn Weights'!$E$4)+(H91*'Pawn Weights'!$E$5)+(I91*'Pawn Weights'!$E$6)+(J91*'Pawn Weights'!$E$7)+(K91*'Pawn Weights'!$E$8)+(L91*'Pawn Weights'!$E$9)+(M91*'Pawn Weights'!$E$10)+(N91*'Pawn Weights'!$E$11)+(O91*'Pawn Weights'!$E$12)+(P91*'Pawn Weights'!$E$13)+(Q91*'Pawn Weights'!$E$14)-10+9.55+1.82, 2)</f>
        <v>61.81</v>
      </c>
      <c r="E91" s="298">
        <v>22.0</v>
      </c>
      <c r="F91" s="297"/>
      <c r="G91" s="298">
        <v>17.0</v>
      </c>
      <c r="H91" s="298">
        <v>50.0</v>
      </c>
      <c r="I91" s="298">
        <v>18.0</v>
      </c>
      <c r="J91" s="297"/>
      <c r="K91" s="297"/>
      <c r="L91" s="297"/>
      <c r="M91" s="297"/>
      <c r="N91" s="297"/>
      <c r="O91" s="297"/>
      <c r="P91" s="298">
        <v>1.0</v>
      </c>
      <c r="Q91" s="297"/>
      <c r="R91" s="298" t="s">
        <v>736</v>
      </c>
      <c r="S91" s="137"/>
      <c r="T91" s="137"/>
      <c r="U91" s="137"/>
      <c r="V91" s="137"/>
      <c r="W91" s="137"/>
      <c r="X91" s="137"/>
      <c r="Y91" s="137"/>
      <c r="Z91" s="137"/>
    </row>
    <row r="92">
      <c r="A92" s="137" t="s">
        <v>671</v>
      </c>
      <c r="B92" s="296" t="s">
        <v>791</v>
      </c>
      <c r="C92" s="297" t="s">
        <v>792</v>
      </c>
      <c r="D92" s="289">
        <f>ROUND((F92*'Pawn Weights'!$E$3)+(G92*'Pawn Weights'!$E$4)+(H92*'Pawn Weights'!$E$5)+(I92*'Pawn Weights'!$E$6)+(J92*'Pawn Weights'!$E$7)+(K92*'Pawn Weights'!$E$8)+(L92*'Pawn Weights'!$E$9)+(M92*'Pawn Weights'!$E$10)+(N92*'Pawn Weights'!$E$11)+(O92*'Pawn Weights'!$E$12)+(P92*'Pawn Weights'!$E$13)+(Q92*'Pawn Weights'!$E$14)-10+9.55+2, 2)</f>
        <v>61.39</v>
      </c>
      <c r="E92" s="298">
        <v>40.0</v>
      </c>
      <c r="F92" s="298">
        <v>28.0</v>
      </c>
      <c r="G92" s="297"/>
      <c r="H92" s="297"/>
      <c r="I92" s="298">
        <v>24.0</v>
      </c>
      <c r="J92" s="297"/>
      <c r="K92" s="297"/>
      <c r="L92" s="297"/>
      <c r="M92" s="297"/>
      <c r="N92" s="297"/>
      <c r="O92" s="297"/>
      <c r="P92" s="298">
        <v>1.0</v>
      </c>
      <c r="Q92" s="297"/>
      <c r="R92" s="298" t="s">
        <v>784</v>
      </c>
      <c r="S92" s="137"/>
      <c r="T92" s="137"/>
      <c r="U92" s="137"/>
      <c r="V92" s="137"/>
      <c r="W92" s="137"/>
      <c r="X92" s="137"/>
      <c r="Y92" s="137"/>
      <c r="Z92" s="137"/>
    </row>
    <row r="93">
      <c r="A93" s="292" t="s">
        <v>627</v>
      </c>
      <c r="B93" s="288" t="s">
        <v>787</v>
      </c>
      <c r="C93" s="280" t="s">
        <v>788</v>
      </c>
      <c r="D93" s="289">
        <f>ROUND((F93*'Pawn Weights'!$E$3)+(G93*'Pawn Weights'!$E$4)+(H93*'Pawn Weights'!$E$5)+(I93*'Pawn Weights'!$E$6)+(J93*'Pawn Weights'!$E$7)+(K93*'Pawn Weights'!$E$8)+(L93*'Pawn Weights'!$E$9)+(M93*'Pawn Weights'!$E$10)+(N93*'Pawn Weights'!$E$11)+(O93*'Pawn Weights'!$E$12)+(P93*'Pawn Weights'!$E$13)+(Q93*'Pawn Weights'!$E$14), 2)</f>
        <v>60.25</v>
      </c>
      <c r="E93" s="280">
        <v>15.0</v>
      </c>
      <c r="F93" s="280"/>
      <c r="G93" s="280">
        <v>21.0</v>
      </c>
      <c r="H93" s="280">
        <v>56.0</v>
      </c>
      <c r="I93" s="280"/>
      <c r="J93" s="280"/>
      <c r="K93" s="280">
        <v>27.0</v>
      </c>
      <c r="L93" s="280"/>
      <c r="M93" s="280"/>
      <c r="N93" s="280"/>
      <c r="O93" s="280"/>
      <c r="P93" s="280"/>
      <c r="Q93" s="280"/>
      <c r="R93" s="290"/>
      <c r="S93" s="281"/>
      <c r="T93" s="294"/>
      <c r="U93" s="281"/>
      <c r="V93" s="281"/>
      <c r="W93" s="281"/>
      <c r="X93" s="281"/>
    </row>
    <row r="94">
      <c r="A94" s="295"/>
      <c r="B94" s="296" t="s">
        <v>794</v>
      </c>
      <c r="C94" s="297" t="s">
        <v>691</v>
      </c>
      <c r="D94" s="289">
        <f>ROUND((F94*'Pawn Weights'!$E$3)+(G94*'Pawn Weights'!$E$4)+(H94*'Pawn Weights'!$E$5)+(I94*'Pawn Weights'!$E$6)+(J94*'Pawn Weights'!$E$7)+(K94*'Pawn Weights'!$E$8)+(L94*'Pawn Weights'!$E$9)+(M94*'Pawn Weights'!$E$10)+(N94*'Pawn Weights'!$E$11)+(O94*'Pawn Weights'!$E$12)+(P94*'Pawn Weights'!$E$13)+(Q94*'Pawn Weights'!$E$14), 2)</f>
        <v>57.65</v>
      </c>
      <c r="E94" s="298">
        <v>32.0</v>
      </c>
      <c r="F94" s="298">
        <v>32.0</v>
      </c>
      <c r="G94" s="297"/>
      <c r="H94" s="297"/>
      <c r="I94" s="297"/>
      <c r="J94" s="297"/>
      <c r="K94" s="297"/>
      <c r="L94" s="297"/>
      <c r="M94" s="298">
        <v>150.0</v>
      </c>
      <c r="N94" s="297"/>
      <c r="O94" s="297"/>
      <c r="P94" s="297"/>
      <c r="Q94" s="297"/>
      <c r="R94" s="295"/>
      <c r="S94" s="137"/>
      <c r="T94" s="295"/>
      <c r="U94" s="137"/>
      <c r="V94" s="137"/>
      <c r="W94" s="137"/>
      <c r="X94" s="137"/>
      <c r="Y94" s="137"/>
      <c r="Z94" s="137"/>
    </row>
    <row r="95">
      <c r="A95" s="292" t="s">
        <v>627</v>
      </c>
      <c r="B95" s="288" t="s">
        <v>796</v>
      </c>
      <c r="C95" s="280" t="s">
        <v>788</v>
      </c>
      <c r="D95" s="289">
        <f>ROUND((F95*'Pawn Weights'!$E$3)+(G95*'Pawn Weights'!$E$4)+(H95*'Pawn Weights'!$E$5)+(I95*'Pawn Weights'!$E$6)+(J95*'Pawn Weights'!$E$7)+(K95*'Pawn Weights'!$E$8)+(L95*'Pawn Weights'!$E$9)+(M95*'Pawn Weights'!$E$10)+(N95*'Pawn Weights'!$E$11)+(O95*'Pawn Weights'!$E$12)+(P95*'Pawn Weights'!$E$13)+(Q95*'Pawn Weights'!$E$14), 2)</f>
        <v>56.86</v>
      </c>
      <c r="E95" s="280">
        <v>34.0</v>
      </c>
      <c r="F95" s="280"/>
      <c r="G95" s="280">
        <v>20.0</v>
      </c>
      <c r="H95" s="280">
        <v>50.0</v>
      </c>
      <c r="I95" s="280"/>
      <c r="J95" s="280"/>
      <c r="K95" s="280">
        <v>27.0</v>
      </c>
      <c r="L95" s="280"/>
      <c r="M95" s="280"/>
      <c r="N95" s="280"/>
      <c r="O95" s="280"/>
      <c r="P95" s="280"/>
      <c r="Q95" s="280"/>
      <c r="R95" s="290"/>
      <c r="S95" s="281"/>
      <c r="T95" s="222"/>
      <c r="U95" s="281"/>
      <c r="V95" s="281"/>
      <c r="W95" s="281"/>
      <c r="X95" s="281"/>
    </row>
    <row r="96">
      <c r="A96" s="292" t="s">
        <v>627</v>
      </c>
      <c r="B96" s="288" t="s">
        <v>797</v>
      </c>
      <c r="C96" s="280" t="s">
        <v>798</v>
      </c>
      <c r="D96" s="289">
        <f>ROUND((F96*'Pawn Weights'!$E$3)+(G96*'Pawn Weights'!$E$4)+(H96*'Pawn Weights'!$E$5)+(I96*'Pawn Weights'!$E$6)+(J96*'Pawn Weights'!$E$7)+(K96*'Pawn Weights'!$E$8)+(L96*'Pawn Weights'!$E$9)+(M96*'Pawn Weights'!$E$10)+(N96*'Pawn Weights'!$E$11)+(O96*'Pawn Weights'!$E$12)+(P96*'Pawn Weights'!$E$13)+(Q96*'Pawn Weights'!$E$14), 2)</f>
        <v>55.79</v>
      </c>
      <c r="E96" s="280">
        <v>32.0</v>
      </c>
      <c r="F96" s="280">
        <v>35.0</v>
      </c>
      <c r="G96" s="280"/>
      <c r="H96" s="280"/>
      <c r="I96" s="280"/>
      <c r="J96" s="280"/>
      <c r="K96" s="280">
        <v>27.0</v>
      </c>
      <c r="L96" s="280"/>
      <c r="M96" s="280"/>
      <c r="N96" s="280"/>
      <c r="O96" s="280"/>
      <c r="P96" s="280"/>
      <c r="Q96" s="280"/>
      <c r="R96" s="290"/>
      <c r="S96" s="281"/>
      <c r="T96" s="294"/>
      <c r="U96" s="281"/>
      <c r="V96" s="281"/>
      <c r="W96" s="281"/>
      <c r="X96" s="281"/>
    </row>
    <row r="97">
      <c r="A97" s="292" t="s">
        <v>991</v>
      </c>
      <c r="B97" s="288" t="s">
        <v>1089</v>
      </c>
      <c r="C97" s="307" t="s">
        <v>1090</v>
      </c>
      <c r="D97" s="289">
        <f>ROUND((F97*'Pawn Weights'!$E$3)+(G97*'Pawn Weights'!$E$4)+(H97*'Pawn Weights'!$E$5)+(I97*'Pawn Weights'!$E$6)+(J97*'Pawn Weights'!$E$7)+(K97*'Pawn Weights'!$E$8)+(L97*'Pawn Weights'!$E$9)+(M97*'Pawn Weights'!$E$10)+(N97*'Pawn Weights'!$E$11)+(O97*'Pawn Weights'!$E$12)+(P97*'Pawn Weights'!$E$13)+(Q97*'Pawn Weights'!$E$14)-10+9.55+2, 2)</f>
        <v>55.66</v>
      </c>
      <c r="E97" s="280">
        <v>36.0</v>
      </c>
      <c r="F97" s="280">
        <v>25.0</v>
      </c>
      <c r="G97" s="280"/>
      <c r="H97" s="280"/>
      <c r="I97" s="280">
        <v>21.0</v>
      </c>
      <c r="J97" s="280"/>
      <c r="K97" s="280"/>
      <c r="L97" s="280"/>
      <c r="M97" s="280"/>
      <c r="N97" s="280"/>
      <c r="O97" s="280"/>
      <c r="P97" s="280">
        <v>1.0</v>
      </c>
      <c r="Q97" s="280"/>
      <c r="R97" s="290" t="s">
        <v>784</v>
      </c>
      <c r="S97" s="281"/>
      <c r="T97" s="294" t="s">
        <v>793</v>
      </c>
      <c r="U97" s="281"/>
      <c r="V97" s="281"/>
      <c r="W97" s="281"/>
      <c r="X97" s="281"/>
    </row>
    <row r="98">
      <c r="A98" s="281"/>
      <c r="B98" s="288" t="s">
        <v>1091</v>
      </c>
      <c r="C98" s="280" t="s">
        <v>665</v>
      </c>
      <c r="D98" s="289">
        <f>ROUND((F98*'Pawn Weights'!$E$3)+(G98*'Pawn Weights'!$E$4)+(H98*'Pawn Weights'!$E$5)+(I98*'Pawn Weights'!$E$6)+(J98*'Pawn Weights'!$E$7)+(K98*'Pawn Weights'!$E$8)+(L98*'Pawn Weights'!$E$9)+(M98*'Pawn Weights'!$E$10)+(N98*'Pawn Weights'!$E$11)+(O98*'Pawn Weights'!$E$12)+(P98*'Pawn Weights'!$E$13)+(Q98*'Pawn Weights'!$E$14), 2)</f>
        <v>55.66</v>
      </c>
      <c r="E98" s="280">
        <v>28.0</v>
      </c>
      <c r="F98" s="280"/>
      <c r="G98" s="280">
        <v>18.0</v>
      </c>
      <c r="H98" s="280">
        <v>58.0</v>
      </c>
      <c r="I98" s="280">
        <v>19.0</v>
      </c>
      <c r="J98" s="280"/>
      <c r="K98" s="280"/>
      <c r="L98" s="280"/>
      <c r="M98" s="280"/>
      <c r="N98" s="280"/>
      <c r="O98" s="280"/>
      <c r="P98" s="280"/>
      <c r="Q98" s="280"/>
      <c r="R98" s="290"/>
      <c r="S98" s="281"/>
      <c r="T98" s="294"/>
      <c r="U98" s="281"/>
      <c r="V98" s="281"/>
      <c r="W98" s="281"/>
      <c r="X98" s="281"/>
    </row>
    <row r="99">
      <c r="A99" s="281"/>
      <c r="B99" s="288" t="s">
        <v>1092</v>
      </c>
      <c r="C99" s="280" t="s">
        <v>957</v>
      </c>
      <c r="D99" s="289">
        <f>ROUND((F99*'Pawn Weights'!$E$3)+(G99*'Pawn Weights'!$E$4)+(H99*'Pawn Weights'!$E$5)+(I99*'Pawn Weights'!$E$6)+(J99*'Pawn Weights'!$E$7)+(K99*'Pawn Weights'!$E$8)+(L99*'Pawn Weights'!$E$9)+(M99*'Pawn Weights'!$E$10)+(N99*'Pawn Weights'!$E$11)+(O99*'Pawn Weights'!$E$12)+(P99*'Pawn Weights'!$E$13)+(Q99*'Pawn Weights'!$E$14), 2)</f>
        <v>54.57</v>
      </c>
      <c r="E99" s="280">
        <v>18.0</v>
      </c>
      <c r="F99" s="280"/>
      <c r="G99" s="280"/>
      <c r="H99" s="280">
        <v>50.0</v>
      </c>
      <c r="I99" s="280">
        <v>24.0</v>
      </c>
      <c r="J99" s="280"/>
      <c r="K99" s="280"/>
      <c r="L99" s="280"/>
      <c r="M99" s="280"/>
      <c r="N99" s="280"/>
      <c r="O99" s="280"/>
      <c r="P99" s="280">
        <v>1.0</v>
      </c>
      <c r="Q99" s="280"/>
      <c r="R99" s="290" t="s">
        <v>674</v>
      </c>
      <c r="S99" s="281"/>
      <c r="T99" s="294"/>
      <c r="U99" s="281"/>
      <c r="V99" s="281"/>
      <c r="W99" s="281"/>
      <c r="X99" s="281"/>
    </row>
    <row r="100">
      <c r="A100" s="137"/>
      <c r="B100" s="296" t="s">
        <v>799</v>
      </c>
      <c r="C100" s="297" t="s">
        <v>691</v>
      </c>
      <c r="D100" s="289">
        <f>ROUND((F100*'Pawn Weights'!$E$3)+(G100*'Pawn Weights'!$E$4)+(H100*'Pawn Weights'!$E$5)+(I100*'Pawn Weights'!$E$6)+(J100*'Pawn Weights'!$E$7)+(K100*'Pawn Weights'!$E$8)+(L100*'Pawn Weights'!$E$9)+(M100*'Pawn Weights'!$E$10)+(N100*'Pawn Weights'!$E$11)+(O100*'Pawn Weights'!$E$12)+(P100*'Pawn Weights'!$E$13)+(Q100*'Pawn Weights'!$E$14), 2)</f>
        <v>52.69</v>
      </c>
      <c r="E100" s="298">
        <v>21.0</v>
      </c>
      <c r="F100" s="297"/>
      <c r="G100" s="298">
        <v>18.0</v>
      </c>
      <c r="H100" s="298">
        <v>50.0</v>
      </c>
      <c r="I100" s="297"/>
      <c r="J100" s="297"/>
      <c r="K100" s="297"/>
      <c r="L100" s="297"/>
      <c r="M100" s="298">
        <v>105.0</v>
      </c>
      <c r="N100" s="297"/>
      <c r="O100" s="297"/>
      <c r="P100" s="297"/>
      <c r="Q100" s="297"/>
      <c r="R100" s="295"/>
      <c r="S100" s="137"/>
      <c r="T100" s="295"/>
      <c r="U100" s="137"/>
      <c r="V100" s="137"/>
      <c r="W100" s="137"/>
      <c r="X100" s="137"/>
      <c r="Y100" s="137"/>
      <c r="Z100" s="137"/>
    </row>
    <row r="101">
      <c r="A101" s="281"/>
      <c r="B101" s="288" t="s">
        <v>1207</v>
      </c>
      <c r="C101" s="307" t="s">
        <v>871</v>
      </c>
      <c r="D101" s="289">
        <f>ROUND((F101*'Pawn Weights'!$E$3)+(G101*'Pawn Weights'!$E$4)+(H101*'Pawn Weights'!$E$5)+(I101*'Pawn Weights'!$E$6)+(J101*'Pawn Weights'!$E$7)+(K101*'Pawn Weights'!$E$8)+(L101*'Pawn Weights'!$E$9)+(M101*'Pawn Weights'!$E$10)+(N101*'Pawn Weights'!$E$11)+(O101*'Pawn Weights'!$E$12)+(P101*'Pawn Weights'!$E$13)+(Q101*'Pawn Weights'!$E$14), 2)</f>
        <v>49.64</v>
      </c>
      <c r="E101" s="280">
        <v>24.0</v>
      </c>
      <c r="F101" s="280"/>
      <c r="G101" s="280">
        <v>24.0</v>
      </c>
      <c r="H101" s="280">
        <v>52.0</v>
      </c>
      <c r="I101" s="280"/>
      <c r="J101" s="280"/>
      <c r="K101" s="280"/>
      <c r="L101" s="280"/>
      <c r="M101" s="280"/>
      <c r="N101" s="280"/>
      <c r="O101" s="280"/>
      <c r="P101" s="280"/>
      <c r="Q101" s="280">
        <v>1.0</v>
      </c>
      <c r="R101" s="290" t="s">
        <v>660</v>
      </c>
      <c r="S101" s="281"/>
      <c r="T101" s="294"/>
      <c r="U101" s="281"/>
      <c r="V101" s="281"/>
      <c r="W101" s="281"/>
      <c r="X101" s="281"/>
    </row>
    <row r="102">
      <c r="A102" s="281"/>
      <c r="B102" s="288" t="s">
        <v>1337</v>
      </c>
      <c r="C102" s="307" t="s">
        <v>1338</v>
      </c>
      <c r="D102" s="289">
        <f>ROUND((F102*'Pawn Weights'!$E$3)+(G102*'Pawn Weights'!$E$4)+(H102*'Pawn Weights'!$E$5)+(I102*'Pawn Weights'!$E$6)+(J102*'Pawn Weights'!$E$7)+(K102*'Pawn Weights'!$E$8)+(L102*'Pawn Weights'!$E$9)+(M102*'Pawn Weights'!$E$10)+(N102*'Pawn Weights'!$E$11)+(O102*'Pawn Weights'!$E$12)+(P102*'Pawn Weights'!$E$13)+(Q102*'Pawn Weights'!$E$14), 2)</f>
        <v>48.63</v>
      </c>
      <c r="E102" s="280"/>
      <c r="F102" s="280"/>
      <c r="G102" s="280">
        <v>17.0</v>
      </c>
      <c r="H102" s="280">
        <v>48.0</v>
      </c>
      <c r="I102" s="280">
        <v>17.0</v>
      </c>
      <c r="J102" s="280"/>
      <c r="K102" s="280"/>
      <c r="L102" s="280"/>
      <c r="M102" s="280"/>
      <c r="N102" s="280"/>
      <c r="O102" s="280"/>
      <c r="P102" s="280"/>
      <c r="Q102" s="280"/>
      <c r="R102" s="290"/>
      <c r="S102" s="281"/>
      <c r="T102" s="294"/>
      <c r="U102" s="281"/>
      <c r="V102" s="281"/>
      <c r="W102" s="281"/>
      <c r="X102" s="281"/>
    </row>
    <row r="103">
      <c r="A103" s="281"/>
      <c r="B103" s="288" t="s">
        <v>1425</v>
      </c>
      <c r="C103" s="307" t="s">
        <v>706</v>
      </c>
      <c r="D103" s="289">
        <f>ROUND((F103*'Pawn Weights'!$E$3)+(G103*'Pawn Weights'!$E$4)+(H103*'Pawn Weights'!$E$5)+(I103*'Pawn Weights'!$E$6)+(J103*'Pawn Weights'!$E$7)+(K103*'Pawn Weights'!$E$8)+(L103*'Pawn Weights'!$E$9)+(M103*'Pawn Weights'!$E$10)+(N103*'Pawn Weights'!$E$11)+(O103*'Pawn Weights'!$E$12)+(P103*'Pawn Weights'!$E$13)+(Q103*'Pawn Weights'!$E$14), 2)</f>
        <v>48.49</v>
      </c>
      <c r="E103" s="280">
        <v>24.0</v>
      </c>
      <c r="F103" s="280"/>
      <c r="G103" s="280">
        <v>25.0</v>
      </c>
      <c r="H103" s="280">
        <v>48.0</v>
      </c>
      <c r="I103" s="280"/>
      <c r="J103" s="280"/>
      <c r="K103" s="280"/>
      <c r="L103" s="280"/>
      <c r="M103" s="280"/>
      <c r="N103" s="280"/>
      <c r="O103" s="280"/>
      <c r="P103" s="280"/>
      <c r="Q103" s="280">
        <v>1.0</v>
      </c>
      <c r="R103" s="290" t="s">
        <v>736</v>
      </c>
      <c r="S103" s="281"/>
      <c r="T103" s="294"/>
      <c r="U103" s="281"/>
      <c r="V103" s="281"/>
      <c r="W103" s="281"/>
      <c r="X103" s="281"/>
    </row>
    <row r="104">
      <c r="A104" s="272" t="s">
        <v>800</v>
      </c>
      <c r="B104" s="281"/>
      <c r="C104" s="281"/>
      <c r="D104" s="360"/>
      <c r="E104" s="281"/>
      <c r="F104" s="281"/>
      <c r="G104" s="281"/>
      <c r="H104" s="281"/>
      <c r="I104" s="281"/>
      <c r="J104" s="281"/>
      <c r="K104" s="281"/>
      <c r="L104" s="281"/>
      <c r="M104" s="281"/>
      <c r="N104" s="281"/>
      <c r="O104" s="281"/>
      <c r="P104" s="281"/>
      <c r="Q104" s="281"/>
      <c r="R104" s="282"/>
      <c r="S104" s="281"/>
      <c r="T104" s="285"/>
      <c r="U104" s="281"/>
      <c r="V104" s="281"/>
      <c r="W104" s="281"/>
    </row>
    <row r="105">
      <c r="A105" s="137" t="s">
        <v>627</v>
      </c>
      <c r="B105" s="341" t="s">
        <v>801</v>
      </c>
      <c r="C105" s="361" t="s">
        <v>802</v>
      </c>
      <c r="D105" s="289">
        <f>ROUND((F105*'Pawn Weights'!$E$3)+(G105*'Pawn Weights'!$E$4)+(H105*'Pawn Weights'!$E$5)+(I105*'Pawn Weights'!$E$6)+(J105*'Pawn Weights'!$E$7)+(K105*'Pawn Weights'!$E$8)+(L105*'Pawn Weights'!$E$9)+(M105*'Pawn Weights'!$E$10)+(N105*'Pawn Weights'!$E$11)+(O105*'Pawn Weights'!$E$12)+(P105*'Pawn Weights'!$E$13)+(Q105*'Pawn Weights'!$E$14)+2.73, 2)</f>
        <v>137.28</v>
      </c>
      <c r="E105" s="359">
        <v>33.0</v>
      </c>
      <c r="F105" s="361"/>
      <c r="G105" s="359">
        <v>30.0</v>
      </c>
      <c r="H105" s="359">
        <v>90.0</v>
      </c>
      <c r="I105" s="359">
        <v>30.0</v>
      </c>
      <c r="J105" s="361"/>
      <c r="K105" s="361"/>
      <c r="L105" s="361"/>
      <c r="M105" s="359">
        <v>154.0</v>
      </c>
      <c r="N105" s="361"/>
      <c r="O105" s="359">
        <v>2.0</v>
      </c>
      <c r="P105" s="361"/>
      <c r="Q105" s="361"/>
      <c r="R105" s="359" t="s">
        <v>702</v>
      </c>
      <c r="S105" s="137"/>
      <c r="T105" s="137"/>
      <c r="U105" s="137"/>
      <c r="V105" s="137"/>
      <c r="W105" s="137"/>
      <c r="X105" s="137"/>
      <c r="Y105" s="137"/>
      <c r="Z105" s="137"/>
    </row>
    <row r="106">
      <c r="A106" s="137" t="s">
        <v>627</v>
      </c>
      <c r="B106" s="341" t="s">
        <v>805</v>
      </c>
      <c r="C106" s="361" t="s">
        <v>806</v>
      </c>
      <c r="D106" s="289">
        <f>ROUND((F106*'Pawn Weights'!$E$3)+(G106*'Pawn Weights'!$E$4)+(H106*'Pawn Weights'!$E$5)+(I106*'Pawn Weights'!$E$6)+(J106*'Pawn Weights'!$E$7)+(K106*'Pawn Weights'!$E$8)+(L106*'Pawn Weights'!$E$9)+(M106*'Pawn Weights'!$E$10)+(N106*'Pawn Weights'!$E$11)+(O106*'Pawn Weights'!$E$12)+(P106*'Pawn Weights'!$E$13)+(Q106*'Pawn Weights'!$E$14)-10+9.55+3, 2)</f>
        <v>109.99</v>
      </c>
      <c r="E106" s="359">
        <v>45.0</v>
      </c>
      <c r="F106" s="359">
        <v>45.0</v>
      </c>
      <c r="G106" s="361"/>
      <c r="H106" s="361"/>
      <c r="I106" s="361"/>
      <c r="J106" s="359">
        <v>23.0</v>
      </c>
      <c r="K106" s="359">
        <v>36.0</v>
      </c>
      <c r="L106" s="361"/>
      <c r="M106" s="137"/>
      <c r="N106" s="361"/>
      <c r="O106" s="359">
        <v>1.0</v>
      </c>
      <c r="P106" s="359">
        <v>1.0</v>
      </c>
      <c r="Q106" s="361"/>
      <c r="R106" s="359" t="s">
        <v>698</v>
      </c>
      <c r="S106" s="137"/>
      <c r="T106" s="137"/>
      <c r="U106" s="137"/>
      <c r="V106" s="137"/>
      <c r="W106" s="137"/>
      <c r="X106" s="137"/>
      <c r="Y106" s="137"/>
      <c r="Z106" s="137"/>
    </row>
    <row r="107">
      <c r="A107" s="137" t="s">
        <v>627</v>
      </c>
      <c r="B107" s="341" t="s">
        <v>808</v>
      </c>
      <c r="C107" s="361" t="s">
        <v>802</v>
      </c>
      <c r="D107" s="289">
        <f>ROUND((F107*'Pawn Weights'!$E$3)+(G107*'Pawn Weights'!$E$4)+(H107*'Pawn Weights'!$E$5)+(I107*'Pawn Weights'!$E$6)+(J107*'Pawn Weights'!$E$7)+(K107*'Pawn Weights'!$E$8)+(L107*'Pawn Weights'!$E$9)+(M107*'Pawn Weights'!$E$10)+(N107*'Pawn Weights'!$E$11)+(O107*'Pawn Weights'!$E$12)+(P107*'Pawn Weights'!$E$13)+(Q107*'Pawn Weights'!$E$14)-20+19.1+2.727, 2)</f>
        <v>102.56</v>
      </c>
      <c r="E107" s="359">
        <v>33.0</v>
      </c>
      <c r="F107" s="361"/>
      <c r="G107" s="359">
        <v>30.0</v>
      </c>
      <c r="H107" s="359">
        <v>76.0</v>
      </c>
      <c r="I107" s="361"/>
      <c r="J107" s="361"/>
      <c r="K107" s="359">
        <v>34.0</v>
      </c>
      <c r="L107" s="361"/>
      <c r="M107" s="137"/>
      <c r="N107" s="361"/>
      <c r="O107" s="361"/>
      <c r="P107" s="359">
        <v>2.0</v>
      </c>
      <c r="Q107" s="361"/>
      <c r="R107" s="359" t="s">
        <v>809</v>
      </c>
      <c r="S107" s="137"/>
      <c r="T107" s="137"/>
      <c r="U107" s="137"/>
      <c r="V107" s="137"/>
      <c r="W107" s="137"/>
      <c r="X107" s="137"/>
      <c r="Y107" s="137"/>
      <c r="Z107" s="137"/>
    </row>
    <row r="108">
      <c r="A108" s="25"/>
      <c r="B108" s="288" t="s">
        <v>811</v>
      </c>
      <c r="C108" s="280" t="s">
        <v>723</v>
      </c>
      <c r="D108" s="289">
        <f>ROUND((F108*'Pawn Weights'!$E$3)+(G108*'Pawn Weights'!$E$4)+(H108*'Pawn Weights'!$E$5)+(I108*'Pawn Weights'!$E$6)+(J108*'Pawn Weights'!$E$7)+(K108*'Pawn Weights'!$E$8)+(L108*'Pawn Weights'!$E$9)+(M108*'Pawn Weights'!$E$10)+(N108*'Pawn Weights'!$E$11)+(O108*'Pawn Weights'!$E$12)+(P108*'Pawn Weights'!$E$13)+(Q108*'Pawn Weights'!$E$14), 2)</f>
        <v>99.53</v>
      </c>
      <c r="E108" s="280">
        <v>37.0</v>
      </c>
      <c r="F108" s="280">
        <v>40.0</v>
      </c>
      <c r="G108" s="280"/>
      <c r="H108" s="280"/>
      <c r="I108" s="280"/>
      <c r="J108" s="280">
        <v>15.0</v>
      </c>
      <c r="K108" s="280"/>
      <c r="L108" s="280"/>
      <c r="M108" s="280">
        <v>175.0</v>
      </c>
      <c r="N108" s="280"/>
      <c r="O108" s="280">
        <v>2.0</v>
      </c>
      <c r="P108" s="280"/>
      <c r="Q108" s="280"/>
      <c r="R108" s="290" t="s">
        <v>812</v>
      </c>
      <c r="S108" s="281"/>
      <c r="T108" s="291"/>
      <c r="U108" s="281"/>
      <c r="V108" s="281"/>
      <c r="W108" s="281"/>
    </row>
    <row r="109">
      <c r="A109" s="25" t="s">
        <v>640</v>
      </c>
      <c r="B109" s="288" t="s">
        <v>813</v>
      </c>
      <c r="C109" s="280" t="s">
        <v>814</v>
      </c>
      <c r="D109" s="289">
        <f>ROUND((F109*'Pawn Weights'!$E$3)+(G109*'Pawn Weights'!$E$4)+(H109*'Pawn Weights'!$E$5)+(I109*'Pawn Weights'!$E$6)+(J109*'Pawn Weights'!$E$7)+(K109*'Pawn Weights'!$E$8)+(L109*'Pawn Weights'!$E$9)+(M109*'Pawn Weights'!$E$10)+(N109*'Pawn Weights'!$E$11)+(O109*'Pawn Weights'!$E$12)+(P109*'Pawn Weights'!$E$13)+(Q109*'Pawn Weights'!$E$14)+1.82, 2)</f>
        <v>88.39</v>
      </c>
      <c r="E109" s="280">
        <v>49.0</v>
      </c>
      <c r="F109" s="280">
        <v>41.0</v>
      </c>
      <c r="G109" s="280">
        <v>30.0</v>
      </c>
      <c r="H109" s="280"/>
      <c r="I109" s="280"/>
      <c r="J109" s="280"/>
      <c r="K109" s="280"/>
      <c r="L109" s="280"/>
      <c r="M109" s="280">
        <v>91.0</v>
      </c>
      <c r="N109" s="280"/>
      <c r="O109" s="280">
        <v>1.0</v>
      </c>
      <c r="P109" s="280"/>
      <c r="Q109" s="280"/>
      <c r="R109" s="290" t="s">
        <v>736</v>
      </c>
      <c r="S109" s="281"/>
      <c r="T109" s="291"/>
      <c r="U109" s="281"/>
      <c r="V109" s="281"/>
      <c r="W109" s="281"/>
    </row>
    <row r="110">
      <c r="A110" s="295"/>
      <c r="B110" s="296" t="s">
        <v>817</v>
      </c>
      <c r="C110" s="297" t="s">
        <v>818</v>
      </c>
      <c r="D110" s="289">
        <f>ROUND((F110*'Pawn Weights'!$E$3)+(G110*'Pawn Weights'!$E$4)+(H110*'Pawn Weights'!$E$5)+(I110*'Pawn Weights'!$E$6)+(J110*'Pawn Weights'!$E$7)+(K110*'Pawn Weights'!$E$8)+(L110*'Pawn Weights'!$E$9)+(M110*'Pawn Weights'!$E$10)+(N110*'Pawn Weights'!$E$11)+(O110*'Pawn Weights'!$E$12)+(P110*'Pawn Weights'!$E$13)+(Q110*'Pawn Weights'!$E$14)-10+9.55+1.334, 2)</f>
        <v>83.57</v>
      </c>
      <c r="E110" s="298">
        <v>30.0</v>
      </c>
      <c r="F110" s="297"/>
      <c r="G110" s="298">
        <v>34.0</v>
      </c>
      <c r="H110" s="298">
        <v>78.0</v>
      </c>
      <c r="I110" s="298">
        <v>16.0</v>
      </c>
      <c r="J110" s="297"/>
      <c r="K110" s="297"/>
      <c r="L110" s="297"/>
      <c r="M110" s="295"/>
      <c r="N110" s="297"/>
      <c r="O110" s="297"/>
      <c r="P110" s="298">
        <v>1.0</v>
      </c>
      <c r="Q110" s="297"/>
      <c r="R110" s="298" t="s">
        <v>711</v>
      </c>
      <c r="S110" s="137"/>
      <c r="T110" s="295"/>
      <c r="U110" s="137"/>
      <c r="V110" s="137"/>
      <c r="W110" s="137"/>
      <c r="X110" s="137"/>
      <c r="Y110" s="137"/>
      <c r="Z110" s="137"/>
    </row>
    <row r="111">
      <c r="A111" s="25"/>
      <c r="B111" s="288" t="s">
        <v>815</v>
      </c>
      <c r="C111" s="280" t="s">
        <v>816</v>
      </c>
      <c r="D111" s="289">
        <f>ROUND((F111*'Pawn Weights'!$E$3)+(G111*'Pawn Weights'!$E$4)+(H111*'Pawn Weights'!$E$5)+(I111*'Pawn Weights'!$E$6)+(J111*'Pawn Weights'!$E$7)+(K111*'Pawn Weights'!$E$8)+(L111*'Pawn Weights'!$E$9)+(M111*'Pawn Weights'!$E$10)+(N111*'Pawn Weights'!$E$11)+(O111*'Pawn Weights'!$E$12)+(P111*'Pawn Weights'!$E$13)+(Q111*'Pawn Weights'!$E$14), 2)</f>
        <v>81.04</v>
      </c>
      <c r="E111" s="280">
        <v>38.0</v>
      </c>
      <c r="F111" s="280"/>
      <c r="G111" s="280">
        <v>27.0</v>
      </c>
      <c r="H111" s="280">
        <v>76.0</v>
      </c>
      <c r="I111" s="280"/>
      <c r="J111" s="280"/>
      <c r="K111" s="280">
        <v>37.0</v>
      </c>
      <c r="L111" s="280"/>
      <c r="M111" s="280"/>
      <c r="N111" s="280"/>
      <c r="O111" s="280"/>
      <c r="P111" s="280"/>
      <c r="Q111" s="280"/>
      <c r="R111" s="290"/>
      <c r="S111" s="281"/>
      <c r="T111" s="291"/>
      <c r="U111" s="281"/>
      <c r="V111" s="281"/>
      <c r="W111" s="281"/>
    </row>
    <row r="112">
      <c r="A112" s="25"/>
      <c r="B112" s="288" t="s">
        <v>819</v>
      </c>
      <c r="C112" s="280" t="s">
        <v>716</v>
      </c>
      <c r="D112" s="289">
        <f>ROUND((F112*'Pawn Weights'!$E$3)+(G112*'Pawn Weights'!$E$4)+(H112*'Pawn Weights'!$E$5)+(I112*'Pawn Weights'!$E$6)+(J112*'Pawn Weights'!$E$7)+(K112*'Pawn Weights'!$E$8)+(L112*'Pawn Weights'!$E$9)+(M112*'Pawn Weights'!$E$10)+(N112*'Pawn Weights'!$E$11)+(O112*'Pawn Weights'!$E$12)+(P112*'Pawn Weights'!$E$13)+(Q112*'Pawn Weights'!$E$14), 2)</f>
        <v>79.71</v>
      </c>
      <c r="E112" s="280">
        <v>24.0</v>
      </c>
      <c r="F112" s="280"/>
      <c r="G112" s="280">
        <v>25.0</v>
      </c>
      <c r="H112" s="280">
        <v>76.0</v>
      </c>
      <c r="I112" s="280"/>
      <c r="J112" s="280"/>
      <c r="K112" s="280">
        <v>37.0</v>
      </c>
      <c r="L112" s="280"/>
      <c r="M112" s="281"/>
      <c r="N112" s="280"/>
      <c r="O112" s="280"/>
      <c r="P112" s="280"/>
      <c r="Q112" s="280"/>
      <c r="R112" s="290"/>
      <c r="S112" s="281"/>
      <c r="T112" s="291"/>
      <c r="U112" s="281"/>
      <c r="V112" s="281"/>
      <c r="W112" s="281"/>
    </row>
    <row r="113">
      <c r="A113" s="25"/>
      <c r="B113" s="288" t="s">
        <v>820</v>
      </c>
      <c r="C113" s="280" t="s">
        <v>821</v>
      </c>
      <c r="D113" s="289">
        <f>ROUND((F113*'Pawn Weights'!$E$3)+(G113*'Pawn Weights'!$E$4)+(H113*'Pawn Weights'!$E$5)+(I113*'Pawn Weights'!$E$6)+(J113*'Pawn Weights'!$E$7)+(K113*'Pawn Weights'!$E$8)+(L113*'Pawn Weights'!$E$9)+(M113*'Pawn Weights'!$E$10)+(N113*'Pawn Weights'!$E$11)+(O113*'Pawn Weights'!$E$12)+(P113*'Pawn Weights'!$E$13)+(Q113*'Pawn Weights'!$E$14), 2)</f>
        <v>78.78</v>
      </c>
      <c r="E113" s="280">
        <v>45.0</v>
      </c>
      <c r="F113" s="280">
        <v>38.0</v>
      </c>
      <c r="G113" s="280"/>
      <c r="H113" s="280"/>
      <c r="I113" s="280"/>
      <c r="J113" s="280">
        <v>18.0</v>
      </c>
      <c r="K113" s="280">
        <v>38.0</v>
      </c>
      <c r="L113" s="280"/>
      <c r="M113" s="280"/>
      <c r="N113" s="280"/>
      <c r="O113" s="280"/>
      <c r="P113" s="280"/>
      <c r="Q113" s="280"/>
      <c r="R113" s="290"/>
      <c r="S113" s="281"/>
      <c r="T113" s="291"/>
      <c r="U113" s="281"/>
      <c r="V113" s="281"/>
      <c r="W113" s="281"/>
    </row>
    <row r="114">
      <c r="A114" s="25"/>
      <c r="B114" s="288" t="s">
        <v>822</v>
      </c>
      <c r="C114" s="280" t="s">
        <v>823</v>
      </c>
      <c r="D114" s="289">
        <f>ROUND((F114*'Pawn Weights'!$E$3)+(G114*'Pawn Weights'!$E$4)+(H114*'Pawn Weights'!$E$5)+(I114*'Pawn Weights'!$E$6)+(J114*'Pawn Weights'!$E$7)+(K114*'Pawn Weights'!$E$8)+(L114*'Pawn Weights'!$E$9)+(M114*'Pawn Weights'!$E$10)+(N114*'Pawn Weights'!$E$11)+(O114*'Pawn Weights'!$E$12)+(P114*'Pawn Weights'!$E$13)+(Q114*'Pawn Weights'!$E$14), 2)</f>
        <v>76.93</v>
      </c>
      <c r="E114" s="280">
        <v>34.0</v>
      </c>
      <c r="F114" s="280">
        <v>36.0</v>
      </c>
      <c r="G114" s="280"/>
      <c r="H114" s="280"/>
      <c r="I114" s="280">
        <v>23.0</v>
      </c>
      <c r="J114" s="280"/>
      <c r="K114" s="280"/>
      <c r="L114" s="280"/>
      <c r="M114" s="281"/>
      <c r="N114" s="280"/>
      <c r="O114" s="280"/>
      <c r="P114" s="280">
        <v>1.0</v>
      </c>
      <c r="Q114" s="280">
        <v>1.0</v>
      </c>
      <c r="R114" s="290" t="s">
        <v>698</v>
      </c>
      <c r="S114" s="281"/>
      <c r="T114" s="291"/>
      <c r="U114" s="281"/>
      <c r="V114" s="281"/>
      <c r="W114" s="281"/>
    </row>
    <row r="115" ht="16.5" customHeight="1">
      <c r="A115" s="301"/>
      <c r="B115" s="288" t="s">
        <v>824</v>
      </c>
      <c r="C115" s="280" t="s">
        <v>825</v>
      </c>
      <c r="D115" s="289">
        <f>ROUND((F115*'Pawn Weights'!$E$3)+(G115*'Pawn Weights'!$E$4)+(H115*'Pawn Weights'!$E$5)+(I115*'Pawn Weights'!$E$6)+(J115*'Pawn Weights'!$E$7)+(K115*'Pawn Weights'!$E$8)+(L115*'Pawn Weights'!$E$9)+(M115*'Pawn Weights'!$E$10)+(N115*'Pawn Weights'!$E$11)+(O115*'Pawn Weights'!$E$12)+(P115*'Pawn Weights'!$E$13)+(Q115*'Pawn Weights'!$E$14), 2)</f>
        <v>76.38</v>
      </c>
      <c r="E115" s="280">
        <v>31.0</v>
      </c>
      <c r="F115" s="280"/>
      <c r="G115" s="280"/>
      <c r="H115" s="280">
        <v>72.0</v>
      </c>
      <c r="I115" s="280">
        <v>26.0</v>
      </c>
      <c r="J115" s="280"/>
      <c r="K115" s="280"/>
      <c r="L115" s="280"/>
      <c r="M115" s="281"/>
      <c r="N115" s="280"/>
      <c r="O115" s="280"/>
      <c r="P115" s="280"/>
      <c r="Q115" s="280">
        <v>2.0</v>
      </c>
      <c r="R115" s="290" t="s">
        <v>702</v>
      </c>
      <c r="S115" s="281"/>
      <c r="T115" s="291"/>
      <c r="U115" s="281"/>
      <c r="V115" s="281"/>
      <c r="W115" s="281"/>
    </row>
    <row r="116" ht="16.5" customHeight="1">
      <c r="A116" s="295" t="s">
        <v>635</v>
      </c>
      <c r="B116" s="296" t="s">
        <v>826</v>
      </c>
      <c r="C116" s="297" t="s">
        <v>637</v>
      </c>
      <c r="D116" s="289">
        <f>ROUND((F116*'Pawn Weights'!$E$3)+(G116*'Pawn Weights'!$E$4)+(H116*'Pawn Weights'!$E$5)+(I116*'Pawn Weights'!$E$6)+(J116*'Pawn Weights'!$E$7)+(K116*'Pawn Weights'!$E$8)+(L116*'Pawn Weights'!$E$9)+(M116*'Pawn Weights'!$E$10)+(N116*'Pawn Weights'!$E$11)+(O116*'Pawn Weights'!$E$12)+(P116*'Pawn Weights'!$E$13)+(Q116*'Pawn Weights'!$E$14), 2)</f>
        <v>75.67</v>
      </c>
      <c r="E116" s="298">
        <v>59.0</v>
      </c>
      <c r="F116" s="298">
        <v>42.0</v>
      </c>
      <c r="G116" s="297"/>
      <c r="H116" s="297"/>
      <c r="I116" s="298">
        <v>37.0</v>
      </c>
      <c r="J116" s="297"/>
      <c r="K116" s="297"/>
      <c r="L116" s="297"/>
      <c r="M116" s="137"/>
      <c r="N116" s="297"/>
      <c r="O116" s="297"/>
      <c r="P116" s="297"/>
      <c r="Q116" s="297"/>
      <c r="R116" s="295"/>
      <c r="S116" s="137"/>
      <c r="T116" s="297" t="s">
        <v>827</v>
      </c>
      <c r="U116" s="137"/>
      <c r="V116" s="137"/>
      <c r="W116" s="137"/>
      <c r="X116" s="137"/>
      <c r="Y116" s="137"/>
      <c r="Z116" s="137"/>
    </row>
    <row r="117">
      <c r="B117" s="288" t="s">
        <v>1094</v>
      </c>
      <c r="C117" s="280" t="s">
        <v>1025</v>
      </c>
      <c r="D117" s="289">
        <f>ROUND((F117*'Pawn Weights'!$E$3)+(G117*'Pawn Weights'!$E$4)+(H117*'Pawn Weights'!$E$5)+(I117*'Pawn Weights'!$E$6)+(J117*'Pawn Weights'!$E$7)+(K117*'Pawn Weights'!$E$8)+(L117*'Pawn Weights'!$E$9)+(M117*'Pawn Weights'!$E$10)+(N117*'Pawn Weights'!$E$11)+(O117*'Pawn Weights'!$E$12)+(P117*'Pawn Weights'!$E$13)+(Q117*'Pawn Weights'!$E$14), 2)</f>
        <v>74.33</v>
      </c>
      <c r="E117" s="280">
        <v>37.0</v>
      </c>
      <c r="F117" s="280"/>
      <c r="G117" s="280">
        <v>33.0</v>
      </c>
      <c r="H117" s="280">
        <v>66.0</v>
      </c>
      <c r="I117" s="280"/>
      <c r="J117" s="280"/>
      <c r="K117" s="280"/>
      <c r="L117" s="280">
        <v>18.0</v>
      </c>
      <c r="M117" s="281"/>
      <c r="N117" s="280"/>
      <c r="O117" s="280"/>
      <c r="P117" s="280"/>
      <c r="Q117" s="280"/>
      <c r="R117" s="290"/>
      <c r="S117" s="281"/>
      <c r="T117" s="291" t="s">
        <v>1079</v>
      </c>
      <c r="U117" s="281"/>
      <c r="V117" s="281"/>
      <c r="W117" s="281"/>
    </row>
    <row r="118">
      <c r="A118" s="137"/>
      <c r="B118" s="296" t="s">
        <v>1095</v>
      </c>
      <c r="C118" s="297" t="s">
        <v>889</v>
      </c>
      <c r="D118" s="289">
        <f>ROUND((F118*'Pawn Weights'!$E$3)+(G118*'Pawn Weights'!$E$4)+(H118*'Pawn Weights'!$E$5)+(I118*'Pawn Weights'!$E$6)+(J118*'Pawn Weights'!$E$7)+(K118*'Pawn Weights'!$E$8)+(L118*'Pawn Weights'!$E$9)+(M118*'Pawn Weights'!$E$10)+(N118*'Pawn Weights'!$E$11)+(O118*'Pawn Weights'!$E$12)+(P118*'Pawn Weights'!$E$13)+(Q118*'Pawn Weights'!$E$14)-10+9.55+2.727, 2)</f>
        <v>74.14</v>
      </c>
      <c r="E118" s="298">
        <v>27.0</v>
      </c>
      <c r="F118" s="297"/>
      <c r="G118" s="298">
        <v>20.0</v>
      </c>
      <c r="H118" s="298">
        <v>58.0</v>
      </c>
      <c r="I118" s="297"/>
      <c r="J118" s="298">
        <v>19.0</v>
      </c>
      <c r="K118" s="297"/>
      <c r="L118" s="297"/>
      <c r="M118" s="137"/>
      <c r="N118" s="297"/>
      <c r="O118" s="298">
        <v>1.0</v>
      </c>
      <c r="P118" s="298">
        <v>1.0</v>
      </c>
      <c r="Q118" s="297"/>
      <c r="R118" s="298" t="s">
        <v>809</v>
      </c>
      <c r="S118" s="137"/>
      <c r="T118" s="295"/>
      <c r="U118" s="137"/>
      <c r="V118" s="137"/>
      <c r="W118" s="137"/>
      <c r="X118" s="137"/>
      <c r="Y118" s="137"/>
      <c r="Z118" s="137"/>
    </row>
    <row r="119">
      <c r="A119" s="137"/>
      <c r="B119" s="296" t="s">
        <v>1096</v>
      </c>
      <c r="C119" s="297" t="s">
        <v>889</v>
      </c>
      <c r="D119" s="289">
        <f>ROUND((F119*'Pawn Weights'!$E$3)+(G119*'Pawn Weights'!$E$4)+(H119*'Pawn Weights'!$E$5)+(I119*'Pawn Weights'!$E$6)+(J119*'Pawn Weights'!$E$7)+(K119*'Pawn Weights'!$E$8)+(L119*'Pawn Weights'!$E$9)+(M119*'Pawn Weights'!$E$10)+(N119*'Pawn Weights'!$E$11)+(O119*'Pawn Weights'!$E$12)+(P119*'Pawn Weights'!$E$13)+(Q119*'Pawn Weights'!$E$14)-10+9.55+3, 2)</f>
        <v>72.55</v>
      </c>
      <c r="E119" s="298">
        <v>37.0</v>
      </c>
      <c r="F119" s="298">
        <v>34.0</v>
      </c>
      <c r="G119" s="297"/>
      <c r="H119" s="297"/>
      <c r="I119" s="297"/>
      <c r="J119" s="298">
        <v>25.0</v>
      </c>
      <c r="K119" s="297"/>
      <c r="L119" s="297"/>
      <c r="M119" s="137"/>
      <c r="N119" s="297"/>
      <c r="O119" s="298">
        <v>1.0</v>
      </c>
      <c r="P119" s="298">
        <v>1.0</v>
      </c>
      <c r="Q119" s="297"/>
      <c r="R119" s="298" t="s">
        <v>698</v>
      </c>
      <c r="S119" s="137"/>
      <c r="T119" s="295"/>
      <c r="U119" s="137"/>
      <c r="V119" s="137"/>
      <c r="W119" s="137"/>
      <c r="X119" s="137"/>
      <c r="Y119" s="137"/>
      <c r="Z119" s="137"/>
    </row>
    <row r="120">
      <c r="A120" s="25" t="s">
        <v>627</v>
      </c>
      <c r="B120" s="311" t="s">
        <v>1097</v>
      </c>
      <c r="C120" s="280" t="s">
        <v>904</v>
      </c>
      <c r="D120" s="289">
        <f>ROUND((F120*'Pawn Weights'!$E$3)+(G120*'Pawn Weights'!$E$4)+(H120*'Pawn Weights'!$E$5)+(I120*'Pawn Weights'!$E$6)+(J120*'Pawn Weights'!$E$7)+(K120*'Pawn Weights'!$E$8)+(L120*'Pawn Weights'!$E$9)+(M120*'Pawn Weights'!$E$10)+(N120*'Pawn Weights'!$E$11)+(O120*'Pawn Weights'!$E$12)+(P120*'Pawn Weights'!$E$13)+(Q120*'Pawn Weights'!$E$14)-10+9.55+2.727, 2)</f>
        <v>71.36</v>
      </c>
      <c r="E120" s="280"/>
      <c r="F120" s="280"/>
      <c r="G120" s="280"/>
      <c r="H120" s="280">
        <v>36.0</v>
      </c>
      <c r="I120" s="280">
        <v>24.0</v>
      </c>
      <c r="J120" s="280">
        <v>17.0</v>
      </c>
      <c r="K120" s="280"/>
      <c r="L120" s="280"/>
      <c r="M120" s="281"/>
      <c r="N120" s="280"/>
      <c r="O120" s="280">
        <v>1.0</v>
      </c>
      <c r="P120" s="280">
        <v>1.0</v>
      </c>
      <c r="Q120" s="280"/>
      <c r="R120" s="290" t="s">
        <v>809</v>
      </c>
      <c r="S120" s="281"/>
      <c r="T120" s="291"/>
      <c r="U120" s="281"/>
      <c r="V120" s="281"/>
      <c r="W120" s="281"/>
    </row>
    <row r="121">
      <c r="A121" s="25" t="s">
        <v>647</v>
      </c>
      <c r="B121" s="288" t="s">
        <v>1098</v>
      </c>
      <c r="C121" s="280" t="s">
        <v>957</v>
      </c>
      <c r="D121" s="289">
        <f>ROUND((F121*'Pawn Weights'!$E$3)+(G121*'Pawn Weights'!$E$4)+(H121*'Pawn Weights'!$E$5)+(I121*'Pawn Weights'!$E$6)+(J121*'Pawn Weights'!$E$7)+(K121*'Pawn Weights'!$E$8)+(L121*'Pawn Weights'!$E$9)+(M121*'Pawn Weights'!$E$10)+(N121*'Pawn Weights'!$E$11)+(O121*'Pawn Weights'!$E$12)+(P121*'Pawn Weights'!$E$13)+(Q121*'Pawn Weights'!$E$14), 2)</f>
        <v>71.3</v>
      </c>
      <c r="E121" s="280">
        <v>46.0</v>
      </c>
      <c r="F121" s="280">
        <v>44.0</v>
      </c>
      <c r="G121" s="280"/>
      <c r="H121" s="280"/>
      <c r="I121" s="280">
        <v>30.0</v>
      </c>
      <c r="J121" s="280"/>
      <c r="K121" s="280"/>
      <c r="L121" s="280"/>
      <c r="M121" s="281"/>
      <c r="N121" s="280"/>
      <c r="O121" s="280"/>
      <c r="P121" s="280"/>
      <c r="Q121" s="280"/>
      <c r="R121" s="290"/>
      <c r="S121" s="281"/>
      <c r="T121" s="291"/>
      <c r="U121" s="281"/>
      <c r="V121" s="281"/>
      <c r="W121" s="281"/>
    </row>
    <row r="122">
      <c r="A122" s="295"/>
      <c r="B122" s="296" t="s">
        <v>1405</v>
      </c>
      <c r="C122" s="297" t="s">
        <v>889</v>
      </c>
      <c r="D122" s="289">
        <f>ROUND((F122*'Pawn Weights'!$E$3)+(G122*'Pawn Weights'!$E$4)+(H122*'Pawn Weights'!$E$5)+(I122*'Pawn Weights'!$E$6)+(J122*'Pawn Weights'!$E$7)+(K122*'Pawn Weights'!$E$8)+(L122*'Pawn Weights'!$E$9)+(M122*'Pawn Weights'!$E$10)+(N122*'Pawn Weights'!$E$11)+(O122*'Pawn Weights'!$E$12)+(P122*'Pawn Weights'!$E$13)+(Q122*'Pawn Weights'!$E$14), 2)</f>
        <v>70.17</v>
      </c>
      <c r="E122" s="298">
        <v>28.0</v>
      </c>
      <c r="F122" s="297"/>
      <c r="G122" s="298">
        <v>30.0</v>
      </c>
      <c r="H122" s="298">
        <v>68.0</v>
      </c>
      <c r="I122" s="297"/>
      <c r="J122" s="297"/>
      <c r="K122" s="298">
        <v>25.0</v>
      </c>
      <c r="L122" s="297"/>
      <c r="M122" s="137"/>
      <c r="N122" s="297"/>
      <c r="O122" s="297"/>
      <c r="P122" s="297"/>
      <c r="Q122" s="297"/>
      <c r="R122" s="295"/>
      <c r="S122" s="137"/>
      <c r="T122" s="295"/>
      <c r="U122" s="137"/>
      <c r="V122" s="137"/>
      <c r="W122" s="137"/>
      <c r="X122" s="137"/>
      <c r="Y122" s="137"/>
      <c r="Z122" s="137"/>
    </row>
    <row r="123">
      <c r="A123" s="25" t="s">
        <v>644</v>
      </c>
      <c r="B123" s="288" t="s">
        <v>1406</v>
      </c>
      <c r="C123" s="280" t="s">
        <v>646</v>
      </c>
      <c r="D123" s="289">
        <f>ROUND((F123*'Pawn Weights'!$E$3)+(G123*'Pawn Weights'!$E$4)+(H123*'Pawn Weights'!$E$5)+(I123*'Pawn Weights'!$E$6)+(J123*'Pawn Weights'!$E$7)+(K123*'Pawn Weights'!$E$8)+(L123*'Pawn Weights'!$E$9)+(M123*'Pawn Weights'!$E$10)+(N123*'Pawn Weights'!$E$11)+(O123*'Pawn Weights'!$E$12)+(P123*'Pawn Weights'!$E$13)+(Q123*'Pawn Weights'!$E$14), 2)</f>
        <v>66.12</v>
      </c>
      <c r="E123" s="280">
        <v>52.0</v>
      </c>
      <c r="F123" s="280">
        <v>37.0</v>
      </c>
      <c r="G123" s="280"/>
      <c r="H123" s="280"/>
      <c r="I123" s="280">
        <v>32.0</v>
      </c>
      <c r="J123" s="280"/>
      <c r="K123" s="280"/>
      <c r="L123" s="280"/>
      <c r="M123" s="281"/>
      <c r="N123" s="280"/>
      <c r="O123" s="280"/>
      <c r="P123" s="280"/>
      <c r="Q123" s="280"/>
      <c r="R123" s="290"/>
      <c r="S123" s="281"/>
      <c r="T123" s="291" t="s">
        <v>827</v>
      </c>
      <c r="U123" s="281"/>
      <c r="V123" s="281"/>
      <c r="W123" s="281"/>
    </row>
    <row r="124">
      <c r="A124" s="25" t="s">
        <v>1068</v>
      </c>
      <c r="B124" s="288" t="s">
        <v>1426</v>
      </c>
      <c r="C124" s="280" t="s">
        <v>997</v>
      </c>
      <c r="D124" s="289">
        <f>ROUND((F124*'Pawn Weights'!$E$3)+(G124*'Pawn Weights'!$E$4)+(H124*'Pawn Weights'!$E$5)+(I124*'Pawn Weights'!$E$6)+(J124*'Pawn Weights'!$E$7)+(K124*'Pawn Weights'!$E$8)+(L124*'Pawn Weights'!$E$9)+(M124*'Pawn Weights'!$E$10)+(N124*'Pawn Weights'!$E$11)+(O124*'Pawn Weights'!$E$12)+(P124*'Pawn Weights'!$E$13)+(Q124*'Pawn Weights'!$E$14), 2)</f>
        <v>59.39</v>
      </c>
      <c r="E124" s="280">
        <v>46.0</v>
      </c>
      <c r="F124" s="280">
        <v>33.0</v>
      </c>
      <c r="G124" s="280"/>
      <c r="H124" s="280"/>
      <c r="I124" s="280">
        <v>29.0</v>
      </c>
      <c r="J124" s="280"/>
      <c r="K124" s="280"/>
      <c r="L124" s="280"/>
      <c r="M124" s="281"/>
      <c r="N124" s="280"/>
      <c r="O124" s="280"/>
      <c r="P124" s="280"/>
      <c r="Q124" s="280"/>
      <c r="R124" s="290"/>
      <c r="S124" s="281"/>
      <c r="T124" s="291" t="s">
        <v>827</v>
      </c>
      <c r="U124" s="281"/>
      <c r="V124" s="281"/>
      <c r="W124" s="281"/>
    </row>
    <row r="125">
      <c r="A125" s="272" t="s">
        <v>828</v>
      </c>
      <c r="B125" s="281"/>
      <c r="C125" s="281"/>
      <c r="D125" s="360"/>
      <c r="E125" s="281"/>
      <c r="F125" s="281"/>
      <c r="G125" s="281"/>
      <c r="H125" s="281"/>
      <c r="I125" s="281"/>
      <c r="J125" s="281"/>
      <c r="K125" s="281"/>
      <c r="L125" s="281"/>
      <c r="M125" s="281"/>
      <c r="N125" s="281"/>
      <c r="O125" s="281"/>
      <c r="P125" s="281"/>
      <c r="Q125" s="281"/>
      <c r="R125" s="282"/>
      <c r="S125" s="281"/>
      <c r="T125" s="285"/>
      <c r="U125" s="281"/>
      <c r="V125" s="281"/>
      <c r="W125" s="281"/>
    </row>
    <row r="126">
      <c r="A126" s="292"/>
      <c r="B126" s="288" t="s">
        <v>830</v>
      </c>
      <c r="C126" s="280" t="s">
        <v>649</v>
      </c>
      <c r="D126" s="289">
        <f>ROUND((F126*'Pawn Weights'!$E$3)+(G126*'Pawn Weights'!$E$4)+(H126*'Pawn Weights'!$E$5)+(I126*'Pawn Weights'!$E$6)+(J126*'Pawn Weights'!$E$7)+(K126*'Pawn Weights'!$E$8)+(L126*'Pawn Weights'!$E$9)+(M126*'Pawn Weights'!$E$10)+(N126*'Pawn Weights'!$E$11)+(O126*'Pawn Weights'!$E$12)+(P126*'Pawn Weights'!$E$13)+(Q126*'Pawn Weights'!$E$14), 2)</f>
        <v>103.98</v>
      </c>
      <c r="E126" s="280">
        <v>25.0</v>
      </c>
      <c r="F126" s="280"/>
      <c r="G126" s="280">
        <v>29.0</v>
      </c>
      <c r="H126" s="280">
        <v>74.0</v>
      </c>
      <c r="I126" s="280"/>
      <c r="J126" s="280"/>
      <c r="K126" s="280"/>
      <c r="L126" s="280">
        <v>25.0</v>
      </c>
      <c r="M126" s="281"/>
      <c r="N126" s="280"/>
      <c r="O126" s="280">
        <v>1.0</v>
      </c>
      <c r="P126" s="280"/>
      <c r="Q126" s="280">
        <v>1.0</v>
      </c>
      <c r="R126" s="290" t="s">
        <v>695</v>
      </c>
      <c r="S126" s="281"/>
      <c r="T126" s="291" t="s">
        <v>1079</v>
      </c>
      <c r="U126" s="281"/>
      <c r="V126" s="281"/>
      <c r="W126" s="281"/>
    </row>
    <row r="127">
      <c r="A127" s="292"/>
      <c r="B127" s="288" t="s">
        <v>833</v>
      </c>
      <c r="C127" s="280" t="s">
        <v>816</v>
      </c>
      <c r="D127" s="289">
        <f>ROUND((F127*'Pawn Weights'!$E$3)+(G127*'Pawn Weights'!$E$4)+(H127*'Pawn Weights'!$E$5)+(I127*'Pawn Weights'!$E$6)+(J127*'Pawn Weights'!$E$7)+(K127*'Pawn Weights'!$E$8)+(L127*'Pawn Weights'!$E$9)+(M127*'Pawn Weights'!$E$10)+(N127*'Pawn Weights'!$E$11)+(O127*'Pawn Weights'!$E$12)+(P127*'Pawn Weights'!$E$13)+(Q127*'Pawn Weights'!$E$14), 2)</f>
        <v>92.61</v>
      </c>
      <c r="E127" s="280"/>
      <c r="F127" s="280"/>
      <c r="G127" s="280">
        <v>38.0</v>
      </c>
      <c r="H127" s="280">
        <v>76.0</v>
      </c>
      <c r="I127" s="280">
        <v>24.0</v>
      </c>
      <c r="J127" s="280">
        <v>17.0</v>
      </c>
      <c r="K127" s="280"/>
      <c r="L127" s="280"/>
      <c r="M127" s="281"/>
      <c r="N127" s="280"/>
      <c r="O127" s="280"/>
      <c r="P127" s="280"/>
      <c r="Q127" s="280"/>
      <c r="R127" s="290"/>
      <c r="S127" s="281"/>
      <c r="T127" s="291"/>
      <c r="U127" s="281"/>
      <c r="V127" s="281"/>
      <c r="W127" s="281"/>
    </row>
    <row r="128">
      <c r="A128" s="292" t="s">
        <v>627</v>
      </c>
      <c r="B128" s="288" t="s">
        <v>836</v>
      </c>
      <c r="C128" s="280" t="s">
        <v>837</v>
      </c>
      <c r="D128" s="289">
        <f>ROUND((F128*'Pawn Weights'!$E$3)+(G128*'Pawn Weights'!$E$4)+(H128*'Pawn Weights'!$E$5)+(I128*'Pawn Weights'!$E$6)+(J128*'Pawn Weights'!$E$7)+(K128*'Pawn Weights'!$E$8)+(L128*'Pawn Weights'!$E$9)+(M128*'Pawn Weights'!$E$10)+(N128*'Pawn Weights'!$E$11)+(O128*'Pawn Weights'!$E$12)+(P128*'Pawn Weights'!$E$13)+(Q128*'Pawn Weights'!$E$14), 2)</f>
        <v>91.8</v>
      </c>
      <c r="E128" s="280">
        <v>21.0</v>
      </c>
      <c r="F128" s="280">
        <v>41.0</v>
      </c>
      <c r="G128" s="280"/>
      <c r="H128" s="280"/>
      <c r="I128" s="280">
        <v>24.0</v>
      </c>
      <c r="J128" s="280">
        <v>14.0</v>
      </c>
      <c r="K128" s="280"/>
      <c r="L128" s="280"/>
      <c r="M128" s="281"/>
      <c r="N128" s="280"/>
      <c r="O128" s="280"/>
      <c r="P128" s="280">
        <v>1.0</v>
      </c>
      <c r="Q128" s="280">
        <v>1.0</v>
      </c>
      <c r="R128" s="290" t="s">
        <v>702</v>
      </c>
      <c r="S128" s="281"/>
      <c r="T128" s="291"/>
      <c r="U128" s="281"/>
      <c r="V128" s="281"/>
      <c r="W128" s="281"/>
    </row>
    <row r="129">
      <c r="A129" s="292"/>
      <c r="B129" s="288" t="s">
        <v>834</v>
      </c>
      <c r="C129" s="280" t="s">
        <v>835</v>
      </c>
      <c r="D129" s="289">
        <f>ROUND((F129*'Pawn Weights'!$E$3)+(G129*'Pawn Weights'!$E$4)+(H129*'Pawn Weights'!$E$5)+(I129*'Pawn Weights'!$E$6)+(J129*'Pawn Weights'!$E$7)+(K129*'Pawn Weights'!$E$8)+(L129*'Pawn Weights'!$E$9)+(M129*'Pawn Weights'!$E$10)+(N129*'Pawn Weights'!$E$11)+(O129*'Pawn Weights'!$E$12)+(P129*'Pawn Weights'!$E$13)+(Q129*'Pawn Weights'!$E$14), 2)</f>
        <v>91.18</v>
      </c>
      <c r="E129" s="280">
        <v>37.0</v>
      </c>
      <c r="F129" s="280"/>
      <c r="G129" s="280">
        <v>29.0</v>
      </c>
      <c r="H129" s="280">
        <v>76.0</v>
      </c>
      <c r="I129" s="280">
        <v>19.0</v>
      </c>
      <c r="J129" s="280"/>
      <c r="K129" s="280"/>
      <c r="L129" s="280"/>
      <c r="M129" s="281"/>
      <c r="N129" s="280"/>
      <c r="O129" s="280">
        <v>1.0</v>
      </c>
      <c r="P129" s="280">
        <v>1.0</v>
      </c>
      <c r="Q129" s="280"/>
      <c r="R129" s="290" t="s">
        <v>812</v>
      </c>
      <c r="S129" s="281"/>
      <c r="T129" s="291"/>
      <c r="U129" s="281"/>
      <c r="V129" s="281"/>
      <c r="W129" s="281"/>
    </row>
    <row r="130">
      <c r="A130" s="295"/>
      <c r="B130" s="296" t="s">
        <v>831</v>
      </c>
      <c r="C130" s="297" t="s">
        <v>718</v>
      </c>
      <c r="D130" s="289">
        <f>ROUND((F130*'Pawn Weights'!$E$3)+(G130*'Pawn Weights'!$E$4)+(H130*'Pawn Weights'!$E$5)+(I130*'Pawn Weights'!$E$6)+(J130*'Pawn Weights'!$E$7)+(K130*'Pawn Weights'!$E$8)+(L130*'Pawn Weights'!$E$9)+(M130*'Pawn Weights'!$E$10)+(N130*'Pawn Weights'!$E$11)+(O130*'Pawn Weights'!$E$12)+(P130*'Pawn Weights'!$E$13)+(Q130*'Pawn Weights'!$E$14), 2)</f>
        <v>89.29</v>
      </c>
      <c r="E130" s="298">
        <v>37.0</v>
      </c>
      <c r="F130" s="298">
        <v>34.0</v>
      </c>
      <c r="G130" s="297"/>
      <c r="H130" s="297"/>
      <c r="I130" s="297"/>
      <c r="J130" s="298">
        <v>14.0</v>
      </c>
      <c r="K130" s="297"/>
      <c r="L130" s="297"/>
      <c r="M130" s="359">
        <v>154.0</v>
      </c>
      <c r="N130" s="297"/>
      <c r="O130" s="298">
        <v>1.0</v>
      </c>
      <c r="P130" s="297"/>
      <c r="Q130" s="298">
        <v>1.0</v>
      </c>
      <c r="R130" s="298" t="s">
        <v>832</v>
      </c>
      <c r="S130" s="137"/>
      <c r="T130" s="295"/>
      <c r="U130" s="137"/>
      <c r="V130" s="137"/>
      <c r="W130" s="137"/>
      <c r="X130" s="137"/>
      <c r="Y130" s="137"/>
      <c r="Z130" s="137"/>
    </row>
    <row r="131">
      <c r="A131" s="295"/>
      <c r="B131" s="296" t="s">
        <v>843</v>
      </c>
      <c r="C131" s="297" t="s">
        <v>844</v>
      </c>
      <c r="D131" s="289">
        <f>ROUND((F131*'Pawn Weights'!$E$3)+(G131*'Pawn Weights'!$E$4)+(H131*'Pawn Weights'!$E$5)+(I131*'Pawn Weights'!$E$6)+(J131*'Pawn Weights'!$E$7)+(K131*'Pawn Weights'!$E$8)+(L131*'Pawn Weights'!$E$9)+(M131*'Pawn Weights'!$E$10)+(N131*'Pawn Weights'!$E$11)+(O131*'Pawn Weights'!$E$12)+(P131*'Pawn Weights'!$E$13)+(Q131*'Pawn Weights'!$E$14)-10+9.55+1.334, 2)</f>
        <v>83.73</v>
      </c>
      <c r="E131" s="298">
        <v>33.0</v>
      </c>
      <c r="F131" s="297"/>
      <c r="G131" s="298">
        <v>34.0</v>
      </c>
      <c r="H131" s="298">
        <v>78.0</v>
      </c>
      <c r="I131" s="297"/>
      <c r="J131" s="298">
        <v>23.0</v>
      </c>
      <c r="K131" s="297"/>
      <c r="L131" s="297"/>
      <c r="M131" s="137"/>
      <c r="N131" s="297"/>
      <c r="O131" s="297"/>
      <c r="P131" s="298">
        <v>1.0</v>
      </c>
      <c r="Q131" s="297"/>
      <c r="R131" s="298" t="s">
        <v>711</v>
      </c>
      <c r="S131" s="137"/>
      <c r="T131" s="295"/>
      <c r="U131" s="137"/>
      <c r="V131" s="137"/>
      <c r="W131" s="137"/>
      <c r="X131" s="137"/>
      <c r="Y131" s="137"/>
      <c r="Z131" s="137"/>
    </row>
    <row r="132">
      <c r="A132" s="292" t="s">
        <v>627</v>
      </c>
      <c r="B132" s="288" t="s">
        <v>845</v>
      </c>
      <c r="C132" s="280" t="s">
        <v>846</v>
      </c>
      <c r="D132" s="289">
        <f>ROUND((F132*'Pawn Weights'!$E$3)+(G132*'Pawn Weights'!$E$4)+(H132*'Pawn Weights'!$E$5)+(I132*'Pawn Weights'!$E$6)+(J132*'Pawn Weights'!$E$7)+(K132*'Pawn Weights'!$E$8)+(L132*'Pawn Weights'!$E$9)+(M132*'Pawn Weights'!$E$10)+(N132*'Pawn Weights'!$E$11)+(O132*'Pawn Weights'!$E$12)+(P132*'Pawn Weights'!$E$13)+(Q132*'Pawn Weights'!$E$14), 2)</f>
        <v>82.86</v>
      </c>
      <c r="E132" s="280">
        <v>14.0</v>
      </c>
      <c r="F132" s="280"/>
      <c r="G132" s="280">
        <v>32.0</v>
      </c>
      <c r="H132" s="280">
        <v>66.0</v>
      </c>
      <c r="I132" s="280"/>
      <c r="J132" s="280">
        <v>18.0</v>
      </c>
      <c r="K132" s="280"/>
      <c r="L132" s="280"/>
      <c r="M132" s="281"/>
      <c r="N132" s="280"/>
      <c r="O132" s="280"/>
      <c r="P132" s="280"/>
      <c r="Q132" s="280">
        <v>2.0</v>
      </c>
      <c r="R132" s="290" t="s">
        <v>695</v>
      </c>
      <c r="S132" s="281"/>
      <c r="T132" s="291"/>
      <c r="U132" s="281"/>
      <c r="V132" s="281"/>
      <c r="W132" s="281"/>
    </row>
    <row r="133">
      <c r="A133" s="292"/>
      <c r="B133" s="288" t="s">
        <v>840</v>
      </c>
      <c r="C133" s="280" t="s">
        <v>723</v>
      </c>
      <c r="D133" s="289">
        <f>ROUND((F133*'Pawn Weights'!$E$3)+(G133*'Pawn Weights'!$E$4)+(H133*'Pawn Weights'!$E$5)+(I133*'Pawn Weights'!$E$6)+(J133*'Pawn Weights'!$E$7)+(K133*'Pawn Weights'!$E$8)+(L133*'Pawn Weights'!$E$9)+(M133*'Pawn Weights'!$E$10)+(N133*'Pawn Weights'!$E$11)+(O133*'Pawn Weights'!$E$12)+(P133*'Pawn Weights'!$E$13)+(Q133*'Pawn Weights'!$E$14), 2)</f>
        <v>81.04</v>
      </c>
      <c r="E133" s="280">
        <v>38.0</v>
      </c>
      <c r="F133" s="280"/>
      <c r="G133" s="280">
        <v>27.0</v>
      </c>
      <c r="H133" s="280">
        <v>76.0</v>
      </c>
      <c r="I133" s="280"/>
      <c r="J133" s="280"/>
      <c r="K133" s="280">
        <v>37.0</v>
      </c>
      <c r="L133" s="280"/>
      <c r="M133" s="281"/>
      <c r="N133" s="280"/>
      <c r="O133" s="280"/>
      <c r="P133" s="280"/>
      <c r="Q133" s="280"/>
      <c r="R133" s="290"/>
      <c r="S133" s="281"/>
      <c r="T133" s="291"/>
      <c r="U133" s="281"/>
      <c r="V133" s="281"/>
      <c r="W133" s="281"/>
    </row>
    <row r="134">
      <c r="A134" s="292"/>
      <c r="B134" s="288" t="s">
        <v>841</v>
      </c>
      <c r="C134" s="280" t="s">
        <v>842</v>
      </c>
      <c r="D134" s="289">
        <f>ROUND((F134*'Pawn Weights'!$E$3)+(G134*'Pawn Weights'!$E$4)+(H134*'Pawn Weights'!$E$5)+(I134*'Pawn Weights'!$E$6)+(J134*'Pawn Weights'!$E$7)+(K134*'Pawn Weights'!$E$8)+(L134*'Pawn Weights'!$E$9)+(M134*'Pawn Weights'!$E$10)+(N134*'Pawn Weights'!$E$11)+(O134*'Pawn Weights'!$E$12)+(P134*'Pawn Weights'!$E$13)+(Q134*'Pawn Weights'!$E$14), 2)</f>
        <v>80.27</v>
      </c>
      <c r="E134" s="280">
        <v>25.0</v>
      </c>
      <c r="F134" s="280"/>
      <c r="G134" s="280">
        <v>27.0</v>
      </c>
      <c r="H134" s="280">
        <v>76.0</v>
      </c>
      <c r="I134" s="280"/>
      <c r="J134" s="280"/>
      <c r="K134" s="280">
        <v>36.0</v>
      </c>
      <c r="L134" s="280"/>
      <c r="M134" s="281"/>
      <c r="N134" s="280"/>
      <c r="O134" s="280"/>
      <c r="P134" s="280"/>
      <c r="Q134" s="280"/>
      <c r="R134" s="290"/>
      <c r="S134" s="281"/>
      <c r="T134" s="291"/>
      <c r="U134" s="281"/>
      <c r="V134" s="281"/>
      <c r="W134" s="281"/>
    </row>
    <row r="135">
      <c r="A135" s="281"/>
      <c r="B135" s="288" t="s">
        <v>847</v>
      </c>
      <c r="C135" s="280" t="s">
        <v>825</v>
      </c>
      <c r="D135" s="289">
        <f>ROUND((F135*'Pawn Weights'!$E$3)+(G135*'Pawn Weights'!$E$4)+(H135*'Pawn Weights'!$E$5)+(I135*'Pawn Weights'!$E$6)+(J135*'Pawn Weights'!$E$7)+(K135*'Pawn Weights'!$E$8)+(L135*'Pawn Weights'!$E$9)+(M135*'Pawn Weights'!$E$10)+(N135*'Pawn Weights'!$E$11)+(O135*'Pawn Weights'!$E$12)+(P135*'Pawn Weights'!$E$13)+(Q135*'Pawn Weights'!$E$14), 2)</f>
        <v>79.48</v>
      </c>
      <c r="E135" s="280">
        <v>30.0</v>
      </c>
      <c r="F135" s="280">
        <v>34.0</v>
      </c>
      <c r="G135" s="280"/>
      <c r="H135" s="280"/>
      <c r="I135" s="280">
        <v>28.0</v>
      </c>
      <c r="J135" s="280"/>
      <c r="K135" s="280"/>
      <c r="L135" s="280"/>
      <c r="M135" s="281"/>
      <c r="N135" s="280"/>
      <c r="O135" s="280">
        <v>1.0</v>
      </c>
      <c r="P135" s="280"/>
      <c r="Q135" s="280">
        <v>1.0</v>
      </c>
      <c r="R135" s="290" t="s">
        <v>702</v>
      </c>
      <c r="S135" s="281"/>
      <c r="T135" s="291"/>
      <c r="U135" s="281"/>
      <c r="V135" s="281"/>
      <c r="W135" s="281"/>
    </row>
    <row r="136">
      <c r="A136" s="281"/>
      <c r="B136" s="288" t="s">
        <v>1408</v>
      </c>
      <c r="C136" s="280" t="s">
        <v>842</v>
      </c>
      <c r="D136" s="289">
        <f>ROUND((F136*'Pawn Weights'!$E$3)+(G136*'Pawn Weights'!$E$4)+(H136*'Pawn Weights'!$E$5)+(I136*'Pawn Weights'!$E$6)+(J136*'Pawn Weights'!$E$7)+(K136*'Pawn Weights'!$E$8)+(L136*'Pawn Weights'!$E$9)+(M136*'Pawn Weights'!$E$10)+(N136*'Pawn Weights'!$E$11)+(O136*'Pawn Weights'!$E$12)+(P136*'Pawn Weights'!$E$13)+(Q136*'Pawn Weights'!$E$14), 2)</f>
        <v>77.26</v>
      </c>
      <c r="E136" s="280">
        <v>37.0</v>
      </c>
      <c r="F136" s="280">
        <v>48.0</v>
      </c>
      <c r="G136" s="280"/>
      <c r="H136" s="280"/>
      <c r="I136" s="280"/>
      <c r="J136" s="280"/>
      <c r="K136" s="280">
        <v>38.0</v>
      </c>
      <c r="L136" s="280"/>
      <c r="M136" s="281"/>
      <c r="N136" s="280"/>
      <c r="O136" s="280"/>
      <c r="P136" s="280"/>
      <c r="Q136" s="280"/>
      <c r="R136" s="290"/>
      <c r="S136" s="281"/>
      <c r="T136" s="291"/>
      <c r="U136" s="281"/>
      <c r="V136" s="281"/>
      <c r="W136" s="281"/>
    </row>
    <row r="137">
      <c r="A137" s="292" t="s">
        <v>627</v>
      </c>
      <c r="B137" s="288" t="s">
        <v>1099</v>
      </c>
      <c r="C137" s="280" t="s">
        <v>846</v>
      </c>
      <c r="D137" s="289">
        <f>ROUND((F137*'Pawn Weights'!$E$3)+(G137*'Pawn Weights'!$E$4)+(H137*'Pawn Weights'!$E$5)+(I137*'Pawn Weights'!$E$6)+(J137*'Pawn Weights'!$E$7)+(K137*'Pawn Weights'!$E$8)+(L137*'Pawn Weights'!$E$9)+(M137*'Pawn Weights'!$E$10)+(N137*'Pawn Weights'!$E$11)+(O137*'Pawn Weights'!$E$12)+(P137*'Pawn Weights'!$E$13)+(Q137*'Pawn Weights'!$E$14), 2)</f>
        <v>76.81</v>
      </c>
      <c r="E137" s="280">
        <v>20.0</v>
      </c>
      <c r="F137" s="280"/>
      <c r="G137" s="280">
        <v>17.0</v>
      </c>
      <c r="H137" s="280">
        <v>66.0</v>
      </c>
      <c r="I137" s="280">
        <v>17.0</v>
      </c>
      <c r="J137" s="280"/>
      <c r="K137" s="280"/>
      <c r="L137" s="280"/>
      <c r="M137" s="281"/>
      <c r="N137" s="280"/>
      <c r="O137" s="280"/>
      <c r="P137" s="280">
        <v>1.0</v>
      </c>
      <c r="Q137" s="280">
        <v>1.0</v>
      </c>
      <c r="R137" s="290" t="s">
        <v>695</v>
      </c>
      <c r="S137" s="281"/>
      <c r="T137" s="291"/>
      <c r="U137" s="281"/>
      <c r="V137" s="281"/>
      <c r="W137" s="281"/>
    </row>
    <row r="138">
      <c r="A138" s="295" t="s">
        <v>671</v>
      </c>
      <c r="B138" s="296" t="s">
        <v>848</v>
      </c>
      <c r="C138" s="297" t="s">
        <v>849</v>
      </c>
      <c r="D138" s="289">
        <f>ROUND((F138*'Pawn Weights'!$E$3)+(G138*'Pawn Weights'!$E$4)+(H138*'Pawn Weights'!$E$5)+(I138*'Pawn Weights'!$E$6)+(J138*'Pawn Weights'!$E$7)+(K138*'Pawn Weights'!$E$8)+(L138*'Pawn Weights'!$E$9)+(M138*'Pawn Weights'!$E$10)+(N138*'Pawn Weights'!$E$11)+(O138*'Pawn Weights'!$E$12)+(P138*'Pawn Weights'!$E$13)+(Q138*'Pawn Weights'!$E$14), 2)</f>
        <v>76.4</v>
      </c>
      <c r="E138" s="298">
        <v>56.0</v>
      </c>
      <c r="F138" s="298">
        <v>40.0</v>
      </c>
      <c r="G138" s="297"/>
      <c r="H138" s="297"/>
      <c r="I138" s="298">
        <v>40.0</v>
      </c>
      <c r="J138" s="297"/>
      <c r="K138" s="297"/>
      <c r="L138" s="297"/>
      <c r="M138" s="137"/>
      <c r="N138" s="297"/>
      <c r="O138" s="297"/>
      <c r="P138" s="297"/>
      <c r="Q138" s="297"/>
      <c r="R138" s="295"/>
      <c r="S138" s="137"/>
      <c r="T138" s="297" t="s">
        <v>850</v>
      </c>
      <c r="U138" s="137"/>
      <c r="V138" s="137"/>
      <c r="W138" s="137"/>
      <c r="X138" s="137"/>
      <c r="Y138" s="137"/>
      <c r="Z138" s="137"/>
    </row>
    <row r="139">
      <c r="A139" s="281"/>
      <c r="B139" s="288" t="s">
        <v>1100</v>
      </c>
      <c r="C139" s="280" t="s">
        <v>823</v>
      </c>
      <c r="D139" s="289">
        <f>ROUND((F139*'Pawn Weights'!$E$3)+(G139*'Pawn Weights'!$E$4)+(H139*'Pawn Weights'!$E$5)+(I139*'Pawn Weights'!$E$6)+(J139*'Pawn Weights'!$E$7)+(K139*'Pawn Weights'!$E$8)+(L139*'Pawn Weights'!$E$9)+(M139*'Pawn Weights'!$E$10)+(N139*'Pawn Weights'!$E$11)+(O139*'Pawn Weights'!$E$12)+(P139*'Pawn Weights'!$E$13)+(Q139*'Pawn Weights'!$E$14), 2)</f>
        <v>75.47</v>
      </c>
      <c r="E139" s="280">
        <v>27.0</v>
      </c>
      <c r="F139" s="280"/>
      <c r="G139" s="280"/>
      <c r="H139" s="280">
        <v>72.0</v>
      </c>
      <c r="I139" s="280">
        <v>25.0</v>
      </c>
      <c r="J139" s="280"/>
      <c r="K139" s="280"/>
      <c r="L139" s="280"/>
      <c r="M139" s="281"/>
      <c r="N139" s="280"/>
      <c r="O139" s="280"/>
      <c r="P139" s="280">
        <v>1.0</v>
      </c>
      <c r="Q139" s="280">
        <v>1.0</v>
      </c>
      <c r="R139" s="290" t="s">
        <v>702</v>
      </c>
      <c r="S139" s="281"/>
      <c r="T139" s="291"/>
      <c r="U139" s="281"/>
      <c r="V139" s="281"/>
      <c r="W139" s="281"/>
    </row>
    <row r="140">
      <c r="A140" s="292"/>
      <c r="B140" s="288" t="s">
        <v>1409</v>
      </c>
      <c r="C140" s="280" t="s">
        <v>821</v>
      </c>
      <c r="D140" s="289">
        <f>ROUND((F140*'Pawn Weights'!$E$3)+(G140*'Pawn Weights'!$E$4)+(H140*'Pawn Weights'!$E$5)+(I140*'Pawn Weights'!$E$6)+(J140*'Pawn Weights'!$E$7)+(K140*'Pawn Weights'!$E$8)+(L140*'Pawn Weights'!$E$9)+(M140*'Pawn Weights'!$E$10)+(N140*'Pawn Weights'!$E$11)+(O140*'Pawn Weights'!$E$12)+(P140*'Pawn Weights'!$E$13)+(Q140*'Pawn Weights'!$E$14), 2)</f>
        <v>73.64</v>
      </c>
      <c r="E140" s="280">
        <v>33.0</v>
      </c>
      <c r="F140" s="280">
        <v>49.0</v>
      </c>
      <c r="G140" s="280"/>
      <c r="H140" s="280"/>
      <c r="I140" s="280"/>
      <c r="J140" s="280"/>
      <c r="K140" s="280">
        <v>32.0</v>
      </c>
      <c r="L140" s="280"/>
      <c r="M140" s="281"/>
      <c r="N140" s="280"/>
      <c r="O140" s="280"/>
      <c r="P140" s="280"/>
      <c r="Q140" s="280"/>
      <c r="R140" s="290"/>
      <c r="S140" s="281"/>
      <c r="T140" s="291"/>
      <c r="U140" s="281"/>
      <c r="V140" s="281"/>
      <c r="W140" s="281"/>
    </row>
    <row r="141">
      <c r="A141" s="295"/>
      <c r="B141" s="296" t="s">
        <v>851</v>
      </c>
      <c r="C141" s="297" t="s">
        <v>844</v>
      </c>
      <c r="D141" s="289">
        <f>ROUND((F141*'Pawn Weights'!$E$3)+(G141*'Pawn Weights'!$E$4)+(H141*'Pawn Weights'!$E$5)+(I141*'Pawn Weights'!$E$6)+(J141*'Pawn Weights'!$E$7)+(K141*'Pawn Weights'!$E$8)+(L141*'Pawn Weights'!$E$9)+(M141*'Pawn Weights'!$E$10)+(N141*'Pawn Weights'!$E$11)+(O141*'Pawn Weights'!$E$12)+(P141*'Pawn Weights'!$E$13)+(Q141*'Pawn Weights'!$E$14), 2)</f>
        <v>73.1</v>
      </c>
      <c r="E141" s="298">
        <v>55.0</v>
      </c>
      <c r="F141" s="298">
        <v>40.0</v>
      </c>
      <c r="G141" s="297"/>
      <c r="H141" s="297"/>
      <c r="I141" s="297"/>
      <c r="J141" s="297"/>
      <c r="K141" s="298">
        <v>30.0</v>
      </c>
      <c r="L141" s="297"/>
      <c r="M141" s="137"/>
      <c r="N141" s="297"/>
      <c r="O141" s="297"/>
      <c r="P141" s="297"/>
      <c r="Q141" s="298">
        <v>1.0</v>
      </c>
      <c r="R141" s="298" t="s">
        <v>784</v>
      </c>
      <c r="S141" s="137"/>
      <c r="T141" s="297"/>
      <c r="U141" s="137"/>
      <c r="V141" s="137"/>
      <c r="W141" s="137"/>
      <c r="X141" s="137"/>
      <c r="Y141" s="137"/>
      <c r="Z141" s="137"/>
    </row>
    <row r="142">
      <c r="A142" s="292" t="s">
        <v>991</v>
      </c>
      <c r="B142" s="288" t="s">
        <v>1101</v>
      </c>
      <c r="C142" s="280" t="s">
        <v>1102</v>
      </c>
      <c r="D142" s="289">
        <f>ROUND((F142*'Pawn Weights'!$E$3)+(G142*'Pawn Weights'!$E$4)+(H142*'Pawn Weights'!$E$5)+(I142*'Pawn Weights'!$E$6)+(J142*'Pawn Weights'!$E$7)+(K142*'Pawn Weights'!$E$8)+(L142*'Pawn Weights'!$E$9)+(M142*'Pawn Weights'!$E$10)+(N142*'Pawn Weights'!$E$11)+(O142*'Pawn Weights'!$E$12)+(P142*'Pawn Weights'!$E$13)+(Q142*'Pawn Weights'!$E$14), 2)</f>
        <v>66.85</v>
      </c>
      <c r="E142" s="280">
        <v>49.0</v>
      </c>
      <c r="F142" s="280">
        <v>35.0</v>
      </c>
      <c r="G142" s="280"/>
      <c r="H142" s="280"/>
      <c r="I142" s="280">
        <v>35.0</v>
      </c>
      <c r="J142" s="280"/>
      <c r="K142" s="280"/>
      <c r="L142" s="280"/>
      <c r="M142" s="281"/>
      <c r="N142" s="280"/>
      <c r="O142" s="280"/>
      <c r="P142" s="280"/>
      <c r="Q142" s="280"/>
      <c r="R142" s="290"/>
      <c r="S142" s="281"/>
      <c r="T142" s="291" t="s">
        <v>850</v>
      </c>
      <c r="U142" s="281"/>
      <c r="V142" s="281"/>
      <c r="W142" s="281"/>
    </row>
    <row r="143">
      <c r="A143" s="272" t="s">
        <v>852</v>
      </c>
      <c r="B143" s="281"/>
      <c r="C143" s="281"/>
      <c r="D143" s="360"/>
      <c r="E143" s="281"/>
      <c r="F143" s="281"/>
      <c r="G143" s="281"/>
      <c r="H143" s="281"/>
      <c r="I143" s="281"/>
      <c r="J143" s="281"/>
      <c r="K143" s="281"/>
      <c r="L143" s="281"/>
      <c r="M143" s="281"/>
      <c r="N143" s="281"/>
      <c r="O143" s="281"/>
      <c r="P143" s="281"/>
      <c r="Q143" s="281"/>
      <c r="R143" s="282"/>
      <c r="S143" s="281"/>
      <c r="T143" s="285"/>
      <c r="U143" s="281"/>
      <c r="V143" s="281"/>
      <c r="W143" s="281"/>
    </row>
    <row r="144">
      <c r="A144" s="301"/>
      <c r="B144" s="288" t="s">
        <v>856</v>
      </c>
      <c r="C144" s="280" t="s">
        <v>857</v>
      </c>
      <c r="D144" s="289">
        <f>ROUND((F144*'Pawn Weights'!$E$3)+(G144*'Pawn Weights'!$E$4)+(H144*'Pawn Weights'!$E$5)+(I144*'Pawn Weights'!$E$6)+(J144*'Pawn Weights'!$E$7)+(K144*'Pawn Weights'!$E$8)+(L144*'Pawn Weights'!$E$9)+(M144*'Pawn Weights'!$E$10)+(N144*'Pawn Weights'!$E$11)+(O144*'Pawn Weights'!$E$12)+(P144*'Pawn Weights'!$E$13)+(Q144*'Pawn Weights'!$E$14), 2)</f>
        <v>142.7</v>
      </c>
      <c r="E144" s="280">
        <v>51.0</v>
      </c>
      <c r="F144" s="280">
        <v>51.0</v>
      </c>
      <c r="G144" s="280"/>
      <c r="H144" s="280"/>
      <c r="I144" s="280">
        <v>35.0</v>
      </c>
      <c r="J144" s="280"/>
      <c r="K144" s="280"/>
      <c r="L144" s="280"/>
      <c r="M144" s="280">
        <v>350.0</v>
      </c>
      <c r="N144" s="280"/>
      <c r="O144" s="280"/>
      <c r="P144" s="280"/>
      <c r="Q144" s="280"/>
      <c r="R144" s="290"/>
      <c r="S144" s="281"/>
      <c r="T144" s="294"/>
      <c r="U144" s="281"/>
      <c r="V144" s="281"/>
      <c r="W144" s="281"/>
      <c r="X144" s="281"/>
    </row>
    <row r="145">
      <c r="A145" s="295" t="s">
        <v>635</v>
      </c>
      <c r="B145" s="296" t="s">
        <v>860</v>
      </c>
      <c r="C145" s="297" t="s">
        <v>637</v>
      </c>
      <c r="D145" s="289">
        <f>ROUND((F145*'Pawn Weights'!$E$3)+(G145*'Pawn Weights'!$E$4)+(H145*'Pawn Weights'!$E$5)+(I145*'Pawn Weights'!$E$6)+(J145*'Pawn Weights'!$E$7)+(K145*'Pawn Weights'!$E$8)+(L145*'Pawn Weights'!$E$9)+(M145*'Pawn Weights'!$E$10)+(N145*'Pawn Weights'!$E$11)+(O145*'Pawn Weights'!$E$12)+(P145*'Pawn Weights'!$E$13)+(Q145*'Pawn Weights'!$E$14), 2)</f>
        <v>131.11</v>
      </c>
      <c r="E145" s="298">
        <v>77.0</v>
      </c>
      <c r="F145" s="298">
        <v>57.0</v>
      </c>
      <c r="G145" s="297"/>
      <c r="H145" s="297"/>
      <c r="I145" s="298">
        <v>53.0</v>
      </c>
      <c r="J145" s="298">
        <v>18.0</v>
      </c>
      <c r="K145" s="297"/>
      <c r="L145" s="297"/>
      <c r="M145" s="298">
        <v>84.0</v>
      </c>
      <c r="N145" s="297"/>
      <c r="O145" s="297"/>
      <c r="P145" s="297"/>
      <c r="Q145" s="297"/>
      <c r="R145" s="295"/>
      <c r="S145" s="137"/>
      <c r="T145" s="297" t="s">
        <v>861</v>
      </c>
      <c r="U145" s="137"/>
      <c r="V145" s="137"/>
      <c r="W145" s="137"/>
      <c r="X145" s="137"/>
      <c r="Y145" s="137"/>
      <c r="Z145" s="137"/>
    </row>
    <row r="146">
      <c r="A146" s="301" t="s">
        <v>640</v>
      </c>
      <c r="B146" s="288" t="s">
        <v>862</v>
      </c>
      <c r="C146" s="280" t="s">
        <v>639</v>
      </c>
      <c r="D146" s="289">
        <f>ROUND((F146*'Pawn Weights'!$E$3)+(G146*'Pawn Weights'!$E$4)+(H146*'Pawn Weights'!$E$5)+(I146*'Pawn Weights'!$E$6)+(J146*'Pawn Weights'!$E$7)+(K146*'Pawn Weights'!$E$8)+(L146*'Pawn Weights'!$E$9)+(M146*'Pawn Weights'!$E$10)+(N146*'Pawn Weights'!$E$11)+(O146*'Pawn Weights'!$E$12)+(P146*'Pawn Weights'!$E$13)+(Q146*'Pawn Weights'!$E$14), 2)</f>
        <v>126.26</v>
      </c>
      <c r="E146" s="280">
        <v>55.0</v>
      </c>
      <c r="F146" s="280">
        <v>62.0</v>
      </c>
      <c r="G146" s="280">
        <v>41.0</v>
      </c>
      <c r="H146" s="280"/>
      <c r="I146" s="280"/>
      <c r="J146" s="280">
        <v>14.0</v>
      </c>
      <c r="K146" s="280"/>
      <c r="L146" s="280"/>
      <c r="M146" s="280">
        <v>105.0</v>
      </c>
      <c r="N146" s="280"/>
      <c r="O146" s="280"/>
      <c r="P146" s="280"/>
      <c r="Q146" s="280">
        <v>1.0</v>
      </c>
      <c r="R146" s="290" t="s">
        <v>784</v>
      </c>
      <c r="S146" s="281"/>
      <c r="T146" s="294"/>
      <c r="U146" s="281"/>
      <c r="V146" s="281"/>
      <c r="W146" s="281"/>
      <c r="X146" s="281"/>
    </row>
    <row r="147">
      <c r="A147" s="301"/>
      <c r="B147" s="288" t="s">
        <v>863</v>
      </c>
      <c r="C147" s="280" t="s">
        <v>642</v>
      </c>
      <c r="D147" s="289">
        <f>ROUND((F147*'Pawn Weights'!$E$3)+(G147*'Pawn Weights'!$E$4)+(H147*'Pawn Weights'!$E$5)+(I147*'Pawn Weights'!$E$6)+(J147*'Pawn Weights'!$E$7)+(K147*'Pawn Weights'!$E$8)+(L147*'Pawn Weights'!$E$9)+(M147*'Pawn Weights'!$E$10)+(N147*'Pawn Weights'!$E$11)+(O147*'Pawn Weights'!$E$12)+(P147*'Pawn Weights'!$E$13)+(Q147*'Pawn Weights'!$E$14), 2)</f>
        <v>124.02</v>
      </c>
      <c r="E147" s="280">
        <v>61.0</v>
      </c>
      <c r="F147" s="280">
        <v>70.0</v>
      </c>
      <c r="G147" s="280"/>
      <c r="H147" s="280"/>
      <c r="I147" s="280">
        <v>46.0</v>
      </c>
      <c r="J147" s="280">
        <v>19.0</v>
      </c>
      <c r="K147" s="280"/>
      <c r="L147" s="280"/>
      <c r="M147" s="280"/>
      <c r="N147" s="280"/>
      <c r="O147" s="280"/>
      <c r="P147" s="280"/>
      <c r="Q147" s="280"/>
      <c r="R147" s="290"/>
      <c r="S147" s="281"/>
      <c r="T147" s="294"/>
      <c r="U147" s="281"/>
      <c r="V147" s="281"/>
      <c r="W147" s="281"/>
      <c r="X147" s="281"/>
    </row>
    <row r="148">
      <c r="A148" s="301"/>
      <c r="B148" s="288" t="s">
        <v>866</v>
      </c>
      <c r="C148" s="280" t="s">
        <v>814</v>
      </c>
      <c r="D148" s="289">
        <f>ROUND((F148*'Pawn Weights'!$E$3)+(G148*'Pawn Weights'!$E$4)+(H148*'Pawn Weights'!$E$5)+(I148*'Pawn Weights'!$E$6)+(J148*'Pawn Weights'!$E$7)+(K148*'Pawn Weights'!$E$8)+(L148*'Pawn Weights'!$E$9)+(M148*'Pawn Weights'!$E$10)+(N148*'Pawn Weights'!$E$11)+(O148*'Pawn Weights'!$E$12)+(P148*'Pawn Weights'!$E$13)+(Q148*'Pawn Weights'!$E$14), 2)</f>
        <v>121.66</v>
      </c>
      <c r="E148" s="280">
        <v>28.0</v>
      </c>
      <c r="F148" s="280"/>
      <c r="G148" s="280">
        <v>42.0</v>
      </c>
      <c r="H148" s="280">
        <v>100.0</v>
      </c>
      <c r="I148" s="280">
        <v>20.0</v>
      </c>
      <c r="J148" s="280"/>
      <c r="K148" s="280"/>
      <c r="L148" s="280"/>
      <c r="M148" s="280"/>
      <c r="N148" s="280"/>
      <c r="O148" s="280">
        <v>1.0</v>
      </c>
      <c r="P148" s="280">
        <v>1.0</v>
      </c>
      <c r="Q148" s="280">
        <v>1.0</v>
      </c>
      <c r="R148" s="290" t="s">
        <v>624</v>
      </c>
      <c r="S148" s="281"/>
      <c r="T148" s="294"/>
      <c r="U148" s="281"/>
      <c r="V148" s="281"/>
      <c r="W148" s="281"/>
      <c r="X148" s="281"/>
    </row>
    <row r="149">
      <c r="A149" s="295"/>
      <c r="B149" s="296" t="s">
        <v>864</v>
      </c>
      <c r="C149" s="297" t="s">
        <v>865</v>
      </c>
      <c r="D149" s="289">
        <f>ROUND((F149*'Pawn Weights'!$E$3)+(G149*'Pawn Weights'!$E$4)+(H149*'Pawn Weights'!$E$5)+(I149*'Pawn Weights'!$E$6)+(J149*'Pawn Weights'!$E$7)+(K149*'Pawn Weights'!$E$8)+(L149*'Pawn Weights'!$E$9)+(M149*'Pawn Weights'!$E$10)+(N149*'Pawn Weights'!$E$11)+(O149*'Pawn Weights'!$E$12)+(P149*'Pawn Weights'!$E$13)+(Q149*'Pawn Weights'!$E$14), 2)</f>
        <v>121.11</v>
      </c>
      <c r="E149" s="298">
        <v>48.0</v>
      </c>
      <c r="F149" s="298">
        <v>52.0</v>
      </c>
      <c r="G149" s="297"/>
      <c r="H149" s="297"/>
      <c r="I149" s="297"/>
      <c r="J149" s="298">
        <v>25.0</v>
      </c>
      <c r="K149" s="298">
        <v>43.0</v>
      </c>
      <c r="L149" s="297"/>
      <c r="M149" s="297"/>
      <c r="N149" s="297"/>
      <c r="O149" s="297"/>
      <c r="P149" s="298">
        <v>1.0</v>
      </c>
      <c r="Q149" s="298">
        <v>1.0</v>
      </c>
      <c r="R149" s="298" t="s">
        <v>698</v>
      </c>
      <c r="S149" s="137"/>
      <c r="T149" s="295"/>
      <c r="U149" s="137"/>
      <c r="V149" s="137"/>
      <c r="W149" s="137"/>
      <c r="X149" s="137"/>
      <c r="Y149" s="137"/>
      <c r="Z149" s="137"/>
    </row>
    <row r="150">
      <c r="A150" s="301" t="s">
        <v>644</v>
      </c>
      <c r="B150" s="288" t="s">
        <v>867</v>
      </c>
      <c r="C150" s="280" t="s">
        <v>646</v>
      </c>
      <c r="D150" s="289">
        <f>ROUND((F150*'Pawn Weights'!$E$3)+(G150*'Pawn Weights'!$E$4)+(H150*'Pawn Weights'!$E$5)+(I150*'Pawn Weights'!$E$6)+(J150*'Pawn Weights'!$E$7)+(K150*'Pawn Weights'!$E$8)+(L150*'Pawn Weights'!$E$9)+(M150*'Pawn Weights'!$E$10)+(N150*'Pawn Weights'!$E$11)+(O150*'Pawn Weights'!$E$12)+(P150*'Pawn Weights'!$E$13)+(Q150*'Pawn Weights'!$E$14), 2)</f>
        <v>115.81</v>
      </c>
      <c r="E150" s="280">
        <v>70.0</v>
      </c>
      <c r="F150" s="280">
        <v>51.0</v>
      </c>
      <c r="G150" s="280"/>
      <c r="H150" s="280"/>
      <c r="I150" s="280">
        <v>47.0</v>
      </c>
      <c r="J150" s="280">
        <v>12.0</v>
      </c>
      <c r="K150" s="280"/>
      <c r="L150" s="280"/>
      <c r="M150" s="280">
        <v>84.0</v>
      </c>
      <c r="N150" s="280"/>
      <c r="O150" s="280"/>
      <c r="P150" s="280"/>
      <c r="Q150" s="280"/>
      <c r="R150" s="290"/>
      <c r="S150" s="281"/>
      <c r="T150" s="294"/>
      <c r="U150" s="281"/>
      <c r="V150" s="281"/>
      <c r="W150" s="281"/>
      <c r="X150" s="281"/>
    </row>
    <row r="151">
      <c r="A151" s="295"/>
      <c r="B151" s="296" t="s">
        <v>869</v>
      </c>
      <c r="C151" s="297" t="s">
        <v>865</v>
      </c>
      <c r="D151" s="289">
        <f>ROUND((F151*'Pawn Weights'!$E$3)+(G151*'Pawn Weights'!$E$4)+(H151*'Pawn Weights'!$E$5)+(I151*'Pawn Weights'!$E$6)+(J151*'Pawn Weights'!$E$7)+(K151*'Pawn Weights'!$E$8)+(L151*'Pawn Weights'!$E$9)+(M151*'Pawn Weights'!$E$10)+(N151*'Pawn Weights'!$E$11)+(O151*'Pawn Weights'!$E$12)+(P151*'Pawn Weights'!$E$13)+(Q151*'Pawn Weights'!$E$14), 2)</f>
        <v>115.15</v>
      </c>
      <c r="E151" s="298">
        <v>45.0</v>
      </c>
      <c r="F151" s="297"/>
      <c r="G151" s="298">
        <v>43.0</v>
      </c>
      <c r="H151" s="298">
        <v>104.0</v>
      </c>
      <c r="I151" s="297"/>
      <c r="J151" s="298">
        <v>30.0</v>
      </c>
      <c r="K151" s="297"/>
      <c r="L151" s="297"/>
      <c r="M151" s="297"/>
      <c r="N151" s="297"/>
      <c r="O151" s="297"/>
      <c r="P151" s="298">
        <v>1.0</v>
      </c>
      <c r="Q151" s="298">
        <v>1.0</v>
      </c>
      <c r="R151" s="298" t="s">
        <v>832</v>
      </c>
      <c r="S151" s="137"/>
      <c r="T151" s="295"/>
      <c r="U151" s="137"/>
      <c r="V151" s="137"/>
      <c r="W151" s="137"/>
      <c r="X151" s="137"/>
      <c r="Y151" s="137"/>
      <c r="Z151" s="137"/>
    </row>
    <row r="152">
      <c r="A152" s="301"/>
      <c r="B152" s="288" t="s">
        <v>868</v>
      </c>
      <c r="C152" s="280" t="s">
        <v>814</v>
      </c>
      <c r="D152" s="289">
        <f>ROUND((F152*'Pawn Weights'!$E$3)+(G152*'Pawn Weights'!$E$4)+(H152*'Pawn Weights'!$E$5)+(I152*'Pawn Weights'!$E$6)+(J152*'Pawn Weights'!$E$7)+(K152*'Pawn Weights'!$E$8)+(L152*'Pawn Weights'!$E$9)+(M152*'Pawn Weights'!$E$10)+(N152*'Pawn Weights'!$E$11)+(O152*'Pawn Weights'!$E$12)+(P152*'Pawn Weights'!$E$13)+(Q152*'Pawn Weights'!$E$14), 2)</f>
        <v>109.63</v>
      </c>
      <c r="E152" s="280">
        <v>61.0</v>
      </c>
      <c r="F152" s="280"/>
      <c r="G152" s="280">
        <v>50.0</v>
      </c>
      <c r="H152" s="280">
        <v>102.0</v>
      </c>
      <c r="I152" s="280"/>
      <c r="J152" s="280"/>
      <c r="K152" s="280"/>
      <c r="L152" s="280"/>
      <c r="M152" s="280">
        <v>175.0</v>
      </c>
      <c r="N152" s="280"/>
      <c r="O152" s="280"/>
      <c r="P152" s="280"/>
      <c r="Q152" s="280"/>
      <c r="R152" s="290"/>
      <c r="S152" s="281"/>
      <c r="T152" s="294"/>
      <c r="U152" s="281"/>
      <c r="V152" s="281"/>
      <c r="W152" s="281"/>
      <c r="X152" s="281"/>
    </row>
    <row r="153">
      <c r="A153" s="301"/>
      <c r="B153" s="288" t="s">
        <v>870</v>
      </c>
      <c r="C153" s="280" t="s">
        <v>871</v>
      </c>
      <c r="D153" s="289">
        <f>ROUND((F153*'Pawn Weights'!$E$3)+(G153*'Pawn Weights'!$E$4)+(H153*'Pawn Weights'!$E$5)+(I153*'Pawn Weights'!$E$6)+(J153*'Pawn Weights'!$E$7)+(K153*'Pawn Weights'!$E$8)+(L153*'Pawn Weights'!$E$9)+(M153*'Pawn Weights'!$E$10)+(N153*'Pawn Weights'!$E$11)+(O153*'Pawn Weights'!$E$12)+(P153*'Pawn Weights'!$E$13)+(Q153*'Pawn Weights'!$E$14), 2)</f>
        <v>107.21</v>
      </c>
      <c r="E153" s="280">
        <v>46.0</v>
      </c>
      <c r="F153" s="280">
        <v>49.0</v>
      </c>
      <c r="G153" s="280"/>
      <c r="H153" s="280"/>
      <c r="I153" s="280">
        <v>31.0</v>
      </c>
      <c r="J153" s="280"/>
      <c r="K153" s="280"/>
      <c r="L153" s="280"/>
      <c r="M153" s="280"/>
      <c r="N153" s="280"/>
      <c r="O153" s="280">
        <v>1.0</v>
      </c>
      <c r="P153" s="280">
        <v>1.0</v>
      </c>
      <c r="Q153" s="280">
        <v>1.0</v>
      </c>
      <c r="R153" s="290" t="s">
        <v>643</v>
      </c>
      <c r="S153" s="281"/>
      <c r="T153" s="294"/>
      <c r="U153" s="281"/>
      <c r="V153" s="281"/>
      <c r="W153" s="281"/>
      <c r="X153" s="281"/>
    </row>
    <row r="154">
      <c r="A154" s="301" t="s">
        <v>647</v>
      </c>
      <c r="B154" s="288" t="s">
        <v>872</v>
      </c>
      <c r="C154" s="280" t="s">
        <v>873</v>
      </c>
      <c r="D154" s="289">
        <f>ROUND((F154*'Pawn Weights'!$E$3)+(G154*'Pawn Weights'!$E$4)+(H154*'Pawn Weights'!$E$5)+(I154*'Pawn Weights'!$E$6)+(J154*'Pawn Weights'!$E$7)+(K154*'Pawn Weights'!$E$8)+(L154*'Pawn Weights'!$E$9)+(M154*'Pawn Weights'!$E$10)+(N154*'Pawn Weights'!$E$11)+(O154*'Pawn Weights'!$E$12)+(P154*'Pawn Weights'!$E$13)+(Q154*'Pawn Weights'!$E$14)+1.82, 2)</f>
        <v>107.02</v>
      </c>
      <c r="E154" s="280">
        <v>57.0</v>
      </c>
      <c r="F154" s="280">
        <v>52.0</v>
      </c>
      <c r="G154" s="280"/>
      <c r="H154" s="280"/>
      <c r="I154" s="280">
        <v>32.0</v>
      </c>
      <c r="J154" s="280">
        <v>22.0</v>
      </c>
      <c r="K154" s="280"/>
      <c r="L154" s="280"/>
      <c r="M154" s="280"/>
      <c r="N154" s="280"/>
      <c r="O154" s="280">
        <v>1.0</v>
      </c>
      <c r="P154" s="280"/>
      <c r="Q154" s="280"/>
      <c r="R154" s="290" t="s">
        <v>736</v>
      </c>
      <c r="S154" s="281"/>
      <c r="T154" s="294"/>
      <c r="U154" s="281"/>
      <c r="V154" s="281"/>
      <c r="W154" s="281"/>
      <c r="X154" s="281"/>
    </row>
    <row r="155">
      <c r="A155" s="295"/>
      <c r="B155" s="296" t="s">
        <v>875</v>
      </c>
      <c r="C155" s="297" t="s">
        <v>865</v>
      </c>
      <c r="D155" s="289">
        <f>ROUND((F155*'Pawn Weights'!$E$3)+(G155*'Pawn Weights'!$E$4)+(H155*'Pawn Weights'!$E$5)+(I155*'Pawn Weights'!$E$6)+(J155*'Pawn Weights'!$E$7)+(K155*'Pawn Weights'!$E$8)+(L155*'Pawn Weights'!$E$9)+(M155*'Pawn Weights'!$E$10)+(N155*'Pawn Weights'!$E$11)+(O155*'Pawn Weights'!$E$12)+(P155*'Pawn Weights'!$E$13)+(Q155*'Pawn Weights'!$E$14), 2)</f>
        <v>106.22</v>
      </c>
      <c r="E155" s="298">
        <v>36.0</v>
      </c>
      <c r="F155" s="297"/>
      <c r="G155" s="298">
        <v>44.0</v>
      </c>
      <c r="H155" s="298">
        <v>104.0</v>
      </c>
      <c r="I155" s="297"/>
      <c r="J155" s="298">
        <v>15.0</v>
      </c>
      <c r="K155" s="297"/>
      <c r="L155" s="297"/>
      <c r="M155" s="297"/>
      <c r="N155" s="297"/>
      <c r="O155" s="297"/>
      <c r="P155" s="298">
        <v>1.0</v>
      </c>
      <c r="Q155" s="298">
        <v>1.0</v>
      </c>
      <c r="R155" s="298" t="s">
        <v>695</v>
      </c>
      <c r="S155" s="137"/>
      <c r="T155" s="295"/>
      <c r="U155" s="137"/>
      <c r="V155" s="137"/>
      <c r="W155" s="137"/>
      <c r="X155" s="137"/>
      <c r="Y155" s="137"/>
      <c r="Z155" s="137"/>
    </row>
    <row r="156">
      <c r="A156" s="301"/>
      <c r="B156" s="288" t="s">
        <v>874</v>
      </c>
      <c r="C156" s="280" t="s">
        <v>741</v>
      </c>
      <c r="D156" s="289">
        <f>ROUND((F156*'Pawn Weights'!$E$3)+(G156*'Pawn Weights'!$E$4)+(H156*'Pawn Weights'!$E$5)+(I156*'Pawn Weights'!$E$6)+(J156*'Pawn Weights'!$E$7)+(K156*'Pawn Weights'!$E$8)+(L156*'Pawn Weights'!$E$9)+(M156*'Pawn Weights'!$E$10)+(N156*'Pawn Weights'!$E$11)+(O156*'Pawn Weights'!$E$12)+(P156*'Pawn Weights'!$E$13)+(Q156*'Pawn Weights'!$E$14), 2)</f>
        <v>105.5</v>
      </c>
      <c r="E156" s="280">
        <v>31.0</v>
      </c>
      <c r="F156" s="280"/>
      <c r="G156" s="280">
        <v>45.0</v>
      </c>
      <c r="H156" s="280">
        <v>92.0</v>
      </c>
      <c r="I156" s="280">
        <v>37.0</v>
      </c>
      <c r="J156" s="280"/>
      <c r="K156" s="280"/>
      <c r="L156" s="280"/>
      <c r="M156" s="280"/>
      <c r="N156" s="280"/>
      <c r="O156" s="280"/>
      <c r="P156" s="280"/>
      <c r="Q156" s="280"/>
      <c r="R156" s="290"/>
      <c r="S156" s="281"/>
      <c r="T156" s="294"/>
      <c r="U156" s="281"/>
      <c r="V156" s="281"/>
      <c r="W156" s="281"/>
      <c r="X156" s="281"/>
    </row>
    <row r="157">
      <c r="A157" s="295"/>
      <c r="B157" s="296" t="s">
        <v>878</v>
      </c>
      <c r="C157" s="297" t="s">
        <v>879</v>
      </c>
      <c r="D157" s="289">
        <f>ROUND((F157*'Pawn Weights'!$E$3)+(G157*'Pawn Weights'!$E$4)+(H157*'Pawn Weights'!$E$5)+(I157*'Pawn Weights'!$E$6)+(J157*'Pawn Weights'!$E$7)+(K157*'Pawn Weights'!$E$8)+(L157*'Pawn Weights'!$E$9)+(M157*'Pawn Weights'!$E$10)+(N157*'Pawn Weights'!$E$11)+(O157*'Pawn Weights'!$E$12)+(P157*'Pawn Weights'!$E$13)+(Q157*'Pawn Weights'!$E$14), 2)</f>
        <v>100.32</v>
      </c>
      <c r="E157" s="298">
        <v>43.0</v>
      </c>
      <c r="F157" s="298">
        <v>46.0</v>
      </c>
      <c r="G157" s="297"/>
      <c r="H157" s="297"/>
      <c r="I157" s="297"/>
      <c r="J157" s="298">
        <v>38.0</v>
      </c>
      <c r="K157" s="297"/>
      <c r="L157" s="297"/>
      <c r="M157" s="297"/>
      <c r="N157" s="297"/>
      <c r="O157" s="298">
        <v>1.0</v>
      </c>
      <c r="P157" s="298">
        <v>1.0</v>
      </c>
      <c r="Q157" s="298">
        <v>1.0</v>
      </c>
      <c r="R157" s="298" t="s">
        <v>643</v>
      </c>
      <c r="S157" s="137"/>
      <c r="T157" s="295"/>
      <c r="U157" s="137"/>
      <c r="V157" s="137"/>
      <c r="W157" s="137"/>
      <c r="X157" s="137"/>
      <c r="Y157" s="137"/>
      <c r="Z157" s="137"/>
    </row>
    <row r="158">
      <c r="A158" s="295"/>
      <c r="B158" s="296" t="s">
        <v>876</v>
      </c>
      <c r="C158" s="297" t="s">
        <v>865</v>
      </c>
      <c r="D158" s="289">
        <f>ROUND((F158*'Pawn Weights'!$E$3)+(G158*'Pawn Weights'!$E$4)+(H158*'Pawn Weights'!$E$5)+(I158*'Pawn Weights'!$E$6)+(J158*'Pawn Weights'!$E$7)+(K158*'Pawn Weights'!$E$8)+(L158*'Pawn Weights'!$E$9)+(M158*'Pawn Weights'!$E$10)+(N158*'Pawn Weights'!$E$11)+(O158*'Pawn Weights'!$E$12)+(P158*'Pawn Weights'!$E$13)+(Q158*'Pawn Weights'!$E$14), 2)</f>
        <v>99.9</v>
      </c>
      <c r="E158" s="298">
        <v>52.0</v>
      </c>
      <c r="F158" s="298">
        <v>39.0</v>
      </c>
      <c r="G158" s="298">
        <v>45.0</v>
      </c>
      <c r="H158" s="297"/>
      <c r="I158" s="297"/>
      <c r="J158" s="298">
        <v>17.0</v>
      </c>
      <c r="K158" s="297"/>
      <c r="L158" s="297"/>
      <c r="M158" s="297"/>
      <c r="N158" s="297"/>
      <c r="O158" s="298">
        <v>1.0</v>
      </c>
      <c r="P158" s="298">
        <v>1.0</v>
      </c>
      <c r="Q158" s="297"/>
      <c r="R158" s="298" t="s">
        <v>812</v>
      </c>
      <c r="S158" s="137"/>
      <c r="T158" s="295"/>
      <c r="U158" s="137"/>
      <c r="V158" s="137"/>
      <c r="W158" s="137"/>
      <c r="X158" s="137"/>
      <c r="Y158" s="137"/>
      <c r="Z158" s="137"/>
    </row>
    <row r="159">
      <c r="A159" s="301"/>
      <c r="B159" s="288" t="s">
        <v>877</v>
      </c>
      <c r="C159" s="280" t="s">
        <v>708</v>
      </c>
      <c r="D159" s="289">
        <f>ROUND((F159*'Pawn Weights'!$E$3)+(G159*'Pawn Weights'!$E$4)+(H159*'Pawn Weights'!$E$5)+(I159*'Pawn Weights'!$E$6)+(J159*'Pawn Weights'!$E$7)+(K159*'Pawn Weights'!$E$8)+(L159*'Pawn Weights'!$E$9)+(M159*'Pawn Weights'!$E$10)+(N159*'Pawn Weights'!$E$11)+(O159*'Pawn Weights'!$E$12)+(P159*'Pawn Weights'!$E$13)+(Q159*'Pawn Weights'!$E$14), 2)</f>
        <v>99.46</v>
      </c>
      <c r="E159" s="280"/>
      <c r="F159" s="280"/>
      <c r="G159" s="280">
        <v>37.0</v>
      </c>
      <c r="H159" s="280">
        <v>76.0</v>
      </c>
      <c r="I159" s="280"/>
      <c r="J159" s="280">
        <v>16.0</v>
      </c>
      <c r="K159" s="280"/>
      <c r="L159" s="280"/>
      <c r="M159" s="280"/>
      <c r="N159" s="280"/>
      <c r="O159" s="280">
        <v>3.0</v>
      </c>
      <c r="P159" s="280"/>
      <c r="Q159" s="280"/>
      <c r="R159" s="290" t="s">
        <v>622</v>
      </c>
      <c r="S159" s="290"/>
      <c r="T159" s="285"/>
      <c r="U159" s="310"/>
      <c r="V159" s="281"/>
      <c r="W159" s="281"/>
      <c r="X159" s="281"/>
      <c r="Y159" s="281"/>
    </row>
    <row r="160">
      <c r="A160" s="301"/>
      <c r="B160" s="288" t="s">
        <v>880</v>
      </c>
      <c r="C160" s="280" t="s">
        <v>881</v>
      </c>
      <c r="D160" s="289">
        <f>ROUND((F160*'Pawn Weights'!$E$3)+(G160*'Pawn Weights'!$E$4)+(H160*'Pawn Weights'!$E$5)+(I160*'Pawn Weights'!$E$6)+(J160*'Pawn Weights'!$E$7)+(K160*'Pawn Weights'!$E$8)+(L160*'Pawn Weights'!$E$9)+(M160*'Pawn Weights'!$E$10)+(N160*'Pawn Weights'!$E$11)+(O160*'Pawn Weights'!$E$12)+(P160*'Pawn Weights'!$E$13)+(Q160*'Pawn Weights'!$E$14), 2)</f>
        <v>98.35</v>
      </c>
      <c r="E160" s="280">
        <v>28.0</v>
      </c>
      <c r="F160" s="280"/>
      <c r="G160" s="280">
        <v>32.0</v>
      </c>
      <c r="H160" s="280">
        <v>64.0</v>
      </c>
      <c r="I160" s="280"/>
      <c r="J160" s="280">
        <v>28.0</v>
      </c>
      <c r="K160" s="280"/>
      <c r="L160" s="280"/>
      <c r="M160" s="280"/>
      <c r="N160" s="280"/>
      <c r="O160" s="280">
        <v>2.0</v>
      </c>
      <c r="P160" s="280"/>
      <c r="Q160" s="280">
        <v>1.0</v>
      </c>
      <c r="R160" s="290" t="s">
        <v>882</v>
      </c>
      <c r="S160" s="281"/>
      <c r="T160" s="294"/>
      <c r="U160" s="281"/>
      <c r="V160" s="281"/>
      <c r="W160" s="281"/>
      <c r="X160" s="281"/>
    </row>
    <row r="161">
      <c r="A161" s="301" t="s">
        <v>627</v>
      </c>
      <c r="B161" s="311" t="s">
        <v>1235</v>
      </c>
      <c r="C161" s="280" t="s">
        <v>904</v>
      </c>
      <c r="D161" s="289">
        <f>ROUND((F161*'Pawn Weights'!$E$3)+(G161*'Pawn Weights'!$E$4)+(H161*'Pawn Weights'!$E$5)+(I161*'Pawn Weights'!$E$6)+(J161*'Pawn Weights'!$E$7)+(K161*'Pawn Weights'!$E$8)+(L161*'Pawn Weights'!$E$9)+(M161*'Pawn Weights'!$E$10)+(N161*'Pawn Weights'!$E$11)+(O161*'Pawn Weights'!$E$12)+(P161*'Pawn Weights'!$E$13)+(Q161*'Pawn Weights'!$E$14)-20+19.1+3.636, 2)</f>
        <v>95.12</v>
      </c>
      <c r="E161" s="280"/>
      <c r="F161" s="280"/>
      <c r="G161" s="280"/>
      <c r="H161" s="280">
        <v>52.0</v>
      </c>
      <c r="I161" s="280">
        <v>25.0</v>
      </c>
      <c r="J161" s="280">
        <v>25.0</v>
      </c>
      <c r="K161" s="280"/>
      <c r="L161" s="280"/>
      <c r="M161" s="280"/>
      <c r="N161" s="280"/>
      <c r="O161" s="280">
        <v>1.0</v>
      </c>
      <c r="P161" s="280">
        <v>2.0</v>
      </c>
      <c r="Q161" s="280"/>
      <c r="R161" s="290" t="s">
        <v>745</v>
      </c>
      <c r="S161" s="281"/>
      <c r="T161" s="294"/>
      <c r="U161" s="281"/>
      <c r="V161" s="281"/>
      <c r="W161" s="281"/>
      <c r="X161" s="281"/>
    </row>
    <row r="162">
      <c r="A162" s="301" t="s">
        <v>1068</v>
      </c>
      <c r="B162" s="288" t="s">
        <v>1410</v>
      </c>
      <c r="C162" s="280" t="s">
        <v>997</v>
      </c>
      <c r="D162" s="289">
        <f>ROUND((F162*'Pawn Weights'!$E$3)+(G162*'Pawn Weights'!$E$4)+(H162*'Pawn Weights'!$E$5)+(I162*'Pawn Weights'!$E$6)+(J162*'Pawn Weights'!$E$7)+(K162*'Pawn Weights'!$E$8)+(L162*'Pawn Weights'!$E$9)+(M162*'Pawn Weights'!$E$10)+(N162*'Pawn Weights'!$E$11)+(O162*'Pawn Weights'!$E$12)+(P162*'Pawn Weights'!$E$13)+(Q162*'Pawn Weights'!$E$14), 2)</f>
        <v>95.09</v>
      </c>
      <c r="E162" s="280">
        <v>63.0</v>
      </c>
      <c r="F162" s="280">
        <v>47.0</v>
      </c>
      <c r="G162" s="280"/>
      <c r="H162" s="280"/>
      <c r="I162" s="280">
        <v>43.0</v>
      </c>
      <c r="J162" s="280">
        <v>14.0</v>
      </c>
      <c r="K162" s="280"/>
      <c r="L162" s="280"/>
      <c r="M162" s="280"/>
      <c r="N162" s="280"/>
      <c r="O162" s="280"/>
      <c r="P162" s="280"/>
      <c r="Q162" s="280"/>
      <c r="R162" s="290"/>
      <c r="S162" s="281"/>
      <c r="T162" s="294" t="s">
        <v>861</v>
      </c>
      <c r="U162" s="281"/>
      <c r="V162" s="281"/>
      <c r="W162" s="281"/>
      <c r="X162" s="281"/>
    </row>
    <row r="163">
      <c r="A163" s="295"/>
      <c r="B163" s="296" t="s">
        <v>1234</v>
      </c>
      <c r="C163" s="297" t="s">
        <v>879</v>
      </c>
      <c r="D163" s="289">
        <f>ROUND((F163*'Pawn Weights'!$E$3)+(G163*'Pawn Weights'!$E$4)+(H163*'Pawn Weights'!$E$5)+(I163*'Pawn Weights'!$E$6)+(J163*'Pawn Weights'!$E$7)+(K163*'Pawn Weights'!$E$8)+(L163*'Pawn Weights'!$E$9)+(M163*'Pawn Weights'!$E$10)+(N163*'Pawn Weights'!$E$11)+(O163*'Pawn Weights'!$E$12)+(P163*'Pawn Weights'!$E$13)+(Q163*'Pawn Weights'!$E$14), 2)</f>
        <v>94.93</v>
      </c>
      <c r="E163" s="298">
        <v>46.0</v>
      </c>
      <c r="F163" s="297"/>
      <c r="G163" s="298">
        <v>45.0</v>
      </c>
      <c r="H163" s="298">
        <v>92.0</v>
      </c>
      <c r="I163" s="297"/>
      <c r="J163" s="297"/>
      <c r="K163" s="298">
        <v>30.0</v>
      </c>
      <c r="L163" s="297"/>
      <c r="M163" s="297"/>
      <c r="N163" s="297"/>
      <c r="O163" s="297"/>
      <c r="P163" s="297"/>
      <c r="Q163" s="297"/>
      <c r="R163" s="295"/>
      <c r="S163" s="137"/>
      <c r="T163" s="295"/>
      <c r="U163" s="137"/>
      <c r="V163" s="137"/>
      <c r="W163" s="137"/>
      <c r="X163" s="137"/>
      <c r="Y163" s="137"/>
      <c r="Z163" s="137"/>
    </row>
    <row r="164">
      <c r="A164" s="309"/>
      <c r="B164" s="288" t="s">
        <v>1238</v>
      </c>
      <c r="C164" s="280" t="s">
        <v>1239</v>
      </c>
      <c r="D164" s="289">
        <f>ROUND((F164*'Pawn Weights'!$E$3)+(G164*'Pawn Weights'!$E$4)+(H164*'Pawn Weights'!$E$5)+(I164*'Pawn Weights'!$E$6)+(J164*'Pawn Weights'!$E$7)+(K164*'Pawn Weights'!$E$8)+(L164*'Pawn Weights'!$E$9)+(M164*'Pawn Weights'!$E$10)+(N164*'Pawn Weights'!$E$11)+(O164*'Pawn Weights'!$E$12)+(P164*'Pawn Weights'!$E$13)+(Q164*'Pawn Weights'!$E$14), 2)</f>
        <v>94.54</v>
      </c>
      <c r="E164" s="280">
        <v>30.0</v>
      </c>
      <c r="F164" s="280"/>
      <c r="G164" s="280"/>
      <c r="H164" s="280">
        <v>64.0</v>
      </c>
      <c r="I164" s="280">
        <v>27.0</v>
      </c>
      <c r="J164" s="280">
        <v>17.0</v>
      </c>
      <c r="K164" s="280"/>
      <c r="L164" s="280"/>
      <c r="M164" s="281"/>
      <c r="N164" s="280"/>
      <c r="O164" s="280">
        <v>2.0</v>
      </c>
      <c r="P164" s="280"/>
      <c r="Q164" s="280">
        <v>1.0</v>
      </c>
      <c r="R164" s="290" t="s">
        <v>626</v>
      </c>
      <c r="S164" s="281"/>
      <c r="T164" s="291"/>
      <c r="U164" s="281"/>
      <c r="V164" s="281"/>
      <c r="W164" s="281"/>
    </row>
    <row r="165">
      <c r="A165" s="272" t="s">
        <v>883</v>
      </c>
      <c r="B165" s="281"/>
      <c r="C165" s="281"/>
      <c r="D165" s="360"/>
      <c r="E165" s="281"/>
      <c r="F165" s="281"/>
      <c r="G165" s="281"/>
      <c r="H165" s="281"/>
      <c r="I165" s="281"/>
      <c r="J165" s="281"/>
      <c r="K165" s="281"/>
      <c r="L165" s="281"/>
      <c r="M165" s="281"/>
      <c r="N165" s="281"/>
      <c r="O165" s="281"/>
      <c r="P165" s="281"/>
      <c r="Q165" s="281"/>
      <c r="R165" s="282"/>
      <c r="S165" s="281"/>
      <c r="T165" s="285"/>
      <c r="U165" s="281"/>
      <c r="V165" s="281"/>
      <c r="W165" s="281"/>
    </row>
    <row r="166">
      <c r="A166" s="301"/>
      <c r="B166" s="288" t="s">
        <v>885</v>
      </c>
      <c r="C166" s="280" t="s">
        <v>816</v>
      </c>
      <c r="D166" s="289">
        <f>ROUND((F166*'Pawn Weights'!$E$3)+(G166*'Pawn Weights'!$E$4)+(H166*'Pawn Weights'!$E$5)+(I166*'Pawn Weights'!$E$6)+(J166*'Pawn Weights'!$E$7)+(K166*'Pawn Weights'!$E$8)+(L166*'Pawn Weights'!$E$9)+(M166*'Pawn Weights'!$E$10)+(N166*'Pawn Weights'!$E$11)+(O166*'Pawn Weights'!$E$12)+(P166*'Pawn Weights'!$E$13)+(Q166*'Pawn Weights'!$E$14)-20+19.1+3, 2)</f>
        <v>98.92</v>
      </c>
      <c r="E166" s="280">
        <v>40.0</v>
      </c>
      <c r="F166" s="280">
        <v>38.0</v>
      </c>
      <c r="G166" s="280"/>
      <c r="H166" s="280"/>
      <c r="I166" s="280">
        <v>30.0</v>
      </c>
      <c r="J166" s="280">
        <v>18.0</v>
      </c>
      <c r="K166" s="280"/>
      <c r="L166" s="280"/>
      <c r="M166" s="281"/>
      <c r="N166" s="280"/>
      <c r="O166" s="280"/>
      <c r="P166" s="280">
        <v>2.0</v>
      </c>
      <c r="Q166" s="280"/>
      <c r="R166" s="290" t="s">
        <v>698</v>
      </c>
      <c r="S166" s="281"/>
      <c r="T166" s="291"/>
      <c r="U166" s="281"/>
      <c r="V166" s="281"/>
      <c r="W166" s="281"/>
    </row>
    <row r="167">
      <c r="A167" s="301"/>
      <c r="B167" s="288" t="s">
        <v>886</v>
      </c>
      <c r="C167" s="280" t="s">
        <v>701</v>
      </c>
      <c r="D167" s="289">
        <f>ROUND((F167*'Pawn Weights'!$E$3)+(G167*'Pawn Weights'!$E$4)+(H167*'Pawn Weights'!$E$5)+(I167*'Pawn Weights'!$E$6)+(J167*'Pawn Weights'!$E$7)+(K167*'Pawn Weights'!$E$8)+(L167*'Pawn Weights'!$E$9)+(M167*'Pawn Weights'!$E$10)+(N167*'Pawn Weights'!$E$11)+(O167*'Pawn Weights'!$E$12)+(P167*'Pawn Weights'!$E$13)+(Q167*'Pawn Weights'!$E$14)-10+9.55+2.73, 2)</f>
        <v>92.3</v>
      </c>
      <c r="E167" s="280">
        <v>38.0</v>
      </c>
      <c r="F167" s="280"/>
      <c r="G167" s="280">
        <v>30.0</v>
      </c>
      <c r="H167" s="280">
        <v>76.0</v>
      </c>
      <c r="I167" s="280">
        <v>17.0</v>
      </c>
      <c r="J167" s="280"/>
      <c r="K167" s="280"/>
      <c r="L167" s="280"/>
      <c r="M167" s="281"/>
      <c r="N167" s="280"/>
      <c r="O167" s="280">
        <v>1.0</v>
      </c>
      <c r="P167" s="280">
        <v>1.0</v>
      </c>
      <c r="Q167" s="280"/>
      <c r="R167" s="290" t="s">
        <v>702</v>
      </c>
      <c r="S167" s="281"/>
      <c r="T167" s="291"/>
      <c r="U167" s="281"/>
      <c r="V167" s="281"/>
      <c r="W167" s="281"/>
    </row>
    <row r="168">
      <c r="A168" s="301"/>
      <c r="B168" s="288" t="s">
        <v>887</v>
      </c>
      <c r="C168" s="280" t="s">
        <v>727</v>
      </c>
      <c r="D168" s="289">
        <f>ROUND((F168*'Pawn Weights'!$E$3)+(G168*'Pawn Weights'!$E$4)+(H168*'Pawn Weights'!$E$5)+(I168*'Pawn Weights'!$E$6)+(J168*'Pawn Weights'!$E$7)+(K168*'Pawn Weights'!$E$8)+(L168*'Pawn Weights'!$E$9)+(M168*'Pawn Weights'!$E$10)+(N168*'Pawn Weights'!$E$11)+(O168*'Pawn Weights'!$E$12)+(P168*'Pawn Weights'!$E$13)+(Q168*'Pawn Weights'!$E$14), 2)</f>
        <v>87.09</v>
      </c>
      <c r="E168" s="280"/>
      <c r="F168" s="280"/>
      <c r="G168" s="280">
        <v>27.0</v>
      </c>
      <c r="H168" s="280">
        <v>76.0</v>
      </c>
      <c r="I168" s="280">
        <v>26.0</v>
      </c>
      <c r="J168" s="280">
        <v>17.0</v>
      </c>
      <c r="K168" s="280"/>
      <c r="L168" s="280"/>
      <c r="M168" s="281"/>
      <c r="N168" s="280"/>
      <c r="O168" s="280"/>
      <c r="P168" s="280"/>
      <c r="Q168" s="280"/>
      <c r="R168" s="290"/>
      <c r="S168" s="281"/>
      <c r="T168" s="291"/>
      <c r="U168" s="281"/>
      <c r="V168" s="281"/>
      <c r="W168" s="281"/>
    </row>
    <row r="169">
      <c r="A169" s="295"/>
      <c r="B169" s="296" t="s">
        <v>888</v>
      </c>
      <c r="C169" s="297" t="s">
        <v>889</v>
      </c>
      <c r="D169" s="289">
        <f>ROUND((F169*'Pawn Weights'!$E$3)+(G169*'Pawn Weights'!$E$4)+(H169*'Pawn Weights'!$E$5)+(I169*'Pawn Weights'!$E$6)+(J169*'Pawn Weights'!$E$7)+(K169*'Pawn Weights'!$E$8)+(L169*'Pawn Weights'!$E$9)+(M169*'Pawn Weights'!$E$10)+(N169*'Pawn Weights'!$E$11)+(O169*'Pawn Weights'!$E$12)+(P169*'Pawn Weights'!$E$13)+(Q169*'Pawn Weights'!$E$14), 2)</f>
        <v>80.69</v>
      </c>
      <c r="E169" s="298">
        <v>21.0</v>
      </c>
      <c r="F169" s="297"/>
      <c r="G169" s="298">
        <v>29.0</v>
      </c>
      <c r="H169" s="298">
        <v>60.0</v>
      </c>
      <c r="I169" s="297"/>
      <c r="J169" s="298">
        <v>22.0</v>
      </c>
      <c r="K169" s="297"/>
      <c r="L169" s="297"/>
      <c r="M169" s="137"/>
      <c r="N169" s="297"/>
      <c r="O169" s="298">
        <v>1.0</v>
      </c>
      <c r="P169" s="297"/>
      <c r="Q169" s="298">
        <v>1.0</v>
      </c>
      <c r="R169" s="298" t="s">
        <v>832</v>
      </c>
      <c r="S169" s="137"/>
      <c r="T169" s="295"/>
      <c r="U169" s="137"/>
      <c r="V169" s="137"/>
      <c r="W169" s="137"/>
      <c r="X169" s="137"/>
      <c r="Y169" s="137"/>
      <c r="Z169" s="137"/>
    </row>
    <row r="170">
      <c r="A170" s="295"/>
      <c r="B170" s="296" t="s">
        <v>890</v>
      </c>
      <c r="C170" s="297" t="s">
        <v>773</v>
      </c>
      <c r="D170" s="289">
        <f>ROUND((F170*'Pawn Weights'!$E$3)+(G170*'Pawn Weights'!$E$4)+(H170*'Pawn Weights'!$E$5)+(I170*'Pawn Weights'!$E$6)+(J170*'Pawn Weights'!$E$7)+(K170*'Pawn Weights'!$E$8)+(L170*'Pawn Weights'!$E$9)+(M170*'Pawn Weights'!$E$10)+(N170*'Pawn Weights'!$E$11)+(O170*'Pawn Weights'!$E$12)+(P170*'Pawn Weights'!$E$13)+(Q170*'Pawn Weights'!$E$14), 2)</f>
        <v>76.58</v>
      </c>
      <c r="E170" s="298">
        <v>28.0</v>
      </c>
      <c r="F170" s="297"/>
      <c r="G170" s="298">
        <v>28.0</v>
      </c>
      <c r="H170" s="298">
        <v>58.0</v>
      </c>
      <c r="I170" s="297"/>
      <c r="J170" s="297"/>
      <c r="K170" s="297"/>
      <c r="L170" s="297"/>
      <c r="M170" s="359">
        <v>126.0</v>
      </c>
      <c r="N170" s="297"/>
      <c r="O170" s="298">
        <v>1.0</v>
      </c>
      <c r="P170" s="297"/>
      <c r="Q170" s="297"/>
      <c r="R170" s="298" t="s">
        <v>674</v>
      </c>
      <c r="S170" s="137"/>
      <c r="T170" s="295"/>
      <c r="U170" s="137"/>
      <c r="V170" s="137"/>
      <c r="W170" s="137"/>
      <c r="X170" s="137"/>
      <c r="Y170" s="137"/>
      <c r="Z170" s="137"/>
    </row>
    <row r="171">
      <c r="A171" s="295" t="s">
        <v>671</v>
      </c>
      <c r="B171" s="296" t="s">
        <v>891</v>
      </c>
      <c r="C171" s="297" t="s">
        <v>892</v>
      </c>
      <c r="D171" s="367">
        <f>ROUND((F171*'Pawn Weights'!$H$3)+(G171*'Pawn Weights'!$H$4)+(H171*'Pawn Weights'!$H$5)+(I171*'Pawn Weights'!$H$6)+(J171*'Pawn Weights'!$H$7)+(K171*'Pawn Weights'!$H$8)+(L171*'Pawn Weights'!$H$9)+(M171*'Pawn Weights'!$H$10)+(N171*'Pawn Weights'!$H$11)+(O171*'Pawn Weights'!$H$12)+(P171*'Pawn Weights'!$H$13)+(Q171*'Pawn Weights'!$H$14), 2)</f>
        <v>76.4</v>
      </c>
      <c r="E171" s="298">
        <v>56.0</v>
      </c>
      <c r="F171" s="298">
        <v>40.0</v>
      </c>
      <c r="G171" s="297"/>
      <c r="H171" s="297"/>
      <c r="I171" s="298">
        <v>40.0</v>
      </c>
      <c r="J171" s="297"/>
      <c r="K171" s="297"/>
      <c r="L171" s="297"/>
      <c r="M171" s="137"/>
      <c r="N171" s="297"/>
      <c r="O171" s="297"/>
      <c r="P171" s="297"/>
      <c r="Q171" s="297"/>
      <c r="R171" s="295"/>
      <c r="S171" s="137"/>
      <c r="T171" s="297" t="s">
        <v>850</v>
      </c>
      <c r="U171" s="137"/>
      <c r="V171" s="137"/>
      <c r="W171" s="137"/>
      <c r="X171" s="137"/>
      <c r="Y171" s="137"/>
      <c r="Z171" s="137"/>
    </row>
    <row r="172">
      <c r="A172" s="301"/>
      <c r="B172" s="288" t="s">
        <v>896</v>
      </c>
      <c r="C172" s="280" t="s">
        <v>835</v>
      </c>
      <c r="D172" s="289">
        <f>ROUND((F172*'Pawn Weights'!$E$3)+(G172*'Pawn Weights'!$E$4)+(H172*'Pawn Weights'!$E$5)+(I172*'Pawn Weights'!$E$6)+(J172*'Pawn Weights'!$E$7)+(K172*'Pawn Weights'!$E$8)+(L172*'Pawn Weights'!$E$9)+(M172*'Pawn Weights'!$E$10)+(N172*'Pawn Weights'!$E$11)+(O172*'Pawn Weights'!$E$12)+(P172*'Pawn Weights'!$E$13)+(Q172*'Pawn Weights'!$E$14)-10+9.55+2.001, 2)</f>
        <v>76.19</v>
      </c>
      <c r="E172" s="280">
        <v>30.0</v>
      </c>
      <c r="F172" s="280"/>
      <c r="G172" s="280">
        <v>28.0</v>
      </c>
      <c r="H172" s="280">
        <v>58.0</v>
      </c>
      <c r="I172" s="280"/>
      <c r="J172" s="280">
        <v>15.0</v>
      </c>
      <c r="K172" s="280"/>
      <c r="L172" s="280"/>
      <c r="M172" s="281"/>
      <c r="N172" s="280"/>
      <c r="O172" s="280">
        <v>1.0</v>
      </c>
      <c r="P172" s="280">
        <v>1.0</v>
      </c>
      <c r="Q172" s="280"/>
      <c r="R172" s="290" t="s">
        <v>695</v>
      </c>
      <c r="S172" s="281"/>
      <c r="T172" s="291"/>
      <c r="U172" s="281"/>
      <c r="V172" s="281"/>
      <c r="W172" s="281"/>
    </row>
    <row r="173">
      <c r="A173" s="301" t="s">
        <v>627</v>
      </c>
      <c r="B173" s="288" t="s">
        <v>897</v>
      </c>
      <c r="C173" s="280" t="s">
        <v>898</v>
      </c>
      <c r="D173" s="289">
        <f>ROUND((F173*'Pawn Weights'!$E$3)+(G173*'Pawn Weights'!$E$4)+(H173*'Pawn Weights'!$E$5)+(I173*'Pawn Weights'!$E$6)+(J173*'Pawn Weights'!$E$7)+(K173*'Pawn Weights'!$E$8)+(L173*'Pawn Weights'!$E$9)+(M173*'Pawn Weights'!$E$10)+(N173*'Pawn Weights'!$E$11)+(O173*'Pawn Weights'!$E$12)+(P173*'Pawn Weights'!$E$13)+(Q173*'Pawn Weights'!$E$14), 2)</f>
        <v>73.84</v>
      </c>
      <c r="E173" s="280">
        <v>34.0</v>
      </c>
      <c r="F173" s="280"/>
      <c r="G173" s="280"/>
      <c r="H173" s="280">
        <v>66.0</v>
      </c>
      <c r="I173" s="280">
        <v>32.0</v>
      </c>
      <c r="J173" s="280">
        <v>23.0</v>
      </c>
      <c r="K173" s="280"/>
      <c r="L173" s="280"/>
      <c r="M173" s="281"/>
      <c r="N173" s="280"/>
      <c r="O173" s="280"/>
      <c r="P173" s="280"/>
      <c r="Q173" s="280"/>
      <c r="R173" s="290"/>
      <c r="S173" s="281"/>
      <c r="T173" s="291"/>
      <c r="U173" s="281"/>
      <c r="V173" s="281"/>
      <c r="W173" s="281"/>
    </row>
    <row r="174">
      <c r="A174" s="295"/>
      <c r="B174" s="296" t="s">
        <v>895</v>
      </c>
      <c r="C174" s="297" t="s">
        <v>773</v>
      </c>
      <c r="D174" s="289">
        <f>ROUND((F174*'Pawn Weights'!$E$3)+(G174*'Pawn Weights'!$E$4)+(H174*'Pawn Weights'!$E$5)+(I174*'Pawn Weights'!$E$6)+(J174*'Pawn Weights'!$E$7)+(K174*'Pawn Weights'!$E$8)+(L174*'Pawn Weights'!$E$9)+(M174*'Pawn Weights'!$E$10)+(N174*'Pawn Weights'!$E$11)+(O174*'Pawn Weights'!$E$12)+(P174*'Pawn Weights'!$E$13)+(Q174*'Pawn Weights'!$E$14), 2)</f>
        <v>72.94</v>
      </c>
      <c r="E174" s="298">
        <v>30.0</v>
      </c>
      <c r="F174" s="298">
        <v>29.0</v>
      </c>
      <c r="G174" s="297"/>
      <c r="H174" s="297"/>
      <c r="I174" s="297"/>
      <c r="J174" s="297"/>
      <c r="K174" s="297"/>
      <c r="L174" s="297"/>
      <c r="M174" s="359">
        <v>140.0</v>
      </c>
      <c r="N174" s="297"/>
      <c r="O174" s="298">
        <v>1.0</v>
      </c>
      <c r="P174" s="297"/>
      <c r="Q174" s="298">
        <v>1.0</v>
      </c>
      <c r="R174" s="298" t="s">
        <v>698</v>
      </c>
      <c r="S174" s="137"/>
      <c r="T174" s="295"/>
      <c r="U174" s="137"/>
      <c r="V174" s="137"/>
      <c r="W174" s="137"/>
      <c r="X174" s="137"/>
      <c r="Y174" s="137"/>
      <c r="Z174" s="137"/>
    </row>
    <row r="175">
      <c r="A175" s="301"/>
      <c r="B175" s="288" t="s">
        <v>899</v>
      </c>
      <c r="C175" s="280" t="s">
        <v>900</v>
      </c>
      <c r="D175" s="289">
        <f>ROUND((F175*'Pawn Weights'!$E$3)+(G175*'Pawn Weights'!$E$4)+(H175*'Pawn Weights'!$E$5)+(I175*'Pawn Weights'!$E$6)+(J175*'Pawn Weights'!$E$7)+(K175*'Pawn Weights'!$E$8)+(L175*'Pawn Weights'!$E$9)+(M175*'Pawn Weights'!$E$10)+(N175*'Pawn Weights'!$E$11)+(O175*'Pawn Weights'!$E$12)+(P175*'Pawn Weights'!$E$13)+(Q175*'Pawn Weights'!$E$14), 2)</f>
        <v>72.21</v>
      </c>
      <c r="E175" s="280">
        <v>29.0</v>
      </c>
      <c r="F175" s="280">
        <v>44.0</v>
      </c>
      <c r="G175" s="280"/>
      <c r="H175" s="280"/>
      <c r="I175" s="280">
        <v>31.0</v>
      </c>
      <c r="J175" s="280"/>
      <c r="K175" s="280"/>
      <c r="L175" s="280"/>
      <c r="M175" s="281"/>
      <c r="N175" s="280"/>
      <c r="O175" s="280"/>
      <c r="P175" s="280"/>
      <c r="Q175" s="280"/>
      <c r="R175" s="290"/>
      <c r="S175" s="281"/>
      <c r="T175" s="291"/>
      <c r="U175" s="281"/>
      <c r="V175" s="281"/>
      <c r="W175" s="281"/>
    </row>
    <row r="176">
      <c r="A176" s="301"/>
      <c r="B176" s="288" t="s">
        <v>901</v>
      </c>
      <c r="C176" s="280" t="s">
        <v>649</v>
      </c>
      <c r="D176" s="289">
        <f>ROUND((F176*'Pawn Weights'!$E$3)+(G176*'Pawn Weights'!$E$4)+(H176*'Pawn Weights'!$E$5)+(I176*'Pawn Weights'!$E$6)+(J176*'Pawn Weights'!$E$7)+(K176*'Pawn Weights'!$E$8)+(L176*'Pawn Weights'!$E$9)+(M176*'Pawn Weights'!$E$10)+(N176*'Pawn Weights'!$E$11)+(O176*'Pawn Weights'!$E$12)+(P176*'Pawn Weights'!$E$13)+(Q176*'Pawn Weights'!$E$14), 2)</f>
        <v>72.01</v>
      </c>
      <c r="E176" s="280">
        <v>25.0</v>
      </c>
      <c r="F176" s="280"/>
      <c r="G176" s="280">
        <v>33.0</v>
      </c>
      <c r="H176" s="280">
        <v>66.0</v>
      </c>
      <c r="I176" s="280"/>
      <c r="J176" s="280"/>
      <c r="K176" s="280"/>
      <c r="L176" s="280"/>
      <c r="M176" s="281"/>
      <c r="N176" s="280"/>
      <c r="O176" s="280">
        <v>1.0</v>
      </c>
      <c r="P176" s="280"/>
      <c r="Q176" s="280">
        <v>1.0</v>
      </c>
      <c r="R176" s="290" t="s">
        <v>695</v>
      </c>
      <c r="S176" s="281"/>
      <c r="T176" s="291"/>
      <c r="U176" s="281"/>
      <c r="V176" s="281"/>
      <c r="W176" s="281"/>
    </row>
    <row r="177">
      <c r="A177" s="301"/>
      <c r="B177" s="288" t="s">
        <v>902</v>
      </c>
      <c r="C177" s="280" t="s">
        <v>871</v>
      </c>
      <c r="D177" s="289">
        <f>ROUND((F177*'Pawn Weights'!$E$3)+(G177*'Pawn Weights'!$E$4)+(H177*'Pawn Weights'!$E$5)+(I177*'Pawn Weights'!$E$6)+(J177*'Pawn Weights'!$E$7)+(K177*'Pawn Weights'!$E$8)+(L177*'Pawn Weights'!$E$9)+(M177*'Pawn Weights'!$E$10)+(N177*'Pawn Weights'!$E$11)+(O177*'Pawn Weights'!$E$12)+(P177*'Pawn Weights'!$E$13)+(Q177*'Pawn Weights'!$E$14), 2)</f>
        <v>72.01</v>
      </c>
      <c r="E177" s="280">
        <v>13.0</v>
      </c>
      <c r="F177" s="280"/>
      <c r="G177" s="280">
        <v>33.0</v>
      </c>
      <c r="H177" s="280">
        <v>66.0</v>
      </c>
      <c r="I177" s="280"/>
      <c r="J177" s="280"/>
      <c r="K177" s="280"/>
      <c r="L177" s="280"/>
      <c r="M177" s="281"/>
      <c r="N177" s="280"/>
      <c r="O177" s="280"/>
      <c r="P177" s="280"/>
      <c r="Q177" s="280">
        <v>2.0</v>
      </c>
      <c r="R177" s="290" t="s">
        <v>809</v>
      </c>
      <c r="S177" s="281"/>
      <c r="T177" s="291"/>
      <c r="U177" s="281"/>
      <c r="V177" s="281"/>
      <c r="W177" s="281"/>
    </row>
    <row r="178">
      <c r="A178" s="301" t="s">
        <v>627</v>
      </c>
      <c r="B178" s="311" t="s">
        <v>903</v>
      </c>
      <c r="C178" s="280" t="s">
        <v>904</v>
      </c>
      <c r="D178" s="289">
        <f>ROUND((F178*'Pawn Weights'!$E$3)+(G178*'Pawn Weights'!$E$4)+(H178*'Pawn Weights'!$E$5)+(I178*'Pawn Weights'!$E$6)+(J178*'Pawn Weights'!$E$7)+(K178*'Pawn Weights'!$E$8)+(L178*'Pawn Weights'!$E$9)+(M178*'Pawn Weights'!$E$10)+(N178*'Pawn Weights'!$E$11)+(O178*'Pawn Weights'!$E$12)+(P178*'Pawn Weights'!$E$13)+(Q178*'Pawn Weights'!$E$14)-10+9.55+2.727, 2)</f>
        <v>70.11</v>
      </c>
      <c r="E178" s="280"/>
      <c r="F178" s="280"/>
      <c r="G178" s="280"/>
      <c r="H178" s="280">
        <v>36.0</v>
      </c>
      <c r="I178" s="280">
        <v>17.0</v>
      </c>
      <c r="J178" s="280">
        <v>25.0</v>
      </c>
      <c r="K178" s="280"/>
      <c r="L178" s="280"/>
      <c r="M178" s="281"/>
      <c r="N178" s="280"/>
      <c r="O178" s="280">
        <v>1.0</v>
      </c>
      <c r="P178" s="280">
        <v>1.0</v>
      </c>
      <c r="Q178" s="280"/>
      <c r="R178" s="290" t="s">
        <v>809</v>
      </c>
      <c r="S178" s="281"/>
      <c r="T178" s="291"/>
      <c r="U178" s="281"/>
      <c r="V178" s="281"/>
      <c r="W178" s="281"/>
    </row>
    <row r="179">
      <c r="A179" s="309"/>
      <c r="B179" s="288" t="s">
        <v>1103</v>
      </c>
      <c r="C179" s="280" t="s">
        <v>1104</v>
      </c>
      <c r="D179" s="289">
        <f>ROUND((F179*'Pawn Weights'!$E$3)+(G179*'Pawn Weights'!$E$4)+(H179*'Pawn Weights'!$E$5)+(I179*'Pawn Weights'!$E$6)+(J179*'Pawn Weights'!$E$7)+(K179*'Pawn Weights'!$E$8)+(L179*'Pawn Weights'!$E$9)+(M179*'Pawn Weights'!$E$10)+(N179*'Pawn Weights'!$E$11)+(O179*'Pawn Weights'!$E$12)+(P179*'Pawn Weights'!$E$13)+(Q179*'Pawn Weights'!$E$14)-10+9.55+1.92, 2)</f>
        <v>69.13</v>
      </c>
      <c r="E179" s="280">
        <v>28.0</v>
      </c>
      <c r="F179" s="280"/>
      <c r="G179" s="280">
        <v>29.0</v>
      </c>
      <c r="H179" s="280">
        <v>44.0</v>
      </c>
      <c r="I179" s="280"/>
      <c r="J179" s="280">
        <v>13.0</v>
      </c>
      <c r="K179" s="280"/>
      <c r="L179" s="280"/>
      <c r="M179" s="281"/>
      <c r="N179" s="280"/>
      <c r="O179" s="280">
        <v>1.0</v>
      </c>
      <c r="P179" s="280">
        <v>1.0</v>
      </c>
      <c r="Q179" s="280"/>
      <c r="R179" s="290" t="s">
        <v>832</v>
      </c>
      <c r="S179" s="281"/>
      <c r="T179" s="291"/>
      <c r="U179" s="281"/>
      <c r="V179" s="281"/>
      <c r="W179" s="281"/>
    </row>
    <row r="180">
      <c r="A180" s="309"/>
      <c r="B180" s="288" t="s">
        <v>1105</v>
      </c>
      <c r="C180" s="280" t="s">
        <v>1106</v>
      </c>
      <c r="D180" s="289">
        <f>ROUND((F180*'Pawn Weights'!$E$3)+(G180*'Pawn Weights'!$E$4)+(H180*'Pawn Weights'!$E$5)+(I180*'Pawn Weights'!$E$6)+(J180*'Pawn Weights'!$E$7)+(K180*'Pawn Weights'!$E$8)+(L180*'Pawn Weights'!$E$9)+(M180*'Pawn Weights'!$E$10)+(N180*'Pawn Weights'!$E$11)+(O180*'Pawn Weights'!$E$12)+(P180*'Pawn Weights'!$E$13)+(Q180*'Pawn Weights'!$E$14)-10+9.55+3, 2)</f>
        <v>68.89</v>
      </c>
      <c r="E180" s="280">
        <v>28.0</v>
      </c>
      <c r="F180" s="280">
        <v>33.0</v>
      </c>
      <c r="G180" s="280">
        <v>20.0</v>
      </c>
      <c r="H180" s="280"/>
      <c r="I180" s="280"/>
      <c r="J180" s="280"/>
      <c r="K180" s="280"/>
      <c r="L180" s="280"/>
      <c r="M180" s="281"/>
      <c r="N180" s="280"/>
      <c r="O180" s="280">
        <v>1.0</v>
      </c>
      <c r="P180" s="280">
        <v>1.0</v>
      </c>
      <c r="Q180" s="280"/>
      <c r="R180" s="290" t="s">
        <v>698</v>
      </c>
      <c r="S180" s="281"/>
      <c r="T180" s="291"/>
      <c r="U180" s="281"/>
      <c r="V180" s="281"/>
      <c r="W180" s="281"/>
    </row>
    <row r="181">
      <c r="A181" s="301" t="s">
        <v>991</v>
      </c>
      <c r="B181" s="288" t="s">
        <v>1108</v>
      </c>
      <c r="C181" s="280" t="s">
        <v>892</v>
      </c>
      <c r="D181" s="289">
        <f>ROUND((F181*'Pawn Weights'!$E$3)+(G181*'Pawn Weights'!$E$4)+(H181*'Pawn Weights'!$E$5)+(I181*'Pawn Weights'!$E$6)+(J181*'Pawn Weights'!$E$7)+(K181*'Pawn Weights'!$E$8)+(L181*'Pawn Weights'!$E$9)+(M181*'Pawn Weights'!$E$10)+(N181*'Pawn Weights'!$E$11)+(O181*'Pawn Weights'!$E$12)+(P181*'Pawn Weights'!$E$13)+(Q181*'Pawn Weights'!$E$14), 2)</f>
        <v>66.85</v>
      </c>
      <c r="E181" s="280">
        <v>49.0</v>
      </c>
      <c r="F181" s="280">
        <v>35.0</v>
      </c>
      <c r="G181" s="280"/>
      <c r="H181" s="280"/>
      <c r="I181" s="280">
        <v>35.0</v>
      </c>
      <c r="J181" s="280"/>
      <c r="K181" s="280"/>
      <c r="L181" s="280"/>
      <c r="M181" s="281"/>
      <c r="N181" s="280"/>
      <c r="O181" s="280"/>
      <c r="P181" s="280"/>
      <c r="Q181" s="280"/>
      <c r="R181" s="290"/>
      <c r="S181" s="281"/>
      <c r="T181" s="291" t="s">
        <v>850</v>
      </c>
      <c r="U181" s="281"/>
      <c r="V181" s="281"/>
      <c r="W181" s="281"/>
    </row>
    <row r="182">
      <c r="A182" s="301"/>
      <c r="B182" s="288" t="s">
        <v>1107</v>
      </c>
      <c r="C182" s="280" t="s">
        <v>842</v>
      </c>
      <c r="D182" s="289">
        <f>ROUND((F182*'Pawn Weights'!$E$3)+(G182*'Pawn Weights'!$E$4)+(H182*'Pawn Weights'!$E$5)+(I182*'Pawn Weights'!$E$6)+(J182*'Pawn Weights'!$E$7)+(K182*'Pawn Weights'!$E$8)+(L182*'Pawn Weights'!$E$9)+(M182*'Pawn Weights'!$E$10)+(N182*'Pawn Weights'!$E$11)+(O182*'Pawn Weights'!$E$12)+(P182*'Pawn Weights'!$E$13)+(Q182*'Pawn Weights'!$E$14), 2)</f>
        <v>66.3</v>
      </c>
      <c r="E182" s="280">
        <v>41.0</v>
      </c>
      <c r="F182" s="280"/>
      <c r="G182" s="280"/>
      <c r="H182" s="280">
        <v>98.0</v>
      </c>
      <c r="I182" s="280"/>
      <c r="J182" s="280">
        <v>34.0</v>
      </c>
      <c r="K182" s="280"/>
      <c r="L182" s="280"/>
      <c r="M182" s="281"/>
      <c r="N182" s="280"/>
      <c r="O182" s="280"/>
      <c r="P182" s="280"/>
      <c r="Q182" s="280"/>
      <c r="R182" s="290"/>
      <c r="S182" s="281"/>
      <c r="T182" s="291"/>
      <c r="U182" s="281"/>
      <c r="V182" s="281"/>
      <c r="W182" s="281"/>
    </row>
    <row r="183">
      <c r="A183" s="224" t="s">
        <v>905</v>
      </c>
      <c r="B183" s="281"/>
      <c r="C183" s="281"/>
      <c r="D183" s="360"/>
      <c r="E183" s="281"/>
      <c r="F183" s="281"/>
      <c r="G183" s="281"/>
      <c r="H183" s="281"/>
      <c r="I183" s="281"/>
      <c r="J183" s="281"/>
      <c r="K183" s="281"/>
      <c r="L183" s="281"/>
      <c r="M183" s="281"/>
      <c r="N183" s="281"/>
      <c r="O183" s="281"/>
      <c r="P183" s="281"/>
      <c r="Q183" s="281"/>
      <c r="R183" s="282"/>
      <c r="S183" s="281"/>
      <c r="T183" s="285"/>
      <c r="U183" s="281"/>
      <c r="V183" s="281"/>
      <c r="W183" s="281"/>
    </row>
    <row r="184">
      <c r="A184" s="281"/>
      <c r="B184" s="288" t="s">
        <v>907</v>
      </c>
      <c r="C184" s="280" t="s">
        <v>632</v>
      </c>
      <c r="D184" s="289">
        <f>ROUND((F184*'Pawn Weights'!$E$3)+(G184*'Pawn Weights'!$E$4)+(H184*'Pawn Weights'!$E$5)+(I184*'Pawn Weights'!$E$6)+(J184*'Pawn Weights'!$E$7)+(K184*'Pawn Weights'!$E$8)+(L184*'Pawn Weights'!$E$9)+(M184*'Pawn Weights'!$E$10)+(N184*'Pawn Weights'!$E$11)+(O184*'Pawn Weights'!$E$12)+(P184*'Pawn Weights'!$E$13)+(Q184*'Pawn Weights'!$E$14), 2)</f>
        <v>70.74</v>
      </c>
      <c r="E184" s="280">
        <v>33.0</v>
      </c>
      <c r="F184" s="280"/>
      <c r="G184" s="280"/>
      <c r="H184" s="280">
        <v>66.0</v>
      </c>
      <c r="I184" s="280"/>
      <c r="J184" s="280">
        <v>30.0</v>
      </c>
      <c r="K184" s="280"/>
      <c r="L184" s="280"/>
      <c r="M184" s="280">
        <v>126.0</v>
      </c>
      <c r="N184" s="280"/>
      <c r="O184" s="280"/>
      <c r="P184" s="280"/>
      <c r="Q184" s="280"/>
      <c r="R184" s="290"/>
      <c r="S184" s="281"/>
      <c r="T184" s="291"/>
      <c r="U184" s="281"/>
      <c r="V184" s="281"/>
      <c r="W184" s="281"/>
    </row>
    <row r="185">
      <c r="A185" s="137" t="s">
        <v>627</v>
      </c>
      <c r="B185" s="296" t="s">
        <v>910</v>
      </c>
      <c r="C185" s="297" t="s">
        <v>911</v>
      </c>
      <c r="D185" s="289">
        <f>ROUND((F185*'Pawn Weights'!$E$3)+(G185*'Pawn Weights'!$E$4)+(H185*'Pawn Weights'!$E$5)+(I185*'Pawn Weights'!$E$6)+(J185*'Pawn Weights'!$E$7)+(K185*'Pawn Weights'!$E$8)+(L185*'Pawn Weights'!$E$9)+(M185*'Pawn Weights'!$E$10)+(N185*'Pawn Weights'!$E$11)+(O185*'Pawn Weights'!$E$12)+(P185*'Pawn Weights'!$E$13)+(Q185*'Pawn Weights'!$E$14), 2)</f>
        <v>67.93</v>
      </c>
      <c r="E185" s="298">
        <v>42.0</v>
      </c>
      <c r="F185" s="297"/>
      <c r="G185" s="298">
        <v>30.0</v>
      </c>
      <c r="H185" s="298">
        <v>58.0</v>
      </c>
      <c r="I185" s="297"/>
      <c r="J185" s="297"/>
      <c r="K185" s="298">
        <v>28.0</v>
      </c>
      <c r="L185" s="297"/>
      <c r="M185" s="295"/>
      <c r="N185" s="297"/>
      <c r="O185" s="297"/>
      <c r="P185" s="297"/>
      <c r="Q185" s="297"/>
      <c r="R185" s="295"/>
      <c r="S185" s="137"/>
      <c r="T185" s="295"/>
      <c r="U185" s="137"/>
      <c r="V185" s="137"/>
      <c r="W185" s="137"/>
      <c r="X185" s="137"/>
      <c r="Y185" s="137"/>
      <c r="Z185" s="137"/>
    </row>
    <row r="186">
      <c r="A186" s="137"/>
      <c r="B186" s="296" t="s">
        <v>908</v>
      </c>
      <c r="C186" s="297" t="s">
        <v>909</v>
      </c>
      <c r="D186" s="289">
        <f>ROUND((F186*'Pawn Weights'!$E$3)+(G186*'Pawn Weights'!$E$4)+(H186*'Pawn Weights'!$E$5)+(I186*'Pawn Weights'!$E$6)+(J186*'Pawn Weights'!$E$7)+(K186*'Pawn Weights'!$E$8)+(L186*'Pawn Weights'!$E$9)+(M186*'Pawn Weights'!$E$10)+(N186*'Pawn Weights'!$E$11)+(O186*'Pawn Weights'!$E$12)+(P186*'Pawn Weights'!$E$13)+(Q186*'Pawn Weights'!$E$14), 2)</f>
        <v>67.25</v>
      </c>
      <c r="E186" s="298">
        <v>28.0</v>
      </c>
      <c r="F186" s="297"/>
      <c r="G186" s="298">
        <v>29.0</v>
      </c>
      <c r="H186" s="298">
        <v>58.0</v>
      </c>
      <c r="I186" s="297"/>
      <c r="J186" s="297"/>
      <c r="K186" s="297"/>
      <c r="L186" s="297"/>
      <c r="M186" s="298">
        <v>126.0</v>
      </c>
      <c r="N186" s="297"/>
      <c r="O186" s="297"/>
      <c r="P186" s="297"/>
      <c r="Q186" s="297"/>
      <c r="R186" s="295"/>
      <c r="S186" s="137"/>
      <c r="T186" s="295"/>
      <c r="U186" s="137"/>
      <c r="V186" s="137"/>
      <c r="W186" s="137"/>
      <c r="X186" s="137"/>
      <c r="Y186" s="137"/>
      <c r="Z186" s="137"/>
    </row>
    <row r="187">
      <c r="A187" s="281"/>
      <c r="B187" s="288" t="s">
        <v>914</v>
      </c>
      <c r="C187" s="280" t="s">
        <v>857</v>
      </c>
      <c r="D187" s="289">
        <f>ROUND((F187*'Pawn Weights'!$E$3)+(G187*'Pawn Weights'!$E$4)+(H187*'Pawn Weights'!$E$5)+(I187*'Pawn Weights'!$E$6)+(J187*'Pawn Weights'!$E$7)+(K187*'Pawn Weights'!$E$8)+(L187*'Pawn Weights'!$E$9)+(M187*'Pawn Weights'!$E$10)+(N187*'Pawn Weights'!$E$11)+(O187*'Pawn Weights'!$E$12)+(P187*'Pawn Weights'!$E$13)+(Q187*'Pawn Weights'!$E$14), 2)</f>
        <v>63.3</v>
      </c>
      <c r="E187" s="280">
        <v>28.0</v>
      </c>
      <c r="F187" s="280">
        <v>36.0</v>
      </c>
      <c r="G187" s="280"/>
      <c r="H187" s="280"/>
      <c r="I187" s="280">
        <v>30.0</v>
      </c>
      <c r="J187" s="280"/>
      <c r="K187" s="280"/>
      <c r="L187" s="280"/>
      <c r="M187" s="281"/>
      <c r="N187" s="280"/>
      <c r="O187" s="280"/>
      <c r="P187" s="280"/>
      <c r="Q187" s="280"/>
      <c r="R187" s="290"/>
      <c r="S187" s="281"/>
      <c r="T187" s="291"/>
      <c r="U187" s="281"/>
      <c r="V187" s="281"/>
      <c r="W187" s="281"/>
    </row>
    <row r="188">
      <c r="A188" s="281"/>
      <c r="B188" s="288" t="s">
        <v>917</v>
      </c>
      <c r="C188" s="280" t="s">
        <v>741</v>
      </c>
      <c r="D188" s="289">
        <f>ROUND((F188*'Pawn Weights'!$E$3)+(G188*'Pawn Weights'!$E$4)+(H188*'Pawn Weights'!$E$5)+(I188*'Pawn Weights'!$E$6)+(J188*'Pawn Weights'!$E$7)+(K188*'Pawn Weights'!$E$8)+(L188*'Pawn Weights'!$E$9)+(M188*'Pawn Weights'!$E$10)+(N188*'Pawn Weights'!$E$11)+(O188*'Pawn Weights'!$E$12)+(P188*'Pawn Weights'!$E$13)+(Q188*'Pawn Weights'!$E$14), 2)</f>
        <v>62.45</v>
      </c>
      <c r="E188" s="280">
        <v>27.0</v>
      </c>
      <c r="F188" s="280"/>
      <c r="G188" s="280"/>
      <c r="H188" s="280">
        <v>56.0</v>
      </c>
      <c r="I188" s="280">
        <v>28.0</v>
      </c>
      <c r="J188" s="280">
        <v>18.0</v>
      </c>
      <c r="K188" s="280"/>
      <c r="L188" s="280"/>
      <c r="M188" s="281"/>
      <c r="N188" s="280"/>
      <c r="O188" s="280"/>
      <c r="P188" s="280"/>
      <c r="Q188" s="280"/>
      <c r="R188" s="290"/>
      <c r="S188" s="281"/>
      <c r="T188" s="291"/>
      <c r="U188" s="281"/>
      <c r="V188" s="281"/>
      <c r="W188" s="281"/>
    </row>
    <row r="189">
      <c r="A189" s="137" t="s">
        <v>671</v>
      </c>
      <c r="B189" s="296" t="s">
        <v>915</v>
      </c>
      <c r="C189" s="297" t="s">
        <v>916</v>
      </c>
      <c r="D189" s="289">
        <f>ROUND((F189*'Pawn Weights'!$E$3)+(G189*'Pawn Weights'!$E$4)+(H189*'Pawn Weights'!$E$5)+(I189*'Pawn Weights'!$E$6)+(J189*'Pawn Weights'!$E$7)+(K189*'Pawn Weights'!$E$8)+(L189*'Pawn Weights'!$E$9)+(M189*'Pawn Weights'!$E$10)+(N189*'Pawn Weights'!$E$11)+(O189*'Pawn Weights'!$E$12)+(P189*'Pawn Weights'!$E$13)+(Q189*'Pawn Weights'!$E$14), 2)</f>
        <v>60.51</v>
      </c>
      <c r="E189" s="298">
        <v>38.0</v>
      </c>
      <c r="F189" s="297"/>
      <c r="G189" s="297"/>
      <c r="H189" s="298">
        <v>52.0</v>
      </c>
      <c r="I189" s="298">
        <v>30.0</v>
      </c>
      <c r="J189" s="297"/>
      <c r="K189" s="297"/>
      <c r="L189" s="297"/>
      <c r="M189" s="359">
        <v>56.0</v>
      </c>
      <c r="N189" s="297"/>
      <c r="O189" s="297"/>
      <c r="P189" s="297"/>
      <c r="Q189" s="297"/>
      <c r="R189" s="295"/>
      <c r="S189" s="137"/>
      <c r="T189" s="297" t="s">
        <v>861</v>
      </c>
      <c r="U189" s="137"/>
      <c r="V189" s="137"/>
      <c r="W189" s="137"/>
      <c r="X189" s="137"/>
      <c r="Y189" s="137"/>
      <c r="Z189" s="137"/>
    </row>
    <row r="190" ht="1.5" customHeight="1">
      <c r="A190" s="281"/>
      <c r="B190" s="288" t="s">
        <v>918</v>
      </c>
      <c r="C190" s="280" t="s">
        <v>919</v>
      </c>
      <c r="D190" s="289">
        <f>ROUND((F190*'Pawn Weights'!$E$3)+(G190*'Pawn Weights'!$E$4)+(H190*'Pawn Weights'!$E$5)+(I190*'Pawn Weights'!$E$6)+(J190*'Pawn Weights'!$E$7)+(K190*'Pawn Weights'!$E$8)+(L190*'Pawn Weights'!$E$9)+(M190*'Pawn Weights'!$E$10)+(N190*'Pawn Weights'!$E$11)+(O190*'Pawn Weights'!$E$12)+(P190*'Pawn Weights'!$E$13)+(Q190*'Pawn Weights'!$E$14)+12.0897, 2)</f>
        <v>58.7</v>
      </c>
      <c r="E190" s="280">
        <v>43.0</v>
      </c>
      <c r="F190" s="280"/>
      <c r="G190" s="280">
        <v>29.0</v>
      </c>
      <c r="H190" s="280">
        <v>60.0</v>
      </c>
      <c r="I190" s="280"/>
      <c r="J190" s="280"/>
      <c r="K190" s="280"/>
      <c r="L190" s="280"/>
      <c r="M190" s="281"/>
      <c r="N190" s="280"/>
      <c r="O190" s="280"/>
      <c r="P190" s="280"/>
      <c r="Q190" s="280"/>
      <c r="R190" s="290"/>
      <c r="S190" s="281"/>
      <c r="T190" s="291" t="s">
        <v>920</v>
      </c>
      <c r="U190" s="281"/>
      <c r="V190" s="281"/>
      <c r="W190" s="281"/>
    </row>
    <row r="191">
      <c r="A191" s="281"/>
      <c r="B191" s="288" t="s">
        <v>922</v>
      </c>
      <c r="C191" s="280" t="s">
        <v>708</v>
      </c>
      <c r="D191" s="289">
        <f>ROUND((F191*'Pawn Weights'!$E$3)+(G191*'Pawn Weights'!$E$4)+(H191*'Pawn Weights'!$E$5)+(I191*'Pawn Weights'!$E$6)+(J191*'Pawn Weights'!$E$7)+(K191*'Pawn Weights'!$E$8)+(L191*'Pawn Weights'!$E$9)+(M191*'Pawn Weights'!$E$10)+(N191*'Pawn Weights'!$E$11)+(O191*'Pawn Weights'!$E$12)+(P191*'Pawn Weights'!$E$13)+(Q191*'Pawn Weights'!$E$14), 2)</f>
        <v>55.07</v>
      </c>
      <c r="E191" s="280"/>
      <c r="F191" s="280"/>
      <c r="G191" s="280"/>
      <c r="H191" s="280">
        <v>62.0</v>
      </c>
      <c r="I191" s="280">
        <v>19.0</v>
      </c>
      <c r="J191" s="280">
        <v>15.0</v>
      </c>
      <c r="K191" s="280"/>
      <c r="L191" s="280"/>
      <c r="M191" s="281"/>
      <c r="N191" s="280"/>
      <c r="O191" s="280"/>
      <c r="P191" s="280"/>
      <c r="Q191" s="280"/>
      <c r="R191" s="290"/>
      <c r="S191" s="281"/>
      <c r="T191" s="291"/>
      <c r="U191" s="281"/>
      <c r="V191" s="281"/>
      <c r="W191" s="281"/>
    </row>
    <row r="192">
      <c r="A192" s="281"/>
      <c r="B192" s="288" t="s">
        <v>921</v>
      </c>
      <c r="C192" s="280" t="s">
        <v>821</v>
      </c>
      <c r="D192" s="289">
        <f>ROUND((F192*'Pawn Weights'!$E$3)+(G192*'Pawn Weights'!$E$4)+(H192*'Pawn Weights'!$E$5)+(I192*'Pawn Weights'!$E$6)+(J192*'Pawn Weights'!$E$7)+(K192*'Pawn Weights'!$E$8)+(L192*'Pawn Weights'!$E$9)+(M192*'Pawn Weights'!$E$10)+(N192*'Pawn Weights'!$E$11)+(O192*'Pawn Weights'!$E$12)+(P192*'Pawn Weights'!$E$13)+(Q192*'Pawn Weights'!$E$14), 2)</f>
        <v>53.87</v>
      </c>
      <c r="E192" s="280"/>
      <c r="F192" s="280"/>
      <c r="G192" s="280"/>
      <c r="H192" s="280">
        <v>66.0</v>
      </c>
      <c r="I192" s="280"/>
      <c r="J192" s="280"/>
      <c r="K192" s="280">
        <v>31.0</v>
      </c>
      <c r="L192" s="280"/>
      <c r="M192" s="281"/>
      <c r="N192" s="280"/>
      <c r="O192" s="280"/>
      <c r="P192" s="280"/>
      <c r="Q192" s="280"/>
      <c r="R192" s="290"/>
      <c r="S192" s="281"/>
      <c r="T192" s="291"/>
      <c r="U192" s="281"/>
      <c r="V192" s="281"/>
      <c r="W192" s="281"/>
    </row>
    <row r="193">
      <c r="A193" s="292" t="s">
        <v>991</v>
      </c>
      <c r="B193" s="288" t="s">
        <v>1109</v>
      </c>
      <c r="C193" s="280" t="s">
        <v>1110</v>
      </c>
      <c r="D193" s="289">
        <f>ROUND((F193*'Pawn Weights'!$E$3)+(G193*'Pawn Weights'!$E$4)+(H193*'Pawn Weights'!$E$5)+(I193*'Pawn Weights'!$E$6)+(J193*'Pawn Weights'!$E$7)+(K193*'Pawn Weights'!$E$8)+(L193*'Pawn Weights'!$E$9)+(M193*'Pawn Weights'!$E$10)+(N193*'Pawn Weights'!$E$11)+(O193*'Pawn Weights'!$E$12)+(P193*'Pawn Weights'!$E$13)+(Q193*'Pawn Weights'!$E$14), 2)</f>
        <v>53.23</v>
      </c>
      <c r="E193" s="280">
        <v>34.0</v>
      </c>
      <c r="F193" s="280"/>
      <c r="G193" s="280"/>
      <c r="H193" s="280">
        <v>44.0</v>
      </c>
      <c r="I193" s="280">
        <v>26.0</v>
      </c>
      <c r="J193" s="280"/>
      <c r="K193" s="280"/>
      <c r="L193" s="280"/>
      <c r="M193" s="280">
        <v>56.0</v>
      </c>
      <c r="N193" s="280"/>
      <c r="O193" s="280"/>
      <c r="P193" s="280"/>
      <c r="Q193" s="290"/>
      <c r="R193" s="290"/>
      <c r="S193" s="281"/>
      <c r="T193" s="291" t="s">
        <v>861</v>
      </c>
      <c r="U193" s="281"/>
      <c r="V193" s="281"/>
      <c r="W193" s="281"/>
    </row>
    <row r="194">
      <c r="A194" s="281"/>
      <c r="B194" s="288" t="s">
        <v>923</v>
      </c>
      <c r="C194" s="280" t="s">
        <v>656</v>
      </c>
      <c r="D194" s="289">
        <f>ROUND((F194*'Pawn Weights'!$E$3)+(G194*'Pawn Weights'!$E$4)+(H194*'Pawn Weights'!$E$5)+(I194*'Pawn Weights'!$E$6)+(J194*'Pawn Weights'!$E$7)+(K194*'Pawn Weights'!$E$8)+(L194*'Pawn Weights'!$E$9)+(M194*'Pawn Weights'!$E$10)+(N194*'Pawn Weights'!$E$11)+(O194*'Pawn Weights'!$E$12)+(P194*'Pawn Weights'!$E$13)+(Q194*'Pawn Weights'!$E$14), 2)</f>
        <v>53.09</v>
      </c>
      <c r="E194" s="280">
        <v>21.0</v>
      </c>
      <c r="F194" s="280"/>
      <c r="G194" s="280"/>
      <c r="H194" s="280">
        <v>44.0</v>
      </c>
      <c r="I194" s="280">
        <v>23.0</v>
      </c>
      <c r="J194" s="280">
        <v>19.0</v>
      </c>
      <c r="K194" s="280"/>
      <c r="L194" s="280"/>
      <c r="M194" s="281"/>
      <c r="N194" s="280"/>
      <c r="O194" s="280"/>
      <c r="P194" s="280"/>
      <c r="Q194" s="280"/>
      <c r="R194" s="290"/>
      <c r="S194" s="281"/>
      <c r="T194" s="291"/>
      <c r="U194" s="281"/>
      <c r="V194" s="281"/>
      <c r="W194" s="281"/>
    </row>
    <row r="195">
      <c r="A195" s="281"/>
      <c r="B195" s="288" t="s">
        <v>926</v>
      </c>
      <c r="C195" s="280" t="s">
        <v>723</v>
      </c>
      <c r="D195" s="289">
        <f>ROUND((F195*'Pawn Weights'!$E$3)+(G195*'Pawn Weights'!$E$4)+(H195*'Pawn Weights'!$E$5)+(I195*'Pawn Weights'!$E$6)+(J195*'Pawn Weights'!$E$7)+(K195*'Pawn Weights'!$E$8)+(L195*'Pawn Weights'!$E$9)+(M195*'Pawn Weights'!$E$10)+(N195*'Pawn Weights'!$E$11)+(O195*'Pawn Weights'!$E$12)+(P195*'Pawn Weights'!$E$13)+(Q195*'Pawn Weights'!$E$14), 2)</f>
        <v>52.53</v>
      </c>
      <c r="E195" s="280">
        <v>42.0</v>
      </c>
      <c r="F195" s="280"/>
      <c r="G195" s="280">
        <v>21.0</v>
      </c>
      <c r="H195" s="280">
        <v>58.0</v>
      </c>
      <c r="I195" s="280"/>
      <c r="J195" s="280">
        <v>19.0</v>
      </c>
      <c r="K195" s="280"/>
      <c r="L195" s="280"/>
      <c r="M195" s="281"/>
      <c r="N195" s="280"/>
      <c r="O195" s="280"/>
      <c r="P195" s="280"/>
      <c r="Q195" s="280"/>
      <c r="R195" s="290"/>
      <c r="S195" s="281"/>
      <c r="T195" s="291"/>
      <c r="U195" s="281"/>
      <c r="V195" s="281"/>
      <c r="W195" s="281"/>
    </row>
    <row r="196">
      <c r="A196" s="281"/>
      <c r="B196" s="288" t="s">
        <v>927</v>
      </c>
      <c r="C196" s="280" t="s">
        <v>710</v>
      </c>
      <c r="D196" s="289">
        <f>ROUND((F196*'Pawn Weights'!$E$3)+(G196*'Pawn Weights'!$E$4)+(H196*'Pawn Weights'!$E$5)+(I196*'Pawn Weights'!$E$6)+(J196*'Pawn Weights'!$E$7)+(K196*'Pawn Weights'!$E$8)+(L196*'Pawn Weights'!$E$9)+(M196*'Pawn Weights'!$E$10)+(N196*'Pawn Weights'!$E$11)+(O196*'Pawn Weights'!$E$12)+(P196*'Pawn Weights'!$E$13)+(Q196*'Pawn Weights'!$E$14), 2)</f>
        <v>50.89</v>
      </c>
      <c r="E196" s="280">
        <v>19.0</v>
      </c>
      <c r="F196" s="280"/>
      <c r="G196" s="280">
        <v>24.0</v>
      </c>
      <c r="H196" s="280">
        <v>50.0</v>
      </c>
      <c r="I196" s="280"/>
      <c r="J196" s="280">
        <v>19.0</v>
      </c>
      <c r="K196" s="280"/>
      <c r="L196" s="280"/>
      <c r="M196" s="281"/>
      <c r="N196" s="280"/>
      <c r="O196" s="280"/>
      <c r="P196" s="280"/>
      <c r="Q196" s="280"/>
      <c r="R196" s="290"/>
      <c r="S196" s="281"/>
      <c r="T196" s="291"/>
      <c r="U196" s="281"/>
      <c r="V196" s="281"/>
      <c r="W196" s="281"/>
    </row>
    <row r="197">
      <c r="A197" s="281"/>
      <c r="B197" s="288" t="s">
        <v>1111</v>
      </c>
      <c r="C197" s="280" t="s">
        <v>1112</v>
      </c>
      <c r="D197" s="289">
        <f>ROUND((F197*'Pawn Weights'!$E$3)+(G197*'Pawn Weights'!$E$4)+(H197*'Pawn Weights'!$E$5)+(I197*'Pawn Weights'!$E$6)+(J197*'Pawn Weights'!$E$7)+(K197*'Pawn Weights'!$E$8)+(L197*'Pawn Weights'!$E$9)+(M197*'Pawn Weights'!$E$10)+(N197*'Pawn Weights'!$E$11)+(O197*'Pawn Weights'!$E$12)+(P197*'Pawn Weights'!$E$13)+(Q197*'Pawn Weights'!$E$14), 2)</f>
        <v>48.54</v>
      </c>
      <c r="E197" s="280"/>
      <c r="F197" s="280"/>
      <c r="G197" s="280"/>
      <c r="H197" s="280">
        <v>40.0</v>
      </c>
      <c r="I197" s="280">
        <v>20.0</v>
      </c>
      <c r="J197" s="280">
        <v>19.0</v>
      </c>
      <c r="K197" s="280"/>
      <c r="L197" s="280"/>
      <c r="M197" s="281"/>
      <c r="N197" s="280"/>
      <c r="O197" s="280"/>
      <c r="P197" s="280"/>
      <c r="Q197" s="280"/>
      <c r="R197" s="290"/>
      <c r="S197" s="281"/>
      <c r="T197" s="291"/>
      <c r="U197" s="281"/>
      <c r="V197" s="281"/>
      <c r="W197" s="281"/>
    </row>
    <row r="198">
      <c r="A198" s="281"/>
      <c r="B198" s="288" t="s">
        <v>1113</v>
      </c>
      <c r="C198" s="280" t="s">
        <v>881</v>
      </c>
      <c r="D198" s="289">
        <f>ROUND((F198*'Pawn Weights'!$E$3)+(G198*'Pawn Weights'!$E$4)+(H198*'Pawn Weights'!$E$5)+(I198*'Pawn Weights'!$E$6)+(J198*'Pawn Weights'!$E$7)+(K198*'Pawn Weights'!$E$8)+(L198*'Pawn Weights'!$E$9)+(M198*'Pawn Weights'!$E$10)+(N198*'Pawn Weights'!$E$11)+(O198*'Pawn Weights'!$E$12)+(P198*'Pawn Weights'!$E$13)+(Q198*'Pawn Weights'!$E$14), 2)</f>
        <v>46.02</v>
      </c>
      <c r="E198" s="280">
        <v>24.0</v>
      </c>
      <c r="F198" s="280">
        <v>26.0</v>
      </c>
      <c r="G198" s="280"/>
      <c r="H198" s="280"/>
      <c r="I198" s="280">
        <v>22.0</v>
      </c>
      <c r="J198" s="280"/>
      <c r="K198" s="280"/>
      <c r="L198" s="280"/>
      <c r="M198" s="281"/>
      <c r="N198" s="280"/>
      <c r="O198" s="280"/>
      <c r="P198" s="280"/>
      <c r="Q198" s="280"/>
      <c r="R198" s="290"/>
      <c r="S198" s="281"/>
      <c r="T198" s="291"/>
      <c r="U198" s="281"/>
      <c r="V198" s="281"/>
      <c r="W198" s="281"/>
    </row>
    <row r="199">
      <c r="A199" s="281"/>
      <c r="B199" s="288" t="s">
        <v>1114</v>
      </c>
      <c r="C199" s="280" t="s">
        <v>683</v>
      </c>
      <c r="D199" s="289">
        <f>ROUND((F199*'Pawn Weights'!$E$3)+(G199*'Pawn Weights'!$E$4)+(H199*'Pawn Weights'!$E$5)+(I199*'Pawn Weights'!$E$6)+(J199*'Pawn Weights'!$E$7)+(K199*'Pawn Weights'!$E$8)+(L199*'Pawn Weights'!$E$9)+(M199*'Pawn Weights'!$E$10)+(N199*'Pawn Weights'!$E$11)+(O199*'Pawn Weights'!$E$12)+(P199*'Pawn Weights'!$E$13)+(Q199*'Pawn Weights'!$E$14), 2)</f>
        <v>46.01</v>
      </c>
      <c r="E199" s="280">
        <v>30.0</v>
      </c>
      <c r="F199" s="280">
        <v>32.0</v>
      </c>
      <c r="G199" s="280">
        <v>21.0</v>
      </c>
      <c r="H199" s="280"/>
      <c r="I199" s="280"/>
      <c r="J199" s="280"/>
      <c r="K199" s="280"/>
      <c r="L199" s="280"/>
      <c r="M199" s="281"/>
      <c r="N199" s="280"/>
      <c r="O199" s="280"/>
      <c r="P199" s="280"/>
      <c r="Q199" s="280"/>
      <c r="R199" s="290"/>
      <c r="S199" s="281"/>
      <c r="T199" s="291"/>
      <c r="U199" s="281"/>
      <c r="V199" s="281"/>
      <c r="W199" s="281"/>
    </row>
    <row r="200">
      <c r="A200" s="281"/>
      <c r="B200" s="288" t="s">
        <v>1115</v>
      </c>
      <c r="C200" s="280" t="s">
        <v>1116</v>
      </c>
      <c r="D200" s="289">
        <f>ROUND((F200*'Pawn Weights'!$E$3)+(G200*'Pawn Weights'!$E$4)+(H200*'Pawn Weights'!$E$5)+(I200*'Pawn Weights'!$E$6)+(J200*'Pawn Weights'!$E$7)+(K200*'Pawn Weights'!$E$8)+(L200*'Pawn Weights'!$E$9)+(M200*'Pawn Weights'!$E$10)+(N200*'Pawn Weights'!$E$11)+(O200*'Pawn Weights'!$E$12)+(P200*'Pawn Weights'!$E$13)+(Q200*'Pawn Weights'!$E$14), 2)</f>
        <v>43.04</v>
      </c>
      <c r="E200" s="280">
        <v>25.0</v>
      </c>
      <c r="F200" s="280"/>
      <c r="G200" s="280">
        <v>20.0</v>
      </c>
      <c r="H200" s="280">
        <v>40.0</v>
      </c>
      <c r="I200" s="280"/>
      <c r="J200" s="280">
        <v>18.0</v>
      </c>
      <c r="K200" s="280"/>
      <c r="L200" s="280"/>
      <c r="M200" s="281"/>
      <c r="N200" s="280"/>
      <c r="O200" s="280"/>
      <c r="P200" s="280"/>
      <c r="Q200" s="280"/>
      <c r="R200" s="290"/>
      <c r="S200" s="281"/>
      <c r="T200" s="291"/>
      <c r="U200" s="281"/>
      <c r="V200" s="281"/>
      <c r="W200" s="281"/>
    </row>
    <row r="201">
      <c r="A201" s="292" t="s">
        <v>965</v>
      </c>
      <c r="B201" s="288" t="s">
        <v>1427</v>
      </c>
      <c r="C201" s="280" t="s">
        <v>1428</v>
      </c>
      <c r="D201" s="289">
        <f>ROUND((F201*'Pawn Weights'!$E$3)+(G201*'Pawn Weights'!$E$4)+(H201*'Pawn Weights'!$E$5)+(I201*'Pawn Weights'!$E$6)+(J201*'Pawn Weights'!$E$7)+(K201*'Pawn Weights'!$E$8)+(L201*'Pawn Weights'!$E$9)+(M201*'Pawn Weights'!$E$10)+(N201*'Pawn Weights'!$E$11)+(O201*'Pawn Weights'!$E$12)+(P201*'Pawn Weights'!$E$13)+(Q201*'Pawn Weights'!$E$14), 2)</f>
        <v>42.77</v>
      </c>
      <c r="E201" s="280"/>
      <c r="F201" s="280"/>
      <c r="G201" s="280"/>
      <c r="H201" s="280">
        <v>52.0</v>
      </c>
      <c r="I201" s="280">
        <v>14.0</v>
      </c>
      <c r="J201" s="280">
        <v>10.0</v>
      </c>
      <c r="K201" s="280"/>
      <c r="L201" s="280"/>
      <c r="M201" s="281"/>
      <c r="N201" s="280"/>
      <c r="O201" s="280"/>
      <c r="P201" s="280"/>
      <c r="Q201" s="280"/>
      <c r="R201" s="290"/>
      <c r="S201" s="281"/>
      <c r="T201" s="291"/>
      <c r="U201" s="281"/>
      <c r="V201" s="281"/>
      <c r="W201" s="281"/>
    </row>
    <row r="202">
      <c r="A202" s="281"/>
      <c r="B202" s="288" t="s">
        <v>1429</v>
      </c>
      <c r="C202" s="280" t="s">
        <v>1430</v>
      </c>
      <c r="D202" s="289">
        <f>ROUND((F202*'Pawn Weights'!$E$3)+(G202*'Pawn Weights'!$E$4)+(H202*'Pawn Weights'!$E$5)+(I202*'Pawn Weights'!$E$6)+(J202*'Pawn Weights'!$E$7)+(K202*'Pawn Weights'!$E$8)+(L202*'Pawn Weights'!$E$9)+(M202*'Pawn Weights'!$E$10)+(N202*'Pawn Weights'!$E$11)+(O202*'Pawn Weights'!$E$12)+(P202*'Pawn Weights'!$E$13)+(Q202*'Pawn Weights'!$E$14), 2)</f>
        <v>41.84</v>
      </c>
      <c r="E202" s="280">
        <v>24.0</v>
      </c>
      <c r="F202" s="280"/>
      <c r="G202" s="280"/>
      <c r="H202" s="280">
        <v>46.0</v>
      </c>
      <c r="I202" s="280">
        <v>23.0</v>
      </c>
      <c r="J202" s="280"/>
      <c r="K202" s="280"/>
      <c r="L202" s="280"/>
      <c r="M202" s="281"/>
      <c r="N202" s="280"/>
      <c r="O202" s="280"/>
      <c r="P202" s="280"/>
      <c r="Q202" s="280"/>
      <c r="R202" s="290"/>
      <c r="S202" s="281"/>
      <c r="T202" s="291"/>
      <c r="U202" s="281"/>
      <c r="V202" s="281"/>
      <c r="W202" s="281"/>
    </row>
    <row r="203">
      <c r="A203" s="281"/>
      <c r="B203" s="288" t="s">
        <v>1242</v>
      </c>
      <c r="C203" s="280" t="s">
        <v>1243</v>
      </c>
      <c r="D203" s="289">
        <f>ROUND((F203*'Pawn Weights'!$E$3)+(G203*'Pawn Weights'!$E$4)+(H203*'Pawn Weights'!$E$5)+(I203*'Pawn Weights'!$E$6)+(J203*'Pawn Weights'!$E$7)+(K203*'Pawn Weights'!$E$8)+(L203*'Pawn Weights'!$E$9)+(M203*'Pawn Weights'!$E$10)+(N203*'Pawn Weights'!$E$11)+(O203*'Pawn Weights'!$E$12)+(P203*'Pawn Weights'!$E$13)+(Q203*'Pawn Weights'!$E$14), 2)</f>
        <v>41.45</v>
      </c>
      <c r="E203" s="280">
        <v>28.0</v>
      </c>
      <c r="F203" s="280"/>
      <c r="G203" s="280"/>
      <c r="H203" s="280">
        <v>56.0</v>
      </c>
      <c r="I203" s="280"/>
      <c r="J203" s="280">
        <v>25.0</v>
      </c>
      <c r="K203" s="280"/>
      <c r="L203" s="280"/>
      <c r="M203" s="280"/>
      <c r="N203" s="280"/>
      <c r="O203" s="280"/>
      <c r="P203" s="280"/>
      <c r="Q203" s="290"/>
      <c r="R203" s="290"/>
      <c r="S203" s="281"/>
      <c r="T203" s="285"/>
      <c r="U203" s="281"/>
      <c r="V203" s="281"/>
      <c r="W203" s="281"/>
    </row>
    <row r="204">
      <c r="A204" s="224" t="s">
        <v>928</v>
      </c>
      <c r="B204" s="312" t="s">
        <v>929</v>
      </c>
      <c r="C204" s="281"/>
      <c r="D204" s="360"/>
      <c r="E204" s="313" t="s">
        <v>607</v>
      </c>
      <c r="F204" s="314" t="s">
        <v>608</v>
      </c>
      <c r="G204" s="314" t="s">
        <v>561</v>
      </c>
      <c r="H204" s="314" t="s">
        <v>930</v>
      </c>
      <c r="I204" s="314" t="s">
        <v>330</v>
      </c>
      <c r="J204" s="314" t="s">
        <v>344</v>
      </c>
      <c r="K204" s="314" t="s">
        <v>356</v>
      </c>
      <c r="L204" s="314" t="s">
        <v>563</v>
      </c>
      <c r="M204" s="314" t="s">
        <v>564</v>
      </c>
      <c r="N204" s="281"/>
      <c r="O204" s="281"/>
      <c r="P204" s="281"/>
      <c r="Q204" s="281"/>
      <c r="R204" s="282"/>
      <c r="S204" s="281"/>
      <c r="T204" s="285"/>
      <c r="U204" s="281"/>
      <c r="V204" s="281"/>
      <c r="W204" s="281"/>
    </row>
    <row r="205">
      <c r="A205" s="292" t="s">
        <v>931</v>
      </c>
      <c r="B205" s="288" t="s">
        <v>932</v>
      </c>
      <c r="C205" s="280" t="s">
        <v>871</v>
      </c>
      <c r="D205" s="301"/>
      <c r="E205" s="280">
        <v>30.0</v>
      </c>
      <c r="F205" s="280"/>
      <c r="G205" s="280"/>
      <c r="H205" s="280"/>
      <c r="I205" s="280"/>
      <c r="J205" s="280"/>
      <c r="K205" s="280"/>
      <c r="L205" s="280"/>
      <c r="M205" s="281"/>
      <c r="N205" s="280"/>
      <c r="O205" s="280"/>
      <c r="P205" s="280"/>
      <c r="Q205" s="280"/>
      <c r="R205" s="290"/>
      <c r="S205" s="281"/>
      <c r="T205" s="291" t="s">
        <v>933</v>
      </c>
      <c r="U205" s="281"/>
      <c r="V205" s="281"/>
      <c r="W205" s="281"/>
    </row>
    <row r="206">
      <c r="A206" s="137"/>
      <c r="B206" s="296" t="s">
        <v>938</v>
      </c>
      <c r="C206" s="297" t="s">
        <v>939</v>
      </c>
      <c r="D206" s="289">
        <f>ROUND((F206*'Pawn Weights'!$E$3)+(G206*'Pawn Weights'!$E$4)+(H206*'Pawn Weights'!$E$5)+(I206*'Pawn Weights'!$E$6)+(J206*'Pawn Weights'!$E$7)+(K206*'Pawn Weights'!$E$8)+(L206*'Pawn Weights'!$E$9)+(M206*'Pawn Weights'!$E$10)+(N206*'Pawn Weights'!$E$11)+(O206*'Pawn Weights'!$E$12)+(P206*'Pawn Weights'!$E$13)+(Q206*'Pawn Weights'!$E$14), 2)</f>
        <v>96.37</v>
      </c>
      <c r="E206" s="297"/>
      <c r="F206" s="297"/>
      <c r="G206" s="297"/>
      <c r="H206" s="298">
        <v>92.0</v>
      </c>
      <c r="I206" s="297"/>
      <c r="J206" s="297"/>
      <c r="K206" s="297"/>
      <c r="L206" s="298">
        <v>44.0</v>
      </c>
      <c r="M206" s="137"/>
      <c r="N206" s="297"/>
      <c r="O206" s="297"/>
      <c r="P206" s="297"/>
      <c r="Q206" s="297"/>
      <c r="R206" s="295"/>
      <c r="S206" s="137"/>
      <c r="T206" s="297" t="s">
        <v>940</v>
      </c>
      <c r="U206" s="137"/>
      <c r="V206" s="137"/>
      <c r="W206" s="137"/>
      <c r="X206" s="137"/>
      <c r="Y206" s="137"/>
      <c r="Z206" s="137"/>
    </row>
    <row r="207">
      <c r="A207" s="281"/>
      <c r="B207" s="288" t="s">
        <v>936</v>
      </c>
      <c r="C207" s="280" t="s">
        <v>823</v>
      </c>
      <c r="D207" s="289">
        <f>ROUND((F207*'Pawn Weights'!$E$3)+(G207*'Pawn Weights'!$E$4)+(H207*'Pawn Weights'!$E$5)+(I207*'Pawn Weights'!$E$6)+(J207*'Pawn Weights'!$E$7)+(K207*'Pawn Weights'!$E$8)+(L207*'Pawn Weights'!$E$9)+(M207*'Pawn Weights'!$E$10)+(N207*'Pawn Weights'!$E$11)+(O207*'Pawn Weights'!$E$12)+(P207*'Pawn Weights'!$E$13)+(Q207*'Pawn Weights'!$E$14), 2)</f>
        <v>95.76</v>
      </c>
      <c r="E207" s="280"/>
      <c r="F207" s="280"/>
      <c r="G207" s="280"/>
      <c r="H207" s="280">
        <v>40.0</v>
      </c>
      <c r="I207" s="280"/>
      <c r="J207" s="280"/>
      <c r="K207" s="280">
        <v>100.75</v>
      </c>
      <c r="L207" s="280"/>
      <c r="M207" s="281"/>
      <c r="N207" s="280"/>
      <c r="O207" s="280"/>
      <c r="P207" s="280"/>
      <c r="Q207" s="280"/>
      <c r="R207" s="290"/>
      <c r="S207" s="281"/>
      <c r="T207" s="291" t="s">
        <v>937</v>
      </c>
      <c r="U207" s="281"/>
      <c r="V207" s="281"/>
      <c r="W207" s="281"/>
    </row>
    <row r="208">
      <c r="A208" s="281"/>
      <c r="B208" s="288" t="s">
        <v>941</v>
      </c>
      <c r="C208" s="280" t="s">
        <v>639</v>
      </c>
      <c r="D208" s="289">
        <f>ROUND((F208*'Pawn Weights'!$E$3)+(G208*'Pawn Weights'!$E$4)+(H208*'Pawn Weights'!$E$5)+(I208*'Pawn Weights'!$E$6)+(J208*'Pawn Weights'!$E$7)+(K208*'Pawn Weights'!$E$8)+(L208*'Pawn Weights'!$E$9)+(M208*'Pawn Weights'!$E$10)+(N208*'Pawn Weights'!$E$11)+(O208*'Pawn Weights'!$E$12)+(P208*'Pawn Weights'!$E$13)+(Q208*'Pawn Weights'!$E$14), 2)</f>
        <v>76.63</v>
      </c>
      <c r="E208" s="280"/>
      <c r="F208" s="280"/>
      <c r="G208" s="280"/>
      <c r="H208" s="280">
        <v>84.0</v>
      </c>
      <c r="I208" s="280"/>
      <c r="J208" s="280">
        <v>20.0</v>
      </c>
      <c r="K208" s="280"/>
      <c r="L208" s="280"/>
      <c r="M208" s="280">
        <v>150.0</v>
      </c>
      <c r="N208" s="280"/>
      <c r="O208" s="280"/>
      <c r="P208" s="280"/>
      <c r="Q208" s="280"/>
      <c r="R208" s="290"/>
      <c r="S208" s="281"/>
      <c r="T208" s="291" t="s">
        <v>942</v>
      </c>
      <c r="U208" s="281"/>
      <c r="V208" s="281"/>
      <c r="W208" s="281"/>
    </row>
    <row r="209">
      <c r="A209" s="292" t="s">
        <v>949</v>
      </c>
      <c r="B209" s="288" t="s">
        <v>950</v>
      </c>
      <c r="C209" s="280" t="s">
        <v>951</v>
      </c>
      <c r="D209" s="289">
        <f>ROUND((F209*'Pawn Weights'!$E$3)+(G209*'Pawn Weights'!$E$4)+(H209*'Pawn Weights'!$E$5)+(I209*'Pawn Weights'!$E$6)+(J209*'Pawn Weights'!$E$7)+(K209*'Pawn Weights'!$E$8)+(L209*'Pawn Weights'!$E$9)+(M209*'Pawn Weights'!$E$10)+(N209*'Pawn Weights'!$E$11)+(O209*'Pawn Weights'!$E$12)+(P209*'Pawn Weights'!$E$13)+(Q209*'Pawn Weights'!$E$14), 2)</f>
        <v>68.18</v>
      </c>
      <c r="E209" s="280"/>
      <c r="F209" s="280"/>
      <c r="G209" s="280"/>
      <c r="H209" s="280">
        <v>150.0</v>
      </c>
      <c r="I209" s="280"/>
      <c r="J209" s="280"/>
      <c r="K209" s="280"/>
      <c r="L209" s="280"/>
      <c r="M209" s="281"/>
      <c r="N209" s="280"/>
      <c r="O209" s="280"/>
      <c r="P209" s="280"/>
      <c r="Q209" s="280"/>
      <c r="R209" s="290"/>
      <c r="S209" s="281"/>
      <c r="T209" s="291" t="s">
        <v>952</v>
      </c>
      <c r="U209" s="281"/>
      <c r="V209" s="281"/>
      <c r="W209" s="281"/>
    </row>
    <row r="210">
      <c r="A210" s="281"/>
      <c r="B210" s="288" t="s">
        <v>956</v>
      </c>
      <c r="C210" s="280" t="s">
        <v>957</v>
      </c>
      <c r="D210" s="289">
        <f>ROUND((F210*'Pawn Weights'!$E$3)+(G210*'Pawn Weights'!$E$4)+(H210*'Pawn Weights'!$E$5)+(I210*'Pawn Weights'!$E$6)+(J210*'Pawn Weights'!$E$7)+(K210*'Pawn Weights'!$E$8)+(L210*'Pawn Weights'!$E$9)+(M210*'Pawn Weights'!$E$10)+(N210*'Pawn Weights'!$E$11)+(O210*'Pawn Weights'!$E$12)+(P210*'Pawn Weights'!$E$13)+(Q210*'Pawn Weights'!$E$14), 2)</f>
        <v>60.98</v>
      </c>
      <c r="E210" s="280"/>
      <c r="F210" s="280"/>
      <c r="G210" s="280"/>
      <c r="H210" s="280">
        <v>44.0</v>
      </c>
      <c r="I210" s="280">
        <v>38.0</v>
      </c>
      <c r="J210" s="280">
        <v>10.0</v>
      </c>
      <c r="K210" s="280"/>
      <c r="L210" s="280"/>
      <c r="M210" s="281"/>
      <c r="N210" s="280"/>
      <c r="O210" s="280"/>
      <c r="P210" s="280"/>
      <c r="Q210" s="280"/>
      <c r="R210" s="290"/>
      <c r="S210" s="281"/>
      <c r="T210" s="291" t="s">
        <v>958</v>
      </c>
      <c r="U210" s="281"/>
      <c r="V210" s="281"/>
      <c r="W210" s="281"/>
    </row>
    <row r="211">
      <c r="A211" s="219" t="s">
        <v>627</v>
      </c>
      <c r="B211" s="296" t="s">
        <v>953</v>
      </c>
      <c r="C211" s="297" t="s">
        <v>954</v>
      </c>
      <c r="D211" s="289">
        <f>ROUND((F211*'Pawn Weights'!$E$3)+(G211*'Pawn Weights'!$E$4)+(H211*'Pawn Weights'!$E$5)+(I211*'Pawn Weights'!$E$6)+(J211*'Pawn Weights'!$E$7)+(K211*'Pawn Weights'!$E$8)+(L211*'Pawn Weights'!$E$9)+(M211*'Pawn Weights'!$E$10)+(N211*'Pawn Weights'!$E$11)+(O211*'Pawn Weights'!$E$12)+(P211*'Pawn Weights'!$E$13)+(Q211*'Pawn Weights'!$E$14), 2)</f>
        <v>60.6</v>
      </c>
      <c r="E211" s="295"/>
      <c r="F211" s="295"/>
      <c r="G211" s="295"/>
      <c r="H211" s="298">
        <v>133.33</v>
      </c>
      <c r="I211" s="295"/>
      <c r="J211" s="295"/>
      <c r="K211" s="295"/>
      <c r="L211" s="295"/>
      <c r="M211" s="137"/>
      <c r="N211" s="295"/>
      <c r="O211" s="295"/>
      <c r="P211" s="295"/>
      <c r="Q211" s="295"/>
      <c r="R211" s="295"/>
      <c r="S211" s="137"/>
      <c r="T211" s="297" t="s">
        <v>955</v>
      </c>
      <c r="U211" s="137"/>
      <c r="V211" s="137"/>
      <c r="W211" s="137"/>
      <c r="X211" s="137"/>
      <c r="Y211" s="137"/>
      <c r="Z211" s="137"/>
    </row>
    <row r="212">
      <c r="A212" s="281"/>
      <c r="B212" s="288" t="s">
        <v>959</v>
      </c>
      <c r="C212" s="154" t="s">
        <v>960</v>
      </c>
      <c r="D212" s="289">
        <f>ROUND((F212*'Pawn Weights'!$E$3)+(G212*'Pawn Weights'!$E$4)+(H212*'Pawn Weights'!$E$5)+(I212*'Pawn Weights'!$E$6)+(J212*'Pawn Weights'!$E$7)+(K212*'Pawn Weights'!$E$8)+(L212*'Pawn Weights'!$E$9)+(M212*'Pawn Weights'!$E$10)+(N212*'Pawn Weights'!$E$11)+(O212*'Pawn Weights'!$E$12)+(P212*'Pawn Weights'!$E$13)+(Q212*'Pawn Weights'!$E$14), 2)</f>
        <v>54.54</v>
      </c>
      <c r="E212" s="280"/>
      <c r="F212" s="280"/>
      <c r="G212" s="280"/>
      <c r="H212" s="280">
        <v>120.0</v>
      </c>
      <c r="I212" s="280"/>
      <c r="J212" s="280"/>
      <c r="K212" s="280"/>
      <c r="L212" s="280"/>
      <c r="M212" s="280"/>
      <c r="N212" s="280"/>
      <c r="O212" s="280"/>
      <c r="P212" s="280"/>
      <c r="Q212" s="280"/>
      <c r="R212" s="290"/>
      <c r="S212" s="281"/>
      <c r="T212" s="291" t="s">
        <v>961</v>
      </c>
      <c r="U212" s="281"/>
      <c r="V212" s="281"/>
      <c r="W212" s="281"/>
      <c r="X212" s="281"/>
    </row>
    <row r="213">
      <c r="A213" s="281"/>
      <c r="B213" s="288" t="s">
        <v>962</v>
      </c>
      <c r="C213" s="280" t="s">
        <v>963</v>
      </c>
      <c r="D213" s="289">
        <f>ROUND((F213*'Pawn Weights'!$E$3)+(G213*'Pawn Weights'!$E$4)+(H213*'Pawn Weights'!$E$5)+(I213*'Pawn Weights'!$E$6)+(J213*'Pawn Weights'!$E$7)+(K213*'Pawn Weights'!$E$8)+(L213*'Pawn Weights'!$E$9)+(M213*'Pawn Weights'!$E$10)+(N213*'Pawn Weights'!$E$11)+(O213*'Pawn Weights'!$E$12)+(P213*'Pawn Weights'!$E$13)+(Q213*'Pawn Weights'!$E$14), 2)</f>
        <v>53.63</v>
      </c>
      <c r="E213" s="280"/>
      <c r="F213" s="280"/>
      <c r="G213" s="280"/>
      <c r="H213" s="280">
        <v>118.0</v>
      </c>
      <c r="I213" s="280"/>
      <c r="J213" s="280"/>
      <c r="K213" s="280"/>
      <c r="L213" s="280"/>
      <c r="M213" s="280"/>
      <c r="N213" s="280"/>
      <c r="O213" s="280"/>
      <c r="P213" s="280"/>
      <c r="Q213" s="280"/>
      <c r="R213" s="290"/>
      <c r="S213" s="281"/>
      <c r="T213" s="291" t="s">
        <v>964</v>
      </c>
      <c r="U213" s="281"/>
      <c r="V213" s="281"/>
      <c r="W213" s="281"/>
      <c r="X213" s="281"/>
    </row>
    <row r="214">
      <c r="A214" s="292" t="s">
        <v>965</v>
      </c>
      <c r="B214" s="288" t="s">
        <v>966</v>
      </c>
      <c r="C214" s="280" t="s">
        <v>967</v>
      </c>
      <c r="D214" s="289">
        <f>ROUND((F214*'Pawn Weights'!$E$3)+(G214*'Pawn Weights'!$E$4)+(H214*'Pawn Weights'!$E$5)+(I214*'Pawn Weights'!$E$6)+(J214*'Pawn Weights'!$E$7)+(K214*'Pawn Weights'!$E$8)+(L214*'Pawn Weights'!$E$9)+(M214*'Pawn Weights'!$E$10)+(N214*'Pawn Weights'!$E$11)+(O214*'Pawn Weights'!$E$12)+(P214*'Pawn Weights'!$E$13)+(Q214*'Pawn Weights'!$E$14), 2)</f>
        <v>48.63</v>
      </c>
      <c r="E214" s="280"/>
      <c r="F214" s="280"/>
      <c r="G214" s="280"/>
      <c r="H214" s="280">
        <v>107.0</v>
      </c>
      <c r="I214" s="280"/>
      <c r="J214" s="280"/>
      <c r="K214" s="280"/>
      <c r="L214" s="280"/>
      <c r="M214" s="281"/>
      <c r="N214" s="280"/>
      <c r="O214" s="280"/>
      <c r="P214" s="280"/>
      <c r="Q214" s="280"/>
      <c r="R214" s="290"/>
      <c r="S214" s="281"/>
      <c r="T214" s="291" t="s">
        <v>968</v>
      </c>
      <c r="U214" s="281"/>
      <c r="V214" s="281"/>
      <c r="W214" s="281"/>
    </row>
    <row r="215">
      <c r="A215" s="281"/>
      <c r="B215" s="311" t="s">
        <v>969</v>
      </c>
      <c r="C215" s="280" t="s">
        <v>970</v>
      </c>
      <c r="D215" s="289">
        <f>ROUND((F215*'Pawn Weights'!$E$3)+(G215*'Pawn Weights'!$E$4)+(H215*'Pawn Weights'!$E$5)+(I215*'Pawn Weights'!$E$6)+(J215*'Pawn Weights'!$E$7)+(K215*'Pawn Weights'!$E$8)+(L215*'Pawn Weights'!$E$9)+(M215*'Pawn Weights'!$E$10)+(N215*'Pawn Weights'!$E$11)+(O215*'Pawn Weights'!$E$12)+(P215*'Pawn Weights'!$E$13)+(Q215*'Pawn Weights'!$E$14), 2)</f>
        <v>46.85</v>
      </c>
      <c r="E215" s="280"/>
      <c r="F215" s="280"/>
      <c r="G215" s="280"/>
      <c r="H215" s="280">
        <v>39.0</v>
      </c>
      <c r="I215" s="280">
        <v>32.0</v>
      </c>
      <c r="J215" s="280"/>
      <c r="K215" s="280"/>
      <c r="L215" s="280"/>
      <c r="M215" s="280"/>
      <c r="N215" s="280"/>
      <c r="O215" s="280"/>
      <c r="P215" s="280"/>
      <c r="Q215" s="280"/>
      <c r="R215" s="290"/>
      <c r="S215" s="281"/>
      <c r="T215" s="291" t="s">
        <v>971</v>
      </c>
      <c r="U215" s="281"/>
      <c r="V215" s="281"/>
      <c r="W215" s="281"/>
      <c r="X215" s="281"/>
    </row>
    <row r="216">
      <c r="A216" s="272" t="s">
        <v>972</v>
      </c>
      <c r="B216" s="281"/>
      <c r="C216" s="281"/>
      <c r="D216" s="301"/>
      <c r="E216" s="281"/>
      <c r="F216" s="281"/>
      <c r="G216" s="281"/>
      <c r="H216" s="281"/>
      <c r="I216" s="281"/>
      <c r="J216" s="281"/>
      <c r="K216" s="281"/>
      <c r="L216" s="281"/>
      <c r="M216" s="281"/>
      <c r="N216" s="281"/>
      <c r="O216" s="281"/>
      <c r="P216" s="281"/>
      <c r="Q216" s="281"/>
      <c r="R216" s="282"/>
      <c r="S216" s="281"/>
      <c r="T216" s="285"/>
      <c r="U216" s="281"/>
      <c r="V216" s="281"/>
      <c r="W216" s="281"/>
    </row>
    <row r="217">
      <c r="A217" s="137"/>
      <c r="B217" s="341" t="s">
        <v>979</v>
      </c>
      <c r="C217" s="361" t="s">
        <v>980</v>
      </c>
      <c r="D217" s="289">
        <f>ROUND((F217*'Pawn Weights'!$E$3)+(G217*'Pawn Weights'!$E$4)+(H217*'Pawn Weights'!$E$5)+(I217*'Pawn Weights'!$E$6)+(J217*'Pawn Weights'!$E$7)+(K217*'Pawn Weights'!$E$8)+(L217*'Pawn Weights'!$E$9)+(M217*'Pawn Weights'!$E$10)+(N217*'Pawn Weights'!$E$11)+(O217*'Pawn Weights'!$E$12)+(P217*'Pawn Weights'!$E$13)+(Q217*'Pawn Weights'!$E$14), 2)</f>
        <v>39.88</v>
      </c>
      <c r="E217" s="137"/>
      <c r="F217" s="137"/>
      <c r="G217" s="137"/>
      <c r="H217" s="359">
        <v>32.0</v>
      </c>
      <c r="I217" s="359">
        <v>18.0</v>
      </c>
      <c r="J217" s="359">
        <v>14.0</v>
      </c>
      <c r="K217" s="137"/>
      <c r="L217" s="137"/>
      <c r="M217" s="137"/>
      <c r="N217" s="137"/>
      <c r="O217" s="137"/>
      <c r="P217" s="137"/>
      <c r="Q217" s="137"/>
      <c r="R217" s="137"/>
      <c r="S217" s="137"/>
      <c r="T217" s="137"/>
      <c r="U217" s="137"/>
      <c r="V217" s="137"/>
      <c r="W217" s="137"/>
      <c r="X217" s="137"/>
      <c r="Y217" s="137"/>
      <c r="Z217" s="137"/>
    </row>
    <row r="218">
      <c r="A218" s="281"/>
      <c r="B218" s="288" t="s">
        <v>981</v>
      </c>
      <c r="C218" s="280" t="s">
        <v>982</v>
      </c>
      <c r="D218" s="289">
        <f>ROUND((F218*'Pawn Weights'!$E$3)+(G218*'Pawn Weights'!$E$4)+(H218*'Pawn Weights'!$E$5)+(I218*'Pawn Weights'!$E$6)+(J218*'Pawn Weights'!$E$7)+(K218*'Pawn Weights'!$E$8)+(L218*'Pawn Weights'!$E$9)+(M218*'Pawn Weights'!$E$10)+(N218*'Pawn Weights'!$E$11)+(O218*'Pawn Weights'!$E$12)+(P218*'Pawn Weights'!$E$13)+(Q218*'Pawn Weights'!$E$14)+2.73, 2)</f>
        <v>33.4</v>
      </c>
      <c r="E218" s="280"/>
      <c r="F218" s="280"/>
      <c r="G218" s="280">
        <v>16.0</v>
      </c>
      <c r="H218" s="280"/>
      <c r="I218" s="280"/>
      <c r="J218" s="280"/>
      <c r="K218" s="320"/>
      <c r="L218" s="320"/>
      <c r="M218" s="281"/>
      <c r="N218" s="320"/>
      <c r="O218" s="280">
        <v>2.0</v>
      </c>
      <c r="P218" s="320"/>
      <c r="Q218" s="320"/>
      <c r="R218" s="290" t="s">
        <v>702</v>
      </c>
      <c r="S218" s="281"/>
      <c r="T218" s="291"/>
      <c r="U218" s="281"/>
      <c r="V218" s="281"/>
      <c r="W218" s="281"/>
    </row>
    <row r="219">
      <c r="A219" s="137" t="s">
        <v>671</v>
      </c>
      <c r="B219" s="296" t="s">
        <v>985</v>
      </c>
      <c r="C219" s="297" t="s">
        <v>637</v>
      </c>
      <c r="D219" s="289">
        <f>ROUND((F219*'Pawn Weights'!$E$3)+(G219*'Pawn Weights'!$E$4)+(H219*'Pawn Weights'!$E$5)+(I219*'Pawn Weights'!$E$6)+(J219*'Pawn Weights'!$E$7)+(K219*'Pawn Weights'!$E$8)+(L219*'Pawn Weights'!$E$9)+(M219*'Pawn Weights'!$E$10)+(N219*'Pawn Weights'!$E$11)+(O219*'Pawn Weights'!$E$12)+(P219*'Pawn Weights'!$E$13)+(Q219*'Pawn Weights'!$E$14), 2)</f>
        <v>31.83</v>
      </c>
      <c r="E219" s="298">
        <v>27.0</v>
      </c>
      <c r="F219" s="295"/>
      <c r="G219" s="295"/>
      <c r="H219" s="298">
        <v>34.0</v>
      </c>
      <c r="I219" s="298">
        <v>18.0</v>
      </c>
      <c r="J219" s="295"/>
      <c r="K219" s="137"/>
      <c r="L219" s="137"/>
      <c r="M219" s="137"/>
      <c r="N219" s="137"/>
      <c r="O219" s="295"/>
      <c r="P219" s="137"/>
      <c r="Q219" s="137"/>
      <c r="R219" s="295"/>
      <c r="S219" s="137"/>
      <c r="T219" s="297" t="s">
        <v>986</v>
      </c>
      <c r="U219" s="137"/>
      <c r="V219" s="137"/>
      <c r="W219" s="137"/>
      <c r="X219" s="137"/>
      <c r="Y219" s="137"/>
      <c r="Z219" s="137"/>
    </row>
    <row r="220">
      <c r="A220" s="281"/>
      <c r="B220" s="288" t="s">
        <v>987</v>
      </c>
      <c r="C220" s="280" t="s">
        <v>649</v>
      </c>
      <c r="D220" s="289">
        <f>ROUND((F220*'Pawn Weights'!$E$3)+(G220*'Pawn Weights'!$E$4)+(H220*'Pawn Weights'!$E$5)+(I220*'Pawn Weights'!$E$6)+(J220*'Pawn Weights'!$E$7)+(K220*'Pawn Weights'!$E$8)+(L220*'Pawn Weights'!$E$9)+(M220*'Pawn Weights'!$E$10)+(N220*'Pawn Weights'!$E$11)+(O220*'Pawn Weights'!$E$12)+(P220*'Pawn Weights'!$E$13)+(Q220*'Pawn Weights'!$E$14), 2)</f>
        <v>31.83</v>
      </c>
      <c r="E220" s="280">
        <v>17.0</v>
      </c>
      <c r="F220" s="280"/>
      <c r="G220" s="280"/>
      <c r="H220" s="280">
        <v>38.0</v>
      </c>
      <c r="I220" s="280">
        <v>16.0</v>
      </c>
      <c r="J220" s="280"/>
      <c r="K220" s="320"/>
      <c r="L220" s="320"/>
      <c r="M220" s="281"/>
      <c r="N220" s="320"/>
      <c r="O220" s="280"/>
      <c r="P220" s="320"/>
      <c r="Q220" s="320"/>
      <c r="R220" s="290"/>
      <c r="S220" s="281"/>
      <c r="T220" s="291"/>
      <c r="U220" s="281"/>
      <c r="V220" s="281"/>
      <c r="W220" s="281"/>
    </row>
    <row r="221">
      <c r="A221" s="281"/>
      <c r="B221" s="288" t="s">
        <v>988</v>
      </c>
      <c r="C221" s="280" t="s">
        <v>727</v>
      </c>
      <c r="D221" s="289">
        <f>ROUND((F221*'Pawn Weights'!$E$3)+(G221*'Pawn Weights'!$E$4)+(H221*'Pawn Weights'!$E$5)+(I221*'Pawn Weights'!$E$6)+(J221*'Pawn Weights'!$E$7)+(K221*'Pawn Weights'!$E$8)+(L221*'Pawn Weights'!$E$9)+(M221*'Pawn Weights'!$E$10)+(N221*'Pawn Weights'!$E$11)+(O221*'Pawn Weights'!$E$12)+(P221*'Pawn Weights'!$E$13)+(Q221*'Pawn Weights'!$E$14), 2)</f>
        <v>29.9</v>
      </c>
      <c r="E221" s="280"/>
      <c r="F221" s="280"/>
      <c r="G221" s="280">
        <v>23.0</v>
      </c>
      <c r="H221" s="280"/>
      <c r="I221" s="280">
        <v>16.0</v>
      </c>
      <c r="J221" s="280"/>
      <c r="K221" s="320"/>
      <c r="L221" s="320"/>
      <c r="M221" s="281"/>
      <c r="N221" s="320"/>
      <c r="O221" s="280"/>
      <c r="P221" s="320"/>
      <c r="Q221" s="320"/>
      <c r="R221" s="290"/>
      <c r="S221" s="281"/>
      <c r="T221" s="291"/>
      <c r="U221" s="281"/>
      <c r="V221" s="281"/>
      <c r="W221" s="281"/>
    </row>
    <row r="222" ht="14.25" customHeight="1">
      <c r="A222" s="25" t="s">
        <v>991</v>
      </c>
      <c r="B222" s="288" t="s">
        <v>992</v>
      </c>
      <c r="C222" s="154" t="s">
        <v>646</v>
      </c>
      <c r="D222" s="289">
        <f>ROUND((F222*'Pawn Weights'!$E$3)+(G222*'Pawn Weights'!$E$4)+(H222*'Pawn Weights'!$E$5)+(I222*'Pawn Weights'!$E$6)+(J222*'Pawn Weights'!$E$7)+(K222*'Pawn Weights'!$E$8)+(L222*'Pawn Weights'!$E$9)+(M222*'Pawn Weights'!$E$10)+(N222*'Pawn Weights'!$E$11)+(O222*'Pawn Weights'!$E$12)+(P222*'Pawn Weights'!$E$13)+(Q222*'Pawn Weights'!$E$14), 2)</f>
        <v>29.11</v>
      </c>
      <c r="E222" s="280">
        <v>24.0</v>
      </c>
      <c r="F222" s="280"/>
      <c r="G222" s="280"/>
      <c r="H222" s="280">
        <v>30.0</v>
      </c>
      <c r="I222" s="280">
        <v>17.0</v>
      </c>
      <c r="J222" s="280"/>
      <c r="K222" s="280"/>
      <c r="L222" s="280"/>
      <c r="M222" s="281"/>
      <c r="N222" s="280"/>
      <c r="O222" s="280"/>
      <c r="P222" s="280"/>
      <c r="Q222" s="280"/>
      <c r="R222" s="290"/>
      <c r="S222" s="281"/>
      <c r="T222" s="291" t="s">
        <v>986</v>
      </c>
      <c r="U222" s="281"/>
      <c r="V222" s="281"/>
      <c r="W222" s="281"/>
    </row>
    <row r="223">
      <c r="A223" s="137"/>
      <c r="B223" s="296" t="s">
        <v>989</v>
      </c>
      <c r="C223" s="297" t="s">
        <v>990</v>
      </c>
      <c r="D223" s="289">
        <f>ROUND((F223*'Pawn Weights'!$E$3)+(G223*'Pawn Weights'!$E$4)+(H223*'Pawn Weights'!$E$5)+(I223*'Pawn Weights'!$E$6)+(J223*'Pawn Weights'!$E$7)+(K223*'Pawn Weights'!$E$8)+(L223*'Pawn Weights'!$E$9)+(M223*'Pawn Weights'!$E$10)+(N223*'Pawn Weights'!$E$11)+(O223*'Pawn Weights'!$E$12)+(P223*'Pawn Weights'!$E$13)+(Q223*'Pawn Weights'!$E$14), 2)</f>
        <v>28.86</v>
      </c>
      <c r="E223" s="295"/>
      <c r="F223" s="295"/>
      <c r="G223" s="298">
        <v>14.0</v>
      </c>
      <c r="H223" s="298">
        <v>26.0</v>
      </c>
      <c r="I223" s="295"/>
      <c r="J223" s="295"/>
      <c r="K223" s="359">
        <v>10.0</v>
      </c>
      <c r="L223" s="137"/>
      <c r="M223" s="137"/>
      <c r="N223" s="137"/>
      <c r="O223" s="295"/>
      <c r="P223" s="137"/>
      <c r="Q223" s="137"/>
      <c r="R223" s="295"/>
      <c r="S223" s="137"/>
      <c r="T223" s="295"/>
      <c r="U223" s="137"/>
      <c r="V223" s="137"/>
      <c r="W223" s="137"/>
      <c r="X223" s="137"/>
      <c r="Y223" s="137"/>
      <c r="Z223" s="137"/>
    </row>
    <row r="224">
      <c r="A224" s="281"/>
      <c r="B224" s="288" t="s">
        <v>994</v>
      </c>
      <c r="C224" s="280" t="s">
        <v>656</v>
      </c>
      <c r="D224" s="289">
        <f>ROUND((F224*'Pawn Weights'!$E$3)+(G224*'Pawn Weights'!$E$4)+(H224*'Pawn Weights'!$E$5)+(I224*'Pawn Weights'!$E$6)+(J224*'Pawn Weights'!$E$7)+(K224*'Pawn Weights'!$E$8)+(L224*'Pawn Weights'!$E$9)+(M224*'Pawn Weights'!$E$10)+(N224*'Pawn Weights'!$E$11)+(O224*'Pawn Weights'!$E$12)+(P224*'Pawn Weights'!$E$13)+(Q224*'Pawn Weights'!$E$14), 2)</f>
        <v>28.13</v>
      </c>
      <c r="E224" s="280"/>
      <c r="F224" s="280"/>
      <c r="G224" s="280">
        <v>19.0</v>
      </c>
      <c r="H224" s="280">
        <v>34.0</v>
      </c>
      <c r="I224" s="280"/>
      <c r="J224" s="280"/>
      <c r="K224" s="320"/>
      <c r="L224" s="320"/>
      <c r="M224" s="281"/>
      <c r="N224" s="320"/>
      <c r="O224" s="320"/>
      <c r="P224" s="320"/>
      <c r="Q224" s="320"/>
      <c r="R224" s="321"/>
      <c r="S224" s="281"/>
      <c r="T224" s="291"/>
      <c r="U224" s="281"/>
      <c r="V224" s="281"/>
      <c r="W224" s="281"/>
    </row>
    <row r="225" ht="14.25" customHeight="1">
      <c r="A225" s="25" t="s">
        <v>995</v>
      </c>
      <c r="B225" s="288" t="s">
        <v>996</v>
      </c>
      <c r="C225" s="154" t="s">
        <v>997</v>
      </c>
      <c r="D225" s="289">
        <f>ROUND((F225*'Pawn Weights'!$E$3)+(G225*'Pawn Weights'!$E$4)+(H225*'Pawn Weights'!$E$5)+(I225*'Pawn Weights'!$E$6)+(J225*'Pawn Weights'!$E$7)+(K225*'Pawn Weights'!$E$8)+(L225*'Pawn Weights'!$E$9)+(M225*'Pawn Weights'!$E$10)+(N225*'Pawn Weights'!$E$11)+(O225*'Pawn Weights'!$E$12)+(P225*'Pawn Weights'!$E$13)+(Q225*'Pawn Weights'!$E$14), 2)</f>
        <v>27.29</v>
      </c>
      <c r="E225" s="280">
        <v>21.0</v>
      </c>
      <c r="F225" s="280"/>
      <c r="G225" s="280"/>
      <c r="H225" s="280">
        <v>28.0</v>
      </c>
      <c r="I225" s="280">
        <v>16.0</v>
      </c>
      <c r="J225" s="280"/>
      <c r="K225" s="280"/>
      <c r="L225" s="280"/>
      <c r="M225" s="281"/>
      <c r="N225" s="280"/>
      <c r="O225" s="280"/>
      <c r="P225" s="280"/>
      <c r="Q225" s="280"/>
      <c r="R225" s="290"/>
      <c r="S225" s="281"/>
      <c r="T225" s="291" t="s">
        <v>986</v>
      </c>
      <c r="U225" s="281"/>
      <c r="V225" s="281"/>
      <c r="W225" s="281"/>
    </row>
    <row r="226">
      <c r="B226" s="322" t="s">
        <v>998</v>
      </c>
      <c r="C226" s="154" t="s">
        <v>999</v>
      </c>
      <c r="D226" s="289">
        <f>ROUND((F226*'Pawn Weights'!$E$3)+(G226*'Pawn Weights'!$E$4)+(H226*'Pawn Weights'!$E$5)+(I226*'Pawn Weights'!$E$6)+(J226*'Pawn Weights'!$E$7)+(K226*'Pawn Weights'!$E$8)+(L226*'Pawn Weights'!$E$9)+(M226*'Pawn Weights'!$E$10)+(N226*'Pawn Weights'!$E$11)+(O226*'Pawn Weights'!$E$12)+(P226*'Pawn Weights'!$E$13)+(Q226*'Pawn Weights'!$E$14), 2)</f>
        <v>26.67</v>
      </c>
      <c r="E226" s="280"/>
      <c r="F226" s="280"/>
      <c r="G226" s="280">
        <v>10.0</v>
      </c>
      <c r="H226" s="280">
        <v>32.0</v>
      </c>
      <c r="I226" s="280">
        <v>6.0</v>
      </c>
      <c r="J226" s="280"/>
      <c r="K226" s="280"/>
      <c r="L226" s="280"/>
      <c r="M226" s="281"/>
      <c r="N226" s="280"/>
      <c r="O226" s="280"/>
      <c r="P226" s="280"/>
      <c r="Q226" s="280"/>
      <c r="R226" s="290"/>
      <c r="S226" s="281"/>
      <c r="T226" s="291"/>
      <c r="U226" s="281"/>
      <c r="V226" s="281"/>
      <c r="W226" s="281"/>
    </row>
    <row r="227">
      <c r="A227" s="281"/>
      <c r="B227" s="288" t="s">
        <v>1120</v>
      </c>
      <c r="C227" s="280" t="s">
        <v>681</v>
      </c>
      <c r="D227" s="289">
        <f>ROUND((F227*'Pawn Weights'!$E$3)+(G227*'Pawn Weights'!$E$4)+(H227*'Pawn Weights'!$E$5)+(I227*'Pawn Weights'!$E$6)+(J227*'Pawn Weights'!$E$7)+(K227*'Pawn Weights'!$E$8)+(L227*'Pawn Weights'!$E$9)+(M227*'Pawn Weights'!$E$10)+(N227*'Pawn Weights'!$E$11)+(O227*'Pawn Weights'!$E$12)+(P227*'Pawn Weights'!$E$13)+(Q227*'Pawn Weights'!$E$14), 2)</f>
        <v>25.88</v>
      </c>
      <c r="E227" s="280">
        <v>14.0</v>
      </c>
      <c r="F227" s="280"/>
      <c r="G227" s="280"/>
      <c r="H227" s="280"/>
      <c r="I227" s="280">
        <v>20.0</v>
      </c>
      <c r="J227" s="280">
        <v>12.0</v>
      </c>
      <c r="K227" s="320"/>
      <c r="L227" s="320"/>
      <c r="M227" s="281"/>
      <c r="N227" s="320"/>
      <c r="O227" s="280"/>
      <c r="P227" s="320"/>
      <c r="Q227" s="320"/>
      <c r="R227" s="290"/>
      <c r="S227" s="281"/>
      <c r="T227" s="291"/>
      <c r="U227" s="281"/>
      <c r="V227" s="281"/>
      <c r="W227" s="281"/>
    </row>
    <row r="228">
      <c r="A228" s="281"/>
      <c r="B228" s="288" t="s">
        <v>1121</v>
      </c>
      <c r="C228" s="280" t="s">
        <v>1122</v>
      </c>
      <c r="D228" s="289">
        <f>ROUND((F228*'Pawn Weights'!$E$3)+(G228*'Pawn Weights'!$E$4)+(H228*'Pawn Weights'!$E$5)+(I228*'Pawn Weights'!$E$6)+(J228*'Pawn Weights'!$E$7)+(K228*'Pawn Weights'!$E$8)+(L228*'Pawn Weights'!$E$9)+(M228*'Pawn Weights'!$E$10)+(N228*'Pawn Weights'!$E$11)+(O228*'Pawn Weights'!$E$12)+(P228*'Pawn Weights'!$E$13)+(Q228*'Pawn Weights'!$E$14), 2)</f>
        <v>25.88</v>
      </c>
      <c r="E228" s="280"/>
      <c r="F228" s="280"/>
      <c r="G228" s="280"/>
      <c r="H228" s="280"/>
      <c r="I228" s="280">
        <v>20.0</v>
      </c>
      <c r="J228" s="280">
        <v>12.0</v>
      </c>
      <c r="K228" s="280"/>
      <c r="L228" s="280"/>
      <c r="M228" s="281"/>
      <c r="N228" s="280"/>
      <c r="O228" s="280"/>
      <c r="P228" s="280"/>
      <c r="Q228" s="280"/>
      <c r="R228" s="290"/>
      <c r="S228" s="281"/>
      <c r="T228" s="291"/>
      <c r="U228" s="281"/>
      <c r="V228" s="281"/>
      <c r="W228" s="281"/>
    </row>
    <row r="229">
      <c r="A229" s="281"/>
      <c r="B229" s="288" t="s">
        <v>1123</v>
      </c>
      <c r="C229" s="280" t="s">
        <v>1025</v>
      </c>
      <c r="D229" s="289">
        <f>ROUND((F229*'Pawn Weights'!$E$3)+(G229*'Pawn Weights'!$E$4)+(H229*'Pawn Weights'!$E$5)+(I229*'Pawn Weights'!$E$6)+(J229*'Pawn Weights'!$E$7)+(K229*'Pawn Weights'!$E$8)+(L229*'Pawn Weights'!$E$9)+(M229*'Pawn Weights'!$E$10)+(N229*'Pawn Weights'!$E$11)+(O229*'Pawn Weights'!$E$12)+(P229*'Pawn Weights'!$E$13)+(Q229*'Pawn Weights'!$E$14), 2)</f>
        <v>25.5</v>
      </c>
      <c r="E229" s="280"/>
      <c r="F229" s="280"/>
      <c r="G229" s="280">
        <v>20.0</v>
      </c>
      <c r="H229" s="280"/>
      <c r="I229" s="280"/>
      <c r="J229" s="280">
        <v>19.0</v>
      </c>
      <c r="K229" s="320"/>
      <c r="L229" s="320"/>
      <c r="M229" s="281"/>
      <c r="N229" s="320"/>
      <c r="O229" s="280"/>
      <c r="P229" s="320"/>
      <c r="Q229" s="320"/>
      <c r="R229" s="290"/>
      <c r="S229" s="281"/>
      <c r="T229" s="291"/>
      <c r="U229" s="281"/>
      <c r="V229" s="281"/>
      <c r="W229" s="281"/>
    </row>
    <row r="230">
      <c r="A230" s="137"/>
      <c r="B230" s="383" t="s">
        <v>1000</v>
      </c>
      <c r="C230" s="297" t="s">
        <v>1001</v>
      </c>
      <c r="D230" s="289">
        <f>ROUND((F230*'Pawn Weights'!$E$3)+(G230*'Pawn Weights'!$E$4)+(H230*'Pawn Weights'!$E$5)+(I230*'Pawn Weights'!$E$6)+(J230*'Pawn Weights'!$E$7)+(K230*'Pawn Weights'!$E$8)+(L230*'Pawn Weights'!$E$9)+(M230*'Pawn Weights'!$E$10)+(N230*'Pawn Weights'!$E$11)+(O230*'Pawn Weights'!$E$12)+(P230*'Pawn Weights'!$E$13)+(Q230*'Pawn Weights'!$E$14), 2)</f>
        <v>18.8</v>
      </c>
      <c r="E230" s="298">
        <v>16.0</v>
      </c>
      <c r="F230" s="297"/>
      <c r="G230" s="297"/>
      <c r="H230" s="297"/>
      <c r="I230" s="297"/>
      <c r="J230" s="298">
        <v>10.0</v>
      </c>
      <c r="K230" s="361"/>
      <c r="L230" s="359">
        <v>10.0</v>
      </c>
      <c r="M230" s="361"/>
      <c r="N230" s="361"/>
      <c r="O230" s="297"/>
      <c r="P230" s="361"/>
      <c r="Q230" s="361"/>
      <c r="R230" s="295"/>
      <c r="S230" s="137"/>
      <c r="T230" s="297" t="s">
        <v>971</v>
      </c>
      <c r="U230" s="137"/>
      <c r="V230" s="137"/>
      <c r="W230" s="137"/>
      <c r="X230" s="137"/>
      <c r="Y230" s="137"/>
      <c r="Z230" s="137"/>
    </row>
    <row r="231">
      <c r="A231" s="224" t="s">
        <v>1002</v>
      </c>
      <c r="B231" s="323" t="s">
        <v>604</v>
      </c>
      <c r="C231" s="323" t="s">
        <v>605</v>
      </c>
      <c r="D231" s="323" t="s">
        <v>606</v>
      </c>
      <c r="E231" s="224" t="s">
        <v>1003</v>
      </c>
      <c r="F231" s="224" t="s">
        <v>1004</v>
      </c>
      <c r="G231" s="224" t="s">
        <v>561</v>
      </c>
      <c r="H231" s="224" t="s">
        <v>562</v>
      </c>
      <c r="I231" s="224" t="s">
        <v>330</v>
      </c>
      <c r="J231" s="224" t="s">
        <v>563</v>
      </c>
      <c r="K231" s="272" t="s">
        <v>344</v>
      </c>
      <c r="L231" s="224" t="s">
        <v>607</v>
      </c>
      <c r="M231" s="224" t="s">
        <v>564</v>
      </c>
      <c r="N231" s="224" t="s">
        <v>1006</v>
      </c>
      <c r="O231" s="274" t="s">
        <v>610</v>
      </c>
      <c r="P231" s="275" t="s">
        <v>611</v>
      </c>
      <c r="Q231" s="276" t="s">
        <v>612</v>
      </c>
      <c r="R231" s="277" t="s">
        <v>613</v>
      </c>
      <c r="S231" s="366" t="s">
        <v>356</v>
      </c>
      <c r="T231" s="224" t="s">
        <v>615</v>
      </c>
      <c r="U231" s="324"/>
      <c r="V231" s="324"/>
      <c r="W231" s="324"/>
    </row>
    <row r="232">
      <c r="A232" s="292"/>
      <c r="B232" s="325" t="s">
        <v>1007</v>
      </c>
      <c r="C232" s="326"/>
      <c r="D232" s="25"/>
      <c r="E232" s="326"/>
      <c r="F232" s="326"/>
      <c r="G232" s="154"/>
      <c r="H232" s="326"/>
      <c r="I232" s="326"/>
      <c r="J232" s="326"/>
      <c r="K232" s="326"/>
      <c r="L232" s="326"/>
      <c r="M232" s="326"/>
      <c r="N232" s="326"/>
      <c r="O232" s="326"/>
      <c r="P232" s="326"/>
      <c r="Q232" s="326"/>
      <c r="R232" s="327"/>
      <c r="S232" s="326"/>
      <c r="T232" s="328"/>
      <c r="U232" s="326"/>
      <c r="V232" s="326"/>
      <c r="W232" s="329"/>
    </row>
    <row r="233">
      <c r="A233" s="292" t="s">
        <v>973</v>
      </c>
      <c r="B233" s="319" t="s">
        <v>1009</v>
      </c>
      <c r="C233" s="326" t="s">
        <v>632</v>
      </c>
      <c r="D233" s="301">
        <f>ROUND((E233*'Pawn Weights'!$E$15)+(G233*'Pawn Weights'!$E$4)+(H233*'Pawn Weights'!$E$5)+(I233*'Pawn Weights'!$E$6)+(J233*'Pawn Weights'!$E$9)+(K233*'Pawn Weights'!$E$7)+(M233*'Pawn Weights'!$E$10)+(N233*'Pawn Weights'!$E$3)+(O233*'Pawn Weights'!$E$12)+(P233*'Pawn Weights'!$E$13)+(Q233*'Pawn Weights'!$E$14)+(F233*'Pawn Weights'!$E$16)+(S233*'Pawn Weights'!$E$8), 2)</f>
        <v>565.16</v>
      </c>
      <c r="E233" s="326">
        <v>109.3</v>
      </c>
      <c r="F233" s="326">
        <v>2.8</v>
      </c>
      <c r="G233" s="326">
        <v>22.0</v>
      </c>
      <c r="H233" s="326">
        <v>44.0</v>
      </c>
      <c r="I233" s="326"/>
      <c r="J233" s="326"/>
      <c r="K233" s="326">
        <v>21.0</v>
      </c>
      <c r="L233" s="326">
        <v>29.0</v>
      </c>
      <c r="M233" s="326"/>
      <c r="N233" s="326"/>
      <c r="O233" s="326"/>
      <c r="P233" s="326"/>
      <c r="Q233" s="326"/>
      <c r="R233" s="327"/>
      <c r="S233" s="326"/>
      <c r="T233" s="328" t="s">
        <v>1010</v>
      </c>
      <c r="U233" s="326"/>
      <c r="V233" s="326"/>
      <c r="W233" s="329"/>
    </row>
    <row r="234">
      <c r="A234" s="295" t="s">
        <v>671</v>
      </c>
      <c r="B234" s="296" t="s">
        <v>1011</v>
      </c>
      <c r="C234" s="330" t="s">
        <v>637</v>
      </c>
      <c r="D234" s="301">
        <f>ROUND((E234*'Pawn Weights'!$E$15)+(G234*'Pawn Weights'!$E$4)+(H234*'Pawn Weights'!$E$5)+(I234*'Pawn Weights'!$E$6)+(J234*'Pawn Weights'!$E$9)+(K234*'Pawn Weights'!$E$7)+(M234*'Pawn Weights'!$E$10)+(N234*'Pawn Weights'!$E$3)+(O234*'Pawn Weights'!$E$12)+(P234*'Pawn Weights'!$E$13)+(Q234*'Pawn Weights'!$E$14)+(F234*'Pawn Weights'!$E$16)+(S234*'Pawn Weights'!$E$8), 2)</f>
        <v>560.38</v>
      </c>
      <c r="E234" s="332">
        <v>107.9</v>
      </c>
      <c r="F234" s="332">
        <v>2.6</v>
      </c>
      <c r="G234" s="330"/>
      <c r="H234" s="332">
        <v>38.0</v>
      </c>
      <c r="I234" s="332">
        <v>22.0</v>
      </c>
      <c r="J234" s="330"/>
      <c r="K234" s="332">
        <v>9.0</v>
      </c>
      <c r="L234" s="332">
        <v>31.0</v>
      </c>
      <c r="M234" s="332">
        <v>49.0</v>
      </c>
      <c r="N234" s="330"/>
      <c r="O234" s="330"/>
      <c r="P234" s="330"/>
      <c r="Q234" s="330"/>
      <c r="R234" s="295"/>
      <c r="S234" s="330"/>
      <c r="T234" s="330" t="s">
        <v>986</v>
      </c>
      <c r="U234" s="330"/>
      <c r="V234" s="330"/>
      <c r="W234" s="137"/>
      <c r="X234" s="137"/>
      <c r="Y234" s="137"/>
      <c r="Z234" s="137"/>
    </row>
    <row r="235">
      <c r="A235" s="295"/>
      <c r="B235" s="296" t="s">
        <v>1013</v>
      </c>
      <c r="C235" s="330" t="s">
        <v>1014</v>
      </c>
      <c r="D235" s="301">
        <f>ROUND((E235*'Pawn Weights'!$E$15)+(G235*'Pawn Weights'!$E$4)+(H235*'Pawn Weights'!$E$5)+(I235*'Pawn Weights'!$E$6)+(J235*'Pawn Weights'!$E$9)+(K235*'Pawn Weights'!$E$7)+(M235*'Pawn Weights'!$E$10)+(N235*'Pawn Weights'!$E$3)+(O235*'Pawn Weights'!$E$12)+(P235*'Pawn Weights'!$E$13)+(Q235*'Pawn Weights'!$E$14)+(F235*'Pawn Weights'!$E$16)+(S235*'Pawn Weights'!$E$8), 2)</f>
        <v>537.51</v>
      </c>
      <c r="E235" s="332">
        <v>103.0</v>
      </c>
      <c r="F235" s="332">
        <v>2.5</v>
      </c>
      <c r="G235" s="332">
        <v>23.0</v>
      </c>
      <c r="H235" s="332">
        <v>44.0</v>
      </c>
      <c r="I235" s="330"/>
      <c r="J235" s="330"/>
      <c r="K235" s="330"/>
      <c r="L235" s="330"/>
      <c r="M235" s="330"/>
      <c r="N235" s="330"/>
      <c r="O235" s="330"/>
      <c r="P235" s="330"/>
      <c r="Q235" s="330"/>
      <c r="R235" s="295"/>
      <c r="S235" s="332">
        <v>21.0</v>
      </c>
      <c r="T235" s="295"/>
      <c r="U235" s="330"/>
      <c r="V235" s="330"/>
      <c r="W235" s="137"/>
      <c r="X235" s="137"/>
      <c r="Y235" s="137"/>
      <c r="Z235" s="137"/>
    </row>
    <row r="236" ht="16.5" customHeight="1">
      <c r="A236" s="292"/>
      <c r="B236" s="288" t="s">
        <v>1018</v>
      </c>
      <c r="C236" s="326" t="s">
        <v>646</v>
      </c>
      <c r="D236" s="301">
        <f>ROUND((E236*'Pawn Weights'!$E$15)+(G236*'Pawn Weights'!$E$4)+(H236*'Pawn Weights'!$E$5)+(I236*'Pawn Weights'!$E$6)+(J236*'Pawn Weights'!$E$9)+(K236*'Pawn Weights'!$E$7)+(M236*'Pawn Weights'!$E$10)+(N236*'Pawn Weights'!$E$3)+(O236*'Pawn Weights'!$E$12)+(P236*'Pawn Weights'!$E$13)+(Q236*'Pawn Weights'!$E$14)+(F236*'Pawn Weights'!$E$16)+(S236*'Pawn Weights'!$E$8), 2)</f>
        <v>535.41</v>
      </c>
      <c r="E236" s="326">
        <v>103.1</v>
      </c>
      <c r="F236" s="326">
        <v>2.6</v>
      </c>
      <c r="G236" s="326"/>
      <c r="H236" s="326">
        <v>34.0</v>
      </c>
      <c r="I236" s="326">
        <v>21.0</v>
      </c>
      <c r="J236" s="326"/>
      <c r="K236" s="326">
        <v>8.0</v>
      </c>
      <c r="L236" s="326">
        <v>30.0</v>
      </c>
      <c r="M236" s="326">
        <v>49.0</v>
      </c>
      <c r="N236" s="326"/>
      <c r="O236" s="326"/>
      <c r="P236" s="326"/>
      <c r="Q236" s="326"/>
      <c r="R236" s="327"/>
      <c r="S236" s="326"/>
      <c r="T236" s="328" t="s">
        <v>986</v>
      </c>
      <c r="U236" s="326"/>
      <c r="V236" s="326"/>
      <c r="W236" s="329"/>
    </row>
    <row r="237">
      <c r="A237" s="292" t="s">
        <v>627</v>
      </c>
      <c r="B237" s="288" t="s">
        <v>1055</v>
      </c>
      <c r="C237" s="326" t="s">
        <v>1016</v>
      </c>
      <c r="D237" s="301">
        <f>ROUND((E237*'Pawn Weights'!$E$15)+(G237*'Pawn Weights'!$E$4)+(H237*'Pawn Weights'!$E$5)+(I237*'Pawn Weights'!$E$6)+(J237*'Pawn Weights'!$E$9)+(K237*'Pawn Weights'!$E$7)+(M237*'Pawn Weights'!$E$10)+(N237*'Pawn Weights'!$E$3)+(O237*'Pawn Weights'!$E$12)+(P237*'Pawn Weights'!$E$13)+(Q237*'Pawn Weights'!$E$14)+(F237*'Pawn Weights'!$E$16)+(S237*'Pawn Weights'!$E$8)+(84.8*'Pawn Weights'!$E$8), 2)</f>
        <v>528.8</v>
      </c>
      <c r="E237" s="326">
        <v>97.6</v>
      </c>
      <c r="F237" s="326">
        <v>2.7</v>
      </c>
      <c r="G237" s="326"/>
      <c r="H237" s="326"/>
      <c r="I237" s="326"/>
      <c r="J237" s="326"/>
      <c r="K237" s="326"/>
      <c r="L237" s="326">
        <v>19.0</v>
      </c>
      <c r="M237" s="326"/>
      <c r="N237" s="326"/>
      <c r="O237" s="326"/>
      <c r="P237" s="326"/>
      <c r="Q237" s="326"/>
      <c r="R237" s="327"/>
      <c r="S237" s="326"/>
      <c r="T237" s="328" t="s">
        <v>1411</v>
      </c>
      <c r="U237" s="326"/>
      <c r="V237" s="326"/>
      <c r="W237" s="329"/>
    </row>
    <row r="238">
      <c r="A238" s="281"/>
      <c r="B238" s="288" t="s">
        <v>1019</v>
      </c>
      <c r="C238" s="326" t="s">
        <v>835</v>
      </c>
      <c r="D238" s="301">
        <f>ROUND((E238*'Pawn Weights'!$E$15)+(G238*'Pawn Weights'!$E$4)+(H238*'Pawn Weights'!$E$5)+(I238*'Pawn Weights'!$E$6)+(J238*'Pawn Weights'!$E$9)+(K238*'Pawn Weights'!$E$7)+(M238*'Pawn Weights'!$E$10)+(N238*'Pawn Weights'!$E$3)+(O238*'Pawn Weights'!$E$12)+(P238*'Pawn Weights'!$E$13)+(Q238*'Pawn Weights'!$E$14)+(F238*'Pawn Weights'!$E$16)+(S238*'Pawn Weights'!$E$8), 2)</f>
        <v>518.43</v>
      </c>
      <c r="E238" s="326">
        <v>100.2</v>
      </c>
      <c r="F238" s="326">
        <v>2.6</v>
      </c>
      <c r="G238" s="326">
        <v>28.0</v>
      </c>
      <c r="H238" s="326">
        <v>56.0</v>
      </c>
      <c r="I238" s="326"/>
      <c r="J238" s="326"/>
      <c r="K238" s="326"/>
      <c r="L238" s="326"/>
      <c r="M238" s="326"/>
      <c r="N238" s="326"/>
      <c r="O238" s="326"/>
      <c r="P238" s="326"/>
      <c r="Q238" s="326"/>
      <c r="R238" s="327"/>
      <c r="S238" s="326"/>
      <c r="T238" s="328"/>
      <c r="U238" s="326"/>
      <c r="V238" s="326"/>
      <c r="W238" s="329"/>
    </row>
    <row r="239">
      <c r="A239" s="281"/>
      <c r="B239" s="288" t="s">
        <v>1020</v>
      </c>
      <c r="C239" s="326" t="s">
        <v>741</v>
      </c>
      <c r="D239" s="301">
        <f>ROUND((E239*'Pawn Weights'!$E$15)+(G239*'Pawn Weights'!$E$4)+(H239*'Pawn Weights'!$E$5)+(I239*'Pawn Weights'!$E$6)+(J239*'Pawn Weights'!$E$9)+(K239*'Pawn Weights'!$E$7)+(M239*'Pawn Weights'!$E$10)+(N239*'Pawn Weights'!$E$3)+(O239*'Pawn Weights'!$E$12)+(P239*'Pawn Weights'!$E$13)+(Q239*'Pawn Weights'!$E$14)+(F239*'Pawn Weights'!$E$16)+(S239*'Pawn Weights'!$E$8)+11, 2)</f>
        <v>509.83</v>
      </c>
      <c r="E239" s="326">
        <v>100.2</v>
      </c>
      <c r="F239" s="326">
        <v>2.7</v>
      </c>
      <c r="G239" s="326"/>
      <c r="H239" s="326">
        <v>52.0</v>
      </c>
      <c r="I239" s="326"/>
      <c r="J239" s="326"/>
      <c r="K239" s="326"/>
      <c r="L239" s="326"/>
      <c r="M239" s="326"/>
      <c r="N239" s="326"/>
      <c r="O239" s="326"/>
      <c r="P239" s="326"/>
      <c r="Q239" s="326"/>
      <c r="R239" s="327"/>
      <c r="S239" s="326"/>
      <c r="T239" s="328" t="s">
        <v>1021</v>
      </c>
      <c r="U239" s="326"/>
      <c r="V239" s="326"/>
      <c r="W239" s="329"/>
    </row>
    <row r="240">
      <c r="A240" s="281"/>
      <c r="B240" s="288" t="s">
        <v>1024</v>
      </c>
      <c r="C240" s="326" t="s">
        <v>1025</v>
      </c>
      <c r="D240" s="301">
        <f>ROUND((E240*'Pawn Weights'!$E$15)+(G240*'Pawn Weights'!$E$4)+(H240*'Pawn Weights'!$E$5)+(I240*'Pawn Weights'!$E$6)+(J240*'Pawn Weights'!$E$9)+(K240*'Pawn Weights'!$E$7)+(M240*'Pawn Weights'!$E$10)+(N240*'Pawn Weights'!$E$3)+(O240*'Pawn Weights'!$E$12)+(P240*'Pawn Weights'!$E$13)+(Q240*'Pawn Weights'!$E$14)+(F240*'Pawn Weights'!$E$16)+(S240*'Pawn Weights'!$E$8), 2)</f>
        <v>509.07</v>
      </c>
      <c r="E240" s="326">
        <v>96.5</v>
      </c>
      <c r="F240" s="326">
        <v>2.7</v>
      </c>
      <c r="G240" s="326"/>
      <c r="H240" s="326">
        <v>52.0</v>
      </c>
      <c r="I240" s="326">
        <v>19.0</v>
      </c>
      <c r="J240" s="326"/>
      <c r="K240" s="326">
        <v>15.0</v>
      </c>
      <c r="L240" s="326"/>
      <c r="M240" s="326"/>
      <c r="N240" s="326"/>
      <c r="O240" s="326"/>
      <c r="P240" s="326"/>
      <c r="Q240" s="326"/>
      <c r="R240" s="327"/>
      <c r="S240" s="326"/>
      <c r="T240" s="328"/>
      <c r="U240" s="326"/>
      <c r="V240" s="326"/>
      <c r="W240" s="329"/>
    </row>
    <row r="241">
      <c r="A241" s="292"/>
      <c r="B241" s="288" t="s">
        <v>1022</v>
      </c>
      <c r="C241" s="326" t="s">
        <v>665</v>
      </c>
      <c r="D241" s="301">
        <f>ROUND((E241*'Pawn Weights'!$E$15)+(G241*'Pawn Weights'!$E$4)+(H241*'Pawn Weights'!$E$5)+(I241*'Pawn Weights'!$E$6)+(J241*'Pawn Weights'!$E$9)+(K241*'Pawn Weights'!$E$7)+(M241*'Pawn Weights'!$E$10)+(N241*'Pawn Weights'!$E$3)+(O241*'Pawn Weights'!$E$12)+(P241*'Pawn Weights'!$E$13)+(Q241*'Pawn Weights'!$E$14)+(F241*'Pawn Weights'!$E$16)+(S241*'Pawn Weights'!$E$8)+10, 2)</f>
        <v>508.83</v>
      </c>
      <c r="E241" s="326">
        <v>100.2</v>
      </c>
      <c r="F241" s="326">
        <v>2.8</v>
      </c>
      <c r="G241" s="326"/>
      <c r="H241" s="326">
        <v>50.0</v>
      </c>
      <c r="I241" s="326"/>
      <c r="J241" s="326"/>
      <c r="K241" s="326"/>
      <c r="L241" s="326"/>
      <c r="M241" s="326"/>
      <c r="N241" s="326"/>
      <c r="O241" s="326"/>
      <c r="P241" s="326"/>
      <c r="Q241" s="326"/>
      <c r="R241" s="327"/>
      <c r="S241" s="326"/>
      <c r="T241" s="328" t="s">
        <v>1023</v>
      </c>
      <c r="U241" s="326"/>
      <c r="V241" s="326"/>
      <c r="W241" s="329"/>
    </row>
    <row r="242">
      <c r="A242" s="292"/>
      <c r="B242" s="288" t="s">
        <v>1026</v>
      </c>
      <c r="C242" s="326" t="s">
        <v>716</v>
      </c>
      <c r="D242" s="301">
        <f>ROUND((E242*'Pawn Weights'!$E$15)+(G242*'Pawn Weights'!$E$4)+(H242*'Pawn Weights'!$E$5)+(I242*'Pawn Weights'!$E$6)+(J242*'Pawn Weights'!$E$9)+(K242*'Pawn Weights'!$E$7)+(M242*'Pawn Weights'!$E$10)+(N242*'Pawn Weights'!$E$3)+(O242*'Pawn Weights'!$E$12)+(P242*'Pawn Weights'!$E$13)+(Q242*'Pawn Weights'!$E$14)+(F242*'Pawn Weights'!$E$16)+(S242*'Pawn Weights'!$E$8), 2)</f>
        <v>507.74</v>
      </c>
      <c r="E242" s="326">
        <v>100.2</v>
      </c>
      <c r="F242" s="326">
        <v>2.6</v>
      </c>
      <c r="G242" s="326"/>
      <c r="H242" s="326">
        <v>44.0</v>
      </c>
      <c r="I242" s="326"/>
      <c r="J242" s="326"/>
      <c r="K242" s="326">
        <v>21.0</v>
      </c>
      <c r="L242" s="326">
        <v>33.0</v>
      </c>
      <c r="M242" s="326"/>
      <c r="N242" s="326"/>
      <c r="O242" s="326"/>
      <c r="P242" s="326"/>
      <c r="Q242" s="326"/>
      <c r="R242" s="327"/>
      <c r="S242" s="326"/>
      <c r="T242" s="328"/>
      <c r="U242" s="326"/>
      <c r="V242" s="326"/>
      <c r="W242" s="329"/>
    </row>
    <row r="243">
      <c r="A243" s="292" t="s">
        <v>627</v>
      </c>
      <c r="B243" s="288" t="s">
        <v>1295</v>
      </c>
      <c r="C243" s="326" t="s">
        <v>1296</v>
      </c>
      <c r="D243" s="301">
        <f>ROUND((E243*'Pawn Weights'!$E$15)+(G243*'Pawn Weights'!$E$4)+(H243*'Pawn Weights'!$E$5)+(I243*'Pawn Weights'!$E$6)+(J243*'Pawn Weights'!$E$9)+(K243*'Pawn Weights'!$E$7)+(M243*'Pawn Weights'!$E$10)+(N243*'Pawn Weights'!$E$3)+(O243*'Pawn Weights'!$E$12)+(P243*'Pawn Weights'!$E$13)+(Q243*'Pawn Weights'!$E$14)+(F243*'Pawn Weights'!$E$16)+(S243*'Pawn Weights'!$E$8)+(84.8*'Pawn Weights'!$E$8), 2)</f>
        <v>499.55</v>
      </c>
      <c r="E243" s="326">
        <v>91.1</v>
      </c>
      <c r="F243" s="326">
        <v>2.7</v>
      </c>
      <c r="G243" s="154"/>
      <c r="H243" s="326"/>
      <c r="I243" s="326"/>
      <c r="J243" s="326"/>
      <c r="K243" s="326"/>
      <c r="L243" s="326">
        <v>9.0</v>
      </c>
      <c r="M243" s="326"/>
      <c r="N243" s="326"/>
      <c r="O243" s="326"/>
      <c r="P243" s="326"/>
      <c r="Q243" s="326"/>
      <c r="R243" s="327"/>
      <c r="S243" s="326"/>
      <c r="T243" s="328" t="s">
        <v>1411</v>
      </c>
      <c r="U243" s="326"/>
      <c r="V243" s="326"/>
      <c r="W243" s="329"/>
    </row>
    <row r="244">
      <c r="A244" s="292" t="s">
        <v>627</v>
      </c>
      <c r="B244" s="288" t="s">
        <v>1031</v>
      </c>
      <c r="C244" s="326" t="s">
        <v>1032</v>
      </c>
      <c r="D244" s="301">
        <f>ROUND((E244*'Pawn Weights'!$E$15)+(G244*'Pawn Weights'!$E$4)+(H244*'Pawn Weights'!$E$5)+(I244*'Pawn Weights'!$E$6)+(J244*'Pawn Weights'!$E$9)+(K244*'Pawn Weights'!$E$7)+(M244*'Pawn Weights'!$E$10)+(N244*'Pawn Weights'!$E$3)+(O244*'Pawn Weights'!$E$12)+(P244*'Pawn Weights'!$E$13)+(Q244*'Pawn Weights'!$E$14)+(F244*'Pawn Weights'!$E$16)+(S244*'Pawn Weights'!$E$8), 2)</f>
        <v>506.25</v>
      </c>
      <c r="E244" s="326">
        <v>97.6</v>
      </c>
      <c r="F244" s="326">
        <v>2.7</v>
      </c>
      <c r="G244" s="326"/>
      <c r="H244" s="326">
        <v>48.0</v>
      </c>
      <c r="I244" s="326">
        <v>23.0</v>
      </c>
      <c r="J244" s="326"/>
      <c r="K244" s="326"/>
      <c r="L244" s="326"/>
      <c r="M244" s="326"/>
      <c r="N244" s="326"/>
      <c r="O244" s="326"/>
      <c r="P244" s="326"/>
      <c r="Q244" s="326"/>
      <c r="R244" s="327"/>
      <c r="S244" s="326"/>
      <c r="T244" s="328" t="s">
        <v>1486</v>
      </c>
      <c r="U244" s="326"/>
      <c r="V244" s="326"/>
      <c r="W244" s="329"/>
    </row>
    <row r="245">
      <c r="A245" s="292"/>
      <c r="B245" s="288" t="s">
        <v>1028</v>
      </c>
      <c r="C245" s="326" t="s">
        <v>1029</v>
      </c>
      <c r="D245" s="301">
        <f>ROUND((E245*'Pawn Weights'!$E$15)+(G245*'Pawn Weights'!$E$4)+(H245*'Pawn Weights'!$E$5)+(I245*'Pawn Weights'!$E$6)+(J245*'Pawn Weights'!$E$9)+(K245*'Pawn Weights'!$E$7)+(M245*'Pawn Weights'!$E$10)+(N245*'Pawn Weights'!$E$3)+(O245*'Pawn Weights'!$E$12)+(P245*'Pawn Weights'!$E$13)+(Q245*'Pawn Weights'!$E$14)+(F245*'Pawn Weights'!$E$16)+(S245*'Pawn Weights'!$E$8), 2)</f>
        <v>505.81</v>
      </c>
      <c r="E245" s="326">
        <v>100.2</v>
      </c>
      <c r="F245" s="326">
        <v>2.7</v>
      </c>
      <c r="G245" s="154">
        <v>20.0</v>
      </c>
      <c r="H245" s="326">
        <v>38.0</v>
      </c>
      <c r="I245" s="326"/>
      <c r="J245" s="326"/>
      <c r="K245" s="326"/>
      <c r="L245" s="326">
        <v>28.0</v>
      </c>
      <c r="M245" s="326"/>
      <c r="N245" s="326"/>
      <c r="O245" s="326"/>
      <c r="P245" s="326"/>
      <c r="Q245" s="326"/>
      <c r="R245" s="327"/>
      <c r="S245" s="326"/>
      <c r="T245" s="328" t="s">
        <v>1030</v>
      </c>
      <c r="U245" s="326"/>
      <c r="V245" s="326"/>
      <c r="W245" s="329"/>
    </row>
    <row r="246">
      <c r="A246" s="281"/>
      <c r="B246" s="288" t="s">
        <v>1033</v>
      </c>
      <c r="C246" s="326" t="s">
        <v>997</v>
      </c>
      <c r="D246" s="301">
        <f>ROUND((E246*'Pawn Weights'!$E$15)+(G246*'Pawn Weights'!$E$4)+(H246*'Pawn Weights'!$E$5)+(I246*'Pawn Weights'!$E$6)+(J246*'Pawn Weights'!$E$9)+(K246*'Pawn Weights'!$E$7)+(M246*'Pawn Weights'!$E$10)+(N246*'Pawn Weights'!$E$3)+(O246*'Pawn Weights'!$E$12)+(P246*'Pawn Weights'!$E$13)+(Q246*'Pawn Weights'!$E$14)+(F246*'Pawn Weights'!$E$16)+(S246*'Pawn Weights'!$E$8), 2)</f>
        <v>500.38</v>
      </c>
      <c r="E246" s="326">
        <v>97.7</v>
      </c>
      <c r="F246" s="326">
        <v>2.6</v>
      </c>
      <c r="G246" s="326"/>
      <c r="H246" s="326">
        <v>30.0</v>
      </c>
      <c r="I246" s="326">
        <v>19.0</v>
      </c>
      <c r="J246" s="326"/>
      <c r="K246" s="326">
        <v>10.0</v>
      </c>
      <c r="L246" s="326">
        <v>27.0</v>
      </c>
      <c r="M246" s="326"/>
      <c r="N246" s="326"/>
      <c r="O246" s="326"/>
      <c r="P246" s="326"/>
      <c r="Q246" s="326"/>
      <c r="R246" s="327"/>
      <c r="S246" s="326"/>
      <c r="T246" s="328" t="s">
        <v>1034</v>
      </c>
      <c r="U246" s="326"/>
      <c r="V246" s="326"/>
      <c r="W246" s="329"/>
    </row>
    <row r="247">
      <c r="A247" s="281"/>
      <c r="B247" s="288" t="s">
        <v>1035</v>
      </c>
      <c r="C247" s="326" t="s">
        <v>900</v>
      </c>
      <c r="D247" s="301">
        <f>ROUND((E247*'Pawn Weights'!$E$15)+(G247*'Pawn Weights'!$E$4)+(H247*'Pawn Weights'!$E$5)+(I247*'Pawn Weights'!$E$6)+(J247*'Pawn Weights'!$E$9)+(K247*'Pawn Weights'!$E$7)+(M247*'Pawn Weights'!$E$10)+(N247*'Pawn Weights'!$E$3)+(O247*'Pawn Weights'!$E$12)+(P247*'Pawn Weights'!$E$13)+(Q247*'Pawn Weights'!$E$14)+(F247*'Pawn Weights'!$E$16)+(S247*'Pawn Weights'!$E$8), 2)</f>
        <v>499.54</v>
      </c>
      <c r="E247" s="326">
        <v>96.5</v>
      </c>
      <c r="F247" s="326">
        <v>2.7</v>
      </c>
      <c r="G247" s="326">
        <v>15.0</v>
      </c>
      <c r="H247" s="326">
        <v>40.0</v>
      </c>
      <c r="I247" s="326"/>
      <c r="J247" s="326"/>
      <c r="K247" s="326">
        <v>20.0</v>
      </c>
      <c r="L247" s="326"/>
      <c r="M247" s="326"/>
      <c r="N247" s="326"/>
      <c r="O247" s="326"/>
      <c r="P247" s="326"/>
      <c r="Q247" s="326"/>
      <c r="R247" s="327"/>
      <c r="S247" s="326"/>
      <c r="T247" s="328" t="s">
        <v>1036</v>
      </c>
      <c r="U247" s="326"/>
      <c r="V247" s="326"/>
      <c r="W247" s="329"/>
    </row>
    <row r="248">
      <c r="A248" s="281"/>
      <c r="B248" s="288" t="s">
        <v>1037</v>
      </c>
      <c r="C248" s="326" t="s">
        <v>1025</v>
      </c>
      <c r="D248" s="301">
        <f>ROUND((E248*'Pawn Weights'!$E$15)+(G248*'Pawn Weights'!$E$4)+(H248*'Pawn Weights'!$E$5)+(I248*'Pawn Weights'!$E$6)+(J248*'Pawn Weights'!$E$9)+(K248*'Pawn Weights'!$E$7)+(M248*'Pawn Weights'!$E$10)+(N248*'Pawn Weights'!$E$3)+(O248*'Pawn Weights'!$E$12)+(P248*'Pawn Weights'!$E$13)+(Q248*'Pawn Weights'!$E$14)+(F248*'Pawn Weights'!$E$16)+(S248*'Pawn Weights'!$E$8), 2)</f>
        <v>492.51</v>
      </c>
      <c r="E248" s="326">
        <v>96.5</v>
      </c>
      <c r="F248" s="326">
        <v>2.6</v>
      </c>
      <c r="G248" s="326">
        <v>25.0</v>
      </c>
      <c r="H248" s="326">
        <v>40.0</v>
      </c>
      <c r="I248" s="326"/>
      <c r="J248" s="326"/>
      <c r="K248" s="326"/>
      <c r="L248" s="326">
        <v>21.0</v>
      </c>
      <c r="M248" s="326"/>
      <c r="N248" s="326"/>
      <c r="O248" s="326"/>
      <c r="P248" s="326"/>
      <c r="Q248" s="326"/>
      <c r="R248" s="327"/>
      <c r="S248" s="326"/>
      <c r="T248" s="306" t="s">
        <v>1486</v>
      </c>
      <c r="U248" s="326"/>
      <c r="V248" s="326"/>
      <c r="W248" s="329"/>
    </row>
    <row r="249">
      <c r="A249" s="292" t="s">
        <v>627</v>
      </c>
      <c r="B249" s="288" t="s">
        <v>1392</v>
      </c>
      <c r="C249" s="326" t="s">
        <v>1393</v>
      </c>
      <c r="D249" s="301">
        <f>ROUND((E249*'Pawn Weights'!$E$15)+(G249*'Pawn Weights'!$E$4)+(H249*'Pawn Weights'!$E$5)+(I249*'Pawn Weights'!$E$6)+(J249*'Pawn Weights'!$E$9)+(K249*'Pawn Weights'!$E$7)+(M249*'Pawn Weights'!$E$10)+(N249*'Pawn Weights'!$E$3)+(O249*'Pawn Weights'!$E$12)+(P249*'Pawn Weights'!$E$13)+(Q249*'Pawn Weights'!$E$14)+(F249*'Pawn Weights'!$E$16)+(S249*'Pawn Weights'!$E$8), 2)</f>
        <v>473.36</v>
      </c>
      <c r="E249" s="326">
        <v>91.1</v>
      </c>
      <c r="F249" s="326">
        <v>2.7</v>
      </c>
      <c r="G249" s="326"/>
      <c r="H249" s="326">
        <v>44.0</v>
      </c>
      <c r="I249" s="326">
        <v>21.0</v>
      </c>
      <c r="J249" s="326"/>
      <c r="K249" s="326"/>
      <c r="L249" s="326"/>
      <c r="M249" s="326"/>
      <c r="N249" s="326"/>
      <c r="O249" s="326"/>
      <c r="P249" s="326"/>
      <c r="Q249" s="326"/>
      <c r="R249" s="327"/>
      <c r="S249" s="326"/>
      <c r="T249" s="328" t="s">
        <v>1486</v>
      </c>
      <c r="U249" s="326"/>
      <c r="V249" s="326"/>
      <c r="W249" s="329"/>
    </row>
    <row r="250">
      <c r="A250" s="281"/>
      <c r="B250" s="288" t="s">
        <v>1256</v>
      </c>
      <c r="C250" s="326" t="s">
        <v>1159</v>
      </c>
      <c r="D250" s="301">
        <f>ROUND((E250*'Pawn Weights'!$E$15)+(G250*'Pawn Weights'!$E$4)+(H250*'Pawn Weights'!$E$5)+(I250*'Pawn Weights'!$E$6)+(J250*'Pawn Weights'!$E$9)+(K250*'Pawn Weights'!$E$7)+(M250*'Pawn Weights'!$E$10)+(N250*'Pawn Weights'!$E$3)+(O250*'Pawn Weights'!$E$12)+(P250*'Pawn Weights'!$E$13)+(Q250*'Pawn Weights'!$E$14)+(F250*'Pawn Weights'!$E$16)+(S250*'Pawn Weights'!$E$8), 2)</f>
        <v>465.94</v>
      </c>
      <c r="E250" s="326">
        <v>91.2</v>
      </c>
      <c r="F250" s="326">
        <v>2.6</v>
      </c>
      <c r="G250" s="326"/>
      <c r="H250" s="326">
        <v>28.0</v>
      </c>
      <c r="I250" s="326">
        <v>15.0</v>
      </c>
      <c r="J250" s="326"/>
      <c r="K250" s="326">
        <v>9.0</v>
      </c>
      <c r="L250" s="326">
        <v>21.0</v>
      </c>
      <c r="M250" s="326"/>
      <c r="N250" s="326"/>
      <c r="O250" s="326"/>
      <c r="P250" s="326"/>
      <c r="Q250" s="326"/>
      <c r="R250" s="327"/>
      <c r="S250" s="326"/>
      <c r="T250" s="328" t="s">
        <v>1487</v>
      </c>
      <c r="U250" s="326"/>
      <c r="V250" s="326"/>
      <c r="W250" s="329"/>
    </row>
    <row r="251">
      <c r="A251" s="292"/>
      <c r="B251" s="288" t="s">
        <v>1289</v>
      </c>
      <c r="C251" s="326" t="s">
        <v>1122</v>
      </c>
      <c r="D251" s="301">
        <f>ROUND((E251*'Pawn Weights'!$E$15)+(G251*'Pawn Weights'!$E$4)+(H251*'Pawn Weights'!$E$5)+(I251*'Pawn Weights'!$E$6)+(J251*'Pawn Weights'!$E$9)+(K251*'Pawn Weights'!$E$7)+(M251*'Pawn Weights'!$E$10)+(N251*'Pawn Weights'!$E$3)+(O251*'Pawn Weights'!$E$12)+(P251*'Pawn Weights'!$E$13)+(Q251*'Pawn Weights'!$E$14)+(F251*'Pawn Weights'!$E$16)+(S251*'Pawn Weights'!$E$8), 2)</f>
        <v>462.63</v>
      </c>
      <c r="E251" s="326">
        <v>87.5</v>
      </c>
      <c r="F251" s="326">
        <v>2.6</v>
      </c>
      <c r="G251" s="154"/>
      <c r="H251" s="326">
        <v>30.0</v>
      </c>
      <c r="I251" s="326">
        <v>24.0</v>
      </c>
      <c r="J251" s="326"/>
      <c r="K251" s="326"/>
      <c r="L251" s="326"/>
      <c r="M251" s="326"/>
      <c r="N251" s="326"/>
      <c r="O251" s="326"/>
      <c r="P251" s="326">
        <v>1.0</v>
      </c>
      <c r="Q251" s="326"/>
      <c r="R251" s="327" t="s">
        <v>674</v>
      </c>
      <c r="S251" s="326"/>
      <c r="T251" s="328"/>
      <c r="U251" s="326"/>
      <c r="V251" s="326"/>
      <c r="W251" s="329"/>
    </row>
    <row r="252">
      <c r="A252" s="281"/>
      <c r="B252" s="288" t="s">
        <v>1488</v>
      </c>
      <c r="C252" s="326" t="s">
        <v>656</v>
      </c>
      <c r="D252" s="301">
        <f>ROUND((E252*'Pawn Weights'!$E$15)+(G252*'Pawn Weights'!$E$4)+(H252*'Pawn Weights'!$E$5)+(I252*'Pawn Weights'!$E$6)+(J252*'Pawn Weights'!$E$9)+(K252*'Pawn Weights'!$E$7)+(M252*'Pawn Weights'!$E$10)+(N252*'Pawn Weights'!$E$3)+(O252*'Pawn Weights'!$E$12)+(P252*'Pawn Weights'!$E$13)+(Q252*'Pawn Weights'!$E$14)+(F252*'Pawn Weights'!$E$16)+(S252*'Pawn Weights'!$E$8), 2)</f>
        <v>462.42</v>
      </c>
      <c r="E252" s="326">
        <v>92.1</v>
      </c>
      <c r="F252" s="326">
        <v>2.6</v>
      </c>
      <c r="G252" s="326"/>
      <c r="H252" s="326"/>
      <c r="I252" s="326">
        <v>27.0</v>
      </c>
      <c r="J252" s="326"/>
      <c r="K252" s="326"/>
      <c r="L252" s="326"/>
      <c r="M252" s="326"/>
      <c r="N252" s="326"/>
      <c r="O252" s="326"/>
      <c r="P252" s="326"/>
      <c r="Q252" s="326"/>
      <c r="R252" s="327"/>
      <c r="S252" s="326"/>
      <c r="T252" s="328" t="s">
        <v>1489</v>
      </c>
      <c r="U252" s="326"/>
      <c r="V252" s="326"/>
      <c r="W252" s="329"/>
    </row>
    <row r="253">
      <c r="A253" s="224" t="s">
        <v>1040</v>
      </c>
      <c r="B253" s="407" t="s">
        <v>604</v>
      </c>
      <c r="C253" s="323" t="s">
        <v>605</v>
      </c>
      <c r="D253" s="323" t="s">
        <v>606</v>
      </c>
      <c r="E253" s="224" t="s">
        <v>1003</v>
      </c>
      <c r="F253" s="224" t="s">
        <v>1004</v>
      </c>
      <c r="G253" s="224" t="s">
        <v>561</v>
      </c>
      <c r="H253" s="224" t="s">
        <v>562</v>
      </c>
      <c r="I253" s="224" t="s">
        <v>330</v>
      </c>
      <c r="J253" s="224" t="s">
        <v>563</v>
      </c>
      <c r="K253" s="272" t="s">
        <v>344</v>
      </c>
      <c r="L253" s="224" t="s">
        <v>607</v>
      </c>
      <c r="M253" s="224" t="s">
        <v>564</v>
      </c>
      <c r="N253" s="224" t="s">
        <v>1006</v>
      </c>
      <c r="O253" s="274" t="s">
        <v>610</v>
      </c>
      <c r="P253" s="275" t="s">
        <v>611</v>
      </c>
      <c r="Q253" s="276" t="s">
        <v>612</v>
      </c>
      <c r="R253" s="277" t="s">
        <v>613</v>
      </c>
      <c r="S253" s="366" t="s">
        <v>356</v>
      </c>
      <c r="T253" s="224" t="s">
        <v>615</v>
      </c>
      <c r="U253" s="324"/>
      <c r="V253" s="324"/>
      <c r="W253" s="324"/>
    </row>
    <row r="254" ht="14.25" customHeight="1">
      <c r="A254" s="281"/>
      <c r="B254" s="325" t="s">
        <v>1007</v>
      </c>
      <c r="C254" s="326"/>
      <c r="D254" s="25"/>
      <c r="E254" s="326"/>
      <c r="F254" s="326"/>
      <c r="G254" s="326"/>
      <c r="H254" s="326"/>
      <c r="I254" s="326"/>
      <c r="J254" s="326"/>
      <c r="K254" s="326"/>
      <c r="L254" s="326"/>
      <c r="M254" s="326"/>
      <c r="N254" s="326"/>
      <c r="O254" s="326"/>
      <c r="P254" s="326"/>
      <c r="Q254" s="326"/>
      <c r="R254" s="327"/>
      <c r="S254" s="326"/>
      <c r="T254" s="328"/>
      <c r="U254" s="326"/>
      <c r="V254" s="326"/>
      <c r="W254" s="329"/>
    </row>
    <row r="255">
      <c r="A255" s="292" t="s">
        <v>973</v>
      </c>
      <c r="B255" s="319" t="s">
        <v>1009</v>
      </c>
      <c r="C255" s="326" t="s">
        <v>632</v>
      </c>
      <c r="D255" s="25">
        <f>ROUND((E255*'Pawn Weights'!$E$17)+(G255*'Pawn Weights'!$E$4)+(H255*'Pawn Weights'!$E$5)+(I255*'Pawn Weights'!$E$6)+(J255*'Pawn Weights'!$E$9)+(K255*'Pawn Weights'!$E$7)+(M255*'Pawn Weights'!$E$10)+(N255*'Pawn Weights'!$E$3)+(O255*'Pawn Weights'!$E$12)+(P255*'Pawn Weights'!$E$13)+(Q255*'Pawn Weights'!$E$14)+(F255*'Pawn Weights'!$E$18)+(S255*'Pawn Weights'!$E$8), 2)</f>
        <v>400.95</v>
      </c>
      <c r="E255" s="326">
        <v>109.3</v>
      </c>
      <c r="F255" s="326">
        <v>1.4</v>
      </c>
      <c r="G255" s="326">
        <v>21.0</v>
      </c>
      <c r="H255" s="326">
        <v>44.0</v>
      </c>
      <c r="I255" s="326">
        <v>23.0</v>
      </c>
      <c r="J255" s="326"/>
      <c r="K255" s="326"/>
      <c r="L255" s="326">
        <v>28.0</v>
      </c>
      <c r="M255" s="326"/>
      <c r="N255" s="326"/>
      <c r="O255" s="326"/>
      <c r="P255" s="326"/>
      <c r="Q255" s="326"/>
      <c r="R255" s="327"/>
      <c r="S255" s="326"/>
      <c r="T255" s="328" t="s">
        <v>1010</v>
      </c>
      <c r="U255" s="326"/>
      <c r="V255" s="326"/>
      <c r="W255" s="329"/>
    </row>
    <row r="256">
      <c r="A256" s="295" t="s">
        <v>671</v>
      </c>
      <c r="B256" s="296" t="s">
        <v>1011</v>
      </c>
      <c r="C256" s="330" t="s">
        <v>637</v>
      </c>
      <c r="D256" s="25">
        <f>ROUND((E256*'Pawn Weights'!$E$17)+(G256*'Pawn Weights'!$E$4)+(H256*'Pawn Weights'!$E$5)+(I256*'Pawn Weights'!$E$6)+(J256*'Pawn Weights'!$E$9)+(K256*'Pawn Weights'!$E$7)+(M256*'Pawn Weights'!$E$10)+(N256*'Pawn Weights'!$E$3)+(O256*'Pawn Weights'!$E$12)+(P256*'Pawn Weights'!$E$13)+(Q256*'Pawn Weights'!$E$14)+(F256*'Pawn Weights'!$E$18)+(S256*'Pawn Weights'!$E$8), 2)</f>
        <v>399.26</v>
      </c>
      <c r="E256" s="332">
        <v>107.9</v>
      </c>
      <c r="F256" s="332">
        <v>2.6</v>
      </c>
      <c r="G256" s="330"/>
      <c r="H256" s="332">
        <v>38.0</v>
      </c>
      <c r="I256" s="332">
        <v>22.0</v>
      </c>
      <c r="J256" s="330"/>
      <c r="K256" s="332">
        <v>9.0</v>
      </c>
      <c r="L256" s="332">
        <v>31.0</v>
      </c>
      <c r="M256" s="332">
        <v>49.0</v>
      </c>
      <c r="N256" s="330"/>
      <c r="O256" s="330"/>
      <c r="P256" s="330"/>
      <c r="Q256" s="330"/>
      <c r="R256" s="295"/>
      <c r="S256" s="330"/>
      <c r="T256" s="330" t="s">
        <v>986</v>
      </c>
      <c r="U256" s="330"/>
      <c r="V256" s="330"/>
      <c r="W256" s="137"/>
      <c r="X256" s="137"/>
      <c r="Y256" s="137"/>
      <c r="Z256" s="137"/>
    </row>
    <row r="257">
      <c r="A257" s="292" t="s">
        <v>671</v>
      </c>
      <c r="B257" s="288" t="s">
        <v>1045</v>
      </c>
      <c r="C257" s="326" t="s">
        <v>637</v>
      </c>
      <c r="D257" s="25">
        <f>ROUND((E257*'Pawn Weights'!$E$17)+(G257*'Pawn Weights'!$E$4)+(H257*'Pawn Weights'!$E$5)+(I257*'Pawn Weights'!$E$6)+(J257*'Pawn Weights'!$E$9)+(K257*'Pawn Weights'!$E$7)+(M257*'Pawn Weights'!$E$10)+(N257*'Pawn Weights'!$E$3)+(O257*'Pawn Weights'!$E$12)+(P257*'Pawn Weights'!$E$13)+(Q257*'Pawn Weights'!$E$14)+(F257*'Pawn Weights'!$E$18)+(S257*'Pawn Weights'!$E$8), 2)</f>
        <v>393.93</v>
      </c>
      <c r="E257" s="326">
        <v>108.0</v>
      </c>
      <c r="F257" s="326">
        <v>1.5</v>
      </c>
      <c r="G257" s="326"/>
      <c r="H257" s="326">
        <v>38.0</v>
      </c>
      <c r="I257" s="326">
        <v>22.0</v>
      </c>
      <c r="J257" s="326"/>
      <c r="K257" s="326">
        <v>9.0</v>
      </c>
      <c r="L257" s="326">
        <v>31.0</v>
      </c>
      <c r="M257" s="326">
        <v>49.0</v>
      </c>
      <c r="N257" s="326"/>
      <c r="O257" s="326"/>
      <c r="P257" s="326"/>
      <c r="Q257" s="326"/>
      <c r="R257" s="327"/>
      <c r="S257" s="326"/>
      <c r="T257" s="328" t="s">
        <v>986</v>
      </c>
      <c r="U257" s="326"/>
      <c r="V257" s="326"/>
      <c r="W257" s="329"/>
    </row>
    <row r="258">
      <c r="A258" s="295"/>
      <c r="B258" s="296" t="s">
        <v>1046</v>
      </c>
      <c r="C258" s="330" t="s">
        <v>1047</v>
      </c>
      <c r="D258" s="25">
        <f>ROUND((E258*'Pawn Weights'!$E$17)+(G258*'Pawn Weights'!$E$4)+(H258*'Pawn Weights'!$E$5)+(I258*'Pawn Weights'!$E$6)+(J258*'Pawn Weights'!$E$9)+(K258*'Pawn Weights'!$E$7)+(M258*'Pawn Weights'!$E$10)+(N258*'Pawn Weights'!$E$3)+(O258*'Pawn Weights'!$E$12)+(P258*'Pawn Weights'!$E$13)+(Q258*'Pawn Weights'!$E$14)+(F258*'Pawn Weights'!$E$18)+(S258*'Pawn Weights'!$E$8), 2)</f>
        <v>383.27</v>
      </c>
      <c r="E258" s="332">
        <v>103.0</v>
      </c>
      <c r="F258" s="332">
        <v>2.5</v>
      </c>
      <c r="G258" s="330"/>
      <c r="H258" s="332">
        <v>44.0</v>
      </c>
      <c r="I258" s="330"/>
      <c r="J258" s="330"/>
      <c r="K258" s="332">
        <v>21.0</v>
      </c>
      <c r="L258" s="330"/>
      <c r="M258" s="330"/>
      <c r="N258" s="330"/>
      <c r="O258" s="330"/>
      <c r="P258" s="330"/>
      <c r="Q258" s="330"/>
      <c r="R258" s="295"/>
      <c r="S258" s="332">
        <v>23.0</v>
      </c>
      <c r="T258" s="295"/>
      <c r="U258" s="330"/>
      <c r="V258" s="330"/>
      <c r="W258" s="137"/>
      <c r="X258" s="137"/>
      <c r="Y258" s="137"/>
      <c r="Z258" s="137"/>
    </row>
    <row r="259">
      <c r="A259" s="219" t="s">
        <v>991</v>
      </c>
      <c r="B259" s="296" t="s">
        <v>1018</v>
      </c>
      <c r="C259" s="330" t="s">
        <v>646</v>
      </c>
      <c r="D259" s="25">
        <f>ROUND((E259*'Pawn Weights'!$E$17)+(G259*'Pawn Weights'!$E$4)+(H259*'Pawn Weights'!$E$5)+(I259*'Pawn Weights'!$E$6)+(J259*'Pawn Weights'!$E$9)+(K259*'Pawn Weights'!$E$7)+(M259*'Pawn Weights'!$E$10)+(N259*'Pawn Weights'!$E$3)+(O259*'Pawn Weights'!$E$12)+(P259*'Pawn Weights'!$E$13)+(Q259*'Pawn Weights'!$E$14)+(F259*'Pawn Weights'!$E$18)+(S259*'Pawn Weights'!$E$8), 2)</f>
        <v>381.01</v>
      </c>
      <c r="E259" s="332">
        <v>103.1</v>
      </c>
      <c r="F259" s="332">
        <v>2.6</v>
      </c>
      <c r="G259" s="330"/>
      <c r="H259" s="332">
        <v>34.0</v>
      </c>
      <c r="I259" s="332">
        <v>21.0</v>
      </c>
      <c r="J259" s="330"/>
      <c r="K259" s="332">
        <v>8.0</v>
      </c>
      <c r="L259" s="332">
        <v>30.0</v>
      </c>
      <c r="M259" s="332">
        <v>49.0</v>
      </c>
      <c r="N259" s="330"/>
      <c r="O259" s="330"/>
      <c r="P259" s="330"/>
      <c r="Q259" s="330"/>
      <c r="R259" s="295"/>
      <c r="S259" s="330"/>
      <c r="T259" s="402" t="s">
        <v>986</v>
      </c>
      <c r="U259" s="330"/>
      <c r="V259" s="330"/>
      <c r="W259" s="137"/>
      <c r="X259" s="137"/>
      <c r="Y259" s="137"/>
      <c r="Z259" s="137"/>
    </row>
    <row r="260">
      <c r="A260" s="295"/>
      <c r="B260" s="296" t="s">
        <v>1048</v>
      </c>
      <c r="C260" s="330" t="s">
        <v>1047</v>
      </c>
      <c r="D260" s="25">
        <f>ROUND((E260*'Pawn Weights'!$E$17)+(G260*'Pawn Weights'!$E$4)+(H260*'Pawn Weights'!$E$5)+(I260*'Pawn Weights'!$E$6)+(J260*'Pawn Weights'!$E$9)+(K260*'Pawn Weights'!$E$7)+(M260*'Pawn Weights'!$E$10)+(N260*'Pawn Weights'!$E$3)+(O260*'Pawn Weights'!$E$12)+(P260*'Pawn Weights'!$E$13)+(Q260*'Pawn Weights'!$E$14)+(F260*'Pawn Weights'!$E$18)+(S260*'Pawn Weights'!$E$8), 2)</f>
        <v>378.14</v>
      </c>
      <c r="E260" s="332">
        <v>103.0</v>
      </c>
      <c r="F260" s="332">
        <v>1.5</v>
      </c>
      <c r="G260" s="330"/>
      <c r="H260" s="332">
        <v>44.0</v>
      </c>
      <c r="I260" s="330"/>
      <c r="J260" s="330"/>
      <c r="K260" s="332">
        <v>21.0</v>
      </c>
      <c r="L260" s="330"/>
      <c r="M260" s="330"/>
      <c r="N260" s="330"/>
      <c r="O260" s="330"/>
      <c r="P260" s="330"/>
      <c r="Q260" s="330"/>
      <c r="R260" s="295"/>
      <c r="S260" s="332">
        <v>23.0</v>
      </c>
      <c r="T260" s="295"/>
      <c r="U260" s="330"/>
      <c r="V260" s="330"/>
      <c r="W260" s="137"/>
      <c r="X260" s="137"/>
      <c r="Y260" s="137"/>
      <c r="Z260" s="137"/>
    </row>
    <row r="261" ht="14.25" customHeight="1">
      <c r="A261" s="137" t="s">
        <v>991</v>
      </c>
      <c r="B261" s="317" t="s">
        <v>1051</v>
      </c>
      <c r="C261" s="330" t="s">
        <v>646</v>
      </c>
      <c r="D261" s="25">
        <f>ROUND((E261*'Pawn Weights'!$E$17)+(G261*'Pawn Weights'!$E$4)+(H261*'Pawn Weights'!$E$5)+(I261*'Pawn Weights'!$E$6)+(J261*'Pawn Weights'!$E$9)+(K261*'Pawn Weights'!$E$7)+(M261*'Pawn Weights'!$E$10)+(N261*'Pawn Weights'!$E$3)+(O261*'Pawn Weights'!$E$12)+(P261*'Pawn Weights'!$E$13)+(Q261*'Pawn Weights'!$E$14)+(F261*'Pawn Weights'!$E$18)+(S261*'Pawn Weights'!$E$8), 2)</f>
        <v>375.06</v>
      </c>
      <c r="E261" s="331">
        <v>103.0</v>
      </c>
      <c r="F261" s="331">
        <v>1.5</v>
      </c>
      <c r="G261" s="330"/>
      <c r="H261" s="332">
        <v>34.0</v>
      </c>
      <c r="I261" s="332">
        <v>21.0</v>
      </c>
      <c r="J261" s="330"/>
      <c r="K261" s="332">
        <v>8.0</v>
      </c>
      <c r="L261" s="332">
        <v>30.0</v>
      </c>
      <c r="M261" s="332">
        <v>49.0</v>
      </c>
      <c r="N261" s="330"/>
      <c r="O261" s="330"/>
      <c r="P261" s="330"/>
      <c r="Q261" s="330"/>
      <c r="R261" s="295"/>
      <c r="S261" s="330"/>
      <c r="T261" s="330" t="s">
        <v>986</v>
      </c>
      <c r="U261" s="330"/>
      <c r="V261" s="330"/>
      <c r="W261" s="295"/>
      <c r="X261" s="137"/>
      <c r="Y261" s="137"/>
      <c r="Z261" s="137"/>
    </row>
    <row r="262">
      <c r="A262" s="295" t="s">
        <v>627</v>
      </c>
      <c r="B262" s="317" t="s">
        <v>1049</v>
      </c>
      <c r="C262" s="330" t="s">
        <v>1016</v>
      </c>
      <c r="D262" s="25">
        <f>ROUND((E262*'Pawn Weights'!$E$17)+(G262*'Pawn Weights'!$E$4)+(H262*'Pawn Weights'!$E$5)+(I262*'Pawn Weights'!$E$6)+(J262*'Pawn Weights'!$E$9)+(K262*'Pawn Weights'!$E$7)+(M262*'Pawn Weights'!$E$10)+(N262*'Pawn Weights'!$E$3)+(O262*'Pawn Weights'!$E$12)+(P262*'Pawn Weights'!$E$13)+(Q262*'Pawn Weights'!$E$14)+(F262*'Pawn Weights'!$E$18)+(S262*'Pawn Weights'!$E$8)+(72.08*'Pawn Weights'!$B$8), 2)</f>
        <v>371.19</v>
      </c>
      <c r="E262" s="332">
        <v>97.6</v>
      </c>
      <c r="F262" s="332">
        <v>2.7</v>
      </c>
      <c r="G262" s="330"/>
      <c r="H262" s="330"/>
      <c r="I262" s="330"/>
      <c r="J262" s="330"/>
      <c r="K262" s="330"/>
      <c r="L262" s="332">
        <v>19.0</v>
      </c>
      <c r="M262" s="330"/>
      <c r="N262" s="330"/>
      <c r="O262" s="330"/>
      <c r="P262" s="330"/>
      <c r="Q262" s="330"/>
      <c r="R262" s="295"/>
      <c r="S262" s="330"/>
      <c r="T262" s="328" t="s">
        <v>1050</v>
      </c>
      <c r="U262" s="330"/>
      <c r="V262" s="330"/>
      <c r="W262" s="137"/>
      <c r="X262" s="137"/>
      <c r="Y262" s="137"/>
      <c r="Z262" s="137"/>
    </row>
    <row r="263">
      <c r="A263" s="333"/>
      <c r="B263" s="334" t="s">
        <v>1052</v>
      </c>
      <c r="C263" s="335" t="s">
        <v>821</v>
      </c>
      <c r="D263" s="25">
        <f>ROUND((E263*'Pawn Weights'!$E$17)+(G263*'Pawn Weights'!$E$4)+(H263*'Pawn Weights'!$E$5)+(I263*'Pawn Weights'!$E$6)+(J263*'Pawn Weights'!$E$9)+(K263*'Pawn Weights'!$E$7)+(M263*'Pawn Weights'!$E$10)+(N263*'Pawn Weights'!$E$3)+(O263*'Pawn Weights'!$E$12)+(P263*'Pawn Weights'!$E$13)+(Q263*'Pawn Weights'!$E$14)+(F263*'Pawn Weights'!$E$18)+(S263*'Pawn Weights'!$E$8), 2)</f>
        <v>369.76</v>
      </c>
      <c r="E263" s="335">
        <v>100.3</v>
      </c>
      <c r="F263" s="335">
        <v>1.5</v>
      </c>
      <c r="G263" s="336"/>
      <c r="H263" s="335">
        <v>40.0</v>
      </c>
      <c r="I263" s="336"/>
      <c r="J263" s="336"/>
      <c r="K263" s="335">
        <v>19.0</v>
      </c>
      <c r="L263" s="336"/>
      <c r="M263" s="336"/>
      <c r="N263" s="336"/>
      <c r="O263" s="336"/>
      <c r="P263" s="336"/>
      <c r="Q263" s="336"/>
      <c r="R263" s="337"/>
      <c r="S263" s="335">
        <v>27.0</v>
      </c>
      <c r="T263" s="338"/>
      <c r="U263" s="336"/>
      <c r="V263" s="339"/>
      <c r="W263" s="339"/>
      <c r="X263" s="340"/>
      <c r="Y263" s="340"/>
      <c r="Z263" s="340"/>
    </row>
    <row r="264">
      <c r="A264" s="137"/>
      <c r="B264" s="296" t="s">
        <v>1019</v>
      </c>
      <c r="C264" s="330" t="s">
        <v>835</v>
      </c>
      <c r="D264" s="25">
        <f>ROUND((E264*'Pawn Weights'!$E$17)+(G264*'Pawn Weights'!$E$4)+(H264*'Pawn Weights'!$E$5)+(I264*'Pawn Weights'!$E$6)+(J264*'Pawn Weights'!$E$9)+(K264*'Pawn Weights'!$E$7)+(M264*'Pawn Weights'!$E$10)+(N264*'Pawn Weights'!$E$3)+(O264*'Pawn Weights'!$E$12)+(P264*'Pawn Weights'!$E$13)+(Q264*'Pawn Weights'!$E$14)+(F264*'Pawn Weights'!$E$18)+(S264*'Pawn Weights'!$E$8), 2)</f>
        <v>368.09</v>
      </c>
      <c r="E264" s="332">
        <v>100.2</v>
      </c>
      <c r="F264" s="332">
        <v>2.6</v>
      </c>
      <c r="G264" s="332">
        <v>28.0</v>
      </c>
      <c r="H264" s="332">
        <v>56.0</v>
      </c>
      <c r="I264" s="330"/>
      <c r="J264" s="330"/>
      <c r="K264" s="330"/>
      <c r="L264" s="330"/>
      <c r="M264" s="330"/>
      <c r="N264" s="330"/>
      <c r="O264" s="330"/>
      <c r="P264" s="330"/>
      <c r="Q264" s="330"/>
      <c r="R264" s="295"/>
      <c r="S264" s="330"/>
      <c r="T264" s="299"/>
      <c r="U264" s="330"/>
      <c r="V264" s="330"/>
      <c r="W264" s="137"/>
      <c r="X264" s="137"/>
      <c r="Y264" s="137"/>
      <c r="Z264" s="137"/>
    </row>
    <row r="265">
      <c r="A265" s="292"/>
      <c r="B265" s="288" t="s">
        <v>1053</v>
      </c>
      <c r="C265" s="326" t="s">
        <v>701</v>
      </c>
      <c r="D265" s="25">
        <f>ROUND((E265*'Pawn Weights'!$E$17)+(G265*'Pawn Weights'!$E$4)+(H265*'Pawn Weights'!$E$5)+(I265*'Pawn Weights'!$E$6)+(J265*'Pawn Weights'!$E$9)+(K265*'Pawn Weights'!$E$7)+(M265*'Pawn Weights'!$E$10)+(N265*'Pawn Weights'!$E$3)+(O265*'Pawn Weights'!$E$12)+(P265*'Pawn Weights'!$E$13)+(Q265*'Pawn Weights'!$E$14)+(F265*'Pawn Weights'!$E$18)+(S265*'Pawn Weights'!$E$8), 2)</f>
        <v>368.04</v>
      </c>
      <c r="E265" s="326">
        <v>100.4</v>
      </c>
      <c r="F265" s="326">
        <v>1.4</v>
      </c>
      <c r="G265" s="326"/>
      <c r="H265" s="326">
        <v>44.0</v>
      </c>
      <c r="I265" s="326">
        <v>22.0</v>
      </c>
      <c r="J265" s="326"/>
      <c r="K265" s="326">
        <v>15.0</v>
      </c>
      <c r="L265" s="326">
        <v>19.0</v>
      </c>
      <c r="M265" s="326"/>
      <c r="N265" s="326"/>
      <c r="O265" s="326"/>
      <c r="P265" s="326"/>
      <c r="Q265" s="326"/>
      <c r="R265" s="327"/>
      <c r="S265" s="326"/>
      <c r="T265" s="328"/>
      <c r="U265" s="326"/>
      <c r="V265" s="326"/>
      <c r="W265" s="329"/>
    </row>
    <row r="266">
      <c r="A266" s="292" t="s">
        <v>627</v>
      </c>
      <c r="B266" s="288" t="s">
        <v>1031</v>
      </c>
      <c r="C266" s="326" t="s">
        <v>1032</v>
      </c>
      <c r="D266" s="25">
        <f>ROUND((E266*'Pawn Weights'!$E$17)+(G266*'Pawn Weights'!$E$4)+(H266*'Pawn Weights'!$E$5)+(I266*'Pawn Weights'!$E$6)+(J266*'Pawn Weights'!$E$9)+(K266*'Pawn Weights'!$E$7)+(M266*'Pawn Weights'!$E$10)+(N266*'Pawn Weights'!$E$3)+(O266*'Pawn Weights'!$E$12)+(P266*'Pawn Weights'!$E$13)+(Q266*'Pawn Weights'!$E$14)+(F266*'Pawn Weights'!$E$18)+(S266*'Pawn Weights'!$E$8), 2)</f>
        <v>359.16</v>
      </c>
      <c r="E266" s="326">
        <v>97.6</v>
      </c>
      <c r="F266" s="326">
        <v>2.7</v>
      </c>
      <c r="G266" s="326"/>
      <c r="H266" s="326">
        <v>48.0</v>
      </c>
      <c r="I266" s="326">
        <v>23.0</v>
      </c>
      <c r="J266" s="326"/>
      <c r="K266" s="326"/>
      <c r="L266" s="326"/>
      <c r="M266" s="326"/>
      <c r="N266" s="326"/>
      <c r="O266" s="326"/>
      <c r="P266" s="326"/>
      <c r="Q266" s="326"/>
      <c r="R266" s="327"/>
      <c r="S266" s="326"/>
      <c r="T266" s="306" t="s">
        <v>1490</v>
      </c>
      <c r="U266" s="326"/>
      <c r="V266" s="326"/>
      <c r="W266" s="329"/>
    </row>
    <row r="267">
      <c r="A267" s="292"/>
      <c r="B267" s="288" t="s">
        <v>1026</v>
      </c>
      <c r="C267" s="326" t="s">
        <v>716</v>
      </c>
      <c r="D267" s="25">
        <f>ROUND((E267*'Pawn Weights'!$E$17)+(G267*'Pawn Weights'!$E$4)+(H267*'Pawn Weights'!$E$5)+(I267*'Pawn Weights'!$E$6)+(J267*'Pawn Weights'!$E$9)+(K267*'Pawn Weights'!$E$7)+(M267*'Pawn Weights'!$E$10)+(N267*'Pawn Weights'!$E$3)+(O267*'Pawn Weights'!$E$12)+(P267*'Pawn Weights'!$E$13)+(Q267*'Pawn Weights'!$E$14)+(F267*'Pawn Weights'!$E$18)+(S267*'Pawn Weights'!$E$8), 2)</f>
        <v>357.4</v>
      </c>
      <c r="E267" s="326">
        <v>100.2</v>
      </c>
      <c r="F267" s="326">
        <v>2.6</v>
      </c>
      <c r="G267" s="326"/>
      <c r="H267" s="326">
        <v>44.0</v>
      </c>
      <c r="I267" s="326"/>
      <c r="J267" s="326"/>
      <c r="K267" s="326">
        <v>21.0</v>
      </c>
      <c r="L267" s="326">
        <v>33.0</v>
      </c>
      <c r="M267" s="326"/>
      <c r="N267" s="326"/>
      <c r="O267" s="326"/>
      <c r="P267" s="326"/>
      <c r="Q267" s="326"/>
      <c r="R267" s="327"/>
      <c r="S267" s="326"/>
      <c r="T267" s="328"/>
      <c r="U267" s="326"/>
      <c r="V267" s="326"/>
      <c r="W267" s="329"/>
    </row>
    <row r="268">
      <c r="A268" s="281"/>
      <c r="B268" s="288" t="s">
        <v>1020</v>
      </c>
      <c r="C268" s="326" t="s">
        <v>741</v>
      </c>
      <c r="D268" s="25">
        <f>ROUND((E268*'Pawn Weights'!$E$17)+(G268*'Pawn Weights'!$E$4)+(H268*'Pawn Weights'!$E$5)+(I268*'Pawn Weights'!$E$6)+(J268*'Pawn Weights'!$E$9)+(K268*'Pawn Weights'!$E$7)+(M268*'Pawn Weights'!$E$10)+(N268*'Pawn Weights'!$E$3)+(O268*'Pawn Weights'!$E$12)+(P268*'Pawn Weights'!$E$13)+(Q268*'Pawn Weights'!$E$14)+(F268*'Pawn Weights'!$E$18)+(S268*'Pawn Weights'!$E$8)+6, 2)</f>
        <v>354.11</v>
      </c>
      <c r="E268" s="326">
        <v>100.2</v>
      </c>
      <c r="F268" s="326">
        <v>2.7</v>
      </c>
      <c r="G268" s="326"/>
      <c r="H268" s="326">
        <v>52.0</v>
      </c>
      <c r="I268" s="326"/>
      <c r="J268" s="326"/>
      <c r="K268" s="326"/>
      <c r="L268" s="326"/>
      <c r="M268" s="326"/>
      <c r="N268" s="326"/>
      <c r="O268" s="326"/>
      <c r="P268" s="326"/>
      <c r="Q268" s="326"/>
      <c r="R268" s="327"/>
      <c r="S268" s="326"/>
      <c r="T268" s="328" t="s">
        <v>1021</v>
      </c>
      <c r="U268" s="326"/>
      <c r="V268" s="326"/>
      <c r="W268" s="329"/>
    </row>
    <row r="269" ht="14.25" customHeight="1">
      <c r="A269" s="292"/>
      <c r="B269" s="288" t="s">
        <v>1022</v>
      </c>
      <c r="C269" s="326" t="s">
        <v>665</v>
      </c>
      <c r="D269" s="25">
        <f>ROUND((E269*'Pawn Weights'!$E$17)+(G269*'Pawn Weights'!$E$4)+(H269*'Pawn Weights'!$E$5)+(I269*'Pawn Weights'!$E$6)+(J269*'Pawn Weights'!$E$9)+(K269*'Pawn Weights'!$E$7)+(M269*'Pawn Weights'!$E$10)+(N269*'Pawn Weights'!$E$3)+(O269*'Pawn Weights'!$E$12)+(P269*'Pawn Weights'!$E$13)+(Q269*'Pawn Weights'!$E$14)+(F269*'Pawn Weights'!$E$18)+(S269*'Pawn Weights'!$E$8)+6.25, 2)</f>
        <v>353.96</v>
      </c>
      <c r="E269" s="326">
        <v>100.2</v>
      </c>
      <c r="F269" s="326">
        <v>2.8</v>
      </c>
      <c r="G269" s="326"/>
      <c r="H269" s="326">
        <v>50.0</v>
      </c>
      <c r="I269" s="326"/>
      <c r="J269" s="326"/>
      <c r="K269" s="326"/>
      <c r="L269" s="326"/>
      <c r="M269" s="326"/>
      <c r="N269" s="326"/>
      <c r="O269" s="326"/>
      <c r="P269" s="326"/>
      <c r="Q269" s="326"/>
      <c r="R269" s="327"/>
      <c r="S269" s="326"/>
      <c r="T269" s="328" t="s">
        <v>1023</v>
      </c>
      <c r="U269" s="326"/>
      <c r="V269" s="326"/>
      <c r="W269" s="329"/>
    </row>
    <row r="270">
      <c r="A270" s="281"/>
      <c r="B270" s="288" t="s">
        <v>1035</v>
      </c>
      <c r="C270" s="326" t="s">
        <v>900</v>
      </c>
      <c r="D270" s="25">
        <f>ROUND((E270*'Pawn Weights'!$E$17)+(G270*'Pawn Weights'!$E$4)+(H270*'Pawn Weights'!$E$5)+(I270*'Pawn Weights'!$E$6)+(J270*'Pawn Weights'!$E$9)+(K270*'Pawn Weights'!$E$7)+(M270*'Pawn Weights'!$E$10)+(N270*'Pawn Weights'!$E$3)+(O270*'Pawn Weights'!$E$12)+(P270*'Pawn Weights'!$E$13)+(Q270*'Pawn Weights'!$E$14)+(F270*'Pawn Weights'!$E$18)+(S270*'Pawn Weights'!$E$8), 2)</f>
        <v>353.99</v>
      </c>
      <c r="E270" s="326">
        <v>96.5</v>
      </c>
      <c r="F270" s="326">
        <v>2.7</v>
      </c>
      <c r="G270" s="326">
        <v>15.0</v>
      </c>
      <c r="H270" s="326">
        <v>40.0</v>
      </c>
      <c r="I270" s="326"/>
      <c r="J270" s="326"/>
      <c r="K270" s="326">
        <v>20.0</v>
      </c>
      <c r="L270" s="326"/>
      <c r="M270" s="326"/>
      <c r="N270" s="326"/>
      <c r="O270" s="326"/>
      <c r="P270" s="326"/>
      <c r="Q270" s="326"/>
      <c r="R270" s="327"/>
      <c r="S270" s="326"/>
      <c r="T270" s="328" t="s">
        <v>1036</v>
      </c>
      <c r="U270" s="326"/>
      <c r="V270" s="326"/>
      <c r="W270" s="329"/>
    </row>
    <row r="271">
      <c r="A271" s="281"/>
      <c r="B271" s="288" t="s">
        <v>1033</v>
      </c>
      <c r="C271" s="326" t="s">
        <v>997</v>
      </c>
      <c r="D271" s="25">
        <f>ROUND((E271*'Pawn Weights'!$E$17)+(G271*'Pawn Weights'!$E$4)+(H271*'Pawn Weights'!$E$5)+(I271*'Pawn Weights'!$E$6)+(J271*'Pawn Weights'!$E$9)+(K271*'Pawn Weights'!$E$7)+(M271*'Pawn Weights'!$E$10)+(N271*'Pawn Weights'!$E$3)+(O271*'Pawn Weights'!$E$12)+(P271*'Pawn Weights'!$E$13)+(Q271*'Pawn Weights'!$E$14)+(F271*'Pawn Weights'!$E$18)+(S271*'Pawn Weights'!$E$8), 2)</f>
        <v>353.53</v>
      </c>
      <c r="E271" s="326">
        <v>97.7</v>
      </c>
      <c r="F271" s="326">
        <v>2.6</v>
      </c>
      <c r="G271" s="326"/>
      <c r="H271" s="326">
        <v>30.0</v>
      </c>
      <c r="I271" s="326">
        <v>19.0</v>
      </c>
      <c r="J271" s="326"/>
      <c r="K271" s="326">
        <v>10.0</v>
      </c>
      <c r="L271" s="326">
        <v>27.0</v>
      </c>
      <c r="M271" s="326"/>
      <c r="N271" s="326"/>
      <c r="O271" s="326"/>
      <c r="P271" s="326"/>
      <c r="Q271" s="326"/>
      <c r="R271" s="327"/>
      <c r="S271" s="326"/>
      <c r="T271" s="328" t="s">
        <v>1034</v>
      </c>
      <c r="U271" s="326"/>
      <c r="V271" s="326"/>
      <c r="W271" s="329"/>
    </row>
    <row r="272">
      <c r="A272" s="295" t="s">
        <v>627</v>
      </c>
      <c r="B272" s="317" t="s">
        <v>1389</v>
      </c>
      <c r="C272" s="330" t="s">
        <v>1296</v>
      </c>
      <c r="D272" s="25">
        <f>ROUND((E272*'Pawn Weights'!$E$17)+(G272*'Pawn Weights'!$E$4)+(H272*'Pawn Weights'!$E$5)+(I272*'Pawn Weights'!$E$6)+(J272*'Pawn Weights'!$E$9)+(K272*'Pawn Weights'!$E$7)+(M272*'Pawn Weights'!$E$10)+(N272*'Pawn Weights'!$E$3)+(O272*'Pawn Weights'!$E$12)+(P272*'Pawn Weights'!$E$13)+(Q272*'Pawn Weights'!$E$14)+(F272*'Pawn Weights'!$E$18)+(S272*'Pawn Weights'!$E$8)+(72.08*'Pawn Weights'!$B$8), 2)</f>
        <v>351.04</v>
      </c>
      <c r="E272" s="332">
        <v>91.1</v>
      </c>
      <c r="F272" s="332">
        <v>2.7</v>
      </c>
      <c r="G272" s="295"/>
      <c r="H272" s="330"/>
      <c r="I272" s="330"/>
      <c r="J272" s="330"/>
      <c r="K272" s="330"/>
      <c r="L272" s="332">
        <v>9.0</v>
      </c>
      <c r="M272" s="330"/>
      <c r="N272" s="330"/>
      <c r="O272" s="330"/>
      <c r="P272" s="330"/>
      <c r="Q272" s="330"/>
      <c r="R272" s="295"/>
      <c r="S272" s="330"/>
      <c r="T272" s="328" t="s">
        <v>1050</v>
      </c>
      <c r="U272" s="368"/>
      <c r="V272" s="330"/>
      <c r="W272" s="137"/>
      <c r="X272" s="137"/>
      <c r="Y272" s="137"/>
      <c r="Z272" s="137"/>
    </row>
    <row r="273" ht="14.25" customHeight="1">
      <c r="A273" s="292"/>
      <c r="B273" s="288" t="s">
        <v>1056</v>
      </c>
      <c r="C273" s="326" t="s">
        <v>1029</v>
      </c>
      <c r="D273" s="25">
        <f>ROUND((E273*'Pawn Weights'!$E$17)+(G273*'Pawn Weights'!$E$4)+(H273*'Pawn Weights'!$E$5)+(I273*'Pawn Weights'!$E$6)+(J273*'Pawn Weights'!$E$9)+(K273*'Pawn Weights'!$E$7)+(M273*'Pawn Weights'!$E$10)+(N273*'Pawn Weights'!$E$3)+(O273*'Pawn Weights'!$E$12)+(P273*'Pawn Weights'!$E$13)+(Q273*'Pawn Weights'!$E$14)+(F273*'Pawn Weights'!$E$18)+(S273*'Pawn Weights'!$E$8), 2)</f>
        <v>349.24</v>
      </c>
      <c r="E273" s="326">
        <v>100.3</v>
      </c>
      <c r="F273" s="326">
        <v>1.5</v>
      </c>
      <c r="G273" s="326">
        <v>20.0</v>
      </c>
      <c r="H273" s="326">
        <v>38.0</v>
      </c>
      <c r="I273" s="326"/>
      <c r="J273" s="326"/>
      <c r="K273" s="326"/>
      <c r="L273" s="326">
        <v>28.0</v>
      </c>
      <c r="M273" s="326"/>
      <c r="N273" s="326"/>
      <c r="O273" s="326"/>
      <c r="P273" s="326"/>
      <c r="Q273" s="326"/>
      <c r="R273" s="327"/>
      <c r="S273" s="326"/>
      <c r="T273" s="328" t="s">
        <v>1030</v>
      </c>
      <c r="U273" s="326"/>
      <c r="V273" s="326"/>
      <c r="W273" s="329"/>
    </row>
    <row r="274" ht="14.25" customHeight="1">
      <c r="A274" s="295" t="s">
        <v>627</v>
      </c>
      <c r="B274" s="317" t="s">
        <v>1055</v>
      </c>
      <c r="C274" s="330" t="s">
        <v>1016</v>
      </c>
      <c r="D274" s="25">
        <f>ROUND((E274*'Pawn Weights'!$E$17)+(G274*'Pawn Weights'!$E$4)+(H274*'Pawn Weights'!$E$5)+(I274*'Pawn Weights'!$E$6)+(J274*'Pawn Weights'!$E$9)+(K274*'Pawn Weights'!$E$7)+(M274*'Pawn Weights'!$E$10)+(N274*'Pawn Weights'!$E$3)+(O274*'Pawn Weights'!$E$12)+(P274*'Pawn Weights'!$E$13)+(Q274*'Pawn Weights'!$E$14)+(F274*'Pawn Weights'!$E$18)+(S274*'Pawn Weights'!$E$8)+(42.4*'Pawn Weights'!$B$8), 2)</f>
        <v>348.64</v>
      </c>
      <c r="E274" s="332">
        <v>97.6</v>
      </c>
      <c r="F274" s="332">
        <v>2.7</v>
      </c>
      <c r="G274" s="330"/>
      <c r="H274" s="330"/>
      <c r="I274" s="330"/>
      <c r="J274" s="330"/>
      <c r="K274" s="330"/>
      <c r="L274" s="332">
        <v>19.0</v>
      </c>
      <c r="M274" s="330"/>
      <c r="N274" s="330"/>
      <c r="O274" s="330"/>
      <c r="P274" s="330"/>
      <c r="Q274" s="330"/>
      <c r="R274" s="295"/>
      <c r="S274" s="330"/>
      <c r="T274" s="328" t="s">
        <v>1050</v>
      </c>
      <c r="U274" s="330"/>
      <c r="V274" s="330"/>
      <c r="W274" s="137"/>
      <c r="X274" s="137"/>
      <c r="Y274" s="137"/>
      <c r="Z274" s="137"/>
    </row>
    <row r="275" ht="14.25" customHeight="1">
      <c r="A275" s="295" t="s">
        <v>995</v>
      </c>
      <c r="B275" s="296" t="s">
        <v>1058</v>
      </c>
      <c r="C275" s="330" t="s">
        <v>997</v>
      </c>
      <c r="D275" s="25">
        <f>ROUND((E275*'Pawn Weights'!$E$17)+(G275*'Pawn Weights'!$E$4)+(H275*'Pawn Weights'!$E$5)+(I275*'Pawn Weights'!$E$6)+(J275*'Pawn Weights'!$E$9)+(K275*'Pawn Weights'!$E$7)+(M275*'Pawn Weights'!$E$10)+(N275*'Pawn Weights'!$E$3)+(O275*'Pawn Weights'!$E$12)+(P275*'Pawn Weights'!$E$13)+(Q275*'Pawn Weights'!$E$14)+(F275*'Pawn Weights'!$E$18)+(S275*'Pawn Weights'!$E$8), 2)</f>
        <v>347.89</v>
      </c>
      <c r="E275" s="332">
        <v>97.7</v>
      </c>
      <c r="F275" s="332">
        <v>1.5</v>
      </c>
      <c r="G275" s="330"/>
      <c r="H275" s="332">
        <v>30.0</v>
      </c>
      <c r="I275" s="332">
        <v>19.0</v>
      </c>
      <c r="J275" s="330"/>
      <c r="K275" s="332">
        <v>10.0</v>
      </c>
      <c r="L275" s="332">
        <v>27.0</v>
      </c>
      <c r="M275" s="330"/>
      <c r="N275" s="330"/>
      <c r="O275" s="330"/>
      <c r="P275" s="330"/>
      <c r="Q275" s="330"/>
      <c r="R275" s="295"/>
      <c r="S275" s="330"/>
      <c r="T275" s="330" t="s">
        <v>1034</v>
      </c>
      <c r="U275" s="330"/>
      <c r="V275" s="330"/>
      <c r="W275" s="137"/>
      <c r="X275" s="137"/>
      <c r="Y275" s="137"/>
      <c r="Z275" s="137"/>
    </row>
    <row r="276">
      <c r="A276" s="281"/>
      <c r="B276" s="288" t="s">
        <v>1037</v>
      </c>
      <c r="C276" s="326" t="s">
        <v>1025</v>
      </c>
      <c r="D276" s="25">
        <f>ROUND((E276*'Pawn Weights'!$E$17)+(G276*'Pawn Weights'!$E$4)+(H276*'Pawn Weights'!$E$5)+(I276*'Pawn Weights'!$E$6)+(J276*'Pawn Weights'!$E$9)+(K276*'Pawn Weights'!$E$7)+(M276*'Pawn Weights'!$E$10)+(N276*'Pawn Weights'!$E$3)+(O276*'Pawn Weights'!$E$12)+(P276*'Pawn Weights'!$E$13)+(Q276*'Pawn Weights'!$E$14)+(F276*'Pawn Weights'!$E$18)+(S276*'Pawn Weights'!$E$8), 2)</f>
        <v>347.34</v>
      </c>
      <c r="E276" s="326">
        <v>96.5</v>
      </c>
      <c r="F276" s="326">
        <v>2.6</v>
      </c>
      <c r="G276" s="326">
        <v>25.0</v>
      </c>
      <c r="H276" s="326">
        <v>40.0</v>
      </c>
      <c r="I276" s="326"/>
      <c r="J276" s="326"/>
      <c r="K276" s="326"/>
      <c r="L276" s="326">
        <v>21.0</v>
      </c>
      <c r="M276" s="326"/>
      <c r="N276" s="326"/>
      <c r="O276" s="326"/>
      <c r="P276" s="326"/>
      <c r="Q276" s="326"/>
      <c r="R276" s="327"/>
      <c r="S276" s="326"/>
      <c r="T276" s="306" t="s">
        <v>1490</v>
      </c>
      <c r="U276" s="326"/>
      <c r="V276" s="326"/>
      <c r="W276" s="329"/>
    </row>
    <row r="277">
      <c r="A277" s="375"/>
      <c r="B277" s="288" t="s">
        <v>1057</v>
      </c>
      <c r="C277" s="326" t="s">
        <v>665</v>
      </c>
      <c r="D277" s="25">
        <f>ROUND((E277*'Pawn Weights'!$E$17)+(G277*'Pawn Weights'!$E$4)+(H277*'Pawn Weights'!$E$5)+(I277*'Pawn Weights'!$E$6)+(J277*'Pawn Weights'!$E$9)+(K277*'Pawn Weights'!$E$7)+(M277*'Pawn Weights'!$E$10)+(N277*'Pawn Weights'!$E$3)+(O277*'Pawn Weights'!$E$12)+(P277*'Pawn Weights'!$E$13)+(Q277*'Pawn Weights'!$E$14)+(F277*'Pawn Weights'!$E$18)+(S277*'Pawn Weights'!$E$8), 2)</f>
        <v>345.18</v>
      </c>
      <c r="E277" s="326">
        <v>100.3</v>
      </c>
      <c r="F277" s="326">
        <v>1.6</v>
      </c>
      <c r="G277" s="326"/>
      <c r="H277" s="326"/>
      <c r="I277" s="326"/>
      <c r="J277" s="326">
        <v>21.0</v>
      </c>
      <c r="K277" s="326"/>
      <c r="L277" s="326"/>
      <c r="M277" s="326"/>
      <c r="N277" s="326"/>
      <c r="O277" s="326"/>
      <c r="P277" s="326"/>
      <c r="Q277" s="326"/>
      <c r="R277" s="327"/>
      <c r="S277" s="326"/>
      <c r="T277" s="306"/>
      <c r="U277" s="326"/>
      <c r="V277" s="326"/>
      <c r="W277" s="329"/>
    </row>
    <row r="278" ht="15.0" customHeight="1">
      <c r="A278" s="345"/>
      <c r="B278" s="334" t="s">
        <v>1060</v>
      </c>
      <c r="C278" s="335" t="s">
        <v>1025</v>
      </c>
      <c r="D278" s="25">
        <f>ROUND((E278*'Pawn Weights'!$E$17)+(G278*'Pawn Weights'!$E$4)+(H278*'Pawn Weights'!$E$5)+(I278*'Pawn Weights'!$E$6)+(J278*'Pawn Weights'!$E$9)+(K278*'Pawn Weights'!$E$7)+(M278*'Pawn Weights'!$E$10)+(N278*'Pawn Weights'!$E$3)+(O278*'Pawn Weights'!$E$12)+(P278*'Pawn Weights'!$E$13)+(Q278*'Pawn Weights'!$E$14)+(F278*'Pawn Weights'!$E$18)+(S278*'Pawn Weights'!$E$8), 2)</f>
        <v>339.65</v>
      </c>
      <c r="E278" s="335">
        <v>96.7</v>
      </c>
      <c r="F278" s="335">
        <v>1.5</v>
      </c>
      <c r="G278" s="335">
        <v>21.0</v>
      </c>
      <c r="H278" s="335">
        <v>40.0</v>
      </c>
      <c r="I278" s="336"/>
      <c r="J278" s="335"/>
      <c r="K278" s="336"/>
      <c r="L278" s="335">
        <v>30.0</v>
      </c>
      <c r="M278" s="336"/>
      <c r="N278" s="336"/>
      <c r="O278" s="336"/>
      <c r="P278" s="336"/>
      <c r="Q278" s="336"/>
      <c r="R278" s="337"/>
      <c r="S278" s="336"/>
      <c r="T278" s="347"/>
      <c r="U278" s="336"/>
      <c r="V278" s="348"/>
      <c r="W278" s="348"/>
      <c r="X278" s="340"/>
      <c r="Y278" s="340"/>
      <c r="Z278" s="340"/>
    </row>
    <row r="279" ht="14.25" customHeight="1">
      <c r="A279" s="292" t="s">
        <v>627</v>
      </c>
      <c r="B279" s="288" t="s">
        <v>1061</v>
      </c>
      <c r="C279" s="326" t="s">
        <v>1062</v>
      </c>
      <c r="D279" s="25">
        <f>ROUND((E279*'Pawn Weights'!$E$17)+(G279*'Pawn Weights'!$E$4)+(H279*'Pawn Weights'!$E$5)+(I279*'Pawn Weights'!$E$6)+(J279*'Pawn Weights'!$E$9)+(K279*'Pawn Weights'!$E$7)+(M279*'Pawn Weights'!$E$10)+(N279*'Pawn Weights'!$E$3)+(O279*'Pawn Weights'!$E$12)+(P279*'Pawn Weights'!$E$13)+(Q279*'Pawn Weights'!$E$14)+(F279*'Pawn Weights'!$E$18)+(S279*'Pawn Weights'!$E$8), 2)</f>
        <v>334.65</v>
      </c>
      <c r="E279" s="326">
        <v>97.5</v>
      </c>
      <c r="F279" s="326">
        <v>1.6</v>
      </c>
      <c r="G279" s="326">
        <v>19.0</v>
      </c>
      <c r="H279" s="326"/>
      <c r="I279" s="326"/>
      <c r="J279" s="326"/>
      <c r="K279" s="326">
        <v>18.0</v>
      </c>
      <c r="L279" s="326">
        <v>28.0</v>
      </c>
      <c r="M279" s="326"/>
      <c r="N279" s="326"/>
      <c r="O279" s="326"/>
      <c r="P279" s="326"/>
      <c r="Q279" s="326"/>
      <c r="R279" s="327"/>
      <c r="S279" s="326"/>
      <c r="T279" s="328" t="s">
        <v>1063</v>
      </c>
      <c r="U279" s="326"/>
      <c r="V279" s="326"/>
      <c r="W279" s="329"/>
    </row>
    <row r="280">
      <c r="A280" s="295"/>
      <c r="B280" s="296" t="s">
        <v>1289</v>
      </c>
      <c r="C280" s="330" t="s">
        <v>1122</v>
      </c>
      <c r="D280" s="25">
        <f>ROUND((E280*'Pawn Weights'!$E$17)+(G280*'Pawn Weights'!$E$4)+(H280*'Pawn Weights'!$E$5)+(I280*'Pawn Weights'!$E$6)+(J280*'Pawn Weights'!$E$9)+(K280*'Pawn Weights'!$E$7)+(M280*'Pawn Weights'!$E$10)+(N280*'Pawn Weights'!$E$3)+(O280*'Pawn Weights'!$E$12)+(P280*'Pawn Weights'!$E$13)+(Q280*'Pawn Weights'!$E$14)+(F280*'Pawn Weights'!$E$18)+(S280*'Pawn Weights'!$E$8), 2)</f>
        <v>330.06</v>
      </c>
      <c r="E280" s="332">
        <v>87.5</v>
      </c>
      <c r="F280" s="332">
        <v>2.6</v>
      </c>
      <c r="G280" s="295"/>
      <c r="H280" s="332">
        <v>30.0</v>
      </c>
      <c r="I280" s="332">
        <v>24.0</v>
      </c>
      <c r="J280" s="330"/>
      <c r="K280" s="330"/>
      <c r="L280" s="330"/>
      <c r="M280" s="330"/>
      <c r="N280" s="330"/>
      <c r="O280" s="330"/>
      <c r="P280" s="332">
        <v>1.0</v>
      </c>
      <c r="Q280" s="330"/>
      <c r="R280" s="332" t="s">
        <v>674</v>
      </c>
      <c r="S280" s="330"/>
      <c r="T280" s="419"/>
      <c r="U280" s="330"/>
      <c r="V280" s="330"/>
      <c r="W280" s="137"/>
      <c r="X280" s="137"/>
      <c r="Y280" s="137"/>
      <c r="Z280" s="137"/>
    </row>
    <row r="281">
      <c r="A281" s="295" t="s">
        <v>627</v>
      </c>
      <c r="B281" s="317" t="s">
        <v>1295</v>
      </c>
      <c r="C281" s="330" t="s">
        <v>1296</v>
      </c>
      <c r="D281" s="25">
        <f>ROUND((E281*'Pawn Weights'!$E$17)+(G281*'Pawn Weights'!$E$4)+(H281*'Pawn Weights'!$E$5)+(I281*'Pawn Weights'!$E$6)+(J281*'Pawn Weights'!$E$9)+(K281*'Pawn Weights'!$E$7)+(M281*'Pawn Weights'!$E$10)+(N281*'Pawn Weights'!$E$3)+(O281*'Pawn Weights'!$E$12)+(P281*'Pawn Weights'!$E$13)+(Q281*'Pawn Weights'!$E$14)+(F281*'Pawn Weights'!$E$18)+(S281*'Pawn Weights'!$E$8)+(42.4*'Pawn Weights'!$B$8), 2)</f>
        <v>328.49</v>
      </c>
      <c r="E281" s="332">
        <v>91.1</v>
      </c>
      <c r="F281" s="332">
        <v>2.7</v>
      </c>
      <c r="G281" s="295"/>
      <c r="H281" s="330"/>
      <c r="I281" s="330"/>
      <c r="J281" s="330"/>
      <c r="K281" s="330"/>
      <c r="L281" s="332">
        <v>9.0</v>
      </c>
      <c r="M281" s="330"/>
      <c r="N281" s="330"/>
      <c r="O281" s="330"/>
      <c r="P281" s="330"/>
      <c r="Q281" s="330"/>
      <c r="R281" s="295"/>
      <c r="S281" s="330"/>
      <c r="T281" s="328" t="s">
        <v>1050</v>
      </c>
      <c r="U281" s="368"/>
      <c r="V281" s="330"/>
      <c r="W281" s="137"/>
      <c r="X281" s="137"/>
      <c r="Y281" s="137"/>
      <c r="Z281" s="137"/>
    </row>
    <row r="282">
      <c r="A282" s="137"/>
      <c r="B282" s="296" t="s">
        <v>1488</v>
      </c>
      <c r="C282" s="330" t="s">
        <v>656</v>
      </c>
      <c r="D282" s="25">
        <f>ROUND((E282*'Pawn Weights'!$E$17)+(G282*'Pawn Weights'!$E$4)+(H282*'Pawn Weights'!$E$5)+(I282*'Pawn Weights'!$E$6)+(J282*'Pawn Weights'!$E$9)+(K282*'Pawn Weights'!$E$7)+(M282*'Pawn Weights'!$E$10)+(N282*'Pawn Weights'!$E$3)+(O282*'Pawn Weights'!$E$12)+(P282*'Pawn Weights'!$E$13)+(Q282*'Pawn Weights'!$E$14)+(F282*'Pawn Weights'!$E$18)+(S282*'Pawn Weights'!$E$8), 2)</f>
        <v>323.42</v>
      </c>
      <c r="E282" s="332">
        <v>92.1</v>
      </c>
      <c r="F282" s="332">
        <v>2.6</v>
      </c>
      <c r="G282" s="330"/>
      <c r="H282" s="330"/>
      <c r="I282" s="332">
        <v>27.0</v>
      </c>
      <c r="J282" s="330"/>
      <c r="K282" s="330"/>
      <c r="L282" s="330"/>
      <c r="M282" s="330"/>
      <c r="N282" s="330"/>
      <c r="O282" s="330"/>
      <c r="P282" s="330"/>
      <c r="Q282" s="330"/>
      <c r="R282" s="295"/>
      <c r="S282" s="330"/>
      <c r="T282" s="402" t="s">
        <v>1491</v>
      </c>
      <c r="U282" s="330"/>
      <c r="V282" s="330"/>
      <c r="W282" s="137"/>
      <c r="X282" s="137"/>
      <c r="Y282" s="137"/>
      <c r="Z282" s="137"/>
    </row>
    <row r="283">
      <c r="A283" s="349"/>
      <c r="B283" s="351"/>
      <c r="C283" s="351"/>
      <c r="D283" s="351"/>
      <c r="E283" s="351"/>
      <c r="F283" s="351"/>
      <c r="G283" s="351"/>
      <c r="H283" s="351"/>
      <c r="I283" s="351"/>
      <c r="J283" s="351"/>
      <c r="K283" s="351"/>
      <c r="L283" s="351"/>
      <c r="M283" s="351"/>
      <c r="N283" s="351"/>
      <c r="O283" s="351"/>
      <c r="P283" s="351"/>
      <c r="Q283" s="351"/>
      <c r="R283" s="352"/>
      <c r="S283" s="351"/>
      <c r="T283" s="353"/>
      <c r="U283" s="351"/>
      <c r="V283" s="348"/>
      <c r="W283" s="348"/>
      <c r="X283" s="340"/>
      <c r="Y283" s="340"/>
      <c r="Z283" s="340"/>
    </row>
    <row r="284">
      <c r="A284" s="376" t="s">
        <v>1492</v>
      </c>
      <c r="B284" s="354"/>
      <c r="C284" s="354"/>
      <c r="D284" s="354"/>
      <c r="E284" s="354"/>
      <c r="F284" s="354"/>
      <c r="G284" s="354"/>
      <c r="H284" s="354"/>
      <c r="I284" s="354"/>
      <c r="J284" s="354"/>
      <c r="K284" s="354"/>
      <c r="L284" s="354"/>
      <c r="M284" s="354"/>
      <c r="N284" s="354"/>
      <c r="O284" s="354"/>
      <c r="P284" s="354"/>
      <c r="Q284" s="354"/>
      <c r="R284" s="355"/>
      <c r="S284" s="354"/>
      <c r="T284" s="356"/>
      <c r="U284" s="354"/>
      <c r="V284" s="281"/>
      <c r="W284" s="281"/>
      <c r="X284" s="304"/>
      <c r="Y284" s="304"/>
      <c r="Z284" s="304"/>
    </row>
    <row r="285">
      <c r="A285" s="333"/>
      <c r="B285" s="354"/>
      <c r="C285" s="354"/>
      <c r="D285" s="354"/>
      <c r="E285" s="354"/>
      <c r="F285" s="354"/>
      <c r="G285" s="354"/>
      <c r="H285" s="354"/>
      <c r="I285" s="354"/>
      <c r="J285" s="354"/>
      <c r="K285" s="354"/>
      <c r="L285" s="354"/>
      <c r="M285" s="354"/>
      <c r="N285" s="354"/>
      <c r="O285" s="354"/>
      <c r="P285" s="354"/>
      <c r="Q285" s="354"/>
      <c r="R285" s="355"/>
      <c r="S285" s="354"/>
      <c r="T285" s="356"/>
      <c r="U285" s="354"/>
      <c r="V285" s="357"/>
      <c r="W285" s="357"/>
      <c r="X285" s="304"/>
      <c r="Y285" s="304"/>
      <c r="Z285" s="304"/>
    </row>
    <row r="286">
      <c r="A286" s="377" t="s">
        <v>1493</v>
      </c>
      <c r="B286" s="354"/>
      <c r="C286" s="354"/>
      <c r="D286" s="354"/>
      <c r="E286" s="354"/>
      <c r="F286" s="354"/>
      <c r="G286" s="354"/>
      <c r="H286" s="354"/>
      <c r="I286" s="354"/>
      <c r="J286" s="354"/>
      <c r="K286" s="354"/>
      <c r="L286" s="354"/>
      <c r="M286" s="354"/>
      <c r="N286" s="354"/>
      <c r="O286" s="354"/>
      <c r="P286" s="354"/>
      <c r="Q286" s="354"/>
      <c r="R286" s="355"/>
      <c r="S286" s="354"/>
      <c r="T286" s="356"/>
      <c r="U286" s="354"/>
      <c r="V286" s="357"/>
      <c r="W286" s="357"/>
      <c r="X286" s="304"/>
      <c r="Y286" s="304"/>
      <c r="Z286" s="304"/>
    </row>
    <row r="287">
      <c r="A287" s="377" t="s">
        <v>1494</v>
      </c>
      <c r="B287" s="354"/>
      <c r="C287" s="354"/>
      <c r="D287" s="354"/>
      <c r="E287" s="354"/>
      <c r="F287" s="354"/>
      <c r="G287" s="354"/>
      <c r="H287" s="354"/>
      <c r="I287" s="354"/>
      <c r="J287" s="354"/>
      <c r="K287" s="354"/>
      <c r="L287" s="354"/>
      <c r="M287" s="354"/>
      <c r="N287" s="354"/>
      <c r="O287" s="354"/>
      <c r="P287" s="354"/>
      <c r="Q287" s="354"/>
      <c r="R287" s="355"/>
      <c r="S287" s="354"/>
      <c r="T287" s="356"/>
      <c r="U287" s="354"/>
      <c r="V287" s="281"/>
      <c r="W287" s="281"/>
      <c r="X287" s="304"/>
      <c r="Y287" s="304"/>
      <c r="Z287" s="304"/>
    </row>
    <row r="288">
      <c r="A288" s="345"/>
      <c r="B288" s="354"/>
      <c r="C288" s="354"/>
      <c r="D288" s="354"/>
      <c r="E288" s="354"/>
      <c r="F288" s="354"/>
      <c r="G288" s="354"/>
      <c r="H288" s="354"/>
      <c r="I288" s="354"/>
      <c r="J288" s="354"/>
      <c r="K288" s="354"/>
      <c r="L288" s="354"/>
      <c r="M288" s="354"/>
      <c r="N288" s="354"/>
      <c r="O288" s="354"/>
      <c r="P288" s="354"/>
      <c r="Q288" s="354"/>
      <c r="R288" s="355"/>
      <c r="S288" s="354"/>
      <c r="T288" s="356"/>
      <c r="U288" s="354"/>
      <c r="V288" s="281"/>
      <c r="W288" s="281"/>
      <c r="X288" s="304"/>
      <c r="Y288" s="304"/>
      <c r="Z288" s="304"/>
    </row>
    <row r="289">
      <c r="A289" s="345"/>
      <c r="B289" s="354"/>
      <c r="C289" s="354"/>
      <c r="D289" s="354"/>
      <c r="E289" s="354"/>
      <c r="F289" s="354"/>
      <c r="G289" s="354"/>
      <c r="H289" s="354"/>
      <c r="I289" s="354"/>
      <c r="J289" s="354"/>
      <c r="K289" s="354"/>
      <c r="L289" s="354"/>
      <c r="M289" s="354"/>
      <c r="N289" s="354"/>
      <c r="O289" s="354"/>
      <c r="P289" s="354"/>
      <c r="Q289" s="354"/>
      <c r="R289" s="355"/>
      <c r="S289" s="354"/>
      <c r="T289" s="356"/>
      <c r="U289" s="354"/>
      <c r="V289" s="281"/>
      <c r="W289" s="281"/>
      <c r="X289" s="304"/>
      <c r="Y289" s="304"/>
      <c r="Z289" s="304"/>
    </row>
    <row r="290">
      <c r="A290" s="345"/>
      <c r="B290" s="281"/>
      <c r="C290" s="281"/>
      <c r="D290" s="281"/>
      <c r="E290" s="281"/>
      <c r="F290" s="281"/>
      <c r="G290" s="354"/>
      <c r="H290" s="281"/>
      <c r="I290" s="281"/>
      <c r="J290" s="281"/>
      <c r="K290" s="281"/>
      <c r="L290" s="281"/>
      <c r="M290" s="281"/>
      <c r="N290" s="281"/>
      <c r="O290" s="281"/>
      <c r="P290" s="281"/>
      <c r="Q290" s="281"/>
      <c r="R290" s="282"/>
      <c r="S290" s="281"/>
      <c r="T290" s="285"/>
      <c r="U290" s="281"/>
      <c r="V290" s="281"/>
      <c r="W290" s="281"/>
      <c r="X290" s="304"/>
      <c r="Y290" s="304"/>
      <c r="Z290" s="304"/>
    </row>
    <row r="291">
      <c r="A291" s="345"/>
      <c r="B291" s="281"/>
      <c r="C291" s="281"/>
      <c r="D291" s="281"/>
      <c r="E291" s="281"/>
      <c r="F291" s="281"/>
      <c r="G291" s="354"/>
      <c r="H291" s="281"/>
      <c r="I291" s="281"/>
      <c r="J291" s="281"/>
      <c r="K291" s="281"/>
      <c r="L291" s="281"/>
      <c r="M291" s="281"/>
      <c r="N291" s="281"/>
      <c r="O291" s="281"/>
      <c r="P291" s="281"/>
      <c r="Q291" s="281"/>
      <c r="R291" s="282"/>
      <c r="S291" s="281"/>
      <c r="T291" s="285"/>
      <c r="U291" s="281"/>
      <c r="V291" s="281"/>
      <c r="W291" s="281"/>
      <c r="X291" s="304"/>
      <c r="Y291" s="304"/>
      <c r="Z291" s="304"/>
    </row>
    <row r="292">
      <c r="A292" s="345"/>
      <c r="B292" s="281"/>
      <c r="C292" s="281"/>
      <c r="D292" s="281"/>
      <c r="E292" s="281"/>
      <c r="F292" s="281"/>
      <c r="G292" s="354"/>
      <c r="H292" s="281"/>
      <c r="I292" s="281"/>
      <c r="J292" s="281"/>
      <c r="K292" s="281"/>
      <c r="L292" s="281"/>
      <c r="M292" s="281"/>
      <c r="N292" s="281"/>
      <c r="O292" s="281"/>
      <c r="P292" s="281"/>
      <c r="Q292" s="281"/>
      <c r="R292" s="282"/>
      <c r="S292" s="281"/>
      <c r="T292" s="281"/>
      <c r="U292" s="281"/>
      <c r="V292" s="281"/>
      <c r="W292" s="281"/>
      <c r="X292" s="304"/>
      <c r="Y292" s="304"/>
      <c r="Z292" s="304"/>
    </row>
    <row r="293">
      <c r="A293" s="345"/>
      <c r="B293" s="281"/>
      <c r="C293" s="281"/>
      <c r="D293" s="281"/>
      <c r="E293" s="281"/>
      <c r="F293" s="281"/>
      <c r="G293" s="354"/>
      <c r="H293" s="281"/>
      <c r="I293" s="281"/>
      <c r="J293" s="281"/>
      <c r="K293" s="281"/>
      <c r="L293" s="281"/>
      <c r="M293" s="281"/>
      <c r="N293" s="281"/>
      <c r="O293" s="281"/>
      <c r="P293" s="281"/>
      <c r="Q293" s="281"/>
      <c r="R293" s="282"/>
      <c r="S293" s="281"/>
      <c r="T293" s="281"/>
      <c r="U293" s="281"/>
      <c r="V293" s="281"/>
      <c r="W293" s="281"/>
      <c r="X293" s="304"/>
      <c r="Y293" s="304"/>
      <c r="Z293" s="304"/>
    </row>
    <row r="294">
      <c r="A294" s="345"/>
      <c r="B294" s="281"/>
      <c r="C294" s="281"/>
      <c r="D294" s="281"/>
      <c r="E294" s="281"/>
      <c r="F294" s="281"/>
      <c r="G294" s="354"/>
      <c r="H294" s="281"/>
      <c r="I294" s="281"/>
      <c r="J294" s="281"/>
      <c r="K294" s="281"/>
      <c r="L294" s="281"/>
      <c r="M294" s="281"/>
      <c r="N294" s="281"/>
      <c r="O294" s="281"/>
      <c r="P294" s="281"/>
      <c r="Q294" s="281"/>
      <c r="R294" s="282"/>
      <c r="S294" s="281"/>
      <c r="T294" s="281"/>
      <c r="U294" s="281"/>
      <c r="V294" s="281"/>
      <c r="W294" s="281"/>
      <c r="X294" s="304"/>
      <c r="Y294" s="304"/>
      <c r="Z294" s="304"/>
    </row>
    <row r="295">
      <c r="A295" s="345"/>
      <c r="B295" s="281"/>
      <c r="C295" s="281"/>
      <c r="D295" s="281"/>
      <c r="E295" s="281"/>
      <c r="F295" s="281"/>
      <c r="G295" s="354"/>
      <c r="H295" s="281"/>
      <c r="I295" s="281"/>
      <c r="J295" s="281"/>
      <c r="K295" s="281"/>
      <c r="L295" s="281"/>
      <c r="M295" s="281"/>
      <c r="N295" s="281"/>
      <c r="O295" s="281"/>
      <c r="P295" s="281"/>
      <c r="Q295" s="281"/>
      <c r="R295" s="282"/>
      <c r="S295" s="281"/>
      <c r="T295" s="281"/>
      <c r="U295" s="281"/>
      <c r="V295" s="281"/>
      <c r="W295" s="281"/>
      <c r="X295" s="304"/>
      <c r="Y295" s="304"/>
      <c r="Z295" s="304"/>
    </row>
    <row r="296">
      <c r="A296" s="345"/>
      <c r="B296" s="281"/>
      <c r="C296" s="281"/>
      <c r="D296" s="281"/>
      <c r="E296" s="281"/>
      <c r="F296" s="281"/>
      <c r="G296" s="354"/>
      <c r="H296" s="281"/>
      <c r="I296" s="281"/>
      <c r="J296" s="281"/>
      <c r="K296" s="281"/>
      <c r="L296" s="281"/>
      <c r="M296" s="281"/>
      <c r="N296" s="281"/>
      <c r="O296" s="281"/>
      <c r="P296" s="281"/>
      <c r="Q296" s="281"/>
      <c r="R296" s="282"/>
      <c r="S296" s="281"/>
      <c r="T296" s="281"/>
      <c r="U296" s="281"/>
      <c r="V296" s="281"/>
      <c r="W296" s="281"/>
      <c r="X296" s="304"/>
      <c r="Y296" s="304"/>
      <c r="Z296" s="304"/>
    </row>
    <row r="297">
      <c r="A297" s="345"/>
      <c r="B297" s="281"/>
      <c r="C297" s="281"/>
      <c r="D297" s="281"/>
      <c r="E297" s="281"/>
      <c r="F297" s="281"/>
      <c r="G297" s="354"/>
      <c r="H297" s="281"/>
      <c r="I297" s="281"/>
      <c r="J297" s="281"/>
      <c r="K297" s="281"/>
      <c r="L297" s="281"/>
      <c r="M297" s="281"/>
      <c r="N297" s="281"/>
      <c r="O297" s="281"/>
      <c r="P297" s="281"/>
      <c r="Q297" s="281"/>
      <c r="R297" s="282"/>
      <c r="S297" s="281"/>
      <c r="T297" s="281"/>
      <c r="U297" s="281"/>
      <c r="V297" s="281"/>
      <c r="W297" s="281"/>
      <c r="X297" s="304"/>
      <c r="Y297" s="304"/>
      <c r="Z297" s="304"/>
    </row>
    <row r="298">
      <c r="A298" s="345"/>
      <c r="B298" s="281"/>
      <c r="C298" s="281"/>
      <c r="D298" s="281"/>
      <c r="E298" s="281"/>
      <c r="F298" s="281"/>
      <c r="G298" s="354"/>
      <c r="H298" s="281"/>
      <c r="I298" s="281"/>
      <c r="J298" s="281"/>
      <c r="K298" s="281"/>
      <c r="L298" s="281"/>
      <c r="M298" s="281"/>
      <c r="N298" s="281"/>
      <c r="O298" s="281"/>
      <c r="P298" s="281"/>
      <c r="Q298" s="281"/>
      <c r="R298" s="282"/>
      <c r="S298" s="281"/>
      <c r="T298" s="281"/>
      <c r="U298" s="281"/>
      <c r="V298" s="281"/>
      <c r="W298" s="281"/>
      <c r="X298" s="304"/>
      <c r="Y298" s="304"/>
      <c r="Z298" s="304"/>
    </row>
    <row r="299">
      <c r="A299" s="345"/>
      <c r="B299" s="281"/>
      <c r="C299" s="281"/>
      <c r="D299" s="281"/>
      <c r="E299" s="281"/>
      <c r="F299" s="281"/>
      <c r="G299" s="329"/>
      <c r="H299" s="281"/>
      <c r="I299" s="281"/>
      <c r="J299" s="281"/>
      <c r="K299" s="281"/>
      <c r="L299" s="281"/>
      <c r="M299" s="281"/>
      <c r="N299" s="281"/>
      <c r="O299" s="281"/>
      <c r="P299" s="281"/>
      <c r="Q299" s="281"/>
      <c r="R299" s="282"/>
      <c r="S299" s="281"/>
      <c r="T299" s="281"/>
      <c r="U299" s="281"/>
      <c r="V299" s="281"/>
      <c r="W299" s="281"/>
      <c r="X299" s="304"/>
      <c r="Y299" s="304"/>
      <c r="Z299" s="304"/>
    </row>
    <row r="300">
      <c r="A300" s="345"/>
      <c r="B300" s="281"/>
      <c r="C300" s="281"/>
      <c r="D300" s="281"/>
      <c r="E300" s="281"/>
      <c r="F300" s="281"/>
      <c r="G300" s="329"/>
      <c r="H300" s="281"/>
      <c r="I300" s="281"/>
      <c r="J300" s="281"/>
      <c r="K300" s="281"/>
      <c r="L300" s="281"/>
      <c r="M300" s="281"/>
      <c r="N300" s="281"/>
      <c r="O300" s="281"/>
      <c r="P300" s="281"/>
      <c r="Q300" s="281"/>
      <c r="R300" s="282"/>
      <c r="S300" s="281"/>
      <c r="T300" s="281"/>
      <c r="U300" s="281"/>
      <c r="V300" s="281"/>
      <c r="W300" s="281"/>
      <c r="X300" s="304"/>
      <c r="Y300" s="304"/>
      <c r="Z300" s="304"/>
    </row>
    <row r="301">
      <c r="A301" s="345"/>
      <c r="B301" s="281"/>
      <c r="C301" s="281"/>
      <c r="D301" s="281"/>
      <c r="E301" s="281"/>
      <c r="F301" s="281"/>
      <c r="G301" s="329"/>
      <c r="H301" s="281"/>
      <c r="I301" s="281"/>
      <c r="J301" s="281"/>
      <c r="K301" s="281"/>
      <c r="L301" s="281"/>
      <c r="M301" s="281"/>
      <c r="N301" s="281"/>
      <c r="O301" s="281"/>
      <c r="P301" s="281"/>
      <c r="Q301" s="281"/>
      <c r="R301" s="282"/>
      <c r="S301" s="281"/>
      <c r="T301" s="281"/>
      <c r="U301" s="281"/>
      <c r="V301" s="281"/>
      <c r="W301" s="281"/>
      <c r="X301" s="304"/>
      <c r="Y301" s="304"/>
      <c r="Z301" s="304"/>
    </row>
    <row r="302">
      <c r="A302" s="345"/>
      <c r="B302" s="281"/>
      <c r="C302" s="281"/>
      <c r="D302" s="281"/>
      <c r="E302" s="281"/>
      <c r="F302" s="281"/>
      <c r="G302" s="326"/>
      <c r="H302" s="281"/>
      <c r="I302" s="281"/>
      <c r="J302" s="281"/>
      <c r="K302" s="281"/>
      <c r="L302" s="281"/>
      <c r="M302" s="281"/>
      <c r="N302" s="281"/>
      <c r="O302" s="281"/>
      <c r="P302" s="281"/>
      <c r="Q302" s="281"/>
      <c r="R302" s="282"/>
      <c r="S302" s="281"/>
      <c r="T302" s="281"/>
      <c r="U302" s="281"/>
      <c r="V302" s="281"/>
      <c r="W302" s="281"/>
      <c r="X302" s="304"/>
      <c r="Y302" s="304"/>
      <c r="Z302" s="304"/>
    </row>
    <row r="303">
      <c r="A303" s="345"/>
      <c r="B303" s="281"/>
      <c r="C303" s="281"/>
      <c r="D303" s="281"/>
      <c r="E303" s="281"/>
      <c r="F303" s="281"/>
      <c r="G303" s="326"/>
      <c r="H303" s="281"/>
      <c r="I303" s="281"/>
      <c r="J303" s="281"/>
      <c r="K303" s="281"/>
      <c r="L303" s="281"/>
      <c r="M303" s="281"/>
      <c r="N303" s="281"/>
      <c r="O303" s="281"/>
      <c r="P303" s="281"/>
      <c r="Q303" s="281"/>
      <c r="R303" s="282"/>
      <c r="S303" s="281"/>
      <c r="T303" s="281"/>
      <c r="U303" s="281"/>
      <c r="V303" s="281"/>
      <c r="W303" s="281"/>
      <c r="X303" s="304"/>
      <c r="Y303" s="304"/>
      <c r="Z303" s="304"/>
    </row>
    <row r="304">
      <c r="A304" s="345"/>
      <c r="B304" s="281"/>
      <c r="C304" s="281"/>
      <c r="D304" s="281"/>
      <c r="E304" s="281"/>
      <c r="F304" s="281"/>
      <c r="G304" s="326"/>
      <c r="H304" s="281"/>
      <c r="I304" s="281"/>
      <c r="J304" s="281"/>
      <c r="K304" s="281"/>
      <c r="L304" s="281"/>
      <c r="M304" s="281"/>
      <c r="N304" s="281"/>
      <c r="O304" s="281"/>
      <c r="P304" s="281"/>
      <c r="Q304" s="281"/>
      <c r="R304" s="282"/>
      <c r="S304" s="281"/>
      <c r="T304" s="281"/>
      <c r="U304" s="281"/>
      <c r="V304" s="281"/>
      <c r="W304" s="281"/>
      <c r="X304" s="304"/>
      <c r="Y304" s="304"/>
      <c r="Z304" s="304"/>
    </row>
    <row r="305">
      <c r="A305" s="345"/>
      <c r="B305" s="281"/>
      <c r="C305" s="281"/>
      <c r="D305" s="281"/>
      <c r="E305" s="281"/>
      <c r="F305" s="281"/>
      <c r="G305" s="326"/>
      <c r="H305" s="281"/>
      <c r="I305" s="281"/>
      <c r="J305" s="281"/>
      <c r="K305" s="281"/>
      <c r="L305" s="281"/>
      <c r="M305" s="281"/>
      <c r="N305" s="281"/>
      <c r="O305" s="281"/>
      <c r="P305" s="281"/>
      <c r="Q305" s="281"/>
      <c r="R305" s="282"/>
      <c r="S305" s="281"/>
      <c r="T305" s="281"/>
      <c r="U305" s="281"/>
      <c r="V305" s="281"/>
      <c r="W305" s="281"/>
      <c r="X305" s="304"/>
      <c r="Y305" s="304"/>
      <c r="Z305" s="304"/>
    </row>
    <row r="306">
      <c r="A306" s="345"/>
      <c r="B306" s="281"/>
      <c r="C306" s="281"/>
      <c r="D306" s="281"/>
      <c r="E306" s="281"/>
      <c r="F306" s="281"/>
      <c r="G306" s="281"/>
      <c r="H306" s="281"/>
      <c r="I306" s="281"/>
      <c r="J306" s="281"/>
      <c r="K306" s="281"/>
      <c r="L306" s="281"/>
      <c r="M306" s="281"/>
      <c r="N306" s="281"/>
      <c r="O306" s="281"/>
      <c r="P306" s="281"/>
      <c r="Q306" s="281"/>
      <c r="R306" s="282"/>
      <c r="S306" s="281"/>
      <c r="T306" s="281"/>
      <c r="U306" s="281"/>
      <c r="V306" s="281"/>
      <c r="W306" s="281"/>
      <c r="X306" s="304"/>
      <c r="Y306" s="304"/>
      <c r="Z306" s="304"/>
    </row>
    <row r="307">
      <c r="A307" s="345"/>
      <c r="B307" s="281"/>
      <c r="C307" s="281"/>
      <c r="D307" s="281"/>
      <c r="E307" s="281"/>
      <c r="F307" s="281"/>
      <c r="G307" s="281"/>
      <c r="H307" s="281"/>
      <c r="I307" s="281"/>
      <c r="J307" s="281"/>
      <c r="K307" s="281"/>
      <c r="L307" s="281"/>
      <c r="M307" s="281"/>
      <c r="N307" s="281"/>
      <c r="O307" s="281"/>
      <c r="P307" s="281"/>
      <c r="Q307" s="281"/>
      <c r="R307" s="282"/>
      <c r="S307" s="281"/>
      <c r="T307" s="281"/>
      <c r="U307" s="281"/>
      <c r="V307" s="281"/>
      <c r="W307" s="281"/>
      <c r="X307" s="304"/>
      <c r="Y307" s="304"/>
      <c r="Z307" s="304"/>
    </row>
    <row r="308">
      <c r="A308" s="345"/>
      <c r="B308" s="281"/>
      <c r="C308" s="281"/>
      <c r="D308" s="281"/>
      <c r="E308" s="281"/>
      <c r="F308" s="281"/>
      <c r="G308" s="281"/>
      <c r="H308" s="281"/>
      <c r="I308" s="281"/>
      <c r="J308" s="281"/>
      <c r="K308" s="281"/>
      <c r="L308" s="281"/>
      <c r="M308" s="281"/>
      <c r="N308" s="281"/>
      <c r="O308" s="281"/>
      <c r="P308" s="281"/>
      <c r="Q308" s="281"/>
      <c r="R308" s="282"/>
      <c r="S308" s="281"/>
      <c r="T308" s="281"/>
      <c r="U308" s="281"/>
      <c r="V308" s="281"/>
      <c r="W308" s="281"/>
      <c r="X308" s="304"/>
      <c r="Y308" s="304"/>
      <c r="Z308" s="304"/>
    </row>
    <row r="309">
      <c r="A309" s="345"/>
      <c r="B309" s="281"/>
      <c r="C309" s="281"/>
      <c r="D309" s="281"/>
      <c r="E309" s="281"/>
      <c r="F309" s="281"/>
      <c r="G309" s="281"/>
      <c r="H309" s="281"/>
      <c r="I309" s="281"/>
      <c r="J309" s="281"/>
      <c r="K309" s="281"/>
      <c r="L309" s="281"/>
      <c r="M309" s="281"/>
      <c r="N309" s="281"/>
      <c r="O309" s="281"/>
      <c r="P309" s="281"/>
      <c r="Q309" s="281"/>
      <c r="R309" s="282"/>
      <c r="S309" s="281"/>
      <c r="T309" s="281"/>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1"/>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2"/>
      <c r="S311" s="281"/>
      <c r="T311" s="281"/>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2"/>
      <c r="S312" s="281"/>
      <c r="T312" s="281"/>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2"/>
      <c r="S313" s="281"/>
      <c r="T313" s="281"/>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2"/>
      <c r="S314" s="281"/>
      <c r="T314" s="281"/>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2"/>
      <c r="S315" s="281"/>
      <c r="T315" s="281"/>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2"/>
      <c r="S316" s="281"/>
      <c r="T316" s="281"/>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2"/>
      <c r="S317" s="281"/>
      <c r="T317" s="281"/>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2"/>
      <c r="S318" s="281"/>
      <c r="T318" s="281"/>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2"/>
      <c r="S319" s="281"/>
      <c r="T319" s="281"/>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2"/>
      <c r="S320" s="281"/>
      <c r="T320" s="281"/>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2"/>
      <c r="S321" s="281"/>
      <c r="T321" s="281"/>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2"/>
      <c r="S322" s="281"/>
      <c r="T322" s="281"/>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2"/>
      <c r="S323" s="281"/>
      <c r="T323" s="281"/>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2"/>
      <c r="S324" s="281"/>
      <c r="T324" s="281"/>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2"/>
      <c r="S325" s="281"/>
      <c r="T325" s="281"/>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2"/>
      <c r="S326" s="281"/>
      <c r="T326" s="281"/>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2"/>
      <c r="S327" s="281"/>
      <c r="T327" s="281"/>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2"/>
      <c r="S328" s="281"/>
      <c r="T328" s="281"/>
      <c r="U328" s="281"/>
      <c r="V328" s="281"/>
      <c r="W328" s="281"/>
      <c r="X328" s="304"/>
      <c r="Y328" s="304"/>
      <c r="Z328" s="304"/>
    </row>
    <row r="329">
      <c r="A329" s="345"/>
      <c r="B329" s="281"/>
      <c r="C329" s="281"/>
      <c r="D329" s="281"/>
      <c r="E329" s="281"/>
      <c r="F329" s="281"/>
      <c r="G329" s="281"/>
      <c r="H329" s="281"/>
      <c r="I329" s="281"/>
      <c r="J329" s="281"/>
      <c r="K329" s="281"/>
      <c r="L329" s="281"/>
      <c r="M329" s="281"/>
      <c r="N329" s="281"/>
      <c r="O329" s="281"/>
      <c r="P329" s="281"/>
      <c r="Q329" s="281"/>
      <c r="R329" s="281"/>
      <c r="S329" s="281"/>
      <c r="T329" s="281"/>
      <c r="U329" s="281"/>
      <c r="V329" s="281"/>
      <c r="W329" s="281"/>
      <c r="X329" s="304"/>
      <c r="Y329" s="304"/>
      <c r="Z329" s="304"/>
    </row>
    <row r="330">
      <c r="A330" s="345"/>
      <c r="B330" s="281"/>
      <c r="C330" s="281"/>
      <c r="D330" s="281"/>
      <c r="E330" s="281"/>
      <c r="F330" s="281"/>
      <c r="G330" s="281"/>
      <c r="H330" s="281"/>
      <c r="I330" s="281"/>
      <c r="J330" s="281"/>
      <c r="K330" s="281"/>
      <c r="L330" s="281"/>
      <c r="M330" s="281"/>
      <c r="N330" s="281"/>
      <c r="O330" s="281"/>
      <c r="P330" s="281"/>
      <c r="Q330" s="281"/>
      <c r="R330" s="281"/>
      <c r="S330" s="281"/>
      <c r="T330" s="281"/>
      <c r="U330" s="281"/>
      <c r="V330" s="281"/>
      <c r="W330" s="281"/>
      <c r="X330" s="304"/>
      <c r="Y330" s="304"/>
      <c r="Z330" s="304"/>
    </row>
    <row r="331">
      <c r="A331" s="345"/>
      <c r="B331" s="281"/>
      <c r="C331" s="281"/>
      <c r="D331" s="281"/>
      <c r="E331" s="281"/>
      <c r="F331" s="281"/>
      <c r="G331" s="281"/>
      <c r="H331" s="281"/>
      <c r="I331" s="281"/>
      <c r="J331" s="281"/>
      <c r="K331" s="281"/>
      <c r="L331" s="281"/>
      <c r="M331" s="281"/>
      <c r="N331" s="281"/>
      <c r="O331" s="281"/>
      <c r="P331" s="281"/>
      <c r="Q331" s="281"/>
      <c r="R331" s="281"/>
      <c r="S331" s="281"/>
      <c r="T331" s="281"/>
      <c r="U331" s="281"/>
      <c r="V331" s="281"/>
      <c r="W331" s="281"/>
      <c r="X331" s="304"/>
      <c r="Y331" s="304"/>
      <c r="Z331" s="304"/>
    </row>
    <row r="332">
      <c r="A332" s="345"/>
      <c r="B332" s="281"/>
      <c r="C332" s="281"/>
      <c r="D332" s="281"/>
      <c r="E332" s="281"/>
      <c r="F332" s="281"/>
      <c r="G332" s="281"/>
      <c r="H332" s="281"/>
      <c r="I332" s="281"/>
      <c r="J332" s="281"/>
      <c r="K332" s="281"/>
      <c r="L332" s="281"/>
      <c r="M332" s="281"/>
      <c r="N332" s="281"/>
      <c r="O332" s="281"/>
      <c r="P332" s="281"/>
      <c r="Q332" s="281"/>
      <c r="R332" s="281"/>
      <c r="S332" s="281"/>
      <c r="T332" s="281"/>
      <c r="U332" s="281"/>
      <c r="V332" s="281"/>
      <c r="W332" s="281"/>
      <c r="X332" s="304"/>
      <c r="Y332" s="304"/>
      <c r="Z332" s="304"/>
    </row>
    <row r="333">
      <c r="A333" s="345"/>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304"/>
      <c r="Y333" s="304"/>
      <c r="Z333" s="304"/>
    </row>
    <row r="334">
      <c r="A334" s="345"/>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304"/>
      <c r="Y334" s="304"/>
      <c r="Z334" s="304"/>
    </row>
    <row r="335">
      <c r="A335" s="345"/>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304"/>
      <c r="Y335" s="304"/>
      <c r="Z335" s="304"/>
    </row>
    <row r="336">
      <c r="A336" s="345"/>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304"/>
      <c r="Y336" s="304"/>
      <c r="Z336" s="304"/>
    </row>
    <row r="337">
      <c r="A337" s="345"/>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304"/>
      <c r="Y337" s="304"/>
      <c r="Z337" s="304"/>
    </row>
    <row r="338">
      <c r="A338" s="345"/>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304"/>
      <c r="Y338" s="304"/>
      <c r="Z338" s="304"/>
    </row>
    <row r="339">
      <c r="A339" s="345"/>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304"/>
      <c r="Y339" s="304"/>
      <c r="Z339" s="304"/>
    </row>
    <row r="340">
      <c r="A340" s="345"/>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304"/>
      <c r="Y340" s="304"/>
      <c r="Z340" s="304"/>
    </row>
    <row r="341">
      <c r="A341" s="345"/>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304"/>
      <c r="Y341" s="304"/>
      <c r="Z341" s="304"/>
    </row>
    <row r="342">
      <c r="A342" s="345"/>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304"/>
      <c r="Y342" s="304"/>
      <c r="Z342" s="304"/>
    </row>
    <row r="343">
      <c r="A343" s="345"/>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304"/>
      <c r="Y343" s="304"/>
      <c r="Z343" s="304"/>
    </row>
    <row r="344">
      <c r="A344" s="345"/>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304"/>
      <c r="Y344" s="304"/>
      <c r="Z344" s="304"/>
    </row>
    <row r="345">
      <c r="A345" s="345"/>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304"/>
      <c r="Y345" s="304"/>
      <c r="Z345" s="304"/>
    </row>
    <row r="346">
      <c r="A346" s="345"/>
      <c r="B346" s="281"/>
      <c r="C346" s="281"/>
      <c r="D346" s="281"/>
      <c r="E346" s="281"/>
      <c r="F346" s="281"/>
      <c r="G346" s="281"/>
      <c r="H346" s="281"/>
      <c r="I346" s="281"/>
      <c r="J346" s="281"/>
      <c r="K346" s="281"/>
      <c r="L346" s="281"/>
      <c r="M346" s="281"/>
      <c r="N346" s="281"/>
      <c r="O346" s="281"/>
      <c r="P346" s="281"/>
      <c r="Q346" s="281"/>
      <c r="R346" s="281"/>
      <c r="S346" s="281"/>
      <c r="T346" s="281"/>
      <c r="U346" s="281"/>
      <c r="V346" s="281"/>
      <c r="W346" s="281"/>
      <c r="X346" s="304"/>
      <c r="Y346" s="304"/>
      <c r="Z346" s="304"/>
    </row>
  </sheetData>
  <conditionalFormatting sqref="D1">
    <cfRule type="notContainsBlanks" dxfId="0" priority="1">
      <formula>LEN(TRIM(D1))&gt;0</formula>
    </cfRule>
  </conditionalFormatting>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79C6E"/>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6.86"/>
    <col customWidth="1" min="3" max="3" width="49.43"/>
    <col customWidth="1" min="4" max="4" width="19.0"/>
    <col customWidth="1" min="5" max="5" width="6.14"/>
    <col customWidth="1" min="6" max="6" width="9.14"/>
    <col customWidth="1" min="7" max="7" width="5.14"/>
    <col customWidth="1" min="8" max="8" width="10.0"/>
    <col customWidth="1" min="9" max="9" width="5.14"/>
    <col customWidth="1" min="10" max="10" width="10.29"/>
    <col customWidth="1" min="11" max="11" width="7.29"/>
    <col customWidth="1" min="12" max="12" width="11.29"/>
    <col customWidth="1" min="13" max="13" width="15.43"/>
    <col customWidth="1" min="14" max="14" width="5.29"/>
    <col customWidth="1" min="15" max="15" width="5.71"/>
    <col customWidth="1" min="16" max="16" width="7.71"/>
    <col customWidth="1" min="17" max="17" width="8.14"/>
    <col customWidth="1" min="18" max="19" width="16.86"/>
    <col customWidth="1" min="20" max="20" width="16.71"/>
    <col customWidth="1" min="21" max="21" width="103.29"/>
    <col customWidth="1" min="22" max="22" width="40.86"/>
    <col customWidth="1" min="24" max="24" width="24.29"/>
    <col customWidth="1" min="25" max="25" width="20.57"/>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1495</v>
      </c>
      <c r="T1" s="224" t="s">
        <v>1173</v>
      </c>
      <c r="U1" s="224" t="s">
        <v>615</v>
      </c>
    </row>
    <row r="2" ht="20.25" customHeight="1">
      <c r="A2" s="278"/>
      <c r="B2" s="399" t="s">
        <v>1496</v>
      </c>
      <c r="C2" s="280"/>
      <c r="D2" s="280"/>
      <c r="E2" s="281"/>
      <c r="F2" s="281"/>
      <c r="G2" s="281"/>
      <c r="H2" s="281"/>
      <c r="I2" s="281"/>
      <c r="J2" s="281"/>
      <c r="K2" s="281"/>
      <c r="L2" s="281"/>
      <c r="M2" s="281"/>
      <c r="N2" s="280"/>
      <c r="O2" s="280"/>
      <c r="P2" s="280"/>
      <c r="Q2" s="280"/>
      <c r="R2" s="282"/>
      <c r="S2" s="282"/>
      <c r="T2" s="281"/>
      <c r="U2" s="285"/>
      <c r="V2" s="249"/>
      <c r="W2" s="236"/>
      <c r="X2" s="281"/>
    </row>
    <row r="3">
      <c r="A3" s="272"/>
      <c r="B3" s="376" t="s">
        <v>1497</v>
      </c>
      <c r="C3" s="280"/>
      <c r="D3" s="280"/>
      <c r="E3" s="281"/>
      <c r="F3" s="281"/>
      <c r="G3" s="281"/>
      <c r="H3" s="281"/>
      <c r="I3" s="281"/>
      <c r="J3" s="281"/>
      <c r="K3" s="281"/>
      <c r="L3" s="281"/>
      <c r="M3" s="281"/>
      <c r="N3" s="281"/>
      <c r="O3" s="281"/>
      <c r="P3" s="281"/>
      <c r="Q3" s="281"/>
      <c r="R3" s="282"/>
      <c r="S3" s="282"/>
      <c r="T3" s="281"/>
      <c r="U3" s="285"/>
      <c r="V3" s="249"/>
      <c r="W3" s="236"/>
      <c r="X3" s="281"/>
    </row>
    <row r="4">
      <c r="A4" s="286" t="s">
        <v>619</v>
      </c>
      <c r="B4" s="379" t="s">
        <v>1498</v>
      </c>
      <c r="C4" s="280"/>
      <c r="D4" s="280"/>
      <c r="E4" s="281"/>
      <c r="F4" s="281"/>
      <c r="G4" s="281"/>
      <c r="H4" s="281"/>
      <c r="I4" s="281"/>
      <c r="J4" s="281"/>
      <c r="K4" s="281"/>
      <c r="L4" s="281"/>
      <c r="M4" s="281"/>
      <c r="N4" s="281"/>
      <c r="O4" s="281"/>
      <c r="P4" s="281"/>
      <c r="Q4" s="281"/>
      <c r="R4" s="282"/>
      <c r="S4" s="282"/>
      <c r="T4" s="281"/>
      <c r="U4" s="285"/>
      <c r="V4" s="249"/>
      <c r="W4" s="236"/>
      <c r="X4" s="281"/>
    </row>
    <row r="5">
      <c r="A5" s="137" t="s">
        <v>627</v>
      </c>
      <c r="B5" s="296" t="s">
        <v>628</v>
      </c>
      <c r="C5" s="297" t="s">
        <v>629</v>
      </c>
      <c r="D5" s="293">
        <f>ROUND((F5*'Pawn Weights'!$B$3)+(G5*'Pawn Weights'!$B$4)+(H5*'Pawn Weights'!$B$5)+(I5*'Pawn Weights'!$B$6)+(J5*'Pawn Weights'!$B$7)+(K5*'Pawn Weights'!$B$8)+(L5*'Pawn Weights'!$B$9)+(M5*'Pawn Weights'!$B$10)+(N5*'Pawn Weights'!$B$11)+(O5*'Pawn Weights'!$B$12)+(P5*'Pawn Weights'!$B$13)+(Q5*'Pawn Weights'!$B$14), 2)</f>
        <v>170.82</v>
      </c>
      <c r="E5" s="359">
        <v>47.0</v>
      </c>
      <c r="F5" s="359">
        <v>62.0</v>
      </c>
      <c r="G5" s="137"/>
      <c r="H5" s="137"/>
      <c r="I5" s="359">
        <v>51.0</v>
      </c>
      <c r="J5" s="359">
        <v>26.0</v>
      </c>
      <c r="K5" s="137"/>
      <c r="L5" s="137"/>
      <c r="M5" s="137"/>
      <c r="N5" s="359">
        <v>1.0</v>
      </c>
      <c r="O5" s="137"/>
      <c r="P5" s="137"/>
      <c r="Q5" s="359">
        <v>1.0</v>
      </c>
      <c r="R5" s="359" t="s">
        <v>624</v>
      </c>
      <c r="S5" s="137"/>
      <c r="T5" s="361" t="s">
        <v>630</v>
      </c>
      <c r="U5" s="137"/>
      <c r="V5" s="295"/>
      <c r="W5" s="295"/>
      <c r="X5" s="137"/>
      <c r="Y5" s="137"/>
      <c r="Z5" s="137"/>
    </row>
    <row r="6">
      <c r="A6" s="137" t="s">
        <v>635</v>
      </c>
      <c r="B6" s="296" t="s">
        <v>636</v>
      </c>
      <c r="C6" s="297" t="s">
        <v>637</v>
      </c>
      <c r="D6" s="293">
        <f>ROUND((F6*'Pawn Weights'!$B$3)+(G6*'Pawn Weights'!$B$4)+(H6*'Pawn Weights'!$B$5)+(I6*'Pawn Weights'!$B$6)+(J6*'Pawn Weights'!$B$7)+(K6*'Pawn Weights'!$B$8)+(L6*'Pawn Weights'!$B$9)+(M6*'Pawn Weights'!$B$10)+(N6*'Pawn Weights'!$B$11)+(O6*'Pawn Weights'!$B$12)+(P6*'Pawn Weights'!$B$13)+(Q6*'Pawn Weights'!$B$14)-8+7.68+3.68, 2)</f>
        <v>155.38</v>
      </c>
      <c r="E6" s="359">
        <v>68.0</v>
      </c>
      <c r="F6" s="359">
        <v>45.0</v>
      </c>
      <c r="G6" s="361"/>
      <c r="H6" s="361"/>
      <c r="I6" s="359">
        <v>41.0</v>
      </c>
      <c r="J6" s="359">
        <v>18.0</v>
      </c>
      <c r="K6" s="361"/>
      <c r="L6" s="361"/>
      <c r="M6" s="359">
        <v>84.0</v>
      </c>
      <c r="N6" s="359">
        <v>1.0</v>
      </c>
      <c r="O6" s="361"/>
      <c r="P6" s="359">
        <v>1.0</v>
      </c>
      <c r="Q6" s="361"/>
      <c r="R6" s="359" t="s">
        <v>624</v>
      </c>
      <c r="S6" s="137"/>
      <c r="T6" s="361"/>
      <c r="U6" s="137"/>
      <c r="V6" s="295"/>
      <c r="W6" s="295"/>
      <c r="X6" s="137"/>
      <c r="Y6" s="137"/>
      <c r="Z6" s="137"/>
    </row>
    <row r="7">
      <c r="A7" s="137" t="s">
        <v>644</v>
      </c>
      <c r="B7" s="296" t="s">
        <v>645</v>
      </c>
      <c r="C7" s="297" t="s">
        <v>646</v>
      </c>
      <c r="D7" s="293">
        <f>ROUND((F7*'Pawn Weights'!$B$3)+(G7*'Pawn Weights'!$B$4)+(H7*'Pawn Weights'!$B$5)+(I7*'Pawn Weights'!$B$6)+(J7*'Pawn Weights'!$B$7)+(K7*'Pawn Weights'!$B$8)+(L7*'Pawn Weights'!$B$9)+(M7*'Pawn Weights'!$B$10)+(N7*'Pawn Weights'!$B$11)+(O7*'Pawn Weights'!$B$12)+(P7*'Pawn Weights'!$B$13)+(Q7*'Pawn Weights'!$B$14)-8+7.68+3.68, 2)</f>
        <v>139.96</v>
      </c>
      <c r="E7" s="359">
        <v>61.0</v>
      </c>
      <c r="F7" s="359">
        <v>39.0</v>
      </c>
      <c r="G7" s="361"/>
      <c r="H7" s="361"/>
      <c r="I7" s="359">
        <v>35.0</v>
      </c>
      <c r="J7" s="359">
        <v>12.0</v>
      </c>
      <c r="K7" s="361"/>
      <c r="L7" s="361"/>
      <c r="M7" s="359">
        <v>84.0</v>
      </c>
      <c r="N7" s="359">
        <v>1.0</v>
      </c>
      <c r="O7" s="361"/>
      <c r="P7" s="359">
        <v>1.0</v>
      </c>
      <c r="Q7" s="361"/>
      <c r="R7" s="359" t="s">
        <v>624</v>
      </c>
      <c r="S7" s="137"/>
      <c r="T7" s="361"/>
      <c r="U7" s="137"/>
      <c r="V7" s="295"/>
      <c r="W7" s="295"/>
      <c r="X7" s="137"/>
      <c r="Y7" s="137"/>
      <c r="Z7" s="137"/>
    </row>
    <row r="8">
      <c r="A8" s="25" t="s">
        <v>647</v>
      </c>
      <c r="B8" s="288" t="s">
        <v>648</v>
      </c>
      <c r="C8" s="280" t="s">
        <v>649</v>
      </c>
      <c r="D8" s="293">
        <f>ROUND((F8*'Pawn Weights'!$B$3)+(G8*'Pawn Weights'!$B$4)+(H8*'Pawn Weights'!$B$5)+(I8*'Pawn Weights'!$B$6)+(J8*'Pawn Weights'!$B$7)+(K8*'Pawn Weights'!$B$8)+(L8*'Pawn Weights'!$B$9)+(M8*'Pawn Weights'!$B$10)+(N8*'Pawn Weights'!$B$11)+(O8*'Pawn Weights'!$B$12)+(P8*'Pawn Weights'!$B$13)+(Q8*'Pawn Weights'!$B$14), 2)</f>
        <v>138.77</v>
      </c>
      <c r="E8" s="280">
        <v>45.0</v>
      </c>
      <c r="F8" s="280">
        <v>47.0</v>
      </c>
      <c r="G8" s="280"/>
      <c r="H8" s="280"/>
      <c r="I8" s="280">
        <v>36.0</v>
      </c>
      <c r="J8" s="280">
        <v>21.0</v>
      </c>
      <c r="K8" s="280"/>
      <c r="L8" s="280"/>
      <c r="M8" s="281"/>
      <c r="N8" s="280">
        <v>1.0</v>
      </c>
      <c r="O8" s="280"/>
      <c r="P8" s="280"/>
      <c r="Q8" s="280">
        <v>1.0</v>
      </c>
      <c r="R8" s="298" t="s">
        <v>643</v>
      </c>
      <c r="S8" s="290"/>
      <c r="T8" s="281"/>
      <c r="U8" s="291"/>
      <c r="V8" s="249"/>
      <c r="W8" s="236"/>
      <c r="X8" s="281"/>
    </row>
    <row r="9">
      <c r="A9" s="292" t="s">
        <v>627</v>
      </c>
      <c r="B9" s="288" t="s">
        <v>652</v>
      </c>
      <c r="C9" s="154" t="s">
        <v>653</v>
      </c>
      <c r="D9" s="293">
        <f>ROUND((F9*'Pawn Weights'!$B$3)+(G9*'Pawn Weights'!$B$4)+(H9*'Pawn Weights'!$B$5)+(I9*'Pawn Weights'!$B$6)+(J9*'Pawn Weights'!$B$7)+(K9*'Pawn Weights'!$B$8)+(L9*'Pawn Weights'!$B$9)+(M9*'Pawn Weights'!$B$10)+(N9*'Pawn Weights'!$B$11)+(O9*'Pawn Weights'!$B$12)+(P9*'Pawn Weights'!$B$13)+(Q9*'Pawn Weights'!$B$14), 2)</f>
        <v>136.41</v>
      </c>
      <c r="E9" s="280">
        <v>28.0</v>
      </c>
      <c r="F9" s="280">
        <v>48.0</v>
      </c>
      <c r="G9" s="280"/>
      <c r="H9" s="280"/>
      <c r="I9" s="280">
        <v>38.0</v>
      </c>
      <c r="J9" s="280">
        <v>13.0</v>
      </c>
      <c r="K9" s="280"/>
      <c r="L9" s="280"/>
      <c r="M9" s="281"/>
      <c r="N9" s="280">
        <v>1.0</v>
      </c>
      <c r="O9" s="280"/>
      <c r="P9" s="280"/>
      <c r="Q9" s="280">
        <v>1.0</v>
      </c>
      <c r="R9" s="298" t="s">
        <v>624</v>
      </c>
      <c r="S9" s="290"/>
      <c r="T9" s="281"/>
      <c r="U9" s="291"/>
      <c r="V9" s="249"/>
      <c r="W9" s="236"/>
      <c r="X9" s="281"/>
    </row>
    <row r="10">
      <c r="A10" s="25" t="s">
        <v>654</v>
      </c>
      <c r="B10" s="288" t="s">
        <v>655</v>
      </c>
      <c r="C10" s="280" t="s">
        <v>656</v>
      </c>
      <c r="D10" s="293">
        <f>ROUND((F10*'Pawn Weights'!$B$3)+(G10*'Pawn Weights'!$B$4)+(H10*'Pawn Weights'!$B$5)+(I10*'Pawn Weights'!$B$6)+(J10*'Pawn Weights'!$B$7)+(K10*'Pawn Weights'!$B$8)+(L10*'Pawn Weights'!$B$9)+(M10*'Pawn Weights'!$B$10)+(N10*'Pawn Weights'!$B$11)+(O10*'Pawn Weights'!$B$12)+(P10*'Pawn Weights'!$B$13)+(Q10*'Pawn Weights'!$B$14)-8+7.68+2.6, 2)</f>
        <v>123.46</v>
      </c>
      <c r="E10" s="280">
        <v>45.0</v>
      </c>
      <c r="F10" s="280">
        <v>45.0</v>
      </c>
      <c r="G10" s="280"/>
      <c r="H10" s="280"/>
      <c r="I10" s="280">
        <v>24.0</v>
      </c>
      <c r="J10" s="280">
        <v>14.0</v>
      </c>
      <c r="K10" s="280"/>
      <c r="L10" s="280"/>
      <c r="M10" s="281"/>
      <c r="N10" s="280">
        <v>1.0</v>
      </c>
      <c r="O10" s="280"/>
      <c r="P10" s="280">
        <v>1.0</v>
      </c>
      <c r="Q10" s="280"/>
      <c r="R10" s="298" t="s">
        <v>626</v>
      </c>
      <c r="S10" s="290"/>
      <c r="T10" s="281"/>
      <c r="U10" s="291"/>
      <c r="V10" s="249"/>
      <c r="W10" s="236"/>
      <c r="X10" s="281"/>
    </row>
    <row r="11">
      <c r="A11" s="25" t="s">
        <v>1068</v>
      </c>
      <c r="B11" s="288" t="s">
        <v>1069</v>
      </c>
      <c r="C11" s="280" t="s">
        <v>1070</v>
      </c>
      <c r="D11" s="293">
        <f>ROUND((F11*'Pawn Weights'!$B$3)+(G11*'Pawn Weights'!$B$4)+(H11*'Pawn Weights'!$B$5)+(I11*'Pawn Weights'!$B$6)+(J11*'Pawn Weights'!$B$7)+(K11*'Pawn Weights'!$B$8)+(L11*'Pawn Weights'!$B$9)+(M11*'Pawn Weights'!$B$10)+(N11*'Pawn Weights'!$B$11)+(O11*'Pawn Weights'!$B$12)+(P11*'Pawn Weights'!$B$13)+(Q11*'Pawn Weights'!$B$14)-8+7.68+4, 2)</f>
        <v>121.3</v>
      </c>
      <c r="E11" s="280">
        <v>54.0</v>
      </c>
      <c r="F11" s="280">
        <v>35.0</v>
      </c>
      <c r="G11" s="280"/>
      <c r="H11" s="280"/>
      <c r="I11" s="280">
        <v>31.0</v>
      </c>
      <c r="J11" s="280">
        <v>14.0</v>
      </c>
      <c r="K11" s="280"/>
      <c r="L11" s="280"/>
      <c r="M11" s="281"/>
      <c r="N11" s="280">
        <v>1.0</v>
      </c>
      <c r="O11" s="280"/>
      <c r="P11" s="280">
        <v>1.0</v>
      </c>
      <c r="Q11" s="280"/>
      <c r="R11" s="298" t="s">
        <v>643</v>
      </c>
      <c r="S11" s="290"/>
      <c r="T11" s="281"/>
      <c r="U11" s="291" t="s">
        <v>1071</v>
      </c>
      <c r="V11" s="249"/>
      <c r="W11" s="236"/>
      <c r="X11" s="281"/>
    </row>
    <row r="12" ht="14.25" customHeight="1">
      <c r="A12" s="25"/>
      <c r="B12" s="288" t="s">
        <v>1184</v>
      </c>
      <c r="C12" s="280" t="s">
        <v>1185</v>
      </c>
      <c r="D12" s="293">
        <f>ROUND((F12*'Pawn Weights'!$B$3)+(G12*'Pawn Weights'!$B$4)+(H12*'Pawn Weights'!$B$5)+(I12*'Pawn Weights'!$B$6)+(J12*'Pawn Weights'!$B$7)+(K12*'Pawn Weights'!$B$8)+(L12*'Pawn Weights'!$B$9)+(M12*'Pawn Weights'!$B$10)+(N12*'Pawn Weights'!$B$11)+(O12*'Pawn Weights'!$B$12)+(P12*'Pawn Weights'!$B$13)+(Q12*'Pawn Weights'!$B$14)-8+7.68+2.708, 2)</f>
        <v>108.54</v>
      </c>
      <c r="E12" s="280">
        <v>36.0</v>
      </c>
      <c r="F12" s="280"/>
      <c r="G12" s="280">
        <v>32.0</v>
      </c>
      <c r="H12" s="280">
        <v>64.0</v>
      </c>
      <c r="I12" s="280"/>
      <c r="J12" s="280">
        <v>16.0</v>
      </c>
      <c r="K12" s="280"/>
      <c r="L12" s="280"/>
      <c r="M12" s="281"/>
      <c r="N12" s="280">
        <v>1.0</v>
      </c>
      <c r="O12" s="280"/>
      <c r="P12" s="280">
        <v>1.0</v>
      </c>
      <c r="Q12" s="280"/>
      <c r="R12" s="316" t="s">
        <v>622</v>
      </c>
      <c r="S12" s="290"/>
      <c r="T12" s="281"/>
      <c r="U12" s="291"/>
      <c r="V12" s="249"/>
      <c r="W12" s="236"/>
      <c r="X12" s="281"/>
    </row>
    <row r="13">
      <c r="A13" s="25"/>
      <c r="B13" s="288" t="s">
        <v>1397</v>
      </c>
      <c r="C13" s="280" t="s">
        <v>1195</v>
      </c>
      <c r="D13" s="293">
        <f>ROUND((F13*'Pawn Weights'!$B$3)+(G13*'Pawn Weights'!$B$4)+(H13*'Pawn Weights'!$B$5)+(I13*'Pawn Weights'!$B$6)+(J13*'Pawn Weights'!$B$7)+(K13*'Pawn Weights'!$B$8)+(L13*'Pawn Weights'!$B$9)+(M13*'Pawn Weights'!$B$10)+(N13*'Pawn Weights'!$B$11)+(O13*'Pawn Weights'!$B$12)+(P13*'Pawn Weights'!$B$13)+(Q13*'Pawn Weights'!$B$14), 2)</f>
        <v>105.98</v>
      </c>
      <c r="E13" s="280">
        <v>46.0</v>
      </c>
      <c r="F13" s="280">
        <v>46.0</v>
      </c>
      <c r="G13" s="280"/>
      <c r="H13" s="280"/>
      <c r="I13" s="280">
        <v>44.0</v>
      </c>
      <c r="J13" s="280">
        <v>30.0</v>
      </c>
      <c r="K13" s="280"/>
      <c r="L13" s="280"/>
      <c r="M13" s="281"/>
      <c r="N13" s="280"/>
      <c r="O13" s="280"/>
      <c r="P13" s="280"/>
      <c r="Q13" s="280"/>
      <c r="R13" s="298"/>
      <c r="S13" s="290"/>
      <c r="T13" s="281"/>
      <c r="U13" s="291"/>
      <c r="V13" s="249"/>
      <c r="W13" s="236"/>
      <c r="X13" s="281"/>
    </row>
    <row r="14" ht="14.25" customHeight="1">
      <c r="A14" s="25" t="s">
        <v>1499</v>
      </c>
      <c r="B14" s="288" t="s">
        <v>1500</v>
      </c>
      <c r="C14" s="280" t="s">
        <v>1159</v>
      </c>
      <c r="D14" s="293">
        <f>ROUND((F14*'Pawn Weights'!$B$3)+(G14*'Pawn Weights'!$B$4)+(H14*'Pawn Weights'!$B$5)+(I14*'Pawn Weights'!$B$6)+(J14*'Pawn Weights'!$B$7)+(K14*'Pawn Weights'!$B$8)+(L14*'Pawn Weights'!$B$9)+(M14*'Pawn Weights'!$B$10)+(N14*'Pawn Weights'!$B$11)+(O14*'Pawn Weights'!$B$12)+(P14*'Pawn Weights'!$B$13)+(Q14*'Pawn Weights'!$B$14)-8+7.68+4, 2)</f>
        <v>104.44</v>
      </c>
      <c r="E14" s="280">
        <v>52.0</v>
      </c>
      <c r="F14" s="280">
        <v>30.0</v>
      </c>
      <c r="G14" s="280"/>
      <c r="H14" s="280"/>
      <c r="I14" s="280">
        <v>28.0</v>
      </c>
      <c r="J14" s="280"/>
      <c r="K14" s="280"/>
      <c r="L14" s="280"/>
      <c r="M14" s="281"/>
      <c r="N14" s="280">
        <v>1.0</v>
      </c>
      <c r="O14" s="280"/>
      <c r="P14" s="280">
        <v>1.0</v>
      </c>
      <c r="Q14" s="280"/>
      <c r="R14" s="298" t="s">
        <v>643</v>
      </c>
      <c r="S14" s="290"/>
      <c r="T14" s="281"/>
      <c r="U14" s="291" t="s">
        <v>1071</v>
      </c>
      <c r="V14" s="249"/>
      <c r="W14" s="236"/>
      <c r="X14" s="249"/>
      <c r="Y14" s="25"/>
    </row>
    <row r="15">
      <c r="A15" s="25" t="s">
        <v>1439</v>
      </c>
      <c r="B15" s="311" t="s">
        <v>1501</v>
      </c>
      <c r="C15" s="280" t="s">
        <v>1502</v>
      </c>
      <c r="D15" s="293">
        <f>ROUND((F15*'Pawn Weights'!$B$3)+(G15*'Pawn Weights'!$B$4)+(H15*'Pawn Weights'!$B$5)+(I15*'Pawn Weights'!$B$6)+(J15*'Pawn Weights'!$B$7)+(K15*'Pawn Weights'!$B$8)+(L15*'Pawn Weights'!$B$9)+(M15*'Pawn Weights'!$B$10)+(N15*'Pawn Weights'!$B$11)+(O15*'Pawn Weights'!$B$12)+(P15*'Pawn Weights'!$B$13)+(Q15*'Pawn Weights'!$B$14), 2)</f>
        <v>102.39</v>
      </c>
      <c r="E15" s="280">
        <v>30.0</v>
      </c>
      <c r="F15" s="280"/>
      <c r="G15" s="280"/>
      <c r="H15" s="280">
        <v>56.0</v>
      </c>
      <c r="I15" s="280">
        <v>22.0</v>
      </c>
      <c r="J15" s="280">
        <v>18.0</v>
      </c>
      <c r="K15" s="280"/>
      <c r="L15" s="280"/>
      <c r="M15" s="281"/>
      <c r="N15" s="280">
        <v>1.0</v>
      </c>
      <c r="O15" s="280"/>
      <c r="P15" s="280"/>
      <c r="Q15" s="280">
        <v>1.0</v>
      </c>
      <c r="R15" s="316" t="s">
        <v>745</v>
      </c>
      <c r="S15" s="290"/>
      <c r="T15" s="281"/>
      <c r="U15" s="291" t="s">
        <v>1442</v>
      </c>
      <c r="V15" s="249"/>
      <c r="W15" s="236"/>
      <c r="X15" s="249"/>
    </row>
    <row r="16">
      <c r="A16" s="25"/>
      <c r="B16" s="311" t="s">
        <v>1450</v>
      </c>
      <c r="C16" s="280" t="s">
        <v>1451</v>
      </c>
      <c r="D16" s="293">
        <f>ROUND((F16*'Pawn Weights'!$B$3)+(G16*'Pawn Weights'!$B$4)+(H16*'Pawn Weights'!$B$5)+(I16*'Pawn Weights'!$B$6)+(J16*'Pawn Weights'!$B$7)+(K16*'Pawn Weights'!$B$8)+(L16*'Pawn Weights'!$B$9)+(M16*'Pawn Weights'!$B$10)+(N16*'Pawn Weights'!$B$11)+(O16*'Pawn Weights'!$B$12)+(P16*'Pawn Weights'!$B$13)+(Q16*'Pawn Weights'!$B$14), 2)</f>
        <v>101.02</v>
      </c>
      <c r="E16" s="280">
        <v>21.0</v>
      </c>
      <c r="F16" s="280"/>
      <c r="G16" s="280">
        <v>25.0</v>
      </c>
      <c r="H16" s="280">
        <v>66.0</v>
      </c>
      <c r="I16" s="280"/>
      <c r="J16" s="280">
        <v>14.0</v>
      </c>
      <c r="K16" s="280"/>
      <c r="L16" s="280"/>
      <c r="M16" s="281"/>
      <c r="N16" s="280">
        <v>1.0</v>
      </c>
      <c r="O16" s="280"/>
      <c r="P16" s="280">
        <v>1.0</v>
      </c>
      <c r="Q16" s="280"/>
      <c r="R16" s="316" t="s">
        <v>1179</v>
      </c>
      <c r="S16" s="290"/>
      <c r="T16" s="281"/>
      <c r="U16" s="291"/>
      <c r="V16" s="249"/>
      <c r="W16" s="236"/>
      <c r="X16" s="281"/>
    </row>
    <row r="17" ht="14.25" customHeight="1">
      <c r="A17" s="25"/>
      <c r="B17" s="288" t="s">
        <v>1503</v>
      </c>
      <c r="C17" s="280" t="s">
        <v>790</v>
      </c>
      <c r="D17" s="293">
        <f>ROUND((F17*'Pawn Weights'!$B$3)+(G17*'Pawn Weights'!$B$4)+(H17*'Pawn Weights'!$B$5)+(I17*'Pawn Weights'!$B$6)+(J17*'Pawn Weights'!$B$7)+(K17*'Pawn Weights'!$B$8)+(L17*'Pawn Weights'!$B$9)+(M17*'Pawn Weights'!$B$10)+(N17*'Pawn Weights'!$B$11)+(O17*'Pawn Weights'!$B$12)+(P17*'Pawn Weights'!$B$13)+(Q17*'Pawn Weights'!$B$14), 2)</f>
        <v>96.97</v>
      </c>
      <c r="E17" s="280">
        <v>45.0</v>
      </c>
      <c r="F17" s="280"/>
      <c r="G17" s="280"/>
      <c r="H17" s="280">
        <v>84.0</v>
      </c>
      <c r="I17" s="280">
        <v>42.0</v>
      </c>
      <c r="J17" s="280">
        <v>31.0</v>
      </c>
      <c r="K17" s="280"/>
      <c r="L17" s="280"/>
      <c r="M17" s="281"/>
      <c r="N17" s="280"/>
      <c r="O17" s="280"/>
      <c r="P17" s="280"/>
      <c r="Q17" s="280"/>
      <c r="R17" s="298"/>
      <c r="S17" s="290"/>
      <c r="T17" s="281"/>
      <c r="U17" s="291"/>
      <c r="V17" s="249"/>
      <c r="W17" s="236"/>
      <c r="X17" s="281"/>
    </row>
    <row r="18">
      <c r="A18" s="295"/>
      <c r="B18" s="296" t="s">
        <v>1398</v>
      </c>
      <c r="C18" s="297" t="s">
        <v>1399</v>
      </c>
      <c r="D18" s="293">
        <f>ROUND((F18*'Pawn Weights'!$B$3)+(G18*'Pawn Weights'!$B$4)+(H18*'Pawn Weights'!$B$5)+(I18*'Pawn Weights'!$B$6)+(J18*'Pawn Weights'!$B$7)+(K18*'Pawn Weights'!$B$8)+(L18*'Pawn Weights'!$B$9)+(M18*'Pawn Weights'!$B$10)+(N18*'Pawn Weights'!$B$11)+(O18*'Pawn Weights'!$B$12)+(P18*'Pawn Weights'!$B$13)+(Q18*'Pawn Weights'!$B$14), 2)</f>
        <v>91.45</v>
      </c>
      <c r="E18" s="298">
        <v>51.0</v>
      </c>
      <c r="F18" s="298">
        <v>46.0</v>
      </c>
      <c r="G18" s="295"/>
      <c r="H18" s="295"/>
      <c r="I18" s="295"/>
      <c r="J18" s="298">
        <v>33.0</v>
      </c>
      <c r="K18" s="295"/>
      <c r="L18" s="295"/>
      <c r="M18" s="137"/>
      <c r="N18" s="295"/>
      <c r="O18" s="298">
        <v>1.0</v>
      </c>
      <c r="P18" s="298">
        <v>1.0</v>
      </c>
      <c r="Q18" s="298">
        <v>1.0</v>
      </c>
      <c r="R18" s="298" t="s">
        <v>633</v>
      </c>
      <c r="S18" s="295"/>
      <c r="T18" s="361" t="s">
        <v>1400</v>
      </c>
      <c r="U18" s="295"/>
      <c r="V18" s="295"/>
      <c r="W18" s="295"/>
      <c r="X18" s="137"/>
      <c r="Y18" s="137"/>
      <c r="Z18" s="137"/>
    </row>
    <row r="19">
      <c r="A19" s="25"/>
      <c r="B19" s="311" t="s">
        <v>1504</v>
      </c>
      <c r="C19" s="280" t="s">
        <v>1505</v>
      </c>
      <c r="D19" s="293">
        <f>ROUND((F19*'Pawn Weights'!$B$3)+(G19*'Pawn Weights'!$B$4)+(H19*'Pawn Weights'!$B$5)+(I19*'Pawn Weights'!$B$6)+(J19*'Pawn Weights'!$B$7)+(K19*'Pawn Weights'!$B$8)+(L19*'Pawn Weights'!$B$9)+(M19*'Pawn Weights'!$B$10)+(N19*'Pawn Weights'!$B$11)+(O19*'Pawn Weights'!$B$12)+(P19*'Pawn Weights'!$B$13)+(Q19*'Pawn Weights'!$B$14), 2)</f>
        <v>83.53</v>
      </c>
      <c r="E19" s="280">
        <v>22.0</v>
      </c>
      <c r="F19" s="280">
        <v>29.0</v>
      </c>
      <c r="G19" s="280"/>
      <c r="H19" s="280"/>
      <c r="I19" s="280">
        <v>24.0</v>
      </c>
      <c r="J19" s="280">
        <v>13.0</v>
      </c>
      <c r="K19" s="280"/>
      <c r="L19" s="280"/>
      <c r="M19" s="281"/>
      <c r="N19" s="280"/>
      <c r="O19" s="280"/>
      <c r="P19" s="280">
        <v>2.0</v>
      </c>
      <c r="Q19" s="280">
        <v>1.0</v>
      </c>
      <c r="R19" s="298" t="s">
        <v>643</v>
      </c>
      <c r="S19" s="290"/>
      <c r="T19" s="281"/>
      <c r="U19" s="291" t="s">
        <v>1506</v>
      </c>
      <c r="V19" s="249"/>
      <c r="W19" s="236"/>
      <c r="X19" s="281"/>
    </row>
    <row r="20">
      <c r="A20" s="25" t="s">
        <v>627</v>
      </c>
      <c r="B20" s="311" t="s">
        <v>1507</v>
      </c>
      <c r="C20" s="280" t="s">
        <v>1508</v>
      </c>
      <c r="D20" s="293">
        <f>ROUND((F20*'Pawn Weights'!$B$3)+(G20*'Pawn Weights'!$B$4)+(H20*'Pawn Weights'!$B$5)+(I20*'Pawn Weights'!$B$6)+(J20*'Pawn Weights'!$B$7)+(K20*'Pawn Weights'!$B$8)+(L20*'Pawn Weights'!$B$9)+(M20*'Pawn Weights'!$B$10)+(N20*'Pawn Weights'!$B$11)+(O20*'Pawn Weights'!$B$12)+(P20*'Pawn Weights'!$B$13)+(Q20*'Pawn Weights'!$B$14), 2)</f>
        <v>79.04</v>
      </c>
      <c r="E20" s="280"/>
      <c r="F20" s="280">
        <v>45.0</v>
      </c>
      <c r="G20" s="280"/>
      <c r="H20" s="280"/>
      <c r="I20" s="280">
        <v>37.0</v>
      </c>
      <c r="J20" s="280"/>
      <c r="K20" s="280"/>
      <c r="L20" s="280"/>
      <c r="M20" s="281"/>
      <c r="N20" s="280"/>
      <c r="O20" s="280"/>
      <c r="P20" s="280"/>
      <c r="Q20" s="280"/>
      <c r="R20" s="290"/>
      <c r="S20" s="290"/>
      <c r="T20" s="281"/>
      <c r="U20" s="291"/>
      <c r="V20" s="249"/>
      <c r="W20" s="236"/>
      <c r="X20" s="281"/>
    </row>
    <row r="21">
      <c r="A21" s="272" t="s">
        <v>657</v>
      </c>
      <c r="B21" s="281"/>
      <c r="C21" s="281"/>
      <c r="D21" s="293"/>
      <c r="E21" s="281"/>
      <c r="F21" s="281"/>
      <c r="G21" s="281"/>
      <c r="H21" s="281"/>
      <c r="I21" s="281"/>
      <c r="J21" s="281"/>
      <c r="K21" s="281"/>
      <c r="L21" s="281"/>
      <c r="M21" s="281"/>
      <c r="N21" s="281"/>
      <c r="O21" s="281"/>
      <c r="P21" s="281"/>
      <c r="Q21" s="281"/>
      <c r="R21" s="282"/>
      <c r="S21" s="282"/>
      <c r="T21" s="281"/>
      <c r="U21" s="285"/>
      <c r="V21" s="249"/>
      <c r="W21" s="249"/>
      <c r="X21" s="281"/>
    </row>
    <row r="22">
      <c r="A22" s="137" t="s">
        <v>627</v>
      </c>
      <c r="B22" s="341" t="s">
        <v>658</v>
      </c>
      <c r="C22" s="361" t="s">
        <v>659</v>
      </c>
      <c r="D22" s="293">
        <f>ROUND((F22*'Pawn Weights'!$B$3)+(G22*'Pawn Weights'!$B$4)+(H22*'Pawn Weights'!$B$5)+(I22*'Pawn Weights'!$B$6)+(J22*'Pawn Weights'!$B$7)+(K22*'Pawn Weights'!$B$8)+(L22*'Pawn Weights'!$B$9)+(M22*'Pawn Weights'!$B$10)+(N22*'Pawn Weights'!$B$11)+(O22*'Pawn Weights'!$B$12)+(P22*'Pawn Weights'!$B$13)+(Q22*'Pawn Weights'!$B$14)-8+7.68+1.818, 2)</f>
        <v>80.4</v>
      </c>
      <c r="E22" s="359">
        <v>42.0</v>
      </c>
      <c r="F22" s="137"/>
      <c r="G22" s="137"/>
      <c r="H22" s="359">
        <v>58.0</v>
      </c>
      <c r="I22" s="137"/>
      <c r="J22" s="137"/>
      <c r="K22" s="359">
        <v>29.0</v>
      </c>
      <c r="L22" s="137"/>
      <c r="M22" s="359">
        <v>150.0</v>
      </c>
      <c r="N22" s="137"/>
      <c r="O22" s="137"/>
      <c r="P22" s="359">
        <v>1.0</v>
      </c>
      <c r="Q22" s="137"/>
      <c r="R22" s="359" t="s">
        <v>660</v>
      </c>
      <c r="S22" s="137"/>
      <c r="T22" s="361" t="s">
        <v>661</v>
      </c>
      <c r="U22" s="137"/>
      <c r="V22" s="295"/>
      <c r="W22" s="295"/>
      <c r="X22" s="137"/>
      <c r="Y22" s="137"/>
      <c r="Z22" s="137"/>
    </row>
    <row r="23">
      <c r="A23" s="137" t="s">
        <v>676</v>
      </c>
      <c r="B23" s="341" t="s">
        <v>677</v>
      </c>
      <c r="C23" s="361" t="s">
        <v>678</v>
      </c>
      <c r="D23" s="293">
        <f>ROUND((F23*'Pawn Weights'!$B$3)+(G23*'Pawn Weights'!$B$4)+(H23*'Pawn Weights'!$B$5)+(I23*'Pawn Weights'!$B$6)+(J23*'Pawn Weights'!$B$7)+(K23*'Pawn Weights'!$B$8)+(L23*'Pawn Weights'!$B$9)+(M23*'Pawn Weights'!$B$10)+(N23*'Pawn Weights'!$B$11)+(O23*'Pawn Weights'!$B$12)+(P23*'Pawn Weights'!$B$13)+(Q23*'Pawn Weights'!$B$14)+17.82, 2)</f>
        <v>59.09</v>
      </c>
      <c r="E23" s="359">
        <v>19.0</v>
      </c>
      <c r="F23" s="361"/>
      <c r="G23" s="359">
        <v>18.0</v>
      </c>
      <c r="H23" s="359">
        <v>64.0</v>
      </c>
      <c r="I23" s="361"/>
      <c r="J23" s="361"/>
      <c r="K23" s="361"/>
      <c r="L23" s="361"/>
      <c r="M23" s="137"/>
      <c r="N23" s="361"/>
      <c r="O23" s="361"/>
      <c r="P23" s="361"/>
      <c r="Q23" s="361"/>
      <c r="R23" s="137"/>
      <c r="S23" s="137"/>
      <c r="T23" s="362" t="s">
        <v>679</v>
      </c>
      <c r="U23" s="194"/>
      <c r="V23" s="370"/>
      <c r="W23" s="295"/>
      <c r="X23" s="137"/>
      <c r="Y23" s="137"/>
      <c r="Z23" s="137"/>
    </row>
    <row r="24">
      <c r="A24" s="137" t="s">
        <v>671</v>
      </c>
      <c r="B24" s="341" t="s">
        <v>672</v>
      </c>
      <c r="C24" s="361" t="s">
        <v>673</v>
      </c>
      <c r="D24" s="293">
        <f>ROUND((F24*'Pawn Weights'!$B$3)+(G24*'Pawn Weights'!$B$4)+(H24*'Pawn Weights'!$B$5)+(I24*'Pawn Weights'!$B$6)+(J24*'Pawn Weights'!$B$7)+(K24*'Pawn Weights'!$B$8)+(L24*'Pawn Weights'!$B$9)+(M24*'Pawn Weights'!$B$10)+(N24*'Pawn Weights'!$B$11)+(O24*'Pawn Weights'!$B$12)+(P24*'Pawn Weights'!$B$13)+(Q24*'Pawn Weights'!$B$14), 2)</f>
        <v>58.28</v>
      </c>
      <c r="E24" s="359">
        <v>39.0</v>
      </c>
      <c r="F24" s="361"/>
      <c r="G24" s="361"/>
      <c r="H24" s="359">
        <v>58.0</v>
      </c>
      <c r="I24" s="359">
        <v>26.0</v>
      </c>
      <c r="J24" s="361"/>
      <c r="K24" s="361"/>
      <c r="L24" s="361"/>
      <c r="M24" s="137"/>
      <c r="N24" s="361"/>
      <c r="O24" s="361"/>
      <c r="P24" s="359">
        <v>1.0</v>
      </c>
      <c r="Q24" s="361"/>
      <c r="R24" s="359" t="s">
        <v>674</v>
      </c>
      <c r="S24" s="137"/>
      <c r="T24" s="361" t="s">
        <v>675</v>
      </c>
      <c r="U24" s="137"/>
      <c r="V24" s="295"/>
      <c r="W24" s="295"/>
      <c r="X24" s="137"/>
      <c r="Y24" s="137"/>
      <c r="Z24" s="137"/>
    </row>
    <row r="25">
      <c r="A25" s="281"/>
      <c r="B25" s="288" t="s">
        <v>680</v>
      </c>
      <c r="C25" s="280" t="s">
        <v>681</v>
      </c>
      <c r="D25" s="293">
        <f>ROUND((F25*'Pawn Weights'!$B$3)+(G25*'Pawn Weights'!$B$4)+(H25*'Pawn Weights'!$B$5)+(I25*'Pawn Weights'!$B$6)+(J25*'Pawn Weights'!$B$7)+(K25*'Pawn Weights'!$B$8)+(L25*'Pawn Weights'!$B$9)+(M25*'Pawn Weights'!$B$10)+(N25*'Pawn Weights'!$B$11)+(O25*'Pawn Weights'!$B$12)+(P25*'Pawn Weights'!$B$13)+(Q25*'Pawn Weights'!$B$14), 2)</f>
        <v>53.16</v>
      </c>
      <c r="E25" s="280">
        <v>24.0</v>
      </c>
      <c r="F25" s="280">
        <v>32.0</v>
      </c>
      <c r="G25" s="280"/>
      <c r="H25" s="280"/>
      <c r="I25" s="280">
        <v>23.0</v>
      </c>
      <c r="J25" s="280"/>
      <c r="K25" s="280"/>
      <c r="L25" s="280"/>
      <c r="M25" s="280"/>
      <c r="N25" s="280"/>
      <c r="O25" s="280"/>
      <c r="P25" s="280"/>
      <c r="Q25" s="280"/>
      <c r="R25" s="290"/>
      <c r="S25" s="290"/>
      <c r="T25" s="281"/>
      <c r="U25" s="222"/>
      <c r="V25" s="249"/>
      <c r="W25" s="249"/>
      <c r="X25" s="281"/>
      <c r="Y25" s="281"/>
    </row>
    <row r="26">
      <c r="A26" s="137" t="s">
        <v>991</v>
      </c>
      <c r="B26" s="296" t="s">
        <v>1075</v>
      </c>
      <c r="C26" s="297" t="s">
        <v>673</v>
      </c>
      <c r="D26" s="293">
        <f>ROUND((F26*'Pawn Weights'!$B$3)+(G26*'Pawn Weights'!$B$4)+(H26*'Pawn Weights'!$B$5)+(I26*'Pawn Weights'!$B$6)+(J26*'Pawn Weights'!$B$7)+(K26*'Pawn Weights'!$B$8)+(L26*'Pawn Weights'!$B$9)+(M26*'Pawn Weights'!$B$10)+(N26*'Pawn Weights'!$B$11)+(O26*'Pawn Weights'!$B$12)+(P26*'Pawn Weights'!$B$13)+(Q26*'Pawn Weights'!$B$14), 2)</f>
        <v>50.97</v>
      </c>
      <c r="E26" s="298">
        <v>35.0</v>
      </c>
      <c r="F26" s="297"/>
      <c r="G26" s="297"/>
      <c r="H26" s="298">
        <v>50.0</v>
      </c>
      <c r="I26" s="298">
        <v>22.0</v>
      </c>
      <c r="J26" s="297"/>
      <c r="K26" s="297"/>
      <c r="L26" s="297"/>
      <c r="M26" s="297"/>
      <c r="N26" s="297"/>
      <c r="O26" s="297"/>
      <c r="P26" s="298">
        <v>1.0</v>
      </c>
      <c r="Q26" s="297"/>
      <c r="R26" s="298" t="s">
        <v>674</v>
      </c>
      <c r="S26" s="295"/>
      <c r="T26" s="361" t="s">
        <v>675</v>
      </c>
      <c r="U26" s="137"/>
      <c r="V26" s="295"/>
      <c r="W26" s="295"/>
      <c r="X26" s="137"/>
      <c r="Y26" s="137"/>
      <c r="Z26" s="137"/>
    </row>
    <row r="27">
      <c r="A27" s="281"/>
      <c r="B27" s="288" t="s">
        <v>682</v>
      </c>
      <c r="C27" s="280" t="s">
        <v>683</v>
      </c>
      <c r="D27" s="293">
        <f>ROUND((F27*'Pawn Weights'!$B$3)+(G27*'Pawn Weights'!$B$4)+(H27*'Pawn Weights'!$B$5)+(I27*'Pawn Weights'!$B$6)+(J27*'Pawn Weights'!$B$7)+(K27*'Pawn Weights'!$B$8)+(L27*'Pawn Weights'!$B$9)+(M27*'Pawn Weights'!$B$10)+(N27*'Pawn Weights'!$B$11)+(O27*'Pawn Weights'!$B$12)+(P27*'Pawn Weights'!$B$13)+(Q27*'Pawn Weights'!$B$14), 2)</f>
        <v>50.25</v>
      </c>
      <c r="E27" s="280">
        <v>24.0</v>
      </c>
      <c r="F27" s="280"/>
      <c r="G27" s="280"/>
      <c r="H27" s="280">
        <v>64.0</v>
      </c>
      <c r="I27" s="280">
        <v>23.0</v>
      </c>
      <c r="J27" s="280"/>
      <c r="K27" s="280"/>
      <c r="L27" s="280"/>
      <c r="M27" s="281"/>
      <c r="N27" s="280"/>
      <c r="O27" s="280"/>
      <c r="P27" s="280"/>
      <c r="Q27" s="280"/>
      <c r="R27" s="290"/>
      <c r="S27" s="290"/>
      <c r="T27" s="281"/>
      <c r="U27" s="294"/>
      <c r="V27" s="281"/>
      <c r="W27" s="281"/>
      <c r="X27" s="281"/>
      <c r="Y27" s="281"/>
    </row>
    <row r="28">
      <c r="A28" s="281"/>
      <c r="B28" s="288" t="s">
        <v>684</v>
      </c>
      <c r="C28" s="280" t="s">
        <v>685</v>
      </c>
      <c r="D28" s="293">
        <f>ROUND((F28*'Pawn Weights'!$B$3)+(G28*'Pawn Weights'!$B$4)+(H28*'Pawn Weights'!$B$5)+(I28*'Pawn Weights'!$B$6)+(J28*'Pawn Weights'!$B$7)+(K28*'Pawn Weights'!$B$8)+(L28*'Pawn Weights'!$B$9)+(M28*'Pawn Weights'!$B$10)+(N28*'Pawn Weights'!$B$11)+(O28*'Pawn Weights'!$B$12)+(P28*'Pawn Weights'!$B$13)+(Q28*'Pawn Weights'!$B$14), 2)</f>
        <v>50.09</v>
      </c>
      <c r="E28" s="280">
        <v>26.0</v>
      </c>
      <c r="F28" s="280"/>
      <c r="G28" s="280">
        <v>27.0</v>
      </c>
      <c r="H28" s="280">
        <v>70.0</v>
      </c>
      <c r="I28" s="280"/>
      <c r="J28" s="280"/>
      <c r="K28" s="280"/>
      <c r="L28" s="280"/>
      <c r="M28" s="281"/>
      <c r="N28" s="280"/>
      <c r="O28" s="280"/>
      <c r="P28" s="280"/>
      <c r="Q28" s="280"/>
      <c r="R28" s="290"/>
      <c r="S28" s="290"/>
      <c r="T28" s="281"/>
      <c r="U28" s="222"/>
      <c r="V28" s="281"/>
      <c r="W28" s="281"/>
      <c r="X28" s="281"/>
      <c r="Y28" s="281"/>
    </row>
    <row r="29">
      <c r="A29" s="281"/>
      <c r="B29" s="288" t="s">
        <v>686</v>
      </c>
      <c r="C29" s="280" t="s">
        <v>687</v>
      </c>
      <c r="D29" s="293">
        <f>ROUND((F29*'Pawn Weights'!$B$3)+(G29*'Pawn Weights'!$B$4)+(H29*'Pawn Weights'!$B$5)+(I29*'Pawn Weights'!$B$6)+(J29*'Pawn Weights'!$B$7)+(K29*'Pawn Weights'!$B$8)+(L29*'Pawn Weights'!$B$9)+(M29*'Pawn Weights'!$B$10)+(N29*'Pawn Weights'!$B$11)+(O29*'Pawn Weights'!$B$12)+(P29*'Pawn Weights'!$B$13)+(Q29*'Pawn Weights'!$B$14), 2)</f>
        <v>44.33</v>
      </c>
      <c r="E29" s="280">
        <v>18.0</v>
      </c>
      <c r="F29" s="280"/>
      <c r="G29" s="280">
        <v>20.0</v>
      </c>
      <c r="H29" s="280">
        <v>42.0</v>
      </c>
      <c r="I29" s="280"/>
      <c r="J29" s="280">
        <v>18.0</v>
      </c>
      <c r="K29" s="280"/>
      <c r="L29" s="280"/>
      <c r="M29" s="280"/>
      <c r="N29" s="280"/>
      <c r="O29" s="280"/>
      <c r="P29" s="280"/>
      <c r="Q29" s="280"/>
      <c r="R29" s="290"/>
      <c r="S29" s="290"/>
      <c r="T29" s="281"/>
      <c r="U29" s="294"/>
      <c r="V29" s="281"/>
      <c r="W29" s="281"/>
      <c r="X29" s="281"/>
      <c r="Y29" s="281"/>
    </row>
    <row r="30">
      <c r="A30" s="281"/>
      <c r="B30" s="288" t="s">
        <v>1077</v>
      </c>
      <c r="C30" s="280" t="s">
        <v>1078</v>
      </c>
      <c r="D30" s="293">
        <f>ROUND((F30*'Pawn Weights'!$B$3)+(G30*'Pawn Weights'!$B$4)+(H30*'Pawn Weights'!$B$5)+(I30*'Pawn Weights'!$B$6)+(J30*'Pawn Weights'!$B$7)+(K30*'Pawn Weights'!$B$8)+(L30*'Pawn Weights'!$B$9)+(M30*'Pawn Weights'!$B$10)+(N30*'Pawn Weights'!$B$11)+(O30*'Pawn Weights'!$B$12)+(P30*'Pawn Weights'!$B$13)+(Q30*'Pawn Weights'!$B$14), 2)</f>
        <v>43.68</v>
      </c>
      <c r="E30" s="280">
        <v>21.0</v>
      </c>
      <c r="F30" s="280"/>
      <c r="G30" s="280">
        <v>20.0</v>
      </c>
      <c r="H30" s="280">
        <v>42.0</v>
      </c>
      <c r="I30" s="280"/>
      <c r="J30" s="280">
        <v>17.0</v>
      </c>
      <c r="K30" s="280"/>
      <c r="L30" s="280"/>
      <c r="M30" s="280"/>
      <c r="N30" s="280"/>
      <c r="O30" s="280"/>
      <c r="P30" s="280"/>
      <c r="Q30" s="280"/>
      <c r="R30" s="290"/>
      <c r="S30" s="290"/>
      <c r="T30" s="281"/>
      <c r="U30" s="222"/>
      <c r="V30" s="281"/>
      <c r="W30" s="281"/>
      <c r="X30" s="281"/>
      <c r="Y30" s="281"/>
    </row>
    <row r="31">
      <c r="A31" s="219" t="s">
        <v>995</v>
      </c>
      <c r="B31" s="288" t="s">
        <v>1509</v>
      </c>
      <c r="C31" s="280" t="s">
        <v>1510</v>
      </c>
      <c r="D31" s="293">
        <f>ROUND((F31*'Pawn Weights'!$B$3)+(G31*'Pawn Weights'!$B$4)+(H31*'Pawn Weights'!$B$5)+(I31*'Pawn Weights'!$B$6)+(J31*'Pawn Weights'!$B$7)+(K31*'Pawn Weights'!$B$8)+(L31*'Pawn Weights'!$B$9)+(M31*'Pawn Weights'!$B$10)+(N31*'Pawn Weights'!$B$11)+(O31*'Pawn Weights'!$B$12)+(P31*'Pawn Weights'!$B$13)+(Q31*'Pawn Weights'!$B$14), 2)</f>
        <v>43.65</v>
      </c>
      <c r="E31" s="326">
        <v>31.0</v>
      </c>
      <c r="F31" s="326"/>
      <c r="G31" s="326"/>
      <c r="H31" s="326">
        <v>42.0</v>
      </c>
      <c r="I31" s="326">
        <v>18.0</v>
      </c>
      <c r="J31" s="326"/>
      <c r="K31" s="326"/>
      <c r="L31" s="326"/>
      <c r="M31" s="420"/>
      <c r="N31" s="326"/>
      <c r="O31" s="326"/>
      <c r="P31" s="326">
        <v>1.0</v>
      </c>
      <c r="Q31" s="326"/>
      <c r="R31" s="327" t="s">
        <v>674</v>
      </c>
      <c r="S31" s="327"/>
      <c r="T31" s="281"/>
      <c r="U31" s="222"/>
      <c r="V31" s="281"/>
      <c r="W31" s="281"/>
      <c r="X31" s="281"/>
      <c r="Y31" s="281"/>
    </row>
    <row r="32">
      <c r="A32" s="281"/>
      <c r="B32" s="288" t="s">
        <v>1511</v>
      </c>
      <c r="C32" s="326" t="s">
        <v>1512</v>
      </c>
      <c r="D32" s="293">
        <f>ROUND((F32*'Pawn Weights'!$B$3)+(G32*'Pawn Weights'!$B$4)+(H32*'Pawn Weights'!$B$5)+(I32*'Pawn Weights'!$B$6)+(J32*'Pawn Weights'!$B$7)+(K32*'Pawn Weights'!$B$8)+(L32*'Pawn Weights'!$B$9)+(M32*'Pawn Weights'!$B$10)+(N32*'Pawn Weights'!$B$11)+(O32*'Pawn Weights'!$B$12)+(P32*'Pawn Weights'!$B$13)+(Q32*'Pawn Weights'!$B$14), 2)</f>
        <v>43.05</v>
      </c>
      <c r="E32" s="326">
        <v>19.0</v>
      </c>
      <c r="F32" s="326"/>
      <c r="G32" s="326"/>
      <c r="H32" s="326">
        <v>34.0</v>
      </c>
      <c r="I32" s="326">
        <v>30.0</v>
      </c>
      <c r="J32" s="326"/>
      <c r="K32" s="326"/>
      <c r="L32" s="326"/>
      <c r="M32" s="420"/>
      <c r="N32" s="326"/>
      <c r="O32" s="326"/>
      <c r="P32" s="326"/>
      <c r="Q32" s="326"/>
      <c r="R32" s="327"/>
      <c r="S32" s="327"/>
      <c r="T32" s="281"/>
      <c r="U32" s="222"/>
      <c r="V32" s="281"/>
      <c r="W32" s="281"/>
      <c r="X32" s="281"/>
      <c r="Y32" s="281"/>
    </row>
    <row r="33">
      <c r="A33" s="281"/>
      <c r="B33" s="311" t="s">
        <v>1513</v>
      </c>
      <c r="C33" s="280" t="s">
        <v>1514</v>
      </c>
      <c r="D33" s="293">
        <f>ROUND((F33*'Pawn Weights'!$B$3)+(G33*'Pawn Weights'!$B$4)+(H33*'Pawn Weights'!$B$5)+(I33*'Pawn Weights'!$B$6)+(J33*'Pawn Weights'!$B$7)+(K33*'Pawn Weights'!$B$8)+(L33*'Pawn Weights'!$B$9)+(M33*'Pawn Weights'!$B$10)+(N33*'Pawn Weights'!$B$11)+(O33*'Pawn Weights'!$B$12)+(P33*'Pawn Weights'!$B$13)+(Q33*'Pawn Weights'!$B$14), 2)</f>
        <v>43.03</v>
      </c>
      <c r="E33" s="326"/>
      <c r="F33" s="326"/>
      <c r="G33" s="326"/>
      <c r="H33" s="326">
        <v>50.0</v>
      </c>
      <c r="I33" s="326">
        <v>15.0</v>
      </c>
      <c r="J33" s="326">
        <v>10.0</v>
      </c>
      <c r="K33" s="326"/>
      <c r="L33" s="326"/>
      <c r="M33" s="420"/>
      <c r="N33" s="326"/>
      <c r="O33" s="326"/>
      <c r="P33" s="326"/>
      <c r="Q33" s="326"/>
      <c r="R33" s="327"/>
      <c r="S33" s="327"/>
      <c r="T33" s="281"/>
      <c r="U33" s="222"/>
      <c r="V33" s="281"/>
      <c r="W33" s="281"/>
      <c r="X33" s="281"/>
      <c r="Y33" s="281"/>
    </row>
    <row r="34">
      <c r="A34" s="281"/>
      <c r="B34" s="288" t="s">
        <v>1515</v>
      </c>
      <c r="C34" s="280" t="s">
        <v>1516</v>
      </c>
      <c r="D34" s="293">
        <f>ROUND((F34*'Pawn Weights'!$B$3)+(G34*'Pawn Weights'!$B$4)+(H34*'Pawn Weights'!$B$5)+(I34*'Pawn Weights'!$B$6)+(J34*'Pawn Weights'!$B$7)+(K34*'Pawn Weights'!$B$8)+(L34*'Pawn Weights'!$B$9)+(M34*'Pawn Weights'!$B$10)+(N34*'Pawn Weights'!$B$11)+(O34*'Pawn Weights'!$B$12)+(P34*'Pawn Weights'!$B$13)+(Q34*'Pawn Weights'!$B$14), 2)</f>
        <v>42.93</v>
      </c>
      <c r="E34" s="280"/>
      <c r="F34" s="280">
        <v>26.0</v>
      </c>
      <c r="G34" s="280">
        <v>25.0</v>
      </c>
      <c r="H34" s="280"/>
      <c r="I34" s="280"/>
      <c r="J34" s="280"/>
      <c r="K34" s="280"/>
      <c r="L34" s="280"/>
      <c r="M34" s="280"/>
      <c r="N34" s="280"/>
      <c r="O34" s="280"/>
      <c r="P34" s="280"/>
      <c r="Q34" s="280"/>
      <c r="R34" s="290"/>
      <c r="S34" s="290"/>
      <c r="T34" s="281"/>
      <c r="U34" s="222"/>
      <c r="V34" s="281"/>
      <c r="W34" s="281"/>
      <c r="X34" s="281"/>
      <c r="Y34" s="281"/>
    </row>
    <row r="35">
      <c r="A35" s="281"/>
      <c r="B35" s="288" t="s">
        <v>1517</v>
      </c>
      <c r="C35" s="280" t="s">
        <v>1278</v>
      </c>
      <c r="D35" s="293">
        <f>ROUND((F35*'Pawn Weights'!$B$3)+(G35*'Pawn Weights'!$B$4)+(H35*'Pawn Weights'!$B$5)+(I35*'Pawn Weights'!$B$6)+(J35*'Pawn Weights'!$B$7)+(K35*'Pawn Weights'!$B$8)+(L35*'Pawn Weights'!$B$9)+(M35*'Pawn Weights'!$B$10)+(N35*'Pawn Weights'!$B$11)+(O35*'Pawn Weights'!$B$12)+(P35*'Pawn Weights'!$B$13)+(Q35*'Pawn Weights'!$B$14), 2)</f>
        <v>42.89</v>
      </c>
      <c r="E35" s="280">
        <v>22.0</v>
      </c>
      <c r="F35" s="280">
        <v>28.0</v>
      </c>
      <c r="G35" s="280">
        <v>22.0</v>
      </c>
      <c r="H35" s="280"/>
      <c r="I35" s="280"/>
      <c r="J35" s="280"/>
      <c r="K35" s="280"/>
      <c r="L35" s="280"/>
      <c r="M35" s="280"/>
      <c r="N35" s="280"/>
      <c r="O35" s="280"/>
      <c r="P35" s="280"/>
      <c r="Q35" s="280"/>
      <c r="R35" s="290"/>
      <c r="S35" s="290"/>
      <c r="T35" s="281"/>
      <c r="U35" s="222"/>
      <c r="V35" s="281"/>
      <c r="W35" s="281"/>
      <c r="X35" s="281"/>
      <c r="Y35" s="281"/>
    </row>
    <row r="36">
      <c r="A36" s="281"/>
      <c r="B36" s="311" t="s">
        <v>1518</v>
      </c>
      <c r="C36" s="280" t="s">
        <v>1512</v>
      </c>
      <c r="D36" s="293">
        <f>ROUND((F36*'Pawn Weights'!$B$3)+(G36*'Pawn Weights'!$B$4)+(H36*'Pawn Weights'!$B$5)+(I36*'Pawn Weights'!$B$6)+(J36*'Pawn Weights'!$B$7)+(K36*'Pawn Weights'!$B$8)+(L36*'Pawn Weights'!$B$9)+(M36*'Pawn Weights'!$B$10)+(N36*'Pawn Weights'!$B$11)+(O36*'Pawn Weights'!$B$12)+(P36*'Pawn Weights'!$B$13)+(Q36*'Pawn Weights'!$B$14), 2)</f>
        <v>41.63</v>
      </c>
      <c r="E36" s="280">
        <v>18.0</v>
      </c>
      <c r="F36" s="280"/>
      <c r="G36" s="280"/>
      <c r="H36" s="280">
        <v>38.0</v>
      </c>
      <c r="I36" s="280">
        <v>18.0</v>
      </c>
      <c r="J36" s="280">
        <v>12.0</v>
      </c>
      <c r="K36" s="280"/>
      <c r="L36" s="280"/>
      <c r="M36" s="280"/>
      <c r="N36" s="280"/>
      <c r="O36" s="280"/>
      <c r="P36" s="280"/>
      <c r="Q36" s="280"/>
      <c r="R36" s="290"/>
      <c r="S36" s="290"/>
      <c r="T36" s="281"/>
      <c r="U36" s="222"/>
      <c r="V36" s="281"/>
      <c r="W36" s="281"/>
      <c r="X36" s="281"/>
      <c r="Y36" s="281"/>
    </row>
    <row r="37">
      <c r="A37" s="137" t="s">
        <v>676</v>
      </c>
      <c r="B37" s="296" t="s">
        <v>688</v>
      </c>
      <c r="C37" s="297" t="s">
        <v>678</v>
      </c>
      <c r="D37" s="293">
        <f>ROUND((F37*'Pawn Weights'!$B$3)+(G37*'Pawn Weights'!$B$4)+(H37*'Pawn Weights'!$B$5)+(I37*'Pawn Weights'!$B$6)+(J37*'Pawn Weights'!$B$7)+(K37*'Pawn Weights'!$B$8)+(L37*'Pawn Weights'!$B$9)+(M37*'Pawn Weights'!$B$10)+(N37*'Pawn Weights'!$B$11)+(O37*'Pawn Weights'!$B$12)+(P37*'Pawn Weights'!$B$13)+(Q37*'Pawn Weights'!$B$14), 2)</f>
        <v>41.27</v>
      </c>
      <c r="E37" s="298">
        <v>19.0</v>
      </c>
      <c r="F37" s="297"/>
      <c r="G37" s="298">
        <v>18.0</v>
      </c>
      <c r="H37" s="298">
        <v>64.0</v>
      </c>
      <c r="I37" s="297"/>
      <c r="J37" s="297"/>
      <c r="K37" s="297"/>
      <c r="L37" s="297"/>
      <c r="M37" s="295"/>
      <c r="N37" s="297"/>
      <c r="O37" s="297"/>
      <c r="P37" s="297"/>
      <c r="Q37" s="297"/>
      <c r="R37" s="295"/>
      <c r="S37" s="295"/>
      <c r="T37" s="361" t="s">
        <v>689</v>
      </c>
      <c r="U37" s="137"/>
      <c r="V37" s="137"/>
      <c r="W37" s="137"/>
      <c r="X37" s="137"/>
      <c r="Y37" s="137"/>
      <c r="Z37" s="137"/>
    </row>
    <row r="38">
      <c r="A38" s="137"/>
      <c r="B38" s="383" t="s">
        <v>1519</v>
      </c>
      <c r="C38" s="297" t="s">
        <v>1520</v>
      </c>
      <c r="D38" s="293">
        <f>ROUND((F38*'Pawn Weights'!$B$3)+(G38*'Pawn Weights'!$B$4)+(H38*'Pawn Weights'!$B$5)+(I38*'Pawn Weights'!$B$6)+(J38*'Pawn Weights'!$B$7)+(K38*'Pawn Weights'!$B$8)+(L38*'Pawn Weights'!$B$9)+(M38*'Pawn Weights'!$B$10)+(N38*'Pawn Weights'!$B$11)+(O38*'Pawn Weights'!$B$12)+(P38*'Pawn Weights'!$B$13)+(Q38*'Pawn Weights'!$B$14), 2)</f>
        <v>41.26</v>
      </c>
      <c r="E38" s="297"/>
      <c r="F38" s="298">
        <v>22.0</v>
      </c>
      <c r="G38" s="298">
        <v>15.0</v>
      </c>
      <c r="H38" s="297"/>
      <c r="I38" s="297"/>
      <c r="J38" s="298">
        <v>14.0</v>
      </c>
      <c r="K38" s="297"/>
      <c r="L38" s="297"/>
      <c r="M38" s="297"/>
      <c r="N38" s="297"/>
      <c r="O38" s="297"/>
      <c r="P38" s="297"/>
      <c r="Q38" s="297"/>
      <c r="R38" s="295"/>
      <c r="S38" s="295"/>
      <c r="T38" s="137"/>
      <c r="U38" s="344"/>
      <c r="V38" s="137"/>
      <c r="W38" s="137"/>
      <c r="X38" s="137"/>
      <c r="Y38" s="137"/>
      <c r="Z38" s="137"/>
    </row>
    <row r="39">
      <c r="A39" s="137"/>
      <c r="B39" s="296" t="s">
        <v>690</v>
      </c>
      <c r="C39" s="318" t="s">
        <v>691</v>
      </c>
      <c r="D39" s="293">
        <f>ROUND((F39*'Pawn Weights'!$B$3)+(G39*'Pawn Weights'!$B$4)+(H39*'Pawn Weights'!$B$5)+(I39*'Pawn Weights'!$B$6)+(J39*'Pawn Weights'!$B$7)+(K39*'Pawn Weights'!$B$8)+(L39*'Pawn Weights'!$B$9)+(M39*'Pawn Weights'!$B$10)+(N39*'Pawn Weights'!$B$11)+(O39*'Pawn Weights'!$B$12)+(P39*'Pawn Weights'!$B$13)+(Q39*'Pawn Weights'!$B$14), 2)</f>
        <v>37.82</v>
      </c>
      <c r="E39" s="297"/>
      <c r="F39" s="297"/>
      <c r="G39" s="297"/>
      <c r="H39" s="297"/>
      <c r="I39" s="297"/>
      <c r="J39" s="298">
        <v>22.0</v>
      </c>
      <c r="K39" s="297"/>
      <c r="L39" s="298">
        <v>21.0</v>
      </c>
      <c r="M39" s="295"/>
      <c r="N39" s="297"/>
      <c r="O39" s="297"/>
      <c r="P39" s="297"/>
      <c r="Q39" s="297"/>
      <c r="R39" s="295"/>
      <c r="S39" s="137"/>
      <c r="T39" s="137"/>
      <c r="U39" s="137"/>
      <c r="V39" s="137"/>
      <c r="W39" s="137"/>
      <c r="X39" s="137"/>
      <c r="Y39" s="137"/>
      <c r="Z39" s="137"/>
    </row>
    <row r="40">
      <c r="A40" s="272" t="s">
        <v>692</v>
      </c>
      <c r="B40" s="281"/>
      <c r="C40" s="281"/>
      <c r="D40" s="293"/>
      <c r="E40" s="281"/>
      <c r="F40" s="281"/>
      <c r="G40" s="281"/>
      <c r="H40" s="281"/>
      <c r="I40" s="281"/>
      <c r="J40" s="281"/>
      <c r="K40" s="281"/>
      <c r="L40" s="281"/>
      <c r="M40" s="281"/>
      <c r="N40" s="281"/>
      <c r="O40" s="281"/>
      <c r="P40" s="281"/>
      <c r="Q40" s="281"/>
      <c r="R40" s="282"/>
      <c r="S40" s="282"/>
      <c r="T40" s="281"/>
      <c r="U40" s="285"/>
      <c r="V40" s="281"/>
      <c r="W40" s="281"/>
      <c r="X40" s="281"/>
    </row>
    <row r="41">
      <c r="A41" s="137" t="s">
        <v>635</v>
      </c>
      <c r="B41" s="341" t="s">
        <v>703</v>
      </c>
      <c r="C41" s="361" t="s">
        <v>637</v>
      </c>
      <c r="D41" s="293">
        <f>ROUND((F41*'Pawn Weights'!$B$3)+(G41*'Pawn Weights'!$B$4)+(H41*'Pawn Weights'!$B$5)+(I41*'Pawn Weights'!$B$6)+(J41*'Pawn Weights'!$B$7)+(K41*'Pawn Weights'!$B$8)+(L41*'Pawn Weights'!$B$9)+(M41*'Pawn Weights'!$B$10)+(N41*'Pawn Weights'!$B$11)+(O41*'Pawn Weights'!$B$12)+(P41*'Pawn Weights'!$B$13)+(Q41*'Pawn Weights'!$B$14)-8+7.68+2.76, 2)</f>
        <v>88.64</v>
      </c>
      <c r="E41" s="359">
        <v>64.0</v>
      </c>
      <c r="F41" s="359">
        <v>38.0</v>
      </c>
      <c r="G41" s="361"/>
      <c r="H41" s="361"/>
      <c r="I41" s="359">
        <v>35.0</v>
      </c>
      <c r="J41" s="361"/>
      <c r="K41" s="361"/>
      <c r="L41" s="361"/>
      <c r="M41" s="137"/>
      <c r="N41" s="361"/>
      <c r="O41" s="359">
        <v>1.0</v>
      </c>
      <c r="P41" s="359">
        <v>1.0</v>
      </c>
      <c r="Q41" s="361"/>
      <c r="R41" s="359" t="s">
        <v>702</v>
      </c>
      <c r="S41" s="137"/>
      <c r="T41" s="361" t="s">
        <v>704</v>
      </c>
      <c r="U41" s="137"/>
      <c r="V41" s="137"/>
      <c r="W41" s="137"/>
      <c r="X41" s="137"/>
      <c r="Y41" s="137"/>
      <c r="Z41" s="137"/>
    </row>
    <row r="42">
      <c r="A42" s="301"/>
      <c r="B42" s="288" t="s">
        <v>707</v>
      </c>
      <c r="C42" s="280" t="s">
        <v>708</v>
      </c>
      <c r="D42" s="293">
        <f>ROUND((F42*'Pawn Weights'!$B$3)+(G42*'Pawn Weights'!$B$4)+(H42*'Pawn Weights'!$B$5)+(I42*'Pawn Weights'!$B$6)+(J42*'Pawn Weights'!$B$7)+(K42*'Pawn Weights'!$B$8)+(L42*'Pawn Weights'!$B$9)+(M42*'Pawn Weights'!$B$10)+(N42*'Pawn Weights'!$B$11)+(O42*'Pawn Weights'!$B$12)+(P42*'Pawn Weights'!$B$13)+(Q42*'Pawn Weights'!$B$14)-16+15.36+3, 2)</f>
        <v>86.05</v>
      </c>
      <c r="E42" s="280"/>
      <c r="F42" s="280">
        <v>39.0</v>
      </c>
      <c r="G42" s="280"/>
      <c r="H42" s="280"/>
      <c r="I42" s="280">
        <v>22.0</v>
      </c>
      <c r="J42" s="280">
        <v>13.0</v>
      </c>
      <c r="K42" s="280"/>
      <c r="L42" s="280"/>
      <c r="M42" s="281"/>
      <c r="N42" s="280"/>
      <c r="O42" s="280"/>
      <c r="P42" s="280">
        <v>2.0</v>
      </c>
      <c r="Q42" s="280"/>
      <c r="R42" s="290" t="s">
        <v>698</v>
      </c>
      <c r="S42" s="290"/>
      <c r="T42" s="281"/>
      <c r="U42" s="291"/>
      <c r="V42" s="281"/>
      <c r="W42" s="281"/>
      <c r="X42" s="281"/>
    </row>
    <row r="43">
      <c r="A43" s="137" t="s">
        <v>627</v>
      </c>
      <c r="B43" s="341" t="s">
        <v>713</v>
      </c>
      <c r="C43" s="361" t="s">
        <v>714</v>
      </c>
      <c r="D43" s="293">
        <f>ROUND((F43*'Pawn Weights'!$B$3)+(G43*'Pawn Weights'!$B$4)+(H43*'Pawn Weights'!$B$5)+(I43*'Pawn Weights'!$B$6)+(J43*'Pawn Weights'!$B$7)+(K43*'Pawn Weights'!$B$8)+(L43*'Pawn Weights'!$B$9)+(M43*'Pawn Weights'!$B$10)+(N43*'Pawn Weights'!$B$11)+(O43*'Pawn Weights'!$B$12)+(P43*'Pawn Weights'!$B$13)+(Q43*'Pawn Weights'!$B$14), 2)</f>
        <v>85.95</v>
      </c>
      <c r="E43" s="359">
        <v>29.0</v>
      </c>
      <c r="F43" s="359">
        <v>47.0</v>
      </c>
      <c r="G43" s="361"/>
      <c r="H43" s="361"/>
      <c r="I43" s="361"/>
      <c r="J43" s="359">
        <v>19.0</v>
      </c>
      <c r="K43" s="359">
        <v>35.0</v>
      </c>
      <c r="L43" s="361"/>
      <c r="M43" s="137"/>
      <c r="N43" s="361"/>
      <c r="O43" s="361"/>
      <c r="P43" s="361"/>
      <c r="Q43" s="361"/>
      <c r="R43" s="137"/>
      <c r="S43" s="137"/>
      <c r="T43" s="137"/>
      <c r="U43" s="137"/>
      <c r="V43" s="137"/>
      <c r="W43" s="137"/>
      <c r="X43" s="137"/>
      <c r="Y43" s="137"/>
      <c r="Z43" s="137"/>
    </row>
    <row r="44">
      <c r="A44" s="301"/>
      <c r="B44" s="288" t="s">
        <v>709</v>
      </c>
      <c r="C44" s="280" t="s">
        <v>710</v>
      </c>
      <c r="D44" s="293">
        <f>ROUND((F44*'Pawn Weights'!$B$3)+(G44*'Pawn Weights'!$B$4)+(H44*'Pawn Weights'!$B$5)+(I44*'Pawn Weights'!$B$6)+(J44*'Pawn Weights'!$B$7)+(K44*'Pawn Weights'!$B$8)+(L44*'Pawn Weights'!$B$9)+(M44*'Pawn Weights'!$B$10)+(N44*'Pawn Weights'!$B$11)+(O44*'Pawn Weights'!$B$12)+(P44*'Pawn Weights'!$B$13)+(Q44*'Pawn Weights'!$B$14)+1.354, 2)</f>
        <v>84.89</v>
      </c>
      <c r="E44" s="280">
        <v>28.0</v>
      </c>
      <c r="F44" s="280"/>
      <c r="G44" s="280">
        <v>33.0</v>
      </c>
      <c r="H44" s="280">
        <v>60.0</v>
      </c>
      <c r="I44" s="280">
        <v>16.0</v>
      </c>
      <c r="J44" s="280"/>
      <c r="K44" s="280"/>
      <c r="L44" s="280">
        <v>10.0</v>
      </c>
      <c r="M44" s="281"/>
      <c r="N44" s="280"/>
      <c r="O44" s="280">
        <v>1.0</v>
      </c>
      <c r="P44" s="280"/>
      <c r="Q44" s="280"/>
      <c r="R44" s="290" t="s">
        <v>711</v>
      </c>
      <c r="S44" s="290"/>
      <c r="T44" s="281"/>
      <c r="U44" s="291" t="s">
        <v>1521</v>
      </c>
      <c r="V44" s="281"/>
      <c r="W44" s="281"/>
      <c r="X44" s="281"/>
    </row>
    <row r="45">
      <c r="A45" s="295" t="s">
        <v>627</v>
      </c>
      <c r="B45" s="296" t="s">
        <v>1190</v>
      </c>
      <c r="C45" s="297" t="s">
        <v>1191</v>
      </c>
      <c r="D45" s="293">
        <f>ROUND((F45*'Pawn Weights'!$B$3)+(G45*'Pawn Weights'!$B$4)+(H45*'Pawn Weights'!$B$5)+(I45*'Pawn Weights'!$B$6)+(J45*'Pawn Weights'!$B$7)+(K45*'Pawn Weights'!$B$8)+(L45*'Pawn Weights'!$B$9)+(M45*'Pawn Weights'!$B$10)+(N45*'Pawn Weights'!$B$11)+(O45*'Pawn Weights'!$B$12)+(P45*'Pawn Weights'!$B$13)+(Q45*'Pawn Weights'!$B$14), 2)</f>
        <v>82.15</v>
      </c>
      <c r="E45" s="298">
        <v>34.0</v>
      </c>
      <c r="F45" s="297"/>
      <c r="G45" s="298">
        <v>29.0</v>
      </c>
      <c r="H45" s="298">
        <v>74.0</v>
      </c>
      <c r="I45" s="297"/>
      <c r="J45" s="297"/>
      <c r="K45" s="298">
        <v>38.0</v>
      </c>
      <c r="L45" s="297"/>
      <c r="M45" s="137"/>
      <c r="N45" s="297"/>
      <c r="O45" s="297"/>
      <c r="P45" s="297"/>
      <c r="Q45" s="297"/>
      <c r="R45" s="298"/>
      <c r="S45" s="295"/>
      <c r="T45" s="361"/>
      <c r="U45" s="295"/>
      <c r="V45" s="137"/>
      <c r="W45" s="137"/>
      <c r="X45" s="137"/>
      <c r="Y45" s="137"/>
      <c r="Z45" s="137"/>
    </row>
    <row r="46">
      <c r="A46" s="301" t="s">
        <v>647</v>
      </c>
      <c r="B46" s="288" t="s">
        <v>719</v>
      </c>
      <c r="C46" s="280" t="s">
        <v>720</v>
      </c>
      <c r="D46" s="293">
        <f>ROUND((F46*'Pawn Weights'!$B$3)+(G46*'Pawn Weights'!$B$4)+(H46*'Pawn Weights'!$B$5)+(I46*'Pawn Weights'!$B$6)+(J46*'Pawn Weights'!$B$7)+(K46*'Pawn Weights'!$B$8)+(L46*'Pawn Weights'!$B$9)+(M46*'Pawn Weights'!$B$10)+(N46*'Pawn Weights'!$B$11)+(O46*'Pawn Weights'!$B$12)+(P46*'Pawn Weights'!$B$13)+(Q46*'Pawn Weights'!$B$14), 2)</f>
        <v>82.1</v>
      </c>
      <c r="E46" s="280">
        <v>38.0</v>
      </c>
      <c r="F46" s="280">
        <v>36.0</v>
      </c>
      <c r="G46" s="280"/>
      <c r="H46" s="280"/>
      <c r="I46" s="280">
        <v>20.0</v>
      </c>
      <c r="J46" s="280">
        <v>18.0</v>
      </c>
      <c r="K46" s="280"/>
      <c r="L46" s="280"/>
      <c r="M46" s="281"/>
      <c r="N46" s="280"/>
      <c r="O46" s="280"/>
      <c r="P46" s="280">
        <v>1.0</v>
      </c>
      <c r="Q46" s="280">
        <v>1.0</v>
      </c>
      <c r="R46" s="290" t="s">
        <v>698</v>
      </c>
      <c r="S46" s="290"/>
      <c r="T46" s="281"/>
      <c r="U46" s="291"/>
      <c r="V46" s="281"/>
      <c r="W46" s="281"/>
      <c r="X46" s="281"/>
      <c r="Y46" s="281"/>
    </row>
    <row r="47">
      <c r="A47" s="301"/>
      <c r="B47" s="288" t="s">
        <v>721</v>
      </c>
      <c r="C47" s="280" t="s">
        <v>710</v>
      </c>
      <c r="D47" s="293">
        <f>ROUND((F47*'Pawn Weights'!$B$3)+(G47*'Pawn Weights'!$B$4)+(H47*'Pawn Weights'!$B$5)+(I47*'Pawn Weights'!$B$6)+(J47*'Pawn Weights'!$B$7)+(K47*'Pawn Weights'!$B$8)+(L47*'Pawn Weights'!$B$9)+(M47*'Pawn Weights'!$B$10)+(N47*'Pawn Weights'!$B$11)+(O47*'Pawn Weights'!$B$12)+(P47*'Pawn Weights'!$B$13)+(Q47*'Pawn Weights'!$B$14), 2)</f>
        <v>80.68</v>
      </c>
      <c r="E47" s="280">
        <v>21.0</v>
      </c>
      <c r="F47" s="280">
        <v>38.0</v>
      </c>
      <c r="G47" s="280"/>
      <c r="H47" s="280"/>
      <c r="I47" s="280">
        <v>29.0</v>
      </c>
      <c r="J47" s="280"/>
      <c r="K47" s="280"/>
      <c r="L47" s="280"/>
      <c r="M47" s="281"/>
      <c r="N47" s="280"/>
      <c r="O47" s="280">
        <v>1.0</v>
      </c>
      <c r="P47" s="280"/>
      <c r="Q47" s="280">
        <v>1.0</v>
      </c>
      <c r="R47" s="290" t="s">
        <v>702</v>
      </c>
      <c r="S47" s="290"/>
      <c r="T47" s="281"/>
      <c r="U47" s="291"/>
      <c r="V47" s="281"/>
      <c r="W47" s="281"/>
      <c r="X47" s="281"/>
    </row>
    <row r="48">
      <c r="A48" s="295"/>
      <c r="B48" s="296" t="s">
        <v>717</v>
      </c>
      <c r="C48" s="297" t="s">
        <v>718</v>
      </c>
      <c r="D48" s="293">
        <f>ROUND((F48*'Pawn Weights'!$B$3)+(G48*'Pawn Weights'!$B$4)+(H48*'Pawn Weights'!$B$5)+(I48*'Pawn Weights'!$B$6)+(J48*'Pawn Weights'!$B$7)+(K48*'Pawn Weights'!$B$8)+(L48*'Pawn Weights'!$B$9)+(M48*'Pawn Weights'!$B$10)+(N48*'Pawn Weights'!$B$11)+(O48*'Pawn Weights'!$B$12)+(P48*'Pawn Weights'!$B$13)+(Q48*'Pawn Weights'!$B$14), 2)</f>
        <v>80.05</v>
      </c>
      <c r="E48" s="298">
        <v>33.0</v>
      </c>
      <c r="F48" s="298">
        <v>42.0</v>
      </c>
      <c r="G48" s="297"/>
      <c r="H48" s="297"/>
      <c r="I48" s="297"/>
      <c r="J48" s="298">
        <v>23.0</v>
      </c>
      <c r="K48" s="297"/>
      <c r="L48" s="297"/>
      <c r="M48" s="359">
        <v>154.0</v>
      </c>
      <c r="N48" s="297"/>
      <c r="O48" s="297"/>
      <c r="P48" s="297"/>
      <c r="Q48" s="297"/>
      <c r="R48" s="295"/>
      <c r="S48" s="295"/>
      <c r="T48" s="137"/>
      <c r="U48" s="295"/>
      <c r="V48" s="137"/>
      <c r="W48" s="137"/>
      <c r="X48" s="137"/>
      <c r="Y48" s="137"/>
      <c r="Z48" s="137"/>
    </row>
    <row r="49">
      <c r="A49" s="295" t="s">
        <v>627</v>
      </c>
      <c r="B49" s="296" t="s">
        <v>1322</v>
      </c>
      <c r="C49" s="297" t="s">
        <v>1191</v>
      </c>
      <c r="D49" s="293">
        <f>ROUND((F49*'Pawn Weights'!$B$3)+(G49*'Pawn Weights'!$B$4)+(H49*'Pawn Weights'!$B$5)+(I49*'Pawn Weights'!$B$6)+(J49*'Pawn Weights'!$B$7)+(K49*'Pawn Weights'!$B$8)+(L49*'Pawn Weights'!$B$9)+(M49*'Pawn Weights'!$B$10)+(N49*'Pawn Weights'!$B$11)+(O49*'Pawn Weights'!$B$12)+(P49*'Pawn Weights'!$B$13)+(Q49*'Pawn Weights'!$B$14), 2)</f>
        <v>80.03</v>
      </c>
      <c r="E49" s="298">
        <v>19.0</v>
      </c>
      <c r="F49" s="297"/>
      <c r="G49" s="298">
        <v>27.0</v>
      </c>
      <c r="H49" s="298">
        <v>74.0</v>
      </c>
      <c r="I49" s="297"/>
      <c r="J49" s="297"/>
      <c r="K49" s="298">
        <v>37.0</v>
      </c>
      <c r="L49" s="297"/>
      <c r="M49" s="137"/>
      <c r="N49" s="297"/>
      <c r="O49" s="297"/>
      <c r="P49" s="297"/>
      <c r="Q49" s="297"/>
      <c r="R49" s="298"/>
      <c r="S49" s="295"/>
      <c r="T49" s="361"/>
      <c r="U49" s="295"/>
      <c r="V49" s="137"/>
      <c r="W49" s="137"/>
      <c r="X49" s="137"/>
      <c r="Y49" s="137"/>
      <c r="Z49" s="137"/>
    </row>
    <row r="50">
      <c r="A50" s="295" t="s">
        <v>644</v>
      </c>
      <c r="B50" s="296" t="s">
        <v>1080</v>
      </c>
      <c r="C50" s="297" t="s">
        <v>646</v>
      </c>
      <c r="D50" s="293">
        <f>ROUND((F50*'Pawn Weights'!$B$3)+(G50*'Pawn Weights'!$B$4)+(H50*'Pawn Weights'!$B$5)+(I50*'Pawn Weights'!$B$6)+(J50*'Pawn Weights'!$B$7)+(K50*'Pawn Weights'!$B$8)+(L50*'Pawn Weights'!$B$9)+(M50*'Pawn Weights'!$B$10)+(N50*'Pawn Weights'!$B$11)+(O50*'Pawn Weights'!$B$12)+(P50*'Pawn Weights'!$B$13)+(Q50*'Pawn Weights'!$B$14)-8+7.68+2.76, 2)</f>
        <v>79.04</v>
      </c>
      <c r="E50" s="298">
        <v>57.0</v>
      </c>
      <c r="F50" s="298">
        <v>33.0</v>
      </c>
      <c r="G50" s="297"/>
      <c r="H50" s="297"/>
      <c r="I50" s="298">
        <v>30.0</v>
      </c>
      <c r="J50" s="297"/>
      <c r="K50" s="297"/>
      <c r="L50" s="297"/>
      <c r="M50" s="137"/>
      <c r="N50" s="297"/>
      <c r="O50" s="298">
        <v>1.0</v>
      </c>
      <c r="P50" s="298">
        <v>1.0</v>
      </c>
      <c r="Q50" s="297"/>
      <c r="R50" s="298" t="s">
        <v>702</v>
      </c>
      <c r="S50" s="295"/>
      <c r="T50" s="361" t="s">
        <v>704</v>
      </c>
      <c r="U50" s="295"/>
      <c r="V50" s="137"/>
      <c r="W50" s="137"/>
      <c r="X50" s="137"/>
      <c r="Y50" s="137"/>
      <c r="Z50" s="137"/>
    </row>
    <row r="51">
      <c r="A51" s="301" t="s">
        <v>1068</v>
      </c>
      <c r="B51" s="288" t="s">
        <v>1081</v>
      </c>
      <c r="C51" s="280" t="s">
        <v>997</v>
      </c>
      <c r="D51" s="293">
        <f>ROUND((F51*'Pawn Weights'!$B$3)+(G51*'Pawn Weights'!$B$4)+(H51*'Pawn Weights'!$B$5)+(I51*'Pawn Weights'!$B$6)+(J51*'Pawn Weights'!$B$7)+(K51*'Pawn Weights'!$B$8)+(L51*'Pawn Weights'!$B$9)+(M51*'Pawn Weights'!$B$10)+(N51*'Pawn Weights'!$B$11)+(O51*'Pawn Weights'!$B$12)+(P51*'Pawn Weights'!$B$13)+(Q51*'Pawn Weights'!$B$14)-8+7.68+3, 2)</f>
        <v>72.52</v>
      </c>
      <c r="E51" s="280">
        <v>51.0</v>
      </c>
      <c r="F51" s="280">
        <v>29.0</v>
      </c>
      <c r="G51" s="280"/>
      <c r="H51" s="280"/>
      <c r="I51" s="280">
        <v>27.0</v>
      </c>
      <c r="J51" s="280"/>
      <c r="K51" s="280"/>
      <c r="L51" s="280"/>
      <c r="M51" s="281"/>
      <c r="N51" s="280"/>
      <c r="O51" s="280">
        <v>1.0</v>
      </c>
      <c r="P51" s="280">
        <v>1.0</v>
      </c>
      <c r="Q51" s="280"/>
      <c r="R51" s="290" t="s">
        <v>698</v>
      </c>
      <c r="S51" s="290"/>
      <c r="T51" s="281"/>
      <c r="U51" s="291" t="s">
        <v>704</v>
      </c>
      <c r="V51" s="281"/>
      <c r="W51" s="281"/>
      <c r="X51" s="281"/>
    </row>
    <row r="52">
      <c r="A52" s="301" t="s">
        <v>627</v>
      </c>
      <c r="B52" s="311" t="s">
        <v>1522</v>
      </c>
      <c r="C52" s="280" t="s">
        <v>1523</v>
      </c>
      <c r="D52" s="293">
        <f>ROUND((F52*'Pawn Weights'!$B$3)+(G52*'Pawn Weights'!$B$4)+(H52*'Pawn Weights'!$B$5)+(I52*'Pawn Weights'!$B$6)+(J52*'Pawn Weights'!$B$7)+(K52*'Pawn Weights'!$B$8)+(L52*'Pawn Weights'!$B$9)+(M52*'Pawn Weights'!$B$10)+(N52*'Pawn Weights'!$B$11)+(O52*'Pawn Weights'!$B$12)+(P52*'Pawn Weights'!$B$13)+(Q52*'Pawn Weights'!$B$14)-16+15.36+2.76, 2)</f>
        <v>71.61</v>
      </c>
      <c r="E52" s="280">
        <v>12.0</v>
      </c>
      <c r="F52" s="280">
        <v>32.0</v>
      </c>
      <c r="G52" s="280"/>
      <c r="H52" s="280"/>
      <c r="I52" s="280">
        <v>17.0</v>
      </c>
      <c r="J52" s="280">
        <v>9.0</v>
      </c>
      <c r="K52" s="280"/>
      <c r="L52" s="280"/>
      <c r="M52" s="281"/>
      <c r="N52" s="280"/>
      <c r="O52" s="280"/>
      <c r="P52" s="280">
        <v>2.0</v>
      </c>
      <c r="Q52" s="280"/>
      <c r="R52" s="290" t="s">
        <v>702</v>
      </c>
      <c r="S52" s="290"/>
      <c r="T52" s="281"/>
      <c r="U52" s="291" t="s">
        <v>1524</v>
      </c>
      <c r="V52" s="281"/>
      <c r="W52" s="281"/>
      <c r="X52" s="281"/>
    </row>
    <row r="53">
      <c r="A53" s="301"/>
      <c r="B53" s="288" t="s">
        <v>1327</v>
      </c>
      <c r="C53" s="280" t="s">
        <v>1278</v>
      </c>
      <c r="D53" s="293">
        <f>ROUND((F53*'Pawn Weights'!$B$3)+(G53*'Pawn Weights'!$B$4)+(H53*'Pawn Weights'!$B$5)+(I53*'Pawn Weights'!$B$6)+(J53*'Pawn Weights'!$B$7)+(K53*'Pawn Weights'!$B$8)+(L53*'Pawn Weights'!$B$9)+(M53*'Pawn Weights'!$B$10)+(N53*'Pawn Weights'!$B$11)+(O53*'Pawn Weights'!$B$12)+(P53*'Pawn Weights'!$B$13)+(Q53*'Pawn Weights'!$B$14)-16+15.36+1.95, 2)</f>
        <v>71.44</v>
      </c>
      <c r="E53" s="280">
        <v>30.0</v>
      </c>
      <c r="F53" s="280"/>
      <c r="G53" s="280"/>
      <c r="H53" s="280">
        <v>58.0</v>
      </c>
      <c r="I53" s="280">
        <v>21.0</v>
      </c>
      <c r="J53" s="280">
        <v>13.0</v>
      </c>
      <c r="K53" s="280"/>
      <c r="L53" s="280"/>
      <c r="M53" s="281"/>
      <c r="N53" s="280"/>
      <c r="O53" s="280"/>
      <c r="P53" s="280">
        <v>2.0</v>
      </c>
      <c r="Q53" s="280"/>
      <c r="R53" s="290" t="s">
        <v>832</v>
      </c>
      <c r="S53" s="290"/>
      <c r="T53" s="281"/>
      <c r="U53" s="291"/>
      <c r="V53" s="281"/>
      <c r="W53" s="281"/>
      <c r="X53" s="281"/>
      <c r="Y53" s="281"/>
    </row>
    <row r="54">
      <c r="A54" s="301" t="s">
        <v>654</v>
      </c>
      <c r="B54" s="288" t="s">
        <v>1525</v>
      </c>
      <c r="C54" s="280" t="s">
        <v>790</v>
      </c>
      <c r="D54" s="293">
        <f>ROUND((F54*'Pawn Weights'!$B$3)+(G54*'Pawn Weights'!$B$4)+(H54*'Pawn Weights'!$B$5)+(I54*'Pawn Weights'!$B$6)+(J54*'Pawn Weights'!$B$7)+(K54*'Pawn Weights'!$B$8)+(L54*'Pawn Weights'!$B$9)+(M54*'Pawn Weights'!$B$10)+(N54*'Pawn Weights'!$B$11)+(O54*'Pawn Weights'!$B$12)+(P54*'Pawn Weights'!$B$13)+(Q54*'Pawn Weights'!$B$14), 2)</f>
        <v>71.34</v>
      </c>
      <c r="E54" s="280">
        <v>33.0</v>
      </c>
      <c r="F54" s="280">
        <v>32.0</v>
      </c>
      <c r="G54" s="280">
        <v>22.0</v>
      </c>
      <c r="H54" s="280"/>
      <c r="I54" s="280"/>
      <c r="J54" s="280">
        <v>13.0</v>
      </c>
      <c r="K54" s="280"/>
      <c r="L54" s="280"/>
      <c r="M54" s="281"/>
      <c r="N54" s="280"/>
      <c r="O54" s="280"/>
      <c r="P54" s="280">
        <v>1.0</v>
      </c>
      <c r="Q54" s="280">
        <v>1.0</v>
      </c>
      <c r="R54" s="290" t="s">
        <v>698</v>
      </c>
      <c r="S54" s="290"/>
      <c r="T54" s="281"/>
      <c r="U54" s="291" t="s">
        <v>1459</v>
      </c>
      <c r="V54" s="281"/>
      <c r="W54" s="281"/>
      <c r="X54" s="281"/>
      <c r="Y54" s="281"/>
    </row>
    <row r="55">
      <c r="A55" s="301" t="s">
        <v>1499</v>
      </c>
      <c r="B55" s="288" t="s">
        <v>1526</v>
      </c>
      <c r="C55" s="280" t="s">
        <v>1159</v>
      </c>
      <c r="D55" s="293">
        <f>ROUND((F55*'Pawn Weights'!$B$3)+(G55*'Pawn Weights'!$B$4)+(H55*'Pawn Weights'!$B$5)+(I55*'Pawn Weights'!$B$6)+(J55*'Pawn Weights'!$B$7)+(K55*'Pawn Weights'!$B$8)+(L55*'Pawn Weights'!$B$9)+(M55*'Pawn Weights'!$B$10)+(N55*'Pawn Weights'!$B$11)+(O55*'Pawn Weights'!$B$12)+(P55*'Pawn Weights'!$B$13)+(Q55*'Pawn Weights'!$B$14)-8+7.68+3, 2)</f>
        <v>61.84</v>
      </c>
      <c r="E55" s="280">
        <v>45.0</v>
      </c>
      <c r="F55" s="280">
        <v>22.0</v>
      </c>
      <c r="G55" s="280"/>
      <c r="H55" s="280"/>
      <c r="I55" s="280">
        <v>23.0</v>
      </c>
      <c r="J55" s="280"/>
      <c r="K55" s="280"/>
      <c r="L55" s="280"/>
      <c r="M55" s="281"/>
      <c r="N55" s="280"/>
      <c r="O55" s="280">
        <v>1.0</v>
      </c>
      <c r="P55" s="280">
        <v>1.0</v>
      </c>
      <c r="Q55" s="280"/>
      <c r="R55" s="290" t="s">
        <v>698</v>
      </c>
      <c r="S55" s="290"/>
      <c r="T55" s="281"/>
      <c r="U55" s="291" t="s">
        <v>925</v>
      </c>
      <c r="V55" s="281"/>
      <c r="W55" s="281"/>
      <c r="X55" s="281"/>
      <c r="Y55" s="281"/>
    </row>
    <row r="56">
      <c r="A56" s="301" t="s">
        <v>1439</v>
      </c>
      <c r="B56" s="311" t="s">
        <v>1440</v>
      </c>
      <c r="C56" s="280" t="s">
        <v>1527</v>
      </c>
      <c r="D56" s="293">
        <f>ROUND((F56*'Pawn Weights'!$B$3)+(G56*'Pawn Weights'!$B$4)+(H56*'Pawn Weights'!$B$5)+(I56*'Pawn Weights'!$B$6)+(J56*'Pawn Weights'!$B$7)+(K56*'Pawn Weights'!$B$8)+(L56*'Pawn Weights'!$B$9)+(M56*'Pawn Weights'!$B$10)+(N56*'Pawn Weights'!$B$11)+(O56*'Pawn Weights'!$B$12)+(P56*'Pawn Weights'!$B$13)+(Q56*'Pawn Weights'!$B$14), 2)</f>
        <v>58.78</v>
      </c>
      <c r="E56" s="280">
        <v>13.0</v>
      </c>
      <c r="F56" s="280"/>
      <c r="G56" s="280">
        <v>25.0</v>
      </c>
      <c r="H56" s="280">
        <v>34.0</v>
      </c>
      <c r="I56" s="280"/>
      <c r="J56" s="280">
        <v>16.0</v>
      </c>
      <c r="K56" s="280"/>
      <c r="L56" s="280"/>
      <c r="M56" s="281"/>
      <c r="N56" s="280"/>
      <c r="O56" s="280">
        <v>1.0</v>
      </c>
      <c r="P56" s="280"/>
      <c r="Q56" s="280">
        <v>1.0</v>
      </c>
      <c r="R56" s="290" t="s">
        <v>702</v>
      </c>
      <c r="S56" s="290"/>
      <c r="T56" s="281"/>
      <c r="U56" s="291" t="s">
        <v>1528</v>
      </c>
      <c r="V56" s="281"/>
      <c r="W56" s="281"/>
      <c r="X56" s="281"/>
    </row>
    <row r="57">
      <c r="A57" s="301" t="s">
        <v>1439</v>
      </c>
      <c r="B57" s="311" t="s">
        <v>1529</v>
      </c>
      <c r="C57" s="280" t="s">
        <v>1530</v>
      </c>
      <c r="D57" s="293">
        <f>ROUND((F57*'Pawn Weights'!$B$3)+(G57*'Pawn Weights'!$B$4)+(H57*'Pawn Weights'!$B$5)+(I57*'Pawn Weights'!$B$6)+(J57*'Pawn Weights'!$B$7)+(K57*'Pawn Weights'!$B$8)+(L57*'Pawn Weights'!$B$9)+(M57*'Pawn Weights'!$B$10)+(N57*'Pawn Weights'!$B$11)+(O57*'Pawn Weights'!$B$12)+(P57*'Pawn Weights'!$B$13)+(Q57*'Pawn Weights'!$B$14), 2)</f>
        <v>53.4</v>
      </c>
      <c r="E57" s="280">
        <v>22.0</v>
      </c>
      <c r="F57" s="280">
        <v>19.0</v>
      </c>
      <c r="G57" s="280"/>
      <c r="H57" s="280"/>
      <c r="I57" s="280">
        <v>20.0</v>
      </c>
      <c r="J57" s="280"/>
      <c r="K57" s="280"/>
      <c r="L57" s="280"/>
      <c r="M57" s="281"/>
      <c r="N57" s="280"/>
      <c r="O57" s="280">
        <v>2.0</v>
      </c>
      <c r="P57" s="280"/>
      <c r="Q57" s="280"/>
      <c r="R57" s="290" t="s">
        <v>1531</v>
      </c>
      <c r="S57" s="290"/>
      <c r="T57" s="281"/>
      <c r="U57" s="291" t="s">
        <v>1532</v>
      </c>
      <c r="V57" s="281"/>
      <c r="W57" s="281"/>
      <c r="X57" s="281"/>
    </row>
    <row r="58">
      <c r="A58" s="272" t="s">
        <v>724</v>
      </c>
      <c r="B58" s="281"/>
      <c r="C58" s="281"/>
      <c r="D58" s="293"/>
      <c r="E58" s="281"/>
      <c r="F58" s="281"/>
      <c r="G58" s="281"/>
      <c r="H58" s="281"/>
      <c r="I58" s="281"/>
      <c r="J58" s="281"/>
      <c r="K58" s="281"/>
      <c r="L58" s="281"/>
      <c r="M58" s="281"/>
      <c r="N58" s="281"/>
      <c r="O58" s="281"/>
      <c r="P58" s="281"/>
      <c r="Q58" s="281"/>
      <c r="R58" s="282"/>
      <c r="S58" s="282"/>
      <c r="T58" s="281"/>
      <c r="U58" s="285"/>
      <c r="V58" s="281"/>
      <c r="W58" s="281"/>
      <c r="X58" s="281"/>
    </row>
    <row r="59">
      <c r="A59" s="137"/>
      <c r="B59" s="341" t="s">
        <v>728</v>
      </c>
      <c r="C59" s="361" t="s">
        <v>718</v>
      </c>
      <c r="D59" s="293">
        <f>ROUND((F59*'Pawn Weights'!$B$3)+(G59*'Pawn Weights'!$B$4)+(H59*'Pawn Weights'!$B$5)+(I59*'Pawn Weights'!$B$6)+(J59*'Pawn Weights'!$B$7)+(K59*'Pawn Weights'!$B$8)+(L59*'Pawn Weights'!$B$9)+(M59*'Pawn Weights'!$B$10)+(N59*'Pawn Weights'!$B$11)+(O59*'Pawn Weights'!$B$12)+(P59*'Pawn Weights'!$B$13)+(Q59*'Pawn Weights'!$B$14), 2)</f>
        <v>56.11</v>
      </c>
      <c r="E59" s="359">
        <v>34.0</v>
      </c>
      <c r="F59" s="137"/>
      <c r="G59" s="137"/>
      <c r="H59" s="359">
        <v>46.0</v>
      </c>
      <c r="I59" s="359">
        <v>20.0</v>
      </c>
      <c r="J59" s="137"/>
      <c r="K59" s="137"/>
      <c r="L59" s="137"/>
      <c r="M59" s="359">
        <v>112.0</v>
      </c>
      <c r="N59" s="137"/>
      <c r="O59" s="137"/>
      <c r="P59" s="137"/>
      <c r="Q59" s="137"/>
      <c r="R59" s="137"/>
      <c r="S59" s="137"/>
      <c r="T59" s="361" t="s">
        <v>704</v>
      </c>
      <c r="U59" s="137"/>
      <c r="V59" s="137"/>
      <c r="W59" s="137"/>
      <c r="X59" s="137"/>
      <c r="Y59" s="137"/>
      <c r="Z59" s="137"/>
    </row>
    <row r="60">
      <c r="A60" s="281"/>
      <c r="B60" s="302" t="s">
        <v>738</v>
      </c>
      <c r="C60" s="280" t="s">
        <v>739</v>
      </c>
      <c r="D60" s="293">
        <f>ROUND((F60*'Pawn Weights'!$B$3)+(G60*'Pawn Weights'!$B$4)+(H60*'Pawn Weights'!$B$5)+(I60*'Pawn Weights'!$B$6)+(J60*'Pawn Weights'!$B$7)+(K60*'Pawn Weights'!$B$8)+(L60*'Pawn Weights'!$B$9)+(M60*'Pawn Weights'!$B$10)+(N60*'Pawn Weights'!$B$11)+(O60*'Pawn Weights'!$B$12)+(P60*'Pawn Weights'!$B$13)+(Q60*'Pawn Weights'!$B$14), 2)</f>
        <v>54.87</v>
      </c>
      <c r="E60" s="280"/>
      <c r="F60" s="280"/>
      <c r="G60" s="280"/>
      <c r="H60" s="280">
        <v>60.0</v>
      </c>
      <c r="I60" s="280">
        <v>30.0</v>
      </c>
      <c r="J60" s="280"/>
      <c r="K60" s="280"/>
      <c r="L60" s="280"/>
      <c r="M60" s="280"/>
      <c r="N60" s="280"/>
      <c r="O60" s="280"/>
      <c r="P60" s="280"/>
      <c r="Q60" s="280"/>
      <c r="R60" s="290"/>
      <c r="S60" s="290"/>
      <c r="T60" s="281"/>
      <c r="U60" s="222"/>
      <c r="V60" s="281"/>
      <c r="W60" s="281"/>
      <c r="X60" s="281"/>
      <c r="Y60" s="281"/>
    </row>
    <row r="61">
      <c r="A61" s="292" t="s">
        <v>627</v>
      </c>
      <c r="B61" s="288" t="s">
        <v>729</v>
      </c>
      <c r="C61" s="280" t="s">
        <v>730</v>
      </c>
      <c r="D61" s="293">
        <f>ROUND((F61*'Pawn Weights'!$B$3)+(G61*'Pawn Weights'!$B$4)+(H61*'Pawn Weights'!$B$5)+(I61*'Pawn Weights'!$B$6)+(J61*'Pawn Weights'!$B$7)+(K61*'Pawn Weights'!$B$8)+(L61*'Pawn Weights'!$B$9)+(M61*'Pawn Weights'!$B$10)+(N61*'Pawn Weights'!$B$11)+(O61*'Pawn Weights'!$B$12)+(P61*'Pawn Weights'!$B$13)+(Q61*'Pawn Weights'!$B$14)+1.3, 2)</f>
        <v>54.09</v>
      </c>
      <c r="E61" s="280"/>
      <c r="F61" s="280"/>
      <c r="G61" s="280"/>
      <c r="H61" s="280">
        <v>52.0</v>
      </c>
      <c r="I61" s="280">
        <v>23.0</v>
      </c>
      <c r="J61" s="280"/>
      <c r="K61" s="280"/>
      <c r="L61" s="280"/>
      <c r="M61" s="281"/>
      <c r="N61" s="280"/>
      <c r="O61" s="280">
        <v>1.0</v>
      </c>
      <c r="P61" s="280"/>
      <c r="Q61" s="280"/>
      <c r="R61" s="290" t="s">
        <v>731</v>
      </c>
      <c r="S61" s="290"/>
      <c r="T61" s="281"/>
      <c r="U61" s="222"/>
      <c r="V61" s="281"/>
      <c r="W61" s="281"/>
      <c r="X61" s="281"/>
      <c r="Y61" s="281"/>
    </row>
    <row r="62">
      <c r="A62" s="303" t="s">
        <v>627</v>
      </c>
      <c r="B62" s="302" t="s">
        <v>734</v>
      </c>
      <c r="C62" s="154" t="s">
        <v>735</v>
      </c>
      <c r="D62" s="293">
        <f>ROUND((F62*'Pawn Weights'!$B$3)+(G62*'Pawn Weights'!$B$4)+(H62*'Pawn Weights'!$B$5)+(I62*'Pawn Weights'!$B$6)+(J62*'Pawn Weights'!$B$7)+(K62*'Pawn Weights'!$B$8)+(L62*'Pawn Weights'!$B$9)+(M62*'Pawn Weights'!$B$10)+(N62*'Pawn Weights'!$B$11)+(O62*'Pawn Weights'!$B$12)+(P62*'Pawn Weights'!$B$13)+(Q62*'Pawn Weights'!$B$14), 2)</f>
        <v>53.08</v>
      </c>
      <c r="E62" s="280">
        <v>25.0</v>
      </c>
      <c r="F62" s="280">
        <v>23.0</v>
      </c>
      <c r="G62" s="280"/>
      <c r="H62" s="280"/>
      <c r="I62" s="280">
        <v>24.0</v>
      </c>
      <c r="J62" s="280"/>
      <c r="K62" s="280"/>
      <c r="L62" s="280"/>
      <c r="M62" s="281"/>
      <c r="N62" s="280"/>
      <c r="O62" s="280"/>
      <c r="P62" s="280"/>
      <c r="Q62" s="280">
        <v>1.0</v>
      </c>
      <c r="R62" s="290" t="s">
        <v>736</v>
      </c>
      <c r="S62" s="290"/>
      <c r="T62" s="281"/>
      <c r="U62" s="291" t="s">
        <v>737</v>
      </c>
      <c r="V62" s="281"/>
      <c r="W62" s="281"/>
      <c r="X62" s="281"/>
      <c r="Y62" s="304"/>
      <c r="Z62" s="304"/>
    </row>
    <row r="63" ht="1.5" customHeight="1">
      <c r="A63" s="281"/>
      <c r="B63" s="302" t="s">
        <v>740</v>
      </c>
      <c r="C63" s="280" t="s">
        <v>741</v>
      </c>
      <c r="D63" s="293">
        <f>ROUND((F63*'Pawn Weights'!$B$3)+(G63*'Pawn Weights'!$B$4)+(H63*'Pawn Weights'!$B$5)+(I63*'Pawn Weights'!$B$6)+(J63*'Pawn Weights'!$B$7)+(K63*'Pawn Weights'!$B$8)+(L63*'Pawn Weights'!$B$9)+(M63*'Pawn Weights'!$B$10)+(N63*'Pawn Weights'!$B$11)+(O63*'Pawn Weights'!$B$12)+(P63*'Pawn Weights'!$B$13)+(Q63*'Pawn Weights'!$B$14), 2)</f>
        <v>49.86</v>
      </c>
      <c r="E63" s="280">
        <v>28.0</v>
      </c>
      <c r="F63" s="280"/>
      <c r="G63" s="280">
        <v>28.0</v>
      </c>
      <c r="H63" s="280">
        <v>68.0</v>
      </c>
      <c r="I63" s="280"/>
      <c r="J63" s="280"/>
      <c r="K63" s="280"/>
      <c r="L63" s="280"/>
      <c r="M63" s="280"/>
      <c r="N63" s="280"/>
      <c r="O63" s="280"/>
      <c r="P63" s="280"/>
      <c r="Q63" s="280"/>
      <c r="R63" s="290"/>
      <c r="S63" s="290"/>
      <c r="T63" s="281"/>
      <c r="U63" s="222"/>
      <c r="V63" s="281"/>
      <c r="W63" s="281"/>
      <c r="X63" s="281"/>
      <c r="Y63" s="281"/>
    </row>
    <row r="64">
      <c r="A64" s="281"/>
      <c r="B64" s="302" t="s">
        <v>1084</v>
      </c>
      <c r="C64" s="280" t="s">
        <v>900</v>
      </c>
      <c r="D64" s="293">
        <f>ROUND((F64*'Pawn Weights'!$B$3)+(G64*'Pawn Weights'!$B$4)+(H64*'Pawn Weights'!$B$5)+(I64*'Pawn Weights'!$B$6)+(J64*'Pawn Weights'!$B$7)+(K64*'Pawn Weights'!$B$8)+(L64*'Pawn Weights'!$B$9)+(M64*'Pawn Weights'!$B$10)+(N64*'Pawn Weights'!$B$11)+(O64*'Pawn Weights'!$B$12)+(P64*'Pawn Weights'!$B$13)+(Q64*'Pawn Weights'!$B$14), 2)</f>
        <v>48.57</v>
      </c>
      <c r="E64" s="280">
        <v>22.0</v>
      </c>
      <c r="F64" s="280">
        <v>33.0</v>
      </c>
      <c r="G64" s="280">
        <v>23.0</v>
      </c>
      <c r="H64" s="280"/>
      <c r="I64" s="280"/>
      <c r="J64" s="280"/>
      <c r="K64" s="280"/>
      <c r="L64" s="280"/>
      <c r="M64" s="280"/>
      <c r="N64" s="280"/>
      <c r="O64" s="280"/>
      <c r="P64" s="280"/>
      <c r="Q64" s="280"/>
      <c r="R64" s="290"/>
      <c r="S64" s="290"/>
      <c r="T64" s="281"/>
      <c r="U64" s="222"/>
      <c r="V64" s="281"/>
      <c r="W64" s="281"/>
      <c r="X64" s="281"/>
      <c r="Y64" s="281"/>
    </row>
    <row r="65">
      <c r="A65" s="281"/>
      <c r="B65" s="288" t="s">
        <v>1533</v>
      </c>
      <c r="C65" s="280" t="s">
        <v>1534</v>
      </c>
      <c r="D65" s="293">
        <f>ROUND((F65*'Pawn Weights'!$B$3)+(G65*'Pawn Weights'!$B$4)+(H65*'Pawn Weights'!$B$5)+(I65*'Pawn Weights'!$B$6)+(J65*'Pawn Weights'!$B$7)+(K65*'Pawn Weights'!$B$8)+(L65*'Pawn Weights'!$B$9)+(M65*'Pawn Weights'!$B$10)+(N65*'Pawn Weights'!$B$11)+(O65*'Pawn Weights'!$B$12)+(P65*'Pawn Weights'!$B$13)+(Q65*'Pawn Weights'!$B$14), 2)</f>
        <v>47.53</v>
      </c>
      <c r="E65" s="280">
        <v>28.0</v>
      </c>
      <c r="F65" s="280"/>
      <c r="G65" s="280"/>
      <c r="H65" s="280">
        <v>56.0</v>
      </c>
      <c r="I65" s="280">
        <v>24.0</v>
      </c>
      <c r="J65" s="280"/>
      <c r="K65" s="280"/>
      <c r="L65" s="280"/>
      <c r="M65" s="281"/>
      <c r="N65" s="280"/>
      <c r="O65" s="280"/>
      <c r="P65" s="280"/>
      <c r="Q65" s="280"/>
      <c r="R65" s="290"/>
      <c r="S65" s="290"/>
      <c r="T65" s="281"/>
      <c r="U65" s="222"/>
      <c r="V65" s="281"/>
      <c r="W65" s="281"/>
      <c r="X65" s="281"/>
      <c r="Y65" s="281"/>
    </row>
    <row r="66">
      <c r="A66" s="281"/>
      <c r="B66" s="302" t="s">
        <v>1200</v>
      </c>
      <c r="C66" s="280" t="s">
        <v>1201</v>
      </c>
      <c r="D66" s="293">
        <f>ROUND((F66*'Pawn Weights'!$B$3)+(G66*'Pawn Weights'!$B$4)+(H66*'Pawn Weights'!$B$5)+(I66*'Pawn Weights'!$B$6)+(J66*'Pawn Weights'!$B$7)+(K66*'Pawn Weights'!$B$8)+(L66*'Pawn Weights'!$B$9)+(M66*'Pawn Weights'!$B$10)+(N66*'Pawn Weights'!$B$11)+(O66*'Pawn Weights'!$B$12)+(P66*'Pawn Weights'!$B$13)+(Q66*'Pawn Weights'!$B$14), 2)</f>
        <v>42.75</v>
      </c>
      <c r="E66" s="280">
        <v>21.0</v>
      </c>
      <c r="F66" s="280"/>
      <c r="G66" s="280">
        <v>24.0</v>
      </c>
      <c r="H66" s="280">
        <v>34.0</v>
      </c>
      <c r="I66" s="280"/>
      <c r="J66" s="280">
        <v>17.0</v>
      </c>
      <c r="K66" s="280"/>
      <c r="L66" s="280"/>
      <c r="M66" s="280"/>
      <c r="N66" s="280"/>
      <c r="O66" s="280"/>
      <c r="P66" s="280"/>
      <c r="Q66" s="280"/>
      <c r="R66" s="290"/>
      <c r="S66" s="290"/>
      <c r="T66" s="281"/>
      <c r="U66" s="222"/>
      <c r="V66" s="281"/>
      <c r="W66" s="281"/>
      <c r="X66" s="281"/>
      <c r="Y66" s="281"/>
    </row>
    <row r="67">
      <c r="A67" s="281"/>
      <c r="B67" s="421" t="s">
        <v>1535</v>
      </c>
      <c r="C67" s="280" t="s">
        <v>1536</v>
      </c>
      <c r="D67" s="293">
        <f>ROUND((F67*'Pawn Weights'!$B$3)+(G67*'Pawn Weights'!$B$4)+(H67*'Pawn Weights'!$B$5)+(I67*'Pawn Weights'!$B$6)+(J67*'Pawn Weights'!$B$7)+(K67*'Pawn Weights'!$B$8)+(L67*'Pawn Weights'!$B$9)+(M67*'Pawn Weights'!$B$10)+(N67*'Pawn Weights'!$B$11)+(O67*'Pawn Weights'!$B$12)+(P67*'Pawn Weights'!$B$13)+(Q67*'Pawn Weights'!$B$14), 2)</f>
        <v>40.6</v>
      </c>
      <c r="E67" s="280">
        <v>15.0</v>
      </c>
      <c r="F67" s="280"/>
      <c r="G67" s="280"/>
      <c r="H67" s="280">
        <v>30.0</v>
      </c>
      <c r="I67" s="280">
        <v>18.0</v>
      </c>
      <c r="J67" s="280">
        <v>16.0</v>
      </c>
      <c r="K67" s="280"/>
      <c r="L67" s="280"/>
      <c r="M67" s="280"/>
      <c r="N67" s="280"/>
      <c r="O67" s="280"/>
      <c r="P67" s="280"/>
      <c r="Q67" s="280"/>
      <c r="R67" s="290"/>
      <c r="S67" s="290"/>
      <c r="T67" s="281"/>
      <c r="U67" s="222"/>
      <c r="V67" s="281"/>
      <c r="W67" s="281"/>
      <c r="X67" s="281"/>
      <c r="Y67" s="281"/>
    </row>
    <row r="68">
      <c r="A68" s="137"/>
      <c r="B68" s="383" t="s">
        <v>1537</v>
      </c>
      <c r="C68" s="297" t="s">
        <v>1307</v>
      </c>
      <c r="D68" s="293">
        <f>ROUND((F68*'Pawn Weights'!$B$3)+(G68*'Pawn Weights'!$B$4)+(H68*'Pawn Weights'!$B$5)+(I68*'Pawn Weights'!$B$6)+(J68*'Pawn Weights'!$B$7)+(K68*'Pawn Weights'!$B$8)+(L68*'Pawn Weights'!$B$9)+(M68*'Pawn Weights'!$B$10)+(N68*'Pawn Weights'!$B$11)+(O68*'Pawn Weights'!$B$12)+(P68*'Pawn Weights'!$B$13)+(Q68*'Pawn Weights'!$B$14), 2)</f>
        <v>38.32</v>
      </c>
      <c r="E68" s="298">
        <v>19.0</v>
      </c>
      <c r="F68" s="298">
        <v>19.0</v>
      </c>
      <c r="G68" s="297"/>
      <c r="H68" s="297"/>
      <c r="I68" s="298">
        <v>21.0</v>
      </c>
      <c r="J68" s="297"/>
      <c r="K68" s="297"/>
      <c r="L68" s="297"/>
      <c r="M68" s="297"/>
      <c r="N68" s="297"/>
      <c r="O68" s="297"/>
      <c r="P68" s="297"/>
      <c r="Q68" s="297"/>
      <c r="R68" s="295"/>
      <c r="S68" s="295"/>
      <c r="T68" s="137"/>
      <c r="U68" s="344"/>
      <c r="V68" s="137"/>
      <c r="W68" s="137"/>
      <c r="X68" s="137"/>
      <c r="Y68" s="137"/>
      <c r="Z68" s="137"/>
    </row>
    <row r="69">
      <c r="A69" s="281"/>
      <c r="B69" s="302" t="s">
        <v>1538</v>
      </c>
      <c r="C69" s="280" t="s">
        <v>1104</v>
      </c>
      <c r="D69" s="293">
        <f>ROUND((F69*'Pawn Weights'!$B$3)+(G69*'Pawn Weights'!$B$4)+(H69*'Pawn Weights'!$B$5)+(I69*'Pawn Weights'!$B$6)+(J69*'Pawn Weights'!$B$7)+(K69*'Pawn Weights'!$B$8)+(L69*'Pawn Weights'!$B$9)+(M69*'Pawn Weights'!$B$10)+(N69*'Pawn Weights'!$B$11)+(O69*'Pawn Weights'!$B$12)+(P69*'Pawn Weights'!$B$13)+(Q69*'Pawn Weights'!$B$14), 2)</f>
        <v>36.4</v>
      </c>
      <c r="E69" s="280">
        <v>31.0</v>
      </c>
      <c r="F69" s="280">
        <v>26.0</v>
      </c>
      <c r="G69" s="280"/>
      <c r="H69" s="280"/>
      <c r="I69" s="280"/>
      <c r="J69" s="280">
        <v>16.0</v>
      </c>
      <c r="K69" s="280"/>
      <c r="L69" s="280"/>
      <c r="M69" s="280"/>
      <c r="N69" s="280"/>
      <c r="O69" s="280"/>
      <c r="P69" s="280"/>
      <c r="Q69" s="280"/>
      <c r="R69" s="290"/>
      <c r="S69" s="290"/>
      <c r="T69" s="281"/>
      <c r="U69" s="294" t="s">
        <v>1539</v>
      </c>
      <c r="V69" s="281"/>
      <c r="W69" s="281"/>
      <c r="X69" s="281"/>
      <c r="Y69" s="281"/>
    </row>
    <row r="70">
      <c r="A70" s="281"/>
      <c r="B70" s="421" t="s">
        <v>1540</v>
      </c>
      <c r="C70" s="280" t="s">
        <v>1541</v>
      </c>
      <c r="D70" s="293">
        <f>ROUND((F70*'Pawn Weights'!$B$3)+(G70*'Pawn Weights'!$B$4)+(H70*'Pawn Weights'!$B$5)+(I70*'Pawn Weights'!$B$6)+(J70*'Pawn Weights'!$B$7)+(K70*'Pawn Weights'!$B$8)+(L70*'Pawn Weights'!$B$9)+(M70*'Pawn Weights'!$B$10)+(N70*'Pawn Weights'!$B$11)+(O70*'Pawn Weights'!$B$12)+(P70*'Pawn Weights'!$B$13)+(Q70*'Pawn Weights'!$B$14), 2)</f>
        <v>31.93</v>
      </c>
      <c r="E70" s="280">
        <v>21.0</v>
      </c>
      <c r="F70" s="280">
        <v>14.0</v>
      </c>
      <c r="G70" s="280">
        <v>14.0</v>
      </c>
      <c r="H70" s="280"/>
      <c r="I70" s="280"/>
      <c r="J70" s="280">
        <v>13.0</v>
      </c>
      <c r="K70" s="280"/>
      <c r="L70" s="280"/>
      <c r="M70" s="280"/>
      <c r="N70" s="280"/>
      <c r="O70" s="280"/>
      <c r="P70" s="280"/>
      <c r="Q70" s="280"/>
      <c r="R70" s="290"/>
      <c r="S70" s="290"/>
      <c r="T70" s="281"/>
      <c r="U70" s="294" t="s">
        <v>1542</v>
      </c>
      <c r="V70" s="281"/>
      <c r="W70" s="281"/>
      <c r="X70" s="281"/>
      <c r="Y70" s="281"/>
    </row>
    <row r="71">
      <c r="A71" s="272" t="s">
        <v>742</v>
      </c>
      <c r="B71" s="281"/>
      <c r="C71" s="281"/>
      <c r="D71" s="293"/>
      <c r="E71" s="281"/>
      <c r="F71" s="281"/>
      <c r="G71" s="281"/>
      <c r="H71" s="281"/>
      <c r="I71" s="281"/>
      <c r="J71" s="281"/>
      <c r="K71" s="281"/>
      <c r="L71" s="281"/>
      <c r="M71" s="281"/>
      <c r="N71" s="281"/>
      <c r="O71" s="281"/>
      <c r="P71" s="281"/>
      <c r="Q71" s="281"/>
      <c r="R71" s="282"/>
      <c r="S71" s="282"/>
      <c r="T71" s="281"/>
      <c r="U71" s="222"/>
      <c r="V71" s="281"/>
      <c r="W71" s="281"/>
      <c r="X71" s="281"/>
    </row>
    <row r="72">
      <c r="A72" s="137" t="s">
        <v>627</v>
      </c>
      <c r="B72" s="381" t="s">
        <v>746</v>
      </c>
      <c r="C72" s="361" t="s">
        <v>747</v>
      </c>
      <c r="D72" s="293">
        <f>ROUND((F72*'Pawn Weights'!$B$3)+(G72*'Pawn Weights'!$B$4)+(H72*'Pawn Weights'!$B$5)+(I72*'Pawn Weights'!$B$6)+(J72*'Pawn Weights'!$B$7)+(K72*'Pawn Weights'!$B$8)+(L72*'Pawn Weights'!$B$9)+(M72*'Pawn Weights'!$B$10)+(N72*'Pawn Weights'!$B$11)+(O72*'Pawn Weights'!$B$12)+(P72*'Pawn Weights'!$B$13)+(Q72*'Pawn Weights'!$B$14)+3.68, 2)</f>
        <v>168.4</v>
      </c>
      <c r="E72" s="359">
        <v>55.0</v>
      </c>
      <c r="F72" s="359">
        <v>61.0</v>
      </c>
      <c r="G72" s="361"/>
      <c r="H72" s="361"/>
      <c r="I72" s="359">
        <v>41.0</v>
      </c>
      <c r="J72" s="361"/>
      <c r="K72" s="361"/>
      <c r="L72" s="361"/>
      <c r="M72" s="359">
        <v>280.0</v>
      </c>
      <c r="N72" s="361"/>
      <c r="O72" s="359">
        <v>3.0</v>
      </c>
      <c r="P72" s="361"/>
      <c r="Q72" s="361"/>
      <c r="R72" s="359" t="s">
        <v>624</v>
      </c>
      <c r="S72" s="137"/>
      <c r="T72" s="361" t="s">
        <v>748</v>
      </c>
      <c r="U72" s="137"/>
      <c r="V72" s="137"/>
      <c r="W72" s="137"/>
      <c r="X72" s="137"/>
      <c r="Y72" s="137"/>
      <c r="Z72" s="137"/>
    </row>
    <row r="73">
      <c r="A73" s="137"/>
      <c r="B73" s="381" t="s">
        <v>749</v>
      </c>
      <c r="C73" s="361" t="s">
        <v>750</v>
      </c>
      <c r="D73" s="293">
        <f>ROUND((F73*'Pawn Weights'!$B$3)+(G73*'Pawn Weights'!$B$4)+(H73*'Pawn Weights'!$B$5)+(I73*'Pawn Weights'!$B$6)+(J73*'Pawn Weights'!$B$7)+(K73*'Pawn Weights'!$B$8)+(L73*'Pawn Weights'!$B$9)+(M73*'Pawn Weights'!$B$10)+(N73*'Pawn Weights'!$B$11)+(O73*'Pawn Weights'!$B$12)+(P73*'Pawn Weights'!$B$13)+(Q73*'Pawn Weights'!$B$14)-8+7.68+3.636, 2)</f>
        <v>158.67</v>
      </c>
      <c r="E73" s="359">
        <v>45.0</v>
      </c>
      <c r="F73" s="361"/>
      <c r="G73" s="359">
        <v>42.0</v>
      </c>
      <c r="H73" s="359">
        <v>120.0</v>
      </c>
      <c r="I73" s="361"/>
      <c r="J73" s="359">
        <v>30.0</v>
      </c>
      <c r="K73" s="359">
        <v>38.0</v>
      </c>
      <c r="L73" s="361"/>
      <c r="M73" s="137"/>
      <c r="N73" s="361"/>
      <c r="O73" s="359">
        <v>2.0</v>
      </c>
      <c r="P73" s="359">
        <v>1.0</v>
      </c>
      <c r="Q73" s="361"/>
      <c r="R73" s="359" t="s">
        <v>745</v>
      </c>
      <c r="S73" s="137"/>
      <c r="T73" s="406" t="s">
        <v>748</v>
      </c>
      <c r="U73" s="137"/>
      <c r="V73" s="137"/>
      <c r="W73" s="137"/>
      <c r="X73" s="137"/>
      <c r="Y73" s="137"/>
      <c r="Z73" s="137"/>
    </row>
    <row r="74">
      <c r="A74" s="137" t="s">
        <v>635</v>
      </c>
      <c r="B74" s="381" t="s">
        <v>754</v>
      </c>
      <c r="C74" s="361" t="s">
        <v>637</v>
      </c>
      <c r="D74" s="293">
        <f>ROUND((F74*'Pawn Weights'!$B$3)+(G74*'Pawn Weights'!$B$4)+(H74*'Pawn Weights'!$B$5)+(I74*'Pawn Weights'!$B$6)+(J74*'Pawn Weights'!$B$7)+(K74*'Pawn Weights'!$B$8)+(L74*'Pawn Weights'!$B$9)+(M74*'Pawn Weights'!$B$10)+(N74*'Pawn Weights'!$B$11)+(O74*'Pawn Weights'!$B$12)+(P74*'Pawn Weights'!$B$13)+(Q74*'Pawn Weights'!$B$14)-8+7.68+3.68, 2)</f>
        <v>138.06</v>
      </c>
      <c r="E74" s="359">
        <v>76.0</v>
      </c>
      <c r="F74" s="359">
        <v>45.0</v>
      </c>
      <c r="G74" s="361"/>
      <c r="H74" s="361"/>
      <c r="I74" s="359">
        <v>45.0</v>
      </c>
      <c r="J74" s="359">
        <v>18.0</v>
      </c>
      <c r="K74" s="361"/>
      <c r="L74" s="361"/>
      <c r="M74" s="359">
        <v>84.0</v>
      </c>
      <c r="N74" s="361"/>
      <c r="O74" s="359">
        <v>2.0</v>
      </c>
      <c r="P74" s="359">
        <v>1.0</v>
      </c>
      <c r="Q74" s="361"/>
      <c r="R74" s="359" t="s">
        <v>624</v>
      </c>
      <c r="S74" s="137"/>
      <c r="T74" s="361" t="s">
        <v>755</v>
      </c>
      <c r="U74" s="137"/>
      <c r="V74" s="137"/>
      <c r="W74" s="137"/>
      <c r="X74" s="137"/>
      <c r="Y74" s="137"/>
      <c r="Z74" s="137"/>
    </row>
    <row r="75">
      <c r="A75" s="137" t="s">
        <v>627</v>
      </c>
      <c r="B75" s="381" t="s">
        <v>753</v>
      </c>
      <c r="C75" s="361" t="s">
        <v>750</v>
      </c>
      <c r="D75" s="293">
        <f>ROUND((F75*'Pawn Weights'!$B$3)+(G75*'Pawn Weights'!$B$4)+(H75*'Pawn Weights'!$B$5)+(I75*'Pawn Weights'!$B$6)+(J75*'Pawn Weights'!$B$7)+(K75*'Pawn Weights'!$B$8)+(L75*'Pawn Weights'!$B$9)+(M75*'Pawn Weights'!$B$10)+(N75*'Pawn Weights'!$B$11)+(O75*'Pawn Weights'!$B$12)+(P75*'Pawn Weights'!$B$13)+(Q75*'Pawn Weights'!$B$14)+3.636, 2)</f>
        <v>138.13</v>
      </c>
      <c r="E75" s="359">
        <v>43.0</v>
      </c>
      <c r="F75" s="361"/>
      <c r="G75" s="359">
        <v>44.0</v>
      </c>
      <c r="H75" s="359">
        <v>104.0</v>
      </c>
      <c r="I75" s="361"/>
      <c r="J75" s="361"/>
      <c r="K75" s="359">
        <v>44.0</v>
      </c>
      <c r="L75" s="361"/>
      <c r="M75" s="137"/>
      <c r="N75" s="361"/>
      <c r="O75" s="359">
        <v>3.0</v>
      </c>
      <c r="P75" s="361"/>
      <c r="Q75" s="361"/>
      <c r="R75" s="359" t="s">
        <v>745</v>
      </c>
      <c r="S75" s="137"/>
      <c r="T75" s="406" t="s">
        <v>748</v>
      </c>
      <c r="U75" s="137"/>
      <c r="V75" s="137"/>
      <c r="W75" s="137"/>
      <c r="X75" s="137"/>
      <c r="Y75" s="137"/>
      <c r="Z75" s="137"/>
    </row>
    <row r="76">
      <c r="A76" s="137" t="s">
        <v>644</v>
      </c>
      <c r="B76" s="381" t="s">
        <v>759</v>
      </c>
      <c r="C76" s="361" t="s">
        <v>646</v>
      </c>
      <c r="D76" s="293">
        <f>ROUND((F76*'Pawn Weights'!$B$3)+(G76*'Pawn Weights'!$B$4)+(H76*'Pawn Weights'!$B$5)+(I76*'Pawn Weights'!$B$6)+(J76*'Pawn Weights'!$B$7)+(K76*'Pawn Weights'!$B$8)+(L76*'Pawn Weights'!$B$9)+(M76*'Pawn Weights'!$B$10)+(N76*'Pawn Weights'!$B$11)+(O76*'Pawn Weights'!$B$12)+(P76*'Pawn Weights'!$B$13)+(Q76*'Pawn Weights'!$B$14)-8+7.68+3.68, 2)</f>
        <v>122.64</v>
      </c>
      <c r="E76" s="359">
        <v>67.0</v>
      </c>
      <c r="F76" s="359">
        <v>39.0</v>
      </c>
      <c r="G76" s="361"/>
      <c r="H76" s="361"/>
      <c r="I76" s="359">
        <v>39.0</v>
      </c>
      <c r="J76" s="359">
        <v>12.0</v>
      </c>
      <c r="K76" s="361"/>
      <c r="L76" s="361"/>
      <c r="M76" s="359">
        <v>84.0</v>
      </c>
      <c r="N76" s="361"/>
      <c r="O76" s="359">
        <v>2.0</v>
      </c>
      <c r="P76" s="359">
        <v>1.0</v>
      </c>
      <c r="Q76" s="361"/>
      <c r="R76" s="359" t="s">
        <v>624</v>
      </c>
      <c r="S76" s="137"/>
      <c r="T76" s="361" t="s">
        <v>755</v>
      </c>
      <c r="U76" s="137"/>
      <c r="V76" s="137"/>
      <c r="W76" s="137"/>
      <c r="X76" s="137"/>
      <c r="Y76" s="137"/>
      <c r="Z76" s="137"/>
    </row>
    <row r="77">
      <c r="A77" s="292" t="s">
        <v>627</v>
      </c>
      <c r="B77" s="305" t="s">
        <v>760</v>
      </c>
      <c r="C77" s="280" t="s">
        <v>761</v>
      </c>
      <c r="D77" s="293">
        <f>ROUND((F77*'Pawn Weights'!$B$3)+(G77*'Pawn Weights'!$B$4)+(H77*'Pawn Weights'!$B$5)+(I77*'Pawn Weights'!$B$6)+(J77*'Pawn Weights'!$B$7)+(K77*'Pawn Weights'!$B$8)+(L77*'Pawn Weights'!$B$9)+(M77*'Pawn Weights'!$B$10)+(N77*'Pawn Weights'!$B$11)+(O77*'Pawn Weights'!$B$12)+(P77*'Pawn Weights'!$B$13)+(Q77*'Pawn Weights'!$B$14), 2)</f>
        <v>117.97</v>
      </c>
      <c r="E77" s="280">
        <v>56.0</v>
      </c>
      <c r="F77" s="280">
        <v>40.0</v>
      </c>
      <c r="G77" s="280"/>
      <c r="H77" s="280"/>
      <c r="I77" s="280">
        <v>41.0</v>
      </c>
      <c r="J77" s="280">
        <v>25.0</v>
      </c>
      <c r="K77" s="280"/>
      <c r="L77" s="280"/>
      <c r="M77" s="281"/>
      <c r="N77" s="280"/>
      <c r="O77" s="280"/>
      <c r="P77" s="280">
        <v>2.0</v>
      </c>
      <c r="Q77" s="280">
        <v>1.0</v>
      </c>
      <c r="R77" s="290" t="s">
        <v>624</v>
      </c>
      <c r="S77" s="290"/>
      <c r="T77" s="281"/>
      <c r="U77" s="291" t="s">
        <v>762</v>
      </c>
      <c r="V77" s="281"/>
      <c r="W77" s="281"/>
      <c r="X77" s="281"/>
    </row>
    <row r="78">
      <c r="A78" s="281"/>
      <c r="B78" s="305" t="s">
        <v>764</v>
      </c>
      <c r="C78" s="307" t="s">
        <v>765</v>
      </c>
      <c r="D78" s="293">
        <f>ROUND((F78*'Pawn Weights'!$B$3)+(G78*'Pawn Weights'!$B$4)+(H78*'Pawn Weights'!$B$5)+(I78*'Pawn Weights'!$B$6)+(J78*'Pawn Weights'!$B$7)+(K78*'Pawn Weights'!$B$8)+(L78*'Pawn Weights'!$B$9)+(M78*'Pawn Weights'!$B$10)+(N78*'Pawn Weights'!$B$11)+(O78*'Pawn Weights'!$B$12)+(P78*'Pawn Weights'!$B$13)+(Q78*'Pawn Weights'!$B$14), 2)</f>
        <v>116.48</v>
      </c>
      <c r="E78" s="280">
        <v>24.0</v>
      </c>
      <c r="F78" s="280"/>
      <c r="G78" s="280"/>
      <c r="H78" s="280">
        <v>92.0</v>
      </c>
      <c r="I78" s="280">
        <v>36.0</v>
      </c>
      <c r="J78" s="280">
        <v>27.0</v>
      </c>
      <c r="K78" s="280"/>
      <c r="L78" s="280"/>
      <c r="M78" s="281"/>
      <c r="N78" s="280"/>
      <c r="O78" s="280"/>
      <c r="P78" s="280">
        <v>2.0</v>
      </c>
      <c r="Q78" s="280">
        <v>1.0</v>
      </c>
      <c r="R78" s="290" t="s">
        <v>745</v>
      </c>
      <c r="S78" s="290"/>
      <c r="T78" s="281"/>
      <c r="U78" s="291"/>
      <c r="V78" s="281"/>
      <c r="W78" s="281"/>
      <c r="X78" s="281"/>
    </row>
    <row r="79">
      <c r="A79" s="292" t="s">
        <v>647</v>
      </c>
      <c r="B79" s="305" t="s">
        <v>766</v>
      </c>
      <c r="C79" s="280" t="s">
        <v>741</v>
      </c>
      <c r="D79" s="293">
        <f>ROUND((F79*'Pawn Weights'!$B$3)+(G79*'Pawn Weights'!$B$4)+(H79*'Pawn Weights'!$B$5)+(I79*'Pawn Weights'!$B$6)+(J79*'Pawn Weights'!$B$7)+(K79*'Pawn Weights'!$B$8)+(L79*'Pawn Weights'!$B$9)+(M79*'Pawn Weights'!$B$10)+(N79*'Pawn Weights'!$B$11)+(O79*'Pawn Weights'!$B$12)+(P79*'Pawn Weights'!$B$13)+(Q79*'Pawn Weights'!$B$14), 2)</f>
        <v>114.11</v>
      </c>
      <c r="E79" s="280">
        <v>48.0</v>
      </c>
      <c r="F79" s="280">
        <v>50.0</v>
      </c>
      <c r="G79" s="280"/>
      <c r="H79" s="280"/>
      <c r="I79" s="280">
        <v>33.0</v>
      </c>
      <c r="J79" s="280">
        <v>15.0</v>
      </c>
      <c r="K79" s="280"/>
      <c r="L79" s="280"/>
      <c r="M79" s="281"/>
      <c r="N79" s="280"/>
      <c r="O79" s="280">
        <v>1.0</v>
      </c>
      <c r="P79" s="280">
        <v>1.0</v>
      </c>
      <c r="Q79" s="280">
        <v>1.0</v>
      </c>
      <c r="R79" s="290" t="s">
        <v>643</v>
      </c>
      <c r="S79" s="290"/>
      <c r="T79" s="281"/>
      <c r="U79" s="291"/>
      <c r="V79" s="281"/>
      <c r="W79" s="281"/>
      <c r="X79" s="281"/>
    </row>
    <row r="80">
      <c r="A80" s="281"/>
      <c r="B80" s="305" t="s">
        <v>1086</v>
      </c>
      <c r="C80" s="307" t="s">
        <v>649</v>
      </c>
      <c r="D80" s="293">
        <f>ROUND((F80*'Pawn Weights'!$B$3)+(G80*'Pawn Weights'!$B$4)+(H80*'Pawn Weights'!$B$5)+(I80*'Pawn Weights'!$B$6)+(J80*'Pawn Weights'!$B$7)+(K80*'Pawn Weights'!$B$8)+(L80*'Pawn Weights'!$B$9)+(M80*'Pawn Weights'!$B$10)+(N80*'Pawn Weights'!$B$11)+(O80*'Pawn Weights'!$B$12)+(P80*'Pawn Weights'!$B$13)+(Q80*'Pawn Weights'!$B$14), 2)</f>
        <v>109.61</v>
      </c>
      <c r="E80" s="280">
        <v>42.0</v>
      </c>
      <c r="F80" s="280">
        <v>61.0</v>
      </c>
      <c r="G80" s="280">
        <v>43.0</v>
      </c>
      <c r="H80" s="280"/>
      <c r="I80" s="280"/>
      <c r="J80" s="280">
        <v>30.0</v>
      </c>
      <c r="K80" s="280"/>
      <c r="L80" s="280"/>
      <c r="M80" s="281"/>
      <c r="N80" s="280"/>
      <c r="O80" s="280"/>
      <c r="P80" s="280"/>
      <c r="Q80" s="280"/>
      <c r="R80" s="290"/>
      <c r="S80" s="290"/>
      <c r="T80" s="281"/>
      <c r="U80" s="291"/>
      <c r="V80" s="281"/>
      <c r="W80" s="281"/>
      <c r="X80" s="281"/>
    </row>
    <row r="81">
      <c r="A81" s="292" t="s">
        <v>627</v>
      </c>
      <c r="B81" s="305" t="s">
        <v>770</v>
      </c>
      <c r="C81" s="280" t="s">
        <v>771</v>
      </c>
      <c r="D81" s="293">
        <f>ROUND((F81*'Pawn Weights'!$B$3)+(G81*'Pawn Weights'!$B$4)+(H81*'Pawn Weights'!$B$5)+(I81*'Pawn Weights'!$B$6)+(J81*'Pawn Weights'!$B$7)+(K81*'Pawn Weights'!$B$8)+(L81*'Pawn Weights'!$B$9)+(M81*'Pawn Weights'!$B$10)+(N81*'Pawn Weights'!$B$11)+(O81*'Pawn Weights'!$B$12)+(P81*'Pawn Weights'!$B$13)+(Q81*'Pawn Weights'!$B$14), 2)</f>
        <v>107.99</v>
      </c>
      <c r="E81" s="280">
        <v>55.0</v>
      </c>
      <c r="F81" s="280">
        <v>35.0</v>
      </c>
      <c r="G81" s="280"/>
      <c r="H81" s="280"/>
      <c r="I81" s="280">
        <v>37.0</v>
      </c>
      <c r="J81" s="280">
        <v>23.0</v>
      </c>
      <c r="K81" s="280"/>
      <c r="L81" s="280"/>
      <c r="M81" s="281"/>
      <c r="N81" s="280"/>
      <c r="O81" s="280"/>
      <c r="P81" s="280">
        <v>2.0</v>
      </c>
      <c r="Q81" s="280">
        <v>1.0</v>
      </c>
      <c r="R81" s="290" t="s">
        <v>624</v>
      </c>
      <c r="S81" s="290"/>
      <c r="T81" s="281"/>
      <c r="U81" s="291" t="s">
        <v>762</v>
      </c>
      <c r="V81" s="281"/>
      <c r="W81" s="281"/>
      <c r="X81" s="281"/>
    </row>
    <row r="82" ht="15.0" customHeight="1">
      <c r="A82" s="292"/>
      <c r="B82" s="305" t="s">
        <v>776</v>
      </c>
      <c r="C82" s="280" t="s">
        <v>739</v>
      </c>
      <c r="D82" s="293">
        <f>ROUND((F82*'Pawn Weights'!$B$3)+(G82*'Pawn Weights'!$B$4)+(H82*'Pawn Weights'!$B$5)+(I82*'Pawn Weights'!$B$6)+(J82*'Pawn Weights'!$B$7)+(K82*'Pawn Weights'!$B$8)+(L82*'Pawn Weights'!$B$9)+(M82*'Pawn Weights'!$B$10)+(N82*'Pawn Weights'!$B$11)+(O82*'Pawn Weights'!$B$12)+(P82*'Pawn Weights'!$B$13)+(Q82*'Pawn Weights'!$B$14)-16+15.36+3.68, 2)</f>
        <v>107.32</v>
      </c>
      <c r="E82" s="280"/>
      <c r="F82" s="280"/>
      <c r="G82" s="280"/>
      <c r="H82" s="280">
        <v>96.0</v>
      </c>
      <c r="I82" s="280">
        <v>25.0</v>
      </c>
      <c r="J82" s="280">
        <v>21.0</v>
      </c>
      <c r="K82" s="280"/>
      <c r="L82" s="280"/>
      <c r="M82" s="281"/>
      <c r="N82" s="280"/>
      <c r="O82" s="280">
        <v>1.0</v>
      </c>
      <c r="P82" s="280">
        <v>2.0</v>
      </c>
      <c r="Q82" s="280"/>
      <c r="R82" s="290" t="s">
        <v>624</v>
      </c>
      <c r="S82" s="290"/>
      <c r="T82" s="281"/>
      <c r="U82" s="291"/>
      <c r="V82" s="281"/>
      <c r="W82" s="281"/>
      <c r="X82" s="281"/>
    </row>
    <row r="83">
      <c r="A83" s="295"/>
      <c r="B83" s="308" t="s">
        <v>772</v>
      </c>
      <c r="C83" s="297" t="s">
        <v>773</v>
      </c>
      <c r="D83" s="293">
        <f>ROUND((F83*'Pawn Weights'!$B$3)+(G83*'Pawn Weights'!$B$4)+(H83*'Pawn Weights'!$B$5)+(I83*'Pawn Weights'!$B$6)+(J83*'Pawn Weights'!$B$7)+(K83*'Pawn Weights'!$B$8)+(L83*'Pawn Weights'!$B$9)+(M83*'Pawn Weights'!$B$10)+(N83*'Pawn Weights'!$B$11)+(O83*'Pawn Weights'!$B$12)+(P83*'Pawn Weights'!$B$13)+(Q83*'Pawn Weights'!$B$14), 2)</f>
        <v>107.3</v>
      </c>
      <c r="E83" s="298">
        <v>42.0</v>
      </c>
      <c r="F83" s="298">
        <v>44.0</v>
      </c>
      <c r="G83" s="297"/>
      <c r="H83" s="297"/>
      <c r="I83" s="298">
        <v>30.0</v>
      </c>
      <c r="J83" s="298">
        <v>18.0</v>
      </c>
      <c r="K83" s="297"/>
      <c r="L83" s="297"/>
      <c r="M83" s="137"/>
      <c r="N83" s="297"/>
      <c r="O83" s="298">
        <v>1.0</v>
      </c>
      <c r="P83" s="298">
        <v>1.0</v>
      </c>
      <c r="Q83" s="298">
        <v>1.0</v>
      </c>
      <c r="R83" s="298" t="s">
        <v>643</v>
      </c>
      <c r="S83" s="295"/>
      <c r="T83" s="137"/>
      <c r="U83" s="295"/>
      <c r="V83" s="137"/>
      <c r="W83" s="137"/>
      <c r="X83" s="137"/>
      <c r="Y83" s="137"/>
      <c r="Z83" s="137"/>
    </row>
    <row r="84">
      <c r="A84" s="295"/>
      <c r="B84" s="308" t="s">
        <v>774</v>
      </c>
      <c r="C84" s="297" t="s">
        <v>775</v>
      </c>
      <c r="D84" s="293">
        <f>ROUND((F84*'Pawn Weights'!$B$3)+(G84*'Pawn Weights'!$B$4)+(H84*'Pawn Weights'!$B$5)+(I84*'Pawn Weights'!$B$6)+(J84*'Pawn Weights'!$B$7)+(K84*'Pawn Weights'!$B$8)+(L84*'Pawn Weights'!$B$9)+(M84*'Pawn Weights'!$B$10)+(N84*'Pawn Weights'!$B$11)+(O84*'Pawn Weights'!$B$12)+(P84*'Pawn Weights'!$B$13)+(Q84*'Pawn Weights'!$B$14)-8+7.68+1.818, 2)</f>
        <v>106.68</v>
      </c>
      <c r="E84" s="298">
        <v>39.0</v>
      </c>
      <c r="F84" s="297"/>
      <c r="G84" s="298">
        <v>47.0</v>
      </c>
      <c r="H84" s="298">
        <v>102.0</v>
      </c>
      <c r="I84" s="297"/>
      <c r="J84" s="297"/>
      <c r="K84" s="298">
        <v>25.0</v>
      </c>
      <c r="L84" s="297"/>
      <c r="M84" s="137"/>
      <c r="N84" s="297"/>
      <c r="O84" s="297"/>
      <c r="P84" s="298">
        <v>1.0</v>
      </c>
      <c r="Q84" s="297"/>
      <c r="R84" s="298" t="s">
        <v>660</v>
      </c>
      <c r="S84" s="295"/>
      <c r="T84" s="137"/>
      <c r="U84" s="295"/>
      <c r="V84" s="137"/>
      <c r="W84" s="137"/>
      <c r="X84" s="137"/>
      <c r="Y84" s="137"/>
      <c r="Z84" s="137"/>
    </row>
    <row r="85">
      <c r="A85" s="295"/>
      <c r="B85" s="308" t="s">
        <v>777</v>
      </c>
      <c r="C85" s="297" t="s">
        <v>775</v>
      </c>
      <c r="D85" s="293">
        <f>ROUND((F85*'Pawn Weights'!$B$3)+(G85*'Pawn Weights'!$B$4)+(H85*'Pawn Weights'!$B$5)+(I85*'Pawn Weights'!$B$6)+(J85*'Pawn Weights'!$B$7)+(K85*'Pawn Weights'!$B$8)+(L85*'Pawn Weights'!$B$9)+(M85*'Pawn Weights'!$B$10)+(N85*'Pawn Weights'!$B$11)+(O85*'Pawn Weights'!$B$12)+(P85*'Pawn Weights'!$B$13)+(Q85*'Pawn Weights'!$B$14), 2)</f>
        <v>106.25</v>
      </c>
      <c r="E85" s="298">
        <v>51.0</v>
      </c>
      <c r="F85" s="297"/>
      <c r="G85" s="298">
        <v>44.0</v>
      </c>
      <c r="H85" s="298">
        <v>102.0</v>
      </c>
      <c r="I85" s="297"/>
      <c r="J85" s="298">
        <v>34.0</v>
      </c>
      <c r="K85" s="297"/>
      <c r="L85" s="297"/>
      <c r="M85" s="137"/>
      <c r="N85" s="297"/>
      <c r="O85" s="298">
        <v>1.0</v>
      </c>
      <c r="P85" s="297"/>
      <c r="Q85" s="297"/>
      <c r="R85" s="298" t="s">
        <v>674</v>
      </c>
      <c r="S85" s="295"/>
      <c r="T85" s="137"/>
      <c r="U85" s="295"/>
      <c r="V85" s="137"/>
      <c r="W85" s="137"/>
      <c r="X85" s="137"/>
      <c r="Y85" s="137"/>
      <c r="Z85" s="137"/>
    </row>
    <row r="86">
      <c r="A86" s="292" t="s">
        <v>1068</v>
      </c>
      <c r="B86" s="305" t="s">
        <v>1087</v>
      </c>
      <c r="C86" s="280" t="s">
        <v>997</v>
      </c>
      <c r="D86" s="293">
        <f>ROUND((F86*'Pawn Weights'!$B$3)+(G86*'Pawn Weights'!$B$4)+(H86*'Pawn Weights'!$B$5)+(I86*'Pawn Weights'!$B$6)+(J86*'Pawn Weights'!$B$7)+(K86*'Pawn Weights'!$B$8)+(L86*'Pawn Weights'!$B$9)+(M86*'Pawn Weights'!$B$10)+(N86*'Pawn Weights'!$B$11)+(O86*'Pawn Weights'!$B$12)+(P86*'Pawn Weights'!$B$13)+(Q86*'Pawn Weights'!$B$14)-8+7.68+3.68, 2)</f>
        <v>103.66</v>
      </c>
      <c r="E86" s="280">
        <v>60.0</v>
      </c>
      <c r="F86" s="280">
        <v>35.0</v>
      </c>
      <c r="G86" s="280"/>
      <c r="H86" s="280"/>
      <c r="I86" s="280">
        <v>35.0</v>
      </c>
      <c r="J86" s="280">
        <v>14.0</v>
      </c>
      <c r="K86" s="280"/>
      <c r="L86" s="280"/>
      <c r="M86" s="281"/>
      <c r="N86" s="280"/>
      <c r="O86" s="280">
        <v>2.0</v>
      </c>
      <c r="P86" s="280">
        <v>1.0</v>
      </c>
      <c r="Q86" s="280"/>
      <c r="R86" s="290" t="s">
        <v>624</v>
      </c>
      <c r="S86" s="290"/>
      <c r="T86" s="281"/>
      <c r="U86" s="291" t="s">
        <v>755</v>
      </c>
      <c r="V86" s="281"/>
      <c r="W86" s="281"/>
      <c r="X86" s="281"/>
    </row>
    <row r="87">
      <c r="A87" s="301"/>
      <c r="B87" s="305" t="s">
        <v>1333</v>
      </c>
      <c r="C87" s="280" t="s">
        <v>710</v>
      </c>
      <c r="D87" s="293">
        <f>ROUND((F87*'Pawn Weights'!$B$3)+(G87*'Pawn Weights'!$B$4)+(H87*'Pawn Weights'!$B$5)+(I87*'Pawn Weights'!$B$6)+(J87*'Pawn Weights'!$B$7)+(K87*'Pawn Weights'!$B$8)+(L87*'Pawn Weights'!$B$9)+(M87*'Pawn Weights'!$B$10)+(N87*'Pawn Weights'!$B$11)+(O87*'Pawn Weights'!$B$12)+(P87*'Pawn Weights'!$B$13)+(Q87*'Pawn Weights'!$B$14), 2)</f>
        <v>101.25</v>
      </c>
      <c r="E87" s="280">
        <v>19.0</v>
      </c>
      <c r="F87" s="280"/>
      <c r="G87" s="280">
        <v>36.0</v>
      </c>
      <c r="H87" s="280">
        <v>88.0</v>
      </c>
      <c r="I87" s="280">
        <v>14.0</v>
      </c>
      <c r="J87" s="280"/>
      <c r="K87" s="280"/>
      <c r="L87" s="280"/>
      <c r="M87" s="281"/>
      <c r="N87" s="280"/>
      <c r="O87" s="280">
        <v>1.0</v>
      </c>
      <c r="P87" s="280">
        <v>1.0</v>
      </c>
      <c r="Q87" s="280">
        <v>1.0</v>
      </c>
      <c r="R87" s="290" t="s">
        <v>622</v>
      </c>
      <c r="S87" s="290"/>
      <c r="T87" s="281"/>
      <c r="U87" s="291"/>
      <c r="V87" s="281"/>
      <c r="W87" s="281"/>
      <c r="X87" s="281"/>
    </row>
    <row r="88">
      <c r="A88" s="295"/>
      <c r="B88" s="308" t="s">
        <v>1404</v>
      </c>
      <c r="C88" s="297" t="s">
        <v>1399</v>
      </c>
      <c r="D88" s="293">
        <f>ROUND((F88*'Pawn Weights'!$B$3)+(G88*'Pawn Weights'!$B$4)+(H88*'Pawn Weights'!$B$5)+(I88*'Pawn Weights'!$B$6)+(J88*'Pawn Weights'!$B$7)+(K88*'Pawn Weights'!$B$8)+(L88*'Pawn Weights'!$B$9)+(M88*'Pawn Weights'!$B$10)+(N88*'Pawn Weights'!$B$11)+(O88*'Pawn Weights'!$B$12)+(P88*'Pawn Weights'!$B$13)+(Q88*'Pawn Weights'!$B$14), 2)</f>
        <v>98.97</v>
      </c>
      <c r="E88" s="298">
        <v>36.0</v>
      </c>
      <c r="F88" s="298">
        <v>46.0</v>
      </c>
      <c r="G88" s="298">
        <v>45.0</v>
      </c>
      <c r="H88" s="297"/>
      <c r="I88" s="297"/>
      <c r="J88" s="297"/>
      <c r="K88" s="297"/>
      <c r="L88" s="297"/>
      <c r="M88" s="359">
        <v>150.0</v>
      </c>
      <c r="N88" s="297"/>
      <c r="O88" s="297"/>
      <c r="P88" s="297"/>
      <c r="Q88" s="297"/>
      <c r="R88" s="295"/>
      <c r="S88" s="295"/>
      <c r="T88" s="137"/>
      <c r="U88" s="295"/>
      <c r="V88" s="137"/>
      <c r="W88" s="137"/>
      <c r="X88" s="137"/>
      <c r="Y88" s="137"/>
      <c r="Z88" s="137"/>
    </row>
    <row r="89">
      <c r="A89" s="295"/>
      <c r="B89" s="308" t="s">
        <v>778</v>
      </c>
      <c r="C89" s="297" t="s">
        <v>775</v>
      </c>
      <c r="D89" s="293">
        <f>ROUND((F89*'Pawn Weights'!$B$3)+(G89*'Pawn Weights'!$B$4)+(H89*'Pawn Weights'!$B$5)+(I89*'Pawn Weights'!$B$6)+(J89*'Pawn Weights'!$B$7)+(K89*'Pawn Weights'!$B$8)+(L89*'Pawn Weights'!$B$9)+(M89*'Pawn Weights'!$B$10)+(N89*'Pawn Weights'!$B$11)+(O89*'Pawn Weights'!$B$12)+(P89*'Pawn Weights'!$B$13)+(Q89*'Pawn Weights'!$B$14), 2)</f>
        <v>98.76</v>
      </c>
      <c r="E89" s="298">
        <v>65.0</v>
      </c>
      <c r="F89" s="298">
        <v>52.0</v>
      </c>
      <c r="G89" s="297"/>
      <c r="H89" s="297"/>
      <c r="I89" s="297"/>
      <c r="J89" s="297"/>
      <c r="K89" s="298">
        <v>51.0</v>
      </c>
      <c r="L89" s="297"/>
      <c r="M89" s="137"/>
      <c r="N89" s="297"/>
      <c r="O89" s="298">
        <v>1.0</v>
      </c>
      <c r="P89" s="297"/>
      <c r="Q89" s="297"/>
      <c r="R89" s="298" t="s">
        <v>674</v>
      </c>
      <c r="S89" s="295"/>
      <c r="T89" s="137"/>
      <c r="U89" s="295"/>
      <c r="V89" s="137"/>
      <c r="W89" s="137"/>
      <c r="X89" s="137"/>
      <c r="Y89" s="137"/>
      <c r="Z89" s="137"/>
    </row>
    <row r="90">
      <c r="A90" s="292" t="s">
        <v>627</v>
      </c>
      <c r="B90" s="305" t="s">
        <v>1418</v>
      </c>
      <c r="C90" s="280" t="s">
        <v>1419</v>
      </c>
      <c r="D90" s="293">
        <f>ROUND((F90*'Pawn Weights'!$B$3)+(G90*'Pawn Weights'!$B$4)+(H90*'Pawn Weights'!$B$5)+(I90*'Pawn Weights'!$B$6)+(J90*'Pawn Weights'!$B$7)+(K90*'Pawn Weights'!$B$8)+(L90*'Pawn Weights'!$B$9)+(M90*'Pawn Weights'!$B$10)+(N90*'Pawn Weights'!$B$11)+(O90*'Pawn Weights'!$B$12)+(P90*'Pawn Weights'!$B$13)+(Q90*'Pawn Weights'!$B$14), 2)</f>
        <v>96.52</v>
      </c>
      <c r="E90" s="280">
        <v>46.0</v>
      </c>
      <c r="F90" s="280">
        <v>31.0</v>
      </c>
      <c r="G90" s="280"/>
      <c r="H90" s="280"/>
      <c r="I90" s="280">
        <v>31.0</v>
      </c>
      <c r="J90" s="280">
        <v>20.0</v>
      </c>
      <c r="K90" s="280"/>
      <c r="L90" s="280"/>
      <c r="M90" s="281"/>
      <c r="N90" s="280"/>
      <c r="O90" s="280"/>
      <c r="P90" s="280">
        <v>2.0</v>
      </c>
      <c r="Q90" s="280">
        <v>1.0</v>
      </c>
      <c r="R90" s="290" t="s">
        <v>624</v>
      </c>
      <c r="S90" s="290"/>
      <c r="T90" s="281"/>
      <c r="U90" s="291"/>
      <c r="V90" s="281"/>
      <c r="W90" s="281"/>
      <c r="X90" s="281"/>
    </row>
    <row r="91">
      <c r="A91" s="292" t="s">
        <v>654</v>
      </c>
      <c r="B91" s="305" t="s">
        <v>1420</v>
      </c>
      <c r="C91" s="280" t="s">
        <v>1163</v>
      </c>
      <c r="D91" s="293">
        <f>ROUND((F91*'Pawn Weights'!$B$3)+(G91*'Pawn Weights'!$B$4)+(H91*'Pawn Weights'!$B$5)+(I91*'Pawn Weights'!$B$6)+(J91*'Pawn Weights'!$B$7)+(K91*'Pawn Weights'!$B$8)+(L91*'Pawn Weights'!$B$9)+(M91*'Pawn Weights'!$B$10)+(N91*'Pawn Weights'!$B$11)+(O91*'Pawn Weights'!$B$12)+(P91*'Pawn Weights'!$B$13)+(Q91*'Pawn Weights'!$B$14), 2)</f>
        <v>91.92</v>
      </c>
      <c r="E91" s="280">
        <v>39.0</v>
      </c>
      <c r="F91" s="280">
        <v>44.0</v>
      </c>
      <c r="G91" s="280"/>
      <c r="H91" s="280"/>
      <c r="I91" s="280">
        <v>26.0</v>
      </c>
      <c r="J91" s="280"/>
      <c r="K91" s="280"/>
      <c r="L91" s="280"/>
      <c r="M91" s="281"/>
      <c r="N91" s="280"/>
      <c r="O91" s="280"/>
      <c r="P91" s="280">
        <v>1.0</v>
      </c>
      <c r="Q91" s="280">
        <v>2.0</v>
      </c>
      <c r="R91" s="290" t="s">
        <v>624</v>
      </c>
      <c r="S91" s="290"/>
      <c r="T91" s="281"/>
      <c r="U91" s="291" t="s">
        <v>1543</v>
      </c>
      <c r="V91" s="281"/>
      <c r="W91" s="281"/>
      <c r="X91" s="281"/>
    </row>
    <row r="92">
      <c r="A92" s="301" t="s">
        <v>627</v>
      </c>
      <c r="B92" s="305" t="s">
        <v>1422</v>
      </c>
      <c r="C92" s="280" t="s">
        <v>1423</v>
      </c>
      <c r="D92" s="293">
        <f>ROUND((F92*'Pawn Weights'!$B$3)+(G92*'Pawn Weights'!$B$4)+(H92*'Pawn Weights'!$B$5)+(I92*'Pawn Weights'!$B$6)+(J92*'Pawn Weights'!$B$7)+(K92*'Pawn Weights'!$B$8)+(L92*'Pawn Weights'!$B$9)+(M92*'Pawn Weights'!$B$10)+(N92*'Pawn Weights'!$B$11)+(O92*'Pawn Weights'!$B$12)+(P92*'Pawn Weights'!$B$13)+(Q92*'Pawn Weights'!$B$14), 2)</f>
        <v>88.28</v>
      </c>
      <c r="E92" s="280">
        <v>12.0</v>
      </c>
      <c r="F92" s="280">
        <v>32.0</v>
      </c>
      <c r="G92" s="280">
        <v>40.0</v>
      </c>
      <c r="H92" s="280"/>
      <c r="I92" s="280"/>
      <c r="J92" s="280">
        <v>8.0</v>
      </c>
      <c r="K92" s="280"/>
      <c r="L92" s="280"/>
      <c r="M92" s="281"/>
      <c r="N92" s="280"/>
      <c r="O92" s="280">
        <v>1.0</v>
      </c>
      <c r="P92" s="280">
        <v>1.0</v>
      </c>
      <c r="Q92" s="280">
        <v>1.0</v>
      </c>
      <c r="R92" s="290" t="s">
        <v>622</v>
      </c>
      <c r="S92" s="290"/>
      <c r="T92" s="281"/>
      <c r="U92" s="291"/>
      <c r="V92" s="281"/>
      <c r="W92" s="281"/>
      <c r="X92" s="281"/>
    </row>
    <row r="93">
      <c r="A93" s="301" t="s">
        <v>1499</v>
      </c>
      <c r="B93" s="305" t="s">
        <v>1544</v>
      </c>
      <c r="C93" s="280" t="s">
        <v>1159</v>
      </c>
      <c r="D93" s="293">
        <f>ROUND((F93*'Pawn Weights'!$B$3)+(G93*'Pawn Weights'!$B$4)+(H93*'Pawn Weights'!$B$5)+(I93*'Pawn Weights'!$B$6)+(J93*'Pawn Weights'!$B$7)+(K93*'Pawn Weights'!$B$8)+(L93*'Pawn Weights'!$B$9)+(M93*'Pawn Weights'!$B$10)+(N93*'Pawn Weights'!$B$11)+(O93*'Pawn Weights'!$B$12)+(P93*'Pawn Weights'!$B$13)+(Q93*'Pawn Weights'!$B$14)-8+7.68+3.68, 2)</f>
        <v>85.76</v>
      </c>
      <c r="E93" s="280">
        <v>49.0</v>
      </c>
      <c r="F93" s="280">
        <v>23.0</v>
      </c>
      <c r="G93" s="280"/>
      <c r="H93" s="280"/>
      <c r="I93" s="280">
        <v>30.0</v>
      </c>
      <c r="J93" s="280">
        <v>12.0</v>
      </c>
      <c r="K93" s="280"/>
      <c r="L93" s="280"/>
      <c r="M93" s="281"/>
      <c r="N93" s="280"/>
      <c r="O93" s="280">
        <v>2.0</v>
      </c>
      <c r="P93" s="280">
        <v>1.0</v>
      </c>
      <c r="Q93" s="280"/>
      <c r="R93" s="290" t="s">
        <v>624</v>
      </c>
      <c r="S93" s="290"/>
      <c r="T93" s="281"/>
      <c r="U93" s="291" t="s">
        <v>1545</v>
      </c>
      <c r="V93" s="281"/>
      <c r="W93" s="281"/>
      <c r="X93" s="281"/>
    </row>
    <row r="94">
      <c r="A94" s="301" t="s">
        <v>627</v>
      </c>
      <c r="B94" s="305" t="s">
        <v>1447</v>
      </c>
      <c r="C94" s="307" t="s">
        <v>1546</v>
      </c>
      <c r="D94" s="293">
        <f>ROUND((F94*'Pawn Weights'!$B$3)+(G94*'Pawn Weights'!$B$4)+(H94*'Pawn Weights'!$B$5)+(I94*'Pawn Weights'!$B$6)+(J94*'Pawn Weights'!$B$7)+(K94*'Pawn Weights'!$B$8)+(L94*'Pawn Weights'!$B$9)+(M94*'Pawn Weights'!$B$10)+(N94*'Pawn Weights'!$B$11)+(O94*'Pawn Weights'!$B$12)+(P94*'Pawn Weights'!$B$13)+(Q94*'Pawn Weights'!$B$14), 2)</f>
        <v>82.61</v>
      </c>
      <c r="E94" s="280">
        <v>39.0</v>
      </c>
      <c r="F94" s="280"/>
      <c r="G94" s="280">
        <v>38.0</v>
      </c>
      <c r="H94" s="280">
        <v>108.0</v>
      </c>
      <c r="I94" s="280"/>
      <c r="J94" s="280">
        <v>12.0</v>
      </c>
      <c r="K94" s="280"/>
      <c r="L94" s="280"/>
      <c r="M94" s="281"/>
      <c r="N94" s="280"/>
      <c r="O94" s="280"/>
      <c r="P94" s="280"/>
      <c r="Q94" s="280"/>
      <c r="R94" s="290"/>
      <c r="S94" s="290"/>
      <c r="T94" s="281"/>
      <c r="U94" s="291"/>
      <c r="V94" s="281"/>
      <c r="W94" s="281"/>
      <c r="X94" s="281"/>
    </row>
    <row r="95">
      <c r="A95" s="281"/>
      <c r="B95" s="305" t="s">
        <v>1445</v>
      </c>
      <c r="C95" s="307" t="s">
        <v>1106</v>
      </c>
      <c r="D95" s="293">
        <f>ROUND((F95*'Pawn Weights'!$B$3)+(G95*'Pawn Weights'!$B$4)+(H95*'Pawn Weights'!$B$5)+(I95*'Pawn Weights'!$B$6)+(J95*'Pawn Weights'!$B$7)+(K95*'Pawn Weights'!$B$8)+(L95*'Pawn Weights'!$B$9)+(M95*'Pawn Weights'!$B$10)+(N95*'Pawn Weights'!$B$11)+(O95*'Pawn Weights'!$B$12)+(P95*'Pawn Weights'!$B$13)+(Q95*'Pawn Weights'!$B$14), 2)</f>
        <v>80.25</v>
      </c>
      <c r="E95" s="280">
        <v>36.0</v>
      </c>
      <c r="F95" s="280"/>
      <c r="G95" s="280">
        <v>37.0</v>
      </c>
      <c r="H95" s="280">
        <v>90.0</v>
      </c>
      <c r="I95" s="280"/>
      <c r="J95" s="280">
        <v>22.0</v>
      </c>
      <c r="K95" s="280"/>
      <c r="L95" s="280"/>
      <c r="M95" s="281"/>
      <c r="N95" s="280"/>
      <c r="O95" s="280"/>
      <c r="P95" s="280"/>
      <c r="Q95" s="280"/>
      <c r="R95" s="290"/>
      <c r="S95" s="290"/>
      <c r="T95" s="281"/>
      <c r="U95" s="291"/>
      <c r="V95" s="281"/>
      <c r="W95" s="281"/>
      <c r="X95" s="281"/>
    </row>
    <row r="96">
      <c r="A96" s="281"/>
      <c r="B96" s="305" t="s">
        <v>1547</v>
      </c>
      <c r="C96" s="307" t="s">
        <v>1520</v>
      </c>
      <c r="D96" s="293">
        <f>ROUND((F96*'Pawn Weights'!$B$3)+(G96*'Pawn Weights'!$B$4)+(H96*'Pawn Weights'!$B$5)+(I96*'Pawn Weights'!$B$6)+(J96*'Pawn Weights'!$B$7)+(K96*'Pawn Weights'!$B$8)+(L96*'Pawn Weights'!$B$9)+(M96*'Pawn Weights'!$B$10)+(N96*'Pawn Weights'!$B$11)+(O96*'Pawn Weights'!$B$12)+(P96*'Pawn Weights'!$B$13)+(Q96*'Pawn Weights'!$B$14), 2)</f>
        <v>77.12</v>
      </c>
      <c r="E96" s="280">
        <v>33.0</v>
      </c>
      <c r="F96" s="280">
        <v>44.0</v>
      </c>
      <c r="G96" s="280"/>
      <c r="H96" s="280"/>
      <c r="I96" s="280">
        <v>36.0</v>
      </c>
      <c r="J96" s="280"/>
      <c r="K96" s="280"/>
      <c r="L96" s="280"/>
      <c r="M96" s="281"/>
      <c r="N96" s="280"/>
      <c r="O96" s="280"/>
      <c r="P96" s="280"/>
      <c r="Q96" s="280"/>
      <c r="R96" s="290"/>
      <c r="S96" s="290"/>
      <c r="T96" s="281"/>
      <c r="U96" s="291"/>
      <c r="V96" s="281"/>
      <c r="W96" s="281"/>
      <c r="X96" s="281"/>
    </row>
    <row r="97">
      <c r="A97" s="301" t="s">
        <v>627</v>
      </c>
      <c r="B97" s="422" t="s">
        <v>1548</v>
      </c>
      <c r="C97" s="307" t="s">
        <v>1549</v>
      </c>
      <c r="D97" s="293">
        <f>ROUND((F97*'Pawn Weights'!$B$3)+(G97*'Pawn Weights'!$B$4)+(H97*'Pawn Weights'!$B$5)+(I97*'Pawn Weights'!$B$6)+(J97*'Pawn Weights'!$B$7)+(K97*'Pawn Weights'!$B$8)+(L97*'Pawn Weights'!$B$9)+(M97*'Pawn Weights'!$B$10)+(N97*'Pawn Weights'!$B$11)+(O97*'Pawn Weights'!$B$12)+(P97*'Pawn Weights'!$B$13)+(Q97*'Pawn Weights'!$B$14), 2)</f>
        <v>76.68</v>
      </c>
      <c r="E97" s="280"/>
      <c r="F97" s="280">
        <v>50.0</v>
      </c>
      <c r="G97" s="280"/>
      <c r="H97" s="280"/>
      <c r="I97" s="280">
        <v>29.0</v>
      </c>
      <c r="J97" s="280"/>
      <c r="K97" s="280"/>
      <c r="L97" s="280"/>
      <c r="M97" s="281"/>
      <c r="N97" s="280"/>
      <c r="O97" s="280"/>
      <c r="P97" s="280"/>
      <c r="Q97" s="280"/>
      <c r="R97" s="290"/>
      <c r="S97" s="290"/>
      <c r="T97" s="281"/>
      <c r="U97" s="291"/>
      <c r="V97" s="281"/>
      <c r="W97" s="281"/>
      <c r="X97" s="281"/>
    </row>
    <row r="98">
      <c r="A98" s="281"/>
      <c r="B98" s="422" t="s">
        <v>1550</v>
      </c>
      <c r="C98" s="307" t="s">
        <v>1551</v>
      </c>
      <c r="D98" s="293">
        <f>ROUND((F98*'Pawn Weights'!$B$3)+(G98*'Pawn Weights'!$B$4)+(H98*'Pawn Weights'!$B$5)+(I98*'Pawn Weights'!$B$6)+(J98*'Pawn Weights'!$B$7)+(K98*'Pawn Weights'!$B$8)+(L98*'Pawn Weights'!$B$9)+(M98*'Pawn Weights'!$B$10)+(N98*'Pawn Weights'!$B$11)+(O98*'Pawn Weights'!$B$12)+(P98*'Pawn Weights'!$B$13)+(Q98*'Pawn Weights'!$B$14), 2)</f>
        <v>72.3</v>
      </c>
      <c r="E98" s="280">
        <v>27.0</v>
      </c>
      <c r="F98" s="280">
        <v>35.0</v>
      </c>
      <c r="G98" s="280"/>
      <c r="H98" s="280"/>
      <c r="I98" s="280">
        <v>25.0</v>
      </c>
      <c r="J98" s="280">
        <v>22.0</v>
      </c>
      <c r="K98" s="280"/>
      <c r="L98" s="280"/>
      <c r="M98" s="281"/>
      <c r="N98" s="280"/>
      <c r="O98" s="280"/>
      <c r="P98" s="280"/>
      <c r="Q98" s="280"/>
      <c r="R98" s="290"/>
      <c r="S98" s="290"/>
      <c r="T98" s="281"/>
      <c r="U98" s="291"/>
      <c r="V98" s="281"/>
      <c r="W98" s="281"/>
      <c r="X98" s="281"/>
    </row>
    <row r="99">
      <c r="A99" s="301" t="s">
        <v>1439</v>
      </c>
      <c r="B99" s="422" t="s">
        <v>1552</v>
      </c>
      <c r="C99" s="307" t="s">
        <v>1553</v>
      </c>
      <c r="D99" s="293">
        <f>ROUND((F99*'Pawn Weights'!$B$3)+(G99*'Pawn Weights'!$B$4)+(H99*'Pawn Weights'!$B$5)+(I99*'Pawn Weights'!$B$6)+(J99*'Pawn Weights'!$B$7)+(K99*'Pawn Weights'!$B$8)+(L99*'Pawn Weights'!$B$9)+(M99*'Pawn Weights'!$B$10)+(N99*'Pawn Weights'!$B$11)+(O99*'Pawn Weights'!$B$12)+(P99*'Pawn Weights'!$B$13)+(Q99*'Pawn Weights'!$B$14), 2)</f>
        <v>71.48</v>
      </c>
      <c r="E99" s="280">
        <v>27.0</v>
      </c>
      <c r="F99" s="280">
        <v>30.0</v>
      </c>
      <c r="G99" s="280"/>
      <c r="H99" s="280"/>
      <c r="I99" s="280">
        <v>19.0</v>
      </c>
      <c r="J99" s="280"/>
      <c r="K99" s="280"/>
      <c r="L99" s="280"/>
      <c r="M99" s="281"/>
      <c r="N99" s="280"/>
      <c r="O99" s="280">
        <v>2.0</v>
      </c>
      <c r="P99" s="280"/>
      <c r="Q99" s="280">
        <v>1.0</v>
      </c>
      <c r="R99" s="290" t="s">
        <v>624</v>
      </c>
      <c r="S99" s="290"/>
      <c r="T99" s="281"/>
      <c r="U99" s="291" t="s">
        <v>1554</v>
      </c>
      <c r="V99" s="281"/>
      <c r="W99" s="281"/>
      <c r="X99" s="281"/>
    </row>
    <row r="100">
      <c r="A100" s="281"/>
      <c r="B100" s="422" t="s">
        <v>1555</v>
      </c>
      <c r="C100" s="307" t="s">
        <v>1556</v>
      </c>
      <c r="D100" s="293">
        <f>ROUND((F100*'Pawn Weights'!$B$3)+(G100*'Pawn Weights'!$B$4)+(H100*'Pawn Weights'!$B$5)+(I100*'Pawn Weights'!$B$6)+(J100*'Pawn Weights'!$B$7)+(K100*'Pawn Weights'!$B$8)+(L100*'Pawn Weights'!$B$9)+(M100*'Pawn Weights'!$B$10)+(N100*'Pawn Weights'!$B$11)+(O100*'Pawn Weights'!$B$12)+(P100*'Pawn Weights'!$B$13)+(Q100*'Pawn Weights'!$B$14), 2)</f>
        <v>70.32</v>
      </c>
      <c r="E100" s="280">
        <v>45.0</v>
      </c>
      <c r="F100" s="280">
        <v>36.0</v>
      </c>
      <c r="G100" s="280"/>
      <c r="H100" s="280"/>
      <c r="I100" s="280">
        <v>26.0</v>
      </c>
      <c r="J100" s="280">
        <v>16.0</v>
      </c>
      <c r="K100" s="280"/>
      <c r="L100" s="280"/>
      <c r="M100" s="281"/>
      <c r="N100" s="280"/>
      <c r="O100" s="280"/>
      <c r="P100" s="280"/>
      <c r="Q100" s="280"/>
      <c r="R100" s="290"/>
      <c r="S100" s="290"/>
      <c r="T100" s="281"/>
      <c r="U100" s="291"/>
      <c r="V100" s="281"/>
      <c r="W100" s="281"/>
      <c r="X100" s="281"/>
    </row>
    <row r="101">
      <c r="A101" s="301" t="s">
        <v>1439</v>
      </c>
      <c r="B101" s="422" t="s">
        <v>1557</v>
      </c>
      <c r="C101" s="307" t="s">
        <v>1558</v>
      </c>
      <c r="D101" s="293">
        <f>ROUND((F101*'Pawn Weights'!$B$3)+(G101*'Pawn Weights'!$B$4)+(H101*'Pawn Weights'!$B$5)+(I101*'Pawn Weights'!$B$6)+(J101*'Pawn Weights'!$B$7)+(K101*'Pawn Weights'!$B$8)+(L101*'Pawn Weights'!$B$9)+(M101*'Pawn Weights'!$B$10)+(N101*'Pawn Weights'!$B$11)+(O101*'Pawn Weights'!$B$12)+(P101*'Pawn Weights'!$B$13)+(Q101*'Pawn Weights'!$B$14)-24+23.04+2.708, 2)</f>
        <v>70.16</v>
      </c>
      <c r="E101" s="280">
        <v>36.0</v>
      </c>
      <c r="F101" s="280"/>
      <c r="G101" s="280">
        <v>28.0</v>
      </c>
      <c r="H101" s="280">
        <v>56.0</v>
      </c>
      <c r="I101" s="280"/>
      <c r="J101" s="280"/>
      <c r="K101" s="280"/>
      <c r="L101" s="280"/>
      <c r="M101" s="281"/>
      <c r="N101" s="280"/>
      <c r="O101" s="280"/>
      <c r="P101" s="280">
        <v>3.0</v>
      </c>
      <c r="Q101" s="280"/>
      <c r="R101" s="290" t="s">
        <v>622</v>
      </c>
      <c r="S101" s="290"/>
      <c r="T101" s="281"/>
      <c r="U101" s="291"/>
      <c r="V101" s="281"/>
      <c r="W101" s="281"/>
      <c r="X101" s="281"/>
    </row>
    <row r="102">
      <c r="A102" s="272" t="s">
        <v>779</v>
      </c>
      <c r="B102" s="281"/>
      <c r="C102" s="281"/>
      <c r="D102" s="293"/>
      <c r="E102" s="281"/>
      <c r="F102" s="281"/>
      <c r="G102" s="281"/>
      <c r="H102" s="281"/>
      <c r="I102" s="281"/>
      <c r="J102" s="281"/>
      <c r="K102" s="281"/>
      <c r="L102" s="281"/>
      <c r="M102" s="281"/>
      <c r="N102" s="281"/>
      <c r="O102" s="281"/>
      <c r="P102" s="281"/>
      <c r="Q102" s="281"/>
      <c r="R102" s="282"/>
      <c r="S102" s="282"/>
      <c r="T102" s="281"/>
      <c r="U102" s="285"/>
      <c r="V102" s="281"/>
      <c r="W102" s="281"/>
      <c r="X102" s="281"/>
    </row>
    <row r="103">
      <c r="A103" s="281"/>
      <c r="B103" s="288" t="s">
        <v>783</v>
      </c>
      <c r="C103" s="280" t="s">
        <v>683</v>
      </c>
      <c r="D103" s="293">
        <f>ROUND((F103*'Pawn Weights'!$B$3)+(G103*'Pawn Weights'!$B$4)+(H103*'Pawn Weights'!$B$5)+(I103*'Pawn Weights'!$B$6)+(J103*'Pawn Weights'!$B$7)+(K103*'Pawn Weights'!$B$8)+(L103*'Pawn Weights'!$B$9)+(M103*'Pawn Weights'!$B$10)+(N103*'Pawn Weights'!$B$11)+(O103*'Pawn Weights'!$B$12)+(P103*'Pawn Weights'!$B$13)+(Q103*'Pawn Weights'!$B$14), 2)</f>
        <v>66.13</v>
      </c>
      <c r="E103" s="280">
        <v>12.0</v>
      </c>
      <c r="F103" s="280">
        <v>25.0</v>
      </c>
      <c r="G103" s="280"/>
      <c r="H103" s="280"/>
      <c r="I103" s="280">
        <v>24.0</v>
      </c>
      <c r="J103" s="280">
        <v>17.0</v>
      </c>
      <c r="K103" s="280"/>
      <c r="L103" s="280"/>
      <c r="M103" s="280"/>
      <c r="N103" s="280"/>
      <c r="O103" s="280"/>
      <c r="P103" s="280"/>
      <c r="Q103" s="280">
        <v>1.0</v>
      </c>
      <c r="R103" s="290" t="s">
        <v>784</v>
      </c>
      <c r="S103" s="290"/>
      <c r="T103" s="281"/>
      <c r="U103" s="222"/>
      <c r="V103" s="281"/>
      <c r="W103" s="281"/>
      <c r="X103" s="281"/>
      <c r="Y103" s="281"/>
    </row>
    <row r="104">
      <c r="A104" s="137"/>
      <c r="B104" s="296" t="s">
        <v>795</v>
      </c>
      <c r="C104" s="297" t="s">
        <v>691</v>
      </c>
      <c r="D104" s="293">
        <f>ROUND((F104*'Pawn Weights'!$B$3)+(G104*'Pawn Weights'!$B$4)+(H104*'Pawn Weights'!$B$5)+(I104*'Pawn Weights'!$B$6)+(J104*'Pawn Weights'!$B$7)+(K104*'Pawn Weights'!$B$8)+(L104*'Pawn Weights'!$B$9)+(M104*'Pawn Weights'!$B$10)+(N104*'Pawn Weights'!$B$11)+(O104*'Pawn Weights'!$B$12)+(P104*'Pawn Weights'!$B$13)+(Q104*'Pawn Weights'!$B$14)-8+7.68+1.84, 2)</f>
        <v>60.31</v>
      </c>
      <c r="E104" s="298">
        <v>22.0</v>
      </c>
      <c r="F104" s="297"/>
      <c r="G104" s="298">
        <v>17.0</v>
      </c>
      <c r="H104" s="298">
        <v>50.0</v>
      </c>
      <c r="I104" s="298">
        <v>18.0</v>
      </c>
      <c r="J104" s="297"/>
      <c r="K104" s="297"/>
      <c r="L104" s="297"/>
      <c r="M104" s="297"/>
      <c r="N104" s="297"/>
      <c r="O104" s="297"/>
      <c r="P104" s="298">
        <v>1.0</v>
      </c>
      <c r="Q104" s="297"/>
      <c r="R104" s="298" t="s">
        <v>736</v>
      </c>
      <c r="S104" s="295"/>
      <c r="T104" s="137"/>
      <c r="U104" s="137"/>
      <c r="V104" s="137"/>
      <c r="W104" s="137"/>
      <c r="X104" s="137"/>
      <c r="Y104" s="137"/>
      <c r="Z104" s="137"/>
    </row>
    <row r="105">
      <c r="A105" s="137" t="s">
        <v>627</v>
      </c>
      <c r="B105" s="296" t="s">
        <v>787</v>
      </c>
      <c r="C105" s="297" t="s">
        <v>788</v>
      </c>
      <c r="D105" s="367">
        <f>ROUND((F105*'Pawn Weights'!$B$3)+(G105*'Pawn Weights'!$B$4)+(H105*'Pawn Weights'!$B$5)+(I105*'Pawn Weights'!$B$6)+(J105*'Pawn Weights'!$B$7)+(K105*'Pawn Weights'!$B$8)+(L105*'Pawn Weights'!$B$9)+(M105*'Pawn Weights'!$B$10)+(N105*'Pawn Weights'!$B$11)+(O105*'Pawn Weights'!$B$12)+(P105*'Pawn Weights'!$B$13)+(Q105*'Pawn Weights'!$B$14), 2)</f>
        <v>60.19</v>
      </c>
      <c r="E105" s="298">
        <v>15.0</v>
      </c>
      <c r="F105" s="297"/>
      <c r="G105" s="298">
        <v>21.0</v>
      </c>
      <c r="H105" s="298">
        <v>56.0</v>
      </c>
      <c r="I105" s="297"/>
      <c r="J105" s="297"/>
      <c r="K105" s="298">
        <v>27.0</v>
      </c>
      <c r="L105" s="297"/>
      <c r="M105" s="297"/>
      <c r="N105" s="297"/>
      <c r="O105" s="297"/>
      <c r="P105" s="297"/>
      <c r="Q105" s="297"/>
      <c r="R105" s="295"/>
      <c r="S105" s="295"/>
      <c r="T105" s="137"/>
      <c r="U105" s="137"/>
      <c r="V105" s="137"/>
      <c r="W105" s="137"/>
      <c r="X105" s="137"/>
      <c r="Y105" s="137"/>
      <c r="Z105" s="137"/>
    </row>
    <row r="106">
      <c r="A106" s="137" t="s">
        <v>671</v>
      </c>
      <c r="B106" s="296" t="s">
        <v>791</v>
      </c>
      <c r="C106" s="297" t="s">
        <v>792</v>
      </c>
      <c r="D106" s="367">
        <f>ROUND((F106*'Pawn Weights'!$B$3)+(G106*'Pawn Weights'!$B$4)+(H106*'Pawn Weights'!$B$5)+(I106*'Pawn Weights'!$B$6)+(J106*'Pawn Weights'!$B$7)+(K106*'Pawn Weights'!$B$8)+(L106*'Pawn Weights'!$B$9)+(M106*'Pawn Weights'!$B$10)+(N106*'Pawn Weights'!$B$11)+(O106*'Pawn Weights'!$B$12)+(P106*'Pawn Weights'!$B$13)+(Q106*'Pawn Weights'!$B$14)-8+7.68+2, 2)</f>
        <v>59.76</v>
      </c>
      <c r="E106" s="298">
        <v>40.0</v>
      </c>
      <c r="F106" s="298">
        <v>28.0</v>
      </c>
      <c r="G106" s="297"/>
      <c r="H106" s="297"/>
      <c r="I106" s="298">
        <v>24.0</v>
      </c>
      <c r="J106" s="297"/>
      <c r="K106" s="297"/>
      <c r="L106" s="297"/>
      <c r="M106" s="297"/>
      <c r="N106" s="297"/>
      <c r="O106" s="297"/>
      <c r="P106" s="298">
        <v>1.0</v>
      </c>
      <c r="Q106" s="297"/>
      <c r="R106" s="298" t="s">
        <v>784</v>
      </c>
      <c r="S106" s="295"/>
      <c r="T106" s="294" t="s">
        <v>793</v>
      </c>
      <c r="U106" s="137"/>
      <c r="V106" s="137"/>
      <c r="W106" s="137"/>
      <c r="X106" s="137"/>
      <c r="Y106" s="137"/>
      <c r="Z106" s="137"/>
    </row>
    <row r="107">
      <c r="A107" s="281"/>
      <c r="B107" s="288" t="s">
        <v>789</v>
      </c>
      <c r="C107" s="280" t="s">
        <v>790</v>
      </c>
      <c r="D107" s="293">
        <f>ROUND((F107*'Pawn Weights'!$B$3)+(G107*'Pawn Weights'!$B$4)+(H107*'Pawn Weights'!$B$5)+(I107*'Pawn Weights'!$B$6)+(J107*'Pawn Weights'!$B$7)+(K107*'Pawn Weights'!$B$8)+(L107*'Pawn Weights'!$B$9)+(M107*'Pawn Weights'!$B$10)+(N107*'Pawn Weights'!$B$11)+(O107*'Pawn Weights'!$B$12)+(P107*'Pawn Weights'!$B$13)+(Q107*'Pawn Weights'!$B$14), 2)</f>
        <v>58.08</v>
      </c>
      <c r="E107" s="280">
        <v>16.0</v>
      </c>
      <c r="F107" s="280">
        <v>20.0</v>
      </c>
      <c r="G107" s="280"/>
      <c r="H107" s="280"/>
      <c r="I107" s="280">
        <v>24.0</v>
      </c>
      <c r="J107" s="280"/>
      <c r="K107" s="280"/>
      <c r="L107" s="280"/>
      <c r="M107" s="280"/>
      <c r="N107" s="280"/>
      <c r="O107" s="280">
        <v>1.0</v>
      </c>
      <c r="P107" s="280"/>
      <c r="Q107" s="280">
        <v>1.0</v>
      </c>
      <c r="R107" s="290" t="s">
        <v>698</v>
      </c>
      <c r="S107" s="290"/>
      <c r="T107" s="281"/>
      <c r="U107" s="222"/>
      <c r="V107" s="281"/>
      <c r="W107" s="281"/>
      <c r="X107" s="281"/>
      <c r="Y107" s="281"/>
    </row>
    <row r="108">
      <c r="A108" s="137" t="s">
        <v>627</v>
      </c>
      <c r="B108" s="296" t="s">
        <v>796</v>
      </c>
      <c r="C108" s="297" t="s">
        <v>788</v>
      </c>
      <c r="D108" s="367">
        <f>ROUND((F108*'Pawn Weights'!$B$3)+(G108*'Pawn Weights'!$B$4)+(H108*'Pawn Weights'!$B$5)+(I108*'Pawn Weights'!$B$6)+(J108*'Pawn Weights'!$B$7)+(K108*'Pawn Weights'!$B$8)+(L108*'Pawn Weights'!$B$9)+(M108*'Pawn Weights'!$B$10)+(N108*'Pawn Weights'!$B$11)+(O108*'Pawn Weights'!$B$12)+(P108*'Pawn Weights'!$B$13)+(Q108*'Pawn Weights'!$B$14), 2)</f>
        <v>56.79</v>
      </c>
      <c r="E108" s="298">
        <v>34.0</v>
      </c>
      <c r="F108" s="297"/>
      <c r="G108" s="298">
        <v>20.0</v>
      </c>
      <c r="H108" s="298">
        <v>50.0</v>
      </c>
      <c r="I108" s="297"/>
      <c r="J108" s="297"/>
      <c r="K108" s="298">
        <v>27.0</v>
      </c>
      <c r="L108" s="297"/>
      <c r="M108" s="297"/>
      <c r="N108" s="297"/>
      <c r="O108" s="297"/>
      <c r="P108" s="297"/>
      <c r="Q108" s="297"/>
      <c r="R108" s="295"/>
      <c r="S108" s="295"/>
      <c r="T108" s="137"/>
      <c r="U108" s="137"/>
      <c r="V108" s="137"/>
      <c r="W108" s="137"/>
      <c r="X108" s="137"/>
      <c r="Y108" s="137"/>
      <c r="Z108" s="137"/>
    </row>
    <row r="109">
      <c r="A109" s="137" t="s">
        <v>627</v>
      </c>
      <c r="B109" s="296" t="s">
        <v>797</v>
      </c>
      <c r="C109" s="297" t="s">
        <v>798</v>
      </c>
      <c r="D109" s="367">
        <f>ROUND((F109*'Pawn Weights'!$B$3)+(G109*'Pawn Weights'!$B$4)+(H109*'Pawn Weights'!$B$5)+(I109*'Pawn Weights'!$B$6)+(J109*'Pawn Weights'!$B$7)+(K109*'Pawn Weights'!$B$8)+(L109*'Pawn Weights'!$B$9)+(M109*'Pawn Weights'!$B$10)+(N109*'Pawn Weights'!$B$11)+(O109*'Pawn Weights'!$B$12)+(P109*'Pawn Weights'!$B$13)+(Q109*'Pawn Weights'!$B$14), 2)</f>
        <v>55.52</v>
      </c>
      <c r="E109" s="298">
        <v>32.0</v>
      </c>
      <c r="F109" s="298">
        <v>35.0</v>
      </c>
      <c r="G109" s="297"/>
      <c r="H109" s="297"/>
      <c r="I109" s="297"/>
      <c r="J109" s="297"/>
      <c r="K109" s="298">
        <v>27.0</v>
      </c>
      <c r="L109" s="297"/>
      <c r="M109" s="297"/>
      <c r="N109" s="297"/>
      <c r="O109" s="297"/>
      <c r="P109" s="297"/>
      <c r="Q109" s="297"/>
      <c r="R109" s="295"/>
      <c r="S109" s="295"/>
      <c r="T109" s="137"/>
      <c r="U109" s="137"/>
      <c r="V109" s="137"/>
      <c r="W109" s="137"/>
      <c r="X109" s="137"/>
      <c r="Y109" s="137"/>
      <c r="Z109" s="137"/>
    </row>
    <row r="110">
      <c r="A110" s="137"/>
      <c r="B110" s="296" t="s">
        <v>794</v>
      </c>
      <c r="C110" s="297" t="s">
        <v>691</v>
      </c>
      <c r="D110" s="367">
        <f>ROUND((F110*'Pawn Weights'!$B$3)+(G110*'Pawn Weights'!$B$4)+(H110*'Pawn Weights'!$B$5)+(I110*'Pawn Weights'!$B$6)+(J110*'Pawn Weights'!$B$7)+(K110*'Pawn Weights'!$B$8)+(L110*'Pawn Weights'!$B$9)+(M110*'Pawn Weights'!$B$10)+(N110*'Pawn Weights'!$B$11)+(O110*'Pawn Weights'!$B$12)+(P110*'Pawn Weights'!$B$13)+(Q110*'Pawn Weights'!$B$14), 2)</f>
        <v>54.5</v>
      </c>
      <c r="E110" s="298">
        <v>32.0</v>
      </c>
      <c r="F110" s="298">
        <v>32.0</v>
      </c>
      <c r="G110" s="297"/>
      <c r="H110" s="297"/>
      <c r="I110" s="297"/>
      <c r="J110" s="297"/>
      <c r="K110" s="297"/>
      <c r="L110" s="297"/>
      <c r="M110" s="298">
        <v>150.0</v>
      </c>
      <c r="N110" s="297"/>
      <c r="O110" s="297"/>
      <c r="P110" s="297"/>
      <c r="Q110" s="297"/>
      <c r="R110" s="295"/>
      <c r="S110" s="295"/>
      <c r="T110" s="137"/>
      <c r="U110" s="137"/>
      <c r="V110" s="137"/>
      <c r="W110" s="137"/>
      <c r="X110" s="137"/>
      <c r="Y110" s="137"/>
      <c r="Z110" s="137"/>
    </row>
    <row r="111">
      <c r="A111" s="137" t="s">
        <v>991</v>
      </c>
      <c r="B111" s="296" t="s">
        <v>1089</v>
      </c>
      <c r="C111" s="363" t="s">
        <v>1090</v>
      </c>
      <c r="D111" s="367">
        <f>ROUND((F111*'Pawn Weights'!$B$3)+(G111*'Pawn Weights'!$B$4)+(H111*'Pawn Weights'!$B$5)+(I111*'Pawn Weights'!$B$6)+(J111*'Pawn Weights'!$B$7)+(K111*'Pawn Weights'!$B$8)+(L111*'Pawn Weights'!$B$9)+(M111*'Pawn Weights'!$B$10)+(N111*'Pawn Weights'!$B$11)+(O111*'Pawn Weights'!$B$12)+(P111*'Pawn Weights'!$B$13)+(Q111*'Pawn Weights'!$B$14)-8+7.68+2, 2)</f>
        <v>54</v>
      </c>
      <c r="E111" s="298">
        <v>36.0</v>
      </c>
      <c r="F111" s="298">
        <v>25.0</v>
      </c>
      <c r="G111" s="295"/>
      <c r="H111" s="295"/>
      <c r="I111" s="298">
        <v>21.0</v>
      </c>
      <c r="J111" s="295"/>
      <c r="K111" s="295"/>
      <c r="L111" s="295"/>
      <c r="M111" s="295"/>
      <c r="N111" s="295"/>
      <c r="O111" s="295"/>
      <c r="P111" s="298">
        <v>1.0</v>
      </c>
      <c r="Q111" s="295"/>
      <c r="R111" s="290" t="s">
        <v>698</v>
      </c>
      <c r="S111" s="295"/>
      <c r="T111" s="294" t="s">
        <v>793</v>
      </c>
      <c r="U111" s="137"/>
      <c r="V111" s="137"/>
      <c r="W111" s="137"/>
      <c r="X111" s="137"/>
      <c r="Y111" s="137"/>
      <c r="Z111" s="137"/>
    </row>
    <row r="112">
      <c r="A112" s="281"/>
      <c r="B112" s="288" t="s">
        <v>1092</v>
      </c>
      <c r="C112" s="280" t="s">
        <v>957</v>
      </c>
      <c r="D112" s="293">
        <f>ROUND((F112*'Pawn Weights'!$B$3)+(G112*'Pawn Weights'!$B$4)+(H112*'Pawn Weights'!$B$5)+(I112*'Pawn Weights'!$B$6)+(J112*'Pawn Weights'!$B$7)+(K112*'Pawn Weights'!$B$8)+(L112*'Pawn Weights'!$B$9)+(M112*'Pawn Weights'!$B$10)+(N112*'Pawn Weights'!$B$11)+(O112*'Pawn Weights'!$B$12)+(P112*'Pawn Weights'!$B$13)+(Q112*'Pawn Weights'!$B$14), 2)</f>
        <v>52.81</v>
      </c>
      <c r="E112" s="280">
        <v>18.0</v>
      </c>
      <c r="F112" s="280"/>
      <c r="G112" s="280"/>
      <c r="H112" s="280">
        <v>50.0</v>
      </c>
      <c r="I112" s="280">
        <v>24.0</v>
      </c>
      <c r="J112" s="280"/>
      <c r="K112" s="280"/>
      <c r="L112" s="280"/>
      <c r="M112" s="280"/>
      <c r="N112" s="280"/>
      <c r="O112" s="280"/>
      <c r="P112" s="280">
        <v>1.0</v>
      </c>
      <c r="Q112" s="280"/>
      <c r="R112" s="290" t="s">
        <v>674</v>
      </c>
      <c r="S112" s="290"/>
      <c r="T112" s="281"/>
      <c r="U112" s="294"/>
      <c r="V112" s="281"/>
      <c r="W112" s="281"/>
      <c r="X112" s="281"/>
      <c r="Y112" s="281"/>
    </row>
    <row r="113">
      <c r="A113" s="137"/>
      <c r="B113" s="296" t="s">
        <v>799</v>
      </c>
      <c r="C113" s="297" t="s">
        <v>691</v>
      </c>
      <c r="D113" s="367">
        <f>ROUND((F113*'Pawn Weights'!$B$3)+(G113*'Pawn Weights'!$B$4)+(H113*'Pawn Weights'!$B$5)+(I113*'Pawn Weights'!$B$6)+(J113*'Pawn Weights'!$B$7)+(K113*'Pawn Weights'!$B$8)+(L113*'Pawn Weights'!$B$9)+(M113*'Pawn Weights'!$B$10)+(N113*'Pawn Weights'!$B$11)+(O113*'Pawn Weights'!$B$12)+(P113*'Pawn Weights'!$B$13)+(Q113*'Pawn Weights'!$B$14), 2)</f>
        <v>50.66</v>
      </c>
      <c r="E113" s="298">
        <v>21.0</v>
      </c>
      <c r="F113" s="297"/>
      <c r="G113" s="298">
        <v>18.0</v>
      </c>
      <c r="H113" s="298">
        <v>50.0</v>
      </c>
      <c r="I113" s="297"/>
      <c r="J113" s="297"/>
      <c r="K113" s="297"/>
      <c r="L113" s="297"/>
      <c r="M113" s="298">
        <v>105.0</v>
      </c>
      <c r="N113" s="297"/>
      <c r="O113" s="297"/>
      <c r="P113" s="297"/>
      <c r="Q113" s="297"/>
      <c r="R113" s="295"/>
      <c r="S113" s="295"/>
      <c r="T113" s="137"/>
      <c r="U113" s="295"/>
      <c r="V113" s="137"/>
      <c r="W113" s="137"/>
      <c r="X113" s="137"/>
      <c r="Y113" s="137"/>
      <c r="Z113" s="137"/>
    </row>
    <row r="114">
      <c r="A114" s="281"/>
      <c r="B114" s="288" t="s">
        <v>1337</v>
      </c>
      <c r="C114" s="307" t="s">
        <v>1338</v>
      </c>
      <c r="D114" s="293">
        <f>ROUND((F114*'Pawn Weights'!$B$3)+(G114*'Pawn Weights'!$B$4)+(H114*'Pawn Weights'!$B$5)+(I114*'Pawn Weights'!$B$6)+(J114*'Pawn Weights'!$B$7)+(K114*'Pawn Weights'!$B$8)+(L114*'Pawn Weights'!$B$9)+(M114*'Pawn Weights'!$B$10)+(N114*'Pawn Weights'!$B$11)+(O114*'Pawn Weights'!$B$12)+(P114*'Pawn Weights'!$B$13)+(Q114*'Pawn Weights'!$B$14), 2)</f>
        <v>48.97</v>
      </c>
      <c r="E114" s="280"/>
      <c r="F114" s="280"/>
      <c r="G114" s="280">
        <v>17.0</v>
      </c>
      <c r="H114" s="280">
        <v>48.0</v>
      </c>
      <c r="I114" s="280">
        <v>17.0</v>
      </c>
      <c r="J114" s="280"/>
      <c r="K114" s="280"/>
      <c r="L114" s="280"/>
      <c r="M114" s="280"/>
      <c r="N114" s="280"/>
      <c r="O114" s="280"/>
      <c r="P114" s="280"/>
      <c r="Q114" s="280"/>
      <c r="R114" s="290"/>
      <c r="S114" s="290"/>
      <c r="T114" s="281"/>
      <c r="U114" s="294"/>
      <c r="V114" s="281"/>
      <c r="W114" s="281"/>
      <c r="X114" s="281"/>
      <c r="Y114" s="281"/>
    </row>
    <row r="115">
      <c r="A115" s="281"/>
      <c r="B115" s="288" t="s">
        <v>1207</v>
      </c>
      <c r="C115" s="307" t="s">
        <v>871</v>
      </c>
      <c r="D115" s="293">
        <f>ROUND((F115*'Pawn Weights'!$B$3)+(G115*'Pawn Weights'!$B$4)+(H115*'Pawn Weights'!$B$5)+(I115*'Pawn Weights'!$B$6)+(J115*'Pawn Weights'!$B$7)+(K115*'Pawn Weights'!$B$8)+(L115*'Pawn Weights'!$B$9)+(M115*'Pawn Weights'!$B$10)+(N115*'Pawn Weights'!$B$11)+(O115*'Pawn Weights'!$B$12)+(P115*'Pawn Weights'!$B$13)+(Q115*'Pawn Weights'!$B$14), 2)</f>
        <v>47.88</v>
      </c>
      <c r="E115" s="280">
        <v>24.0</v>
      </c>
      <c r="F115" s="280"/>
      <c r="G115" s="280">
        <v>24.0</v>
      </c>
      <c r="H115" s="280">
        <v>52.0</v>
      </c>
      <c r="I115" s="280"/>
      <c r="J115" s="280"/>
      <c r="K115" s="280"/>
      <c r="L115" s="280"/>
      <c r="M115" s="280"/>
      <c r="N115" s="280"/>
      <c r="O115" s="280"/>
      <c r="P115" s="280"/>
      <c r="Q115" s="280">
        <v>1.0</v>
      </c>
      <c r="R115" s="290" t="s">
        <v>660</v>
      </c>
      <c r="S115" s="290"/>
      <c r="T115" s="281"/>
      <c r="U115" s="294"/>
      <c r="V115" s="281"/>
      <c r="W115" s="281"/>
      <c r="X115" s="281"/>
      <c r="Y115" s="281"/>
    </row>
    <row r="116">
      <c r="A116" s="292" t="s">
        <v>1559</v>
      </c>
      <c r="B116" s="288" t="s">
        <v>1560</v>
      </c>
      <c r="C116" s="280" t="s">
        <v>1561</v>
      </c>
      <c r="D116" s="293">
        <f>ROUND((F116*'Pawn Weights'!$B$3)+(G116*'Pawn Weights'!$B$4)+(H116*'Pawn Weights'!$B$5)+(I116*'Pawn Weights'!$B$6)+(J116*'Pawn Weights'!$B$7)+(K116*'Pawn Weights'!$B$8)+(L116*'Pawn Weights'!$B$9)+(M116*'Pawn Weights'!$B$10)+(N116*'Pawn Weights'!$B$11)+(O116*'Pawn Weights'!$B$12)+(P116*'Pawn Weights'!$B$13)+(Q116*'Pawn Weights'!$B$14), 2)</f>
        <v>46.24</v>
      </c>
      <c r="E116" s="280">
        <v>15.0</v>
      </c>
      <c r="F116" s="280">
        <v>26.0</v>
      </c>
      <c r="G116" s="280"/>
      <c r="H116" s="280"/>
      <c r="I116" s="280">
        <v>22.0</v>
      </c>
      <c r="J116" s="280"/>
      <c r="K116" s="280"/>
      <c r="L116" s="280"/>
      <c r="M116" s="280"/>
      <c r="N116" s="280"/>
      <c r="O116" s="280"/>
      <c r="P116" s="280"/>
      <c r="Q116" s="280"/>
      <c r="R116" s="290"/>
      <c r="S116" s="290"/>
      <c r="T116" s="281"/>
      <c r="U116" s="222"/>
      <c r="V116" s="281"/>
      <c r="W116" s="281"/>
      <c r="X116" s="281"/>
      <c r="Y116" s="281"/>
    </row>
    <row r="117">
      <c r="A117" s="292" t="s">
        <v>995</v>
      </c>
      <c r="B117" s="288" t="s">
        <v>1562</v>
      </c>
      <c r="C117" s="307" t="s">
        <v>1563</v>
      </c>
      <c r="D117" s="293">
        <f>ROUND((F117*'Pawn Weights'!$B$3)+(G117*'Pawn Weights'!$B$4)+(H117*'Pawn Weights'!$B$5)+(I117*'Pawn Weights'!$B$6)+(J117*'Pawn Weights'!$B$7)+(K117*'Pawn Weights'!$B$8)+(L117*'Pawn Weights'!$B$9)+(M117*'Pawn Weights'!$B$10)+(N117*'Pawn Weights'!$B$11)+(O117*'Pawn Weights'!$B$12)+(P117*'Pawn Weights'!$B$13)+(Q117*'Pawn Weights'!$B$14), 2)</f>
        <v>44.64</v>
      </c>
      <c r="E117" s="280">
        <v>30.0</v>
      </c>
      <c r="F117" s="280">
        <v>21.0</v>
      </c>
      <c r="G117" s="280"/>
      <c r="H117" s="280"/>
      <c r="I117" s="280">
        <v>17.0</v>
      </c>
      <c r="J117" s="280"/>
      <c r="K117" s="280"/>
      <c r="L117" s="280"/>
      <c r="M117" s="280"/>
      <c r="N117" s="280"/>
      <c r="O117" s="280"/>
      <c r="P117" s="280">
        <v>1.0</v>
      </c>
      <c r="Q117" s="280"/>
      <c r="R117" s="290" t="s">
        <v>1564</v>
      </c>
      <c r="S117" s="290"/>
      <c r="T117" s="281"/>
      <c r="U117" s="294" t="s">
        <v>793</v>
      </c>
      <c r="V117" s="281"/>
      <c r="W117" s="281"/>
      <c r="X117" s="281"/>
      <c r="Y117" s="281"/>
    </row>
    <row r="118">
      <c r="A118" s="281"/>
      <c r="B118" s="288" t="s">
        <v>1565</v>
      </c>
      <c r="C118" s="280" t="s">
        <v>1566</v>
      </c>
      <c r="D118" s="293">
        <f>ROUND((F118*'Pawn Weights'!$B$3)+(G118*'Pawn Weights'!$B$4)+(H118*'Pawn Weights'!$B$5)+(I118*'Pawn Weights'!$B$6)+(J118*'Pawn Weights'!$B$7)+(K118*'Pawn Weights'!$B$8)+(L118*'Pawn Weights'!$B$9)+(M118*'Pawn Weights'!$B$10)+(N118*'Pawn Weights'!$B$11)+(O118*'Pawn Weights'!$B$12)+(P118*'Pawn Weights'!$B$13)+(Q118*'Pawn Weights'!$B$14), 2)</f>
        <v>42.97</v>
      </c>
      <c r="E118" s="280">
        <v>25.0</v>
      </c>
      <c r="F118" s="280"/>
      <c r="G118" s="280"/>
      <c r="H118" s="280">
        <v>50.0</v>
      </c>
      <c r="I118" s="280">
        <v>22.0</v>
      </c>
      <c r="J118" s="280"/>
      <c r="K118" s="280"/>
      <c r="L118" s="280"/>
      <c r="M118" s="280"/>
      <c r="N118" s="280"/>
      <c r="O118" s="280"/>
      <c r="P118" s="280"/>
      <c r="Q118" s="280"/>
      <c r="R118" s="290"/>
      <c r="S118" s="290"/>
      <c r="T118" s="281"/>
      <c r="U118" s="222"/>
      <c r="V118" s="281"/>
      <c r="W118" s="281"/>
      <c r="X118" s="281"/>
      <c r="Y118" s="281"/>
    </row>
    <row r="119">
      <c r="A119" s="281"/>
      <c r="B119" s="288" t="s">
        <v>1208</v>
      </c>
      <c r="C119" s="280" t="s">
        <v>1209</v>
      </c>
      <c r="D119" s="293">
        <f>ROUND((F119*'Pawn Weights'!$B$3)+(G119*'Pawn Weights'!$B$4)+(H119*'Pawn Weights'!$B$5)+(I119*'Pawn Weights'!$B$6)+(J119*'Pawn Weights'!$B$7)+(K119*'Pawn Weights'!$B$8)+(L119*'Pawn Weights'!$B$9)+(M119*'Pawn Weights'!$B$10)+(N119*'Pawn Weights'!$B$11)+(O119*'Pawn Weights'!$B$12)+(P119*'Pawn Weights'!$B$13)+(Q119*'Pawn Weights'!$B$14), 2)</f>
        <v>40.63</v>
      </c>
      <c r="E119" s="280">
        <v>18.0</v>
      </c>
      <c r="F119" s="280"/>
      <c r="G119" s="280">
        <v>20.0</v>
      </c>
      <c r="H119" s="280">
        <v>42.0</v>
      </c>
      <c r="I119" s="280"/>
      <c r="J119" s="280"/>
      <c r="K119" s="280"/>
      <c r="L119" s="280"/>
      <c r="M119" s="280"/>
      <c r="N119" s="280"/>
      <c r="O119" s="280"/>
      <c r="P119" s="280"/>
      <c r="Q119" s="280">
        <v>1.0</v>
      </c>
      <c r="R119" s="290" t="s">
        <v>660</v>
      </c>
      <c r="S119" s="290"/>
      <c r="T119" s="281"/>
      <c r="U119" s="222"/>
      <c r="V119" s="281"/>
      <c r="W119" s="281"/>
      <c r="X119" s="281"/>
      <c r="Y119" s="281"/>
    </row>
    <row r="120">
      <c r="A120" s="281"/>
      <c r="B120" s="288" t="s">
        <v>1567</v>
      </c>
      <c r="C120" s="307" t="s">
        <v>1568</v>
      </c>
      <c r="D120" s="293">
        <f>ROUND((F120*'Pawn Weights'!$B$3)+(G120*'Pawn Weights'!$B$4)+(H120*'Pawn Weights'!$B$5)+(I120*'Pawn Weights'!$B$6)+(J120*'Pawn Weights'!$B$7)+(K120*'Pawn Weights'!$B$8)+(L120*'Pawn Weights'!$B$9)+(M120*'Pawn Weights'!$B$10)+(N120*'Pawn Weights'!$B$11)+(O120*'Pawn Weights'!$B$12)+(P120*'Pawn Weights'!$B$13)+(Q120*'Pawn Weights'!$B$14), 2)</f>
        <v>39.88</v>
      </c>
      <c r="E120" s="280">
        <v>25.0</v>
      </c>
      <c r="F120" s="280">
        <v>19.0</v>
      </c>
      <c r="G120" s="280"/>
      <c r="H120" s="280"/>
      <c r="I120" s="280">
        <v>14.0</v>
      </c>
      <c r="J120" s="280"/>
      <c r="K120" s="280"/>
      <c r="L120" s="280"/>
      <c r="M120" s="280"/>
      <c r="N120" s="280"/>
      <c r="O120" s="280"/>
      <c r="P120" s="280">
        <v>1.0</v>
      </c>
      <c r="Q120" s="280"/>
      <c r="R120" s="290" t="s">
        <v>1569</v>
      </c>
      <c r="S120" s="290"/>
      <c r="T120" s="281"/>
      <c r="U120" s="294" t="s">
        <v>1570</v>
      </c>
      <c r="V120" s="281"/>
      <c r="W120" s="281"/>
      <c r="X120" s="281"/>
      <c r="Y120" s="281"/>
    </row>
    <row r="121">
      <c r="A121" s="292" t="s">
        <v>627</v>
      </c>
      <c r="B121" s="288" t="s">
        <v>1215</v>
      </c>
      <c r="C121" s="307" t="s">
        <v>1546</v>
      </c>
      <c r="D121" s="293">
        <f>ROUND((F121*'Pawn Weights'!$B$3)+(G121*'Pawn Weights'!$B$4)+(H121*'Pawn Weights'!$B$5)+(I121*'Pawn Weights'!$B$6)+(J121*'Pawn Weights'!$B$7)+(K121*'Pawn Weights'!$B$8)+(L121*'Pawn Weights'!$B$9)+(M121*'Pawn Weights'!$B$10)+(N121*'Pawn Weights'!$B$11)+(O121*'Pawn Weights'!$B$12)+(P121*'Pawn Weights'!$B$13)+(Q121*'Pawn Weights'!$B$14), 2)</f>
        <v>39.24</v>
      </c>
      <c r="E121" s="280">
        <v>21.0</v>
      </c>
      <c r="F121" s="280"/>
      <c r="G121" s="280">
        <v>15.0</v>
      </c>
      <c r="H121" s="280">
        <v>64.0</v>
      </c>
      <c r="I121" s="280"/>
      <c r="J121" s="280"/>
      <c r="K121" s="280"/>
      <c r="L121" s="280"/>
      <c r="M121" s="280"/>
      <c r="N121" s="280"/>
      <c r="O121" s="280"/>
      <c r="P121" s="280"/>
      <c r="Q121" s="280"/>
      <c r="R121" s="290"/>
      <c r="S121" s="290"/>
      <c r="T121" s="281"/>
      <c r="U121" s="294"/>
      <c r="V121" s="281"/>
      <c r="W121" s="281"/>
      <c r="X121" s="281"/>
      <c r="Y121" s="281"/>
    </row>
    <row r="122">
      <c r="A122" s="301" t="s">
        <v>627</v>
      </c>
      <c r="B122" s="311" t="s">
        <v>1470</v>
      </c>
      <c r="C122" s="280" t="s">
        <v>904</v>
      </c>
      <c r="D122" s="293">
        <f>ROUND((F122*'Pawn Weights'!$B$3)+(G122*'Pawn Weights'!$B$4)+(H122*'Pawn Weights'!$B$5)+(I122*'Pawn Weights'!$B$6)+(J122*'Pawn Weights'!$B$7)+(K122*'Pawn Weights'!$B$8)+(L122*'Pawn Weights'!$B$9)+(M122*'Pawn Weights'!$B$10)+(N122*'Pawn Weights'!$B$11)+(O122*'Pawn Weights'!$B$12)+(P122*'Pawn Weights'!$B$13)+(Q122*'Pawn Weights'!$B$14), 2)</f>
        <v>37.46</v>
      </c>
      <c r="E122" s="280"/>
      <c r="F122" s="280"/>
      <c r="G122" s="280">
        <v>18.0</v>
      </c>
      <c r="H122" s="280">
        <v>38.0</v>
      </c>
      <c r="I122" s="280"/>
      <c r="J122" s="280"/>
      <c r="K122" s="280"/>
      <c r="L122" s="280"/>
      <c r="M122" s="280"/>
      <c r="N122" s="280"/>
      <c r="O122" s="280"/>
      <c r="P122" s="280"/>
      <c r="Q122" s="280">
        <v>1.0</v>
      </c>
      <c r="R122" s="290" t="s">
        <v>674</v>
      </c>
      <c r="S122" s="290"/>
      <c r="T122" s="281"/>
      <c r="U122" s="222"/>
      <c r="V122" s="281"/>
      <c r="W122" s="281"/>
      <c r="X122" s="281"/>
      <c r="Y122" s="281"/>
    </row>
    <row r="123">
      <c r="A123" s="375"/>
      <c r="B123" s="288" t="s">
        <v>1213</v>
      </c>
      <c r="C123" s="280" t="s">
        <v>1214</v>
      </c>
      <c r="D123" s="293">
        <f>ROUND((F123*'Pawn Weights'!$B$3)+(G123*'Pawn Weights'!$B$4)+(H123*'Pawn Weights'!$B$5)+(I123*'Pawn Weights'!$B$6)+(J123*'Pawn Weights'!$B$7)+(K123*'Pawn Weights'!$B$8)+(L123*'Pawn Weights'!$B$9)+(M123*'Pawn Weights'!$B$10)+(N123*'Pawn Weights'!$B$11)+(O123*'Pawn Weights'!$B$12)+(P123*'Pawn Weights'!$B$13)+(Q123*'Pawn Weights'!$B$14), 2)</f>
        <v>37.16</v>
      </c>
      <c r="E123" s="280">
        <v>22.0</v>
      </c>
      <c r="F123" s="280"/>
      <c r="G123" s="280">
        <v>24.0</v>
      </c>
      <c r="H123" s="280">
        <v>46.0</v>
      </c>
      <c r="I123" s="280"/>
      <c r="J123" s="280"/>
      <c r="K123" s="280"/>
      <c r="L123" s="280"/>
      <c r="M123" s="280"/>
      <c r="N123" s="280"/>
      <c r="O123" s="280"/>
      <c r="P123" s="280"/>
      <c r="Q123" s="280"/>
      <c r="R123" s="290"/>
      <c r="S123" s="290"/>
      <c r="T123" s="281"/>
      <c r="U123" s="222"/>
      <c r="V123" s="281"/>
      <c r="W123" s="281"/>
      <c r="X123" s="281"/>
      <c r="Y123" s="281"/>
    </row>
    <row r="124">
      <c r="A124" s="281"/>
      <c r="B124" s="322" t="s">
        <v>1571</v>
      </c>
      <c r="C124" s="280" t="s">
        <v>1572</v>
      </c>
      <c r="D124" s="293">
        <f>ROUND((F124*'Pawn Weights'!$B$3)+(G124*'Pawn Weights'!$B$4)+(H124*'Pawn Weights'!$B$5)+(I124*'Pawn Weights'!$B$6)+(J124*'Pawn Weights'!$B$7)+(K124*'Pawn Weights'!$B$8)+(L124*'Pawn Weights'!$B$9)+(M124*'Pawn Weights'!$B$10)+(N124*'Pawn Weights'!$B$11)+(O124*'Pawn Weights'!$B$12)+(P124*'Pawn Weights'!$B$13)+(Q124*'Pawn Weights'!$B$14), 2)</f>
        <v>33.06</v>
      </c>
      <c r="E124" s="280"/>
      <c r="F124" s="280"/>
      <c r="G124" s="280">
        <v>12.0</v>
      </c>
      <c r="H124" s="280">
        <v>42.0</v>
      </c>
      <c r="I124" s="280"/>
      <c r="J124" s="280">
        <v>9.0</v>
      </c>
      <c r="K124" s="280"/>
      <c r="L124" s="280"/>
      <c r="M124" s="280"/>
      <c r="N124" s="280"/>
      <c r="O124" s="280"/>
      <c r="P124" s="280"/>
      <c r="Q124" s="280"/>
      <c r="R124" s="290"/>
      <c r="S124" s="290"/>
      <c r="T124" s="281"/>
      <c r="U124" s="222"/>
      <c r="V124" s="281"/>
      <c r="W124" s="281"/>
      <c r="X124" s="281"/>
      <c r="Y124" s="281"/>
    </row>
    <row r="125">
      <c r="A125" s="281"/>
      <c r="B125" s="311" t="s">
        <v>1210</v>
      </c>
      <c r="C125" s="280" t="s">
        <v>1211</v>
      </c>
      <c r="D125" s="293">
        <f>ROUND((F125*'Pawn Weights'!$B$3)+(G125*'Pawn Weights'!$B$4)+(H125*'Pawn Weights'!$B$5)+(I125*'Pawn Weights'!$B$6)+(J125*'Pawn Weights'!$B$7)+(K125*'Pawn Weights'!$B$8)+(L125*'Pawn Weights'!$B$9)+(M125*'Pawn Weights'!$B$10)+(N125*'Pawn Weights'!$B$11)+(O125*'Pawn Weights'!$B$12)+(P125*'Pawn Weights'!$B$13)+(Q125*'Pawn Weights'!$B$14), 2)</f>
        <v>29.94</v>
      </c>
      <c r="E125" s="280">
        <v>15.0</v>
      </c>
      <c r="F125" s="280"/>
      <c r="G125" s="280">
        <v>18.0</v>
      </c>
      <c r="H125" s="280"/>
      <c r="I125" s="280"/>
      <c r="J125" s="280">
        <v>15.0</v>
      </c>
      <c r="K125" s="280"/>
      <c r="L125" s="280"/>
      <c r="M125" s="280"/>
      <c r="N125" s="280"/>
      <c r="O125" s="280">
        <v>1.0</v>
      </c>
      <c r="P125" s="280"/>
      <c r="Q125" s="280"/>
      <c r="R125" s="290"/>
      <c r="S125" s="290"/>
      <c r="T125" s="281"/>
      <c r="U125" s="294" t="s">
        <v>1573</v>
      </c>
      <c r="V125" s="281"/>
      <c r="W125" s="281"/>
      <c r="X125" s="281"/>
      <c r="Y125" s="281"/>
    </row>
    <row r="126">
      <c r="A126" s="272" t="s">
        <v>800</v>
      </c>
      <c r="B126" s="281"/>
      <c r="C126" s="281"/>
      <c r="D126" s="293"/>
      <c r="E126" s="281"/>
      <c r="F126" s="281"/>
      <c r="G126" s="281"/>
      <c r="H126" s="281"/>
      <c r="I126" s="281"/>
      <c r="J126" s="281"/>
      <c r="K126" s="281"/>
      <c r="L126" s="281"/>
      <c r="M126" s="281"/>
      <c r="N126" s="281"/>
      <c r="O126" s="281"/>
      <c r="P126" s="281"/>
      <c r="Q126" s="281"/>
      <c r="R126" s="282"/>
      <c r="S126" s="282"/>
      <c r="T126" s="281"/>
      <c r="U126" s="285"/>
      <c r="V126" s="281"/>
      <c r="W126" s="281"/>
      <c r="X126" s="281"/>
    </row>
    <row r="127">
      <c r="A127" s="137" t="s">
        <v>627</v>
      </c>
      <c r="B127" s="341" t="s">
        <v>801</v>
      </c>
      <c r="C127" s="361" t="s">
        <v>802</v>
      </c>
      <c r="D127" s="293">
        <f>ROUND((F127*'Pawn Weights'!$B$3)+(G127*'Pawn Weights'!$B$4)+(H127*'Pawn Weights'!$B$5)+(I127*'Pawn Weights'!$B$6)+(J127*'Pawn Weights'!$B$7)+(K127*'Pawn Weights'!$B$8)+(L127*'Pawn Weights'!$B$9)+(M127*'Pawn Weights'!$B$10)+(N127*'Pawn Weights'!$B$11)+(O127*'Pawn Weights'!$B$12)+(P127*'Pawn Weights'!$B$13)+(Q127*'Pawn Weights'!$B$14)+2.76, 2)</f>
        <v>130.68</v>
      </c>
      <c r="E127" s="359">
        <v>33.0</v>
      </c>
      <c r="F127" s="361"/>
      <c r="G127" s="359">
        <v>30.0</v>
      </c>
      <c r="H127" s="359">
        <v>90.0</v>
      </c>
      <c r="I127" s="359">
        <v>30.0</v>
      </c>
      <c r="J127" s="361"/>
      <c r="K127" s="361"/>
      <c r="L127" s="361"/>
      <c r="M127" s="359">
        <v>154.0</v>
      </c>
      <c r="N127" s="361"/>
      <c r="O127" s="359">
        <v>2.0</v>
      </c>
      <c r="P127" s="361"/>
      <c r="Q127" s="361"/>
      <c r="R127" s="359" t="s">
        <v>702</v>
      </c>
      <c r="S127" s="137"/>
      <c r="T127" s="137"/>
      <c r="U127" s="137"/>
      <c r="V127" s="137"/>
      <c r="W127" s="137"/>
      <c r="X127" s="137"/>
      <c r="Y127" s="137"/>
      <c r="Z127" s="137"/>
    </row>
    <row r="128">
      <c r="A128" s="137" t="s">
        <v>627</v>
      </c>
      <c r="B128" s="341" t="s">
        <v>805</v>
      </c>
      <c r="C128" s="361" t="s">
        <v>806</v>
      </c>
      <c r="D128" s="293">
        <f>ROUND((F128*'Pawn Weights'!$B$3)+(G128*'Pawn Weights'!$B$4)+(H128*'Pawn Weights'!$B$5)+(I128*'Pawn Weights'!$B$6)+(J128*'Pawn Weights'!$B$7)+(K128*'Pawn Weights'!$B$8)+(L128*'Pawn Weights'!$B$9)+(M128*'Pawn Weights'!$B$10)+(N128*'Pawn Weights'!$B$11)+(O128*'Pawn Weights'!$B$12)+(P128*'Pawn Weights'!$B$13)+(Q128*'Pawn Weights'!$B$14)-8+7.68+3, 2)</f>
        <v>105.99</v>
      </c>
      <c r="E128" s="359">
        <v>45.0</v>
      </c>
      <c r="F128" s="359">
        <v>45.0</v>
      </c>
      <c r="G128" s="361"/>
      <c r="H128" s="361"/>
      <c r="I128" s="361"/>
      <c r="J128" s="359">
        <v>23.0</v>
      </c>
      <c r="K128" s="359">
        <v>36.0</v>
      </c>
      <c r="L128" s="361"/>
      <c r="M128" s="137"/>
      <c r="N128" s="361"/>
      <c r="O128" s="359">
        <v>1.0</v>
      </c>
      <c r="P128" s="359">
        <v>1.0</v>
      </c>
      <c r="Q128" s="361"/>
      <c r="R128" s="359" t="s">
        <v>698</v>
      </c>
      <c r="S128" s="137"/>
      <c r="T128" s="137"/>
      <c r="U128" s="137"/>
      <c r="V128" s="137"/>
      <c r="W128" s="137"/>
      <c r="X128" s="137"/>
      <c r="Y128" s="137"/>
      <c r="Z128" s="137"/>
    </row>
    <row r="129">
      <c r="A129" s="137" t="s">
        <v>627</v>
      </c>
      <c r="B129" s="341" t="s">
        <v>808</v>
      </c>
      <c r="C129" s="361" t="s">
        <v>802</v>
      </c>
      <c r="D129" s="293">
        <f>ROUND((F129*'Pawn Weights'!$B$3)+(G129*'Pawn Weights'!$B$4)+(H129*'Pawn Weights'!$B$5)+(I129*'Pawn Weights'!$B$6)+(J129*'Pawn Weights'!$B$7)+(K129*'Pawn Weights'!$B$8)+(L129*'Pawn Weights'!$B$9)+(M129*'Pawn Weights'!$B$10)+(N129*'Pawn Weights'!$B$11)+(O129*'Pawn Weights'!$B$12)+(P129*'Pawn Weights'!$B$13)+(Q129*'Pawn Weights'!$B$14)-16+15.36+2.727, 2)</f>
        <v>98.78</v>
      </c>
      <c r="E129" s="359">
        <v>33.0</v>
      </c>
      <c r="F129" s="361"/>
      <c r="G129" s="359">
        <v>30.0</v>
      </c>
      <c r="H129" s="359">
        <v>76.0</v>
      </c>
      <c r="I129" s="361"/>
      <c r="J129" s="361"/>
      <c r="K129" s="359">
        <v>34.0</v>
      </c>
      <c r="L129" s="361"/>
      <c r="M129" s="137"/>
      <c r="N129" s="361"/>
      <c r="O129" s="361"/>
      <c r="P129" s="359">
        <v>2.0</v>
      </c>
      <c r="Q129" s="361"/>
      <c r="R129" s="359" t="s">
        <v>809</v>
      </c>
      <c r="S129" s="137"/>
      <c r="T129" s="137"/>
      <c r="U129" s="137"/>
      <c r="V129" s="137"/>
      <c r="W129" s="137"/>
      <c r="X129" s="137"/>
      <c r="Y129" s="137"/>
      <c r="Z129" s="137"/>
    </row>
    <row r="130">
      <c r="A130" s="137"/>
      <c r="B130" s="341" t="s">
        <v>817</v>
      </c>
      <c r="C130" s="361" t="s">
        <v>818</v>
      </c>
      <c r="D130" s="293">
        <f>ROUND((F130*'Pawn Weights'!$B$3)+(G130*'Pawn Weights'!$B$4)+(H130*'Pawn Weights'!$B$5)+(I130*'Pawn Weights'!$B$6)+(J130*'Pawn Weights'!$B$7)+(K130*'Pawn Weights'!$B$8)+(L130*'Pawn Weights'!$B$9)+(M130*'Pawn Weights'!$B$10)+(N130*'Pawn Weights'!$B$11)+(O130*'Pawn Weights'!$B$12)+(P130*'Pawn Weights'!$B$13)+(Q130*'Pawn Weights'!$B$14)-8+7.68+1.354, 2)</f>
        <v>82.22</v>
      </c>
      <c r="E130" s="359">
        <v>30.0</v>
      </c>
      <c r="F130" s="361"/>
      <c r="G130" s="359">
        <v>34.0</v>
      </c>
      <c r="H130" s="359">
        <v>78.0</v>
      </c>
      <c r="I130" s="359">
        <v>16.0</v>
      </c>
      <c r="J130" s="361"/>
      <c r="K130" s="361"/>
      <c r="L130" s="361"/>
      <c r="M130" s="137"/>
      <c r="N130" s="361"/>
      <c r="O130" s="361"/>
      <c r="P130" s="359">
        <v>1.0</v>
      </c>
      <c r="Q130" s="361"/>
      <c r="R130" s="359" t="s">
        <v>711</v>
      </c>
      <c r="S130" s="137"/>
      <c r="T130" s="137"/>
      <c r="U130" s="137"/>
      <c r="V130" s="137"/>
      <c r="W130" s="137"/>
      <c r="X130" s="137"/>
      <c r="Y130" s="137"/>
      <c r="Z130" s="137"/>
    </row>
    <row r="131">
      <c r="A131" s="295" t="s">
        <v>635</v>
      </c>
      <c r="B131" s="296" t="s">
        <v>826</v>
      </c>
      <c r="C131" s="297" t="s">
        <v>637</v>
      </c>
      <c r="D131" s="367">
        <f>ROUND((F131*'Pawn Weights'!$E$3)+(G131*'Pawn Weights'!$E$4)+(H131*'Pawn Weights'!$E$5)+(I131*'Pawn Weights'!$E$6)+(J131*'Pawn Weights'!$E$7)+(K131*'Pawn Weights'!$E$8)+(L131*'Pawn Weights'!$E$9)+(M131*'Pawn Weights'!$E$10)+(N131*'Pawn Weights'!$E$11)+(O131*'Pawn Weights'!$E$12)+(P131*'Pawn Weights'!$E$13)+(Q131*'Pawn Weights'!$E$14), 2)</f>
        <v>75.67</v>
      </c>
      <c r="E131" s="298">
        <v>59.0</v>
      </c>
      <c r="F131" s="298">
        <v>42.0</v>
      </c>
      <c r="G131" s="297"/>
      <c r="H131" s="297"/>
      <c r="I131" s="298">
        <v>37.0</v>
      </c>
      <c r="J131" s="297"/>
      <c r="K131" s="297"/>
      <c r="L131" s="297"/>
      <c r="M131" s="137"/>
      <c r="N131" s="297"/>
      <c r="O131" s="297"/>
      <c r="P131" s="297"/>
      <c r="Q131" s="297"/>
      <c r="R131" s="295"/>
      <c r="S131" s="295"/>
      <c r="T131" s="361" t="s">
        <v>827</v>
      </c>
      <c r="U131" s="295"/>
      <c r="V131" s="137"/>
      <c r="W131" s="137"/>
      <c r="X131" s="137"/>
      <c r="Y131" s="137"/>
      <c r="Z131" s="137"/>
    </row>
    <row r="132">
      <c r="A132" s="25"/>
      <c r="B132" s="288" t="s">
        <v>822</v>
      </c>
      <c r="C132" s="280" t="s">
        <v>823</v>
      </c>
      <c r="D132" s="293">
        <f>ROUND((F132*'Pawn Weights'!$B$3)+(G132*'Pawn Weights'!$B$4)+(H132*'Pawn Weights'!$B$5)+(I132*'Pawn Weights'!$B$6)+(J132*'Pawn Weights'!$B$7)+(K132*'Pawn Weights'!$B$8)+(L132*'Pawn Weights'!$B$9)+(M132*'Pawn Weights'!$B$10)+(N132*'Pawn Weights'!$B$11)+(O132*'Pawn Weights'!$B$12)+(P132*'Pawn Weights'!$B$13)+(Q132*'Pawn Weights'!$B$14), 2)</f>
        <v>73.16</v>
      </c>
      <c r="E132" s="280">
        <v>34.0</v>
      </c>
      <c r="F132" s="280">
        <v>36.0</v>
      </c>
      <c r="G132" s="280"/>
      <c r="H132" s="280"/>
      <c r="I132" s="280">
        <v>23.0</v>
      </c>
      <c r="J132" s="280"/>
      <c r="K132" s="280"/>
      <c r="L132" s="280"/>
      <c r="M132" s="281"/>
      <c r="N132" s="280"/>
      <c r="O132" s="280"/>
      <c r="P132" s="280">
        <v>1.0</v>
      </c>
      <c r="Q132" s="280">
        <v>1.0</v>
      </c>
      <c r="R132" s="290" t="s">
        <v>698</v>
      </c>
      <c r="S132" s="290"/>
      <c r="T132" s="281"/>
      <c r="U132" s="291"/>
      <c r="V132" s="281"/>
      <c r="W132" s="281"/>
      <c r="X132" s="281"/>
    </row>
    <row r="133">
      <c r="A133" s="301"/>
      <c r="B133" s="288" t="s">
        <v>824</v>
      </c>
      <c r="C133" s="280" t="s">
        <v>825</v>
      </c>
      <c r="D133" s="293">
        <f>ROUND((F133*'Pawn Weights'!$B$3)+(G133*'Pawn Weights'!$B$4)+(H133*'Pawn Weights'!$B$5)+(I133*'Pawn Weights'!$B$6)+(J133*'Pawn Weights'!$B$7)+(K133*'Pawn Weights'!$B$8)+(L133*'Pawn Weights'!$B$9)+(M133*'Pawn Weights'!$B$10)+(N133*'Pawn Weights'!$B$11)+(O133*'Pawn Weights'!$B$12)+(P133*'Pawn Weights'!$B$13)+(Q133*'Pawn Weights'!$B$14), 2)</f>
        <v>72.64</v>
      </c>
      <c r="E133" s="280">
        <v>31.0</v>
      </c>
      <c r="F133" s="280"/>
      <c r="G133" s="280"/>
      <c r="H133" s="280">
        <v>72.0</v>
      </c>
      <c r="I133" s="280">
        <v>26.0</v>
      </c>
      <c r="J133" s="280"/>
      <c r="K133" s="280"/>
      <c r="L133" s="280"/>
      <c r="M133" s="281"/>
      <c r="N133" s="280"/>
      <c r="O133" s="280"/>
      <c r="P133" s="280"/>
      <c r="Q133" s="280">
        <v>2.0</v>
      </c>
      <c r="R133" s="290" t="s">
        <v>702</v>
      </c>
      <c r="S133" s="290"/>
      <c r="T133" s="281"/>
      <c r="U133" s="291"/>
      <c r="V133" s="281"/>
      <c r="W133" s="281"/>
      <c r="X133" s="281"/>
    </row>
    <row r="134">
      <c r="B134" s="288" t="s">
        <v>1094</v>
      </c>
      <c r="C134" s="280" t="s">
        <v>1025</v>
      </c>
      <c r="D134" s="293">
        <f>ROUND((F134*'Pawn Weights'!$B$3)+(G134*'Pawn Weights'!$B$4)+(H134*'Pawn Weights'!$B$5)+(I134*'Pawn Weights'!$B$6)+(J134*'Pawn Weights'!$B$7)+(K134*'Pawn Weights'!$B$8)+(L134*'Pawn Weights'!$B$9)+(M134*'Pawn Weights'!$B$10)+(N134*'Pawn Weights'!$B$11)+(O134*'Pawn Weights'!$B$12)+(P134*'Pawn Weights'!$B$13)+(Q134*'Pawn Weights'!$B$14), 2)</f>
        <v>72.5</v>
      </c>
      <c r="E134" s="280">
        <v>37.0</v>
      </c>
      <c r="F134" s="280"/>
      <c r="G134" s="280">
        <v>33.0</v>
      </c>
      <c r="H134" s="280">
        <v>66.0</v>
      </c>
      <c r="I134" s="280"/>
      <c r="J134" s="280"/>
      <c r="K134" s="280"/>
      <c r="L134" s="280">
        <v>18.0</v>
      </c>
      <c r="M134" s="281"/>
      <c r="N134" s="280"/>
      <c r="O134" s="280"/>
      <c r="P134" s="280"/>
      <c r="Q134" s="280"/>
      <c r="R134" s="290"/>
      <c r="S134" s="290"/>
      <c r="T134" s="281"/>
      <c r="U134" s="291" t="s">
        <v>1521</v>
      </c>
      <c r="V134" s="281"/>
      <c r="W134" s="281"/>
      <c r="X134" s="281"/>
    </row>
    <row r="135">
      <c r="A135" s="137" t="s">
        <v>647</v>
      </c>
      <c r="B135" s="296" t="s">
        <v>1098</v>
      </c>
      <c r="C135" s="297" t="s">
        <v>957</v>
      </c>
      <c r="D135" s="367">
        <f>ROUND((F135*'Pawn Weights'!$B$3)+(G135*'Pawn Weights'!$B$4)+(H135*'Pawn Weights'!$B$5)+(I135*'Pawn Weights'!$B$6)+(J135*'Pawn Weights'!$B$7)+(K135*'Pawn Weights'!$B$8)+(L135*'Pawn Weights'!$B$9)+(M135*'Pawn Weights'!$B$10)+(N135*'Pawn Weights'!$B$11)+(O135*'Pawn Weights'!$B$12)+(P135*'Pawn Weights'!$B$13)+(Q135*'Pawn Weights'!$B$14), 2)</f>
        <v>71.6</v>
      </c>
      <c r="E135" s="298">
        <v>46.0</v>
      </c>
      <c r="F135" s="298">
        <v>44.0</v>
      </c>
      <c r="G135" s="297"/>
      <c r="H135" s="297"/>
      <c r="I135" s="298">
        <v>30.0</v>
      </c>
      <c r="J135" s="297"/>
      <c r="K135" s="297"/>
      <c r="L135" s="297"/>
      <c r="M135" s="137"/>
      <c r="N135" s="297"/>
      <c r="O135" s="297"/>
      <c r="P135" s="297"/>
      <c r="Q135" s="297"/>
      <c r="R135" s="295"/>
      <c r="S135" s="295"/>
      <c r="T135" s="137"/>
      <c r="U135" s="295"/>
      <c r="V135" s="137"/>
      <c r="W135" s="137"/>
      <c r="X135" s="137"/>
      <c r="Y135" s="137"/>
      <c r="Z135" s="137"/>
    </row>
    <row r="136">
      <c r="A136" s="295"/>
      <c r="B136" s="296" t="s">
        <v>1095</v>
      </c>
      <c r="C136" s="297" t="s">
        <v>889</v>
      </c>
      <c r="D136" s="293">
        <f>ROUND((F136*'Pawn Weights'!$B$3)+(G136*'Pawn Weights'!$B$4)+(H136*'Pawn Weights'!$B$5)+(I136*'Pawn Weights'!$B$6)+(J136*'Pawn Weights'!$B$7)+(K136*'Pawn Weights'!$B$8)+(L136*'Pawn Weights'!$B$9)+(M136*'Pawn Weights'!$B$10)+(N136*'Pawn Weights'!$B$11)+(O136*'Pawn Weights'!$B$12)+(P136*'Pawn Weights'!$B$13)+(Q136*'Pawn Weights'!$B$14)-8+7.68+2.727, 2)</f>
        <v>70.66</v>
      </c>
      <c r="E136" s="298">
        <v>27.0</v>
      </c>
      <c r="F136" s="297"/>
      <c r="G136" s="298">
        <v>20.0</v>
      </c>
      <c r="H136" s="298">
        <v>58.0</v>
      </c>
      <c r="I136" s="297"/>
      <c r="J136" s="298">
        <v>19.0</v>
      </c>
      <c r="K136" s="297"/>
      <c r="L136" s="297"/>
      <c r="M136" s="137"/>
      <c r="N136" s="297"/>
      <c r="O136" s="298">
        <v>1.0</v>
      </c>
      <c r="P136" s="298">
        <v>1.0</v>
      </c>
      <c r="Q136" s="297"/>
      <c r="R136" s="298" t="s">
        <v>809</v>
      </c>
      <c r="S136" s="295"/>
      <c r="T136" s="137"/>
      <c r="U136" s="295"/>
      <c r="V136" s="137"/>
      <c r="W136" s="137"/>
      <c r="X136" s="137"/>
      <c r="Y136" s="137"/>
      <c r="Z136" s="137"/>
    </row>
    <row r="137">
      <c r="A137" s="295"/>
      <c r="B137" s="296" t="s">
        <v>1405</v>
      </c>
      <c r="C137" s="297" t="s">
        <v>889</v>
      </c>
      <c r="D137" s="367">
        <f>ROUND((F137*'Pawn Weights'!$B$3)+(G137*'Pawn Weights'!$B$4)+(H137*'Pawn Weights'!$B$5)+(I137*'Pawn Weights'!$B$6)+(J137*'Pawn Weights'!$B$7)+(K137*'Pawn Weights'!$B$8)+(L137*'Pawn Weights'!$B$9)+(M137*'Pawn Weights'!$B$10)+(N137*'Pawn Weights'!$B$11)+(O137*'Pawn Weights'!$B$12)+(P137*'Pawn Weights'!$B$13)+(Q137*'Pawn Weights'!$B$14), 2)</f>
        <v>70.22</v>
      </c>
      <c r="E137" s="298">
        <v>28.0</v>
      </c>
      <c r="F137" s="297"/>
      <c r="G137" s="298">
        <v>30.0</v>
      </c>
      <c r="H137" s="298">
        <v>68.0</v>
      </c>
      <c r="I137" s="297"/>
      <c r="J137" s="297"/>
      <c r="K137" s="298">
        <v>25.0</v>
      </c>
      <c r="L137" s="297"/>
      <c r="M137" s="137"/>
      <c r="N137" s="297"/>
      <c r="O137" s="297"/>
      <c r="P137" s="297"/>
      <c r="Q137" s="297"/>
      <c r="R137" s="295"/>
      <c r="S137" s="295"/>
      <c r="T137" s="137"/>
      <c r="U137" s="295"/>
      <c r="V137" s="137"/>
      <c r="W137" s="137"/>
      <c r="X137" s="137"/>
      <c r="Y137" s="137"/>
      <c r="Z137" s="137"/>
    </row>
    <row r="138">
      <c r="A138" s="295"/>
      <c r="B138" s="296" t="s">
        <v>1096</v>
      </c>
      <c r="C138" s="297" t="s">
        <v>889</v>
      </c>
      <c r="D138" s="293">
        <f>ROUND((F138*'Pawn Weights'!$B$3)+(G138*'Pawn Weights'!$B$4)+(H138*'Pawn Weights'!$B$5)+(I138*'Pawn Weights'!$B$6)+(J138*'Pawn Weights'!$B$7)+(K138*'Pawn Weights'!$B$8)+(L138*'Pawn Weights'!$B$9)+(M138*'Pawn Weights'!$B$10)+(N138*'Pawn Weights'!$B$11)+(O138*'Pawn Weights'!$B$12)+(P138*'Pawn Weights'!$B$13)+(Q138*'Pawn Weights'!$B$14)-8+7.68+3, 2)</f>
        <v>68.93</v>
      </c>
      <c r="E138" s="298">
        <v>37.0</v>
      </c>
      <c r="F138" s="298">
        <v>34.0</v>
      </c>
      <c r="G138" s="297"/>
      <c r="H138" s="297"/>
      <c r="I138" s="297"/>
      <c r="J138" s="298">
        <v>25.0</v>
      </c>
      <c r="K138" s="297"/>
      <c r="L138" s="297"/>
      <c r="M138" s="137"/>
      <c r="N138" s="297"/>
      <c r="O138" s="298">
        <v>1.0</v>
      </c>
      <c r="P138" s="298">
        <v>1.0</v>
      </c>
      <c r="Q138" s="297"/>
      <c r="R138" s="298" t="s">
        <v>698</v>
      </c>
      <c r="S138" s="295"/>
      <c r="T138" s="137"/>
      <c r="U138" s="295"/>
      <c r="V138" s="137"/>
      <c r="W138" s="137"/>
      <c r="X138" s="137"/>
      <c r="Y138" s="137"/>
      <c r="Z138" s="137"/>
    </row>
    <row r="139">
      <c r="A139" s="25" t="s">
        <v>627</v>
      </c>
      <c r="B139" s="311" t="s">
        <v>1097</v>
      </c>
      <c r="C139" s="280" t="s">
        <v>904</v>
      </c>
      <c r="D139" s="293">
        <f>ROUND((F139*'Pawn Weights'!$B$3)+(G139*'Pawn Weights'!$B$4)+(H139*'Pawn Weights'!$B$5)+(I139*'Pawn Weights'!$B$6)+(J139*'Pawn Weights'!$B$7)+(K139*'Pawn Weights'!$B$8)+(L139*'Pawn Weights'!$B$9)+(M139*'Pawn Weights'!$B$10)+(N139*'Pawn Weights'!$B$11)+(O139*'Pawn Weights'!$B$12)+(P139*'Pawn Weights'!$B$13)+(Q139*'Pawn Weights'!$B$14)-8+7.68+2.727, 2)</f>
        <v>67.9</v>
      </c>
      <c r="E139" s="280"/>
      <c r="F139" s="280"/>
      <c r="G139" s="280"/>
      <c r="H139" s="280">
        <v>36.0</v>
      </c>
      <c r="I139" s="280">
        <v>24.0</v>
      </c>
      <c r="J139" s="280">
        <v>17.0</v>
      </c>
      <c r="K139" s="280"/>
      <c r="L139" s="280"/>
      <c r="M139" s="281"/>
      <c r="N139" s="280"/>
      <c r="O139" s="280">
        <v>1.0</v>
      </c>
      <c r="P139" s="280">
        <v>1.0</v>
      </c>
      <c r="Q139" s="280"/>
      <c r="R139" s="290" t="s">
        <v>809</v>
      </c>
      <c r="S139" s="290"/>
      <c r="T139" s="281"/>
      <c r="U139" s="291"/>
      <c r="V139" s="281"/>
      <c r="W139" s="281"/>
      <c r="X139" s="281"/>
    </row>
    <row r="140">
      <c r="A140" s="295" t="s">
        <v>644</v>
      </c>
      <c r="B140" s="296" t="s">
        <v>1406</v>
      </c>
      <c r="C140" s="297" t="s">
        <v>646</v>
      </c>
      <c r="D140" s="367">
        <f>ROUND((F140*'Pawn Weights'!$B$3)+(G140*'Pawn Weights'!$B$4)+(H140*'Pawn Weights'!$B$5)+(I140*'Pawn Weights'!$B$6)+(J140*'Pawn Weights'!$B$7)+(K140*'Pawn Weights'!$B$8)+(L140*'Pawn Weights'!$B$9)+(M140*'Pawn Weights'!$B$10)+(N140*'Pawn Weights'!$B$11)+(O140*'Pawn Weights'!$B$12)+(P140*'Pawn Weights'!$B$13)+(Q140*'Pawn Weights'!$B$14), 2)</f>
        <v>66.44</v>
      </c>
      <c r="E140" s="298">
        <v>52.0</v>
      </c>
      <c r="F140" s="298">
        <v>37.0</v>
      </c>
      <c r="G140" s="297"/>
      <c r="H140" s="297"/>
      <c r="I140" s="298">
        <v>32.0</v>
      </c>
      <c r="J140" s="297"/>
      <c r="K140" s="297"/>
      <c r="L140" s="297"/>
      <c r="M140" s="137"/>
      <c r="N140" s="297"/>
      <c r="O140" s="297"/>
      <c r="P140" s="297"/>
      <c r="Q140" s="297"/>
      <c r="R140" s="295"/>
      <c r="S140" s="295"/>
      <c r="T140" s="362" t="s">
        <v>827</v>
      </c>
      <c r="U140" s="295"/>
      <c r="V140" s="137"/>
      <c r="W140" s="137"/>
      <c r="X140" s="137"/>
      <c r="Y140" s="137"/>
      <c r="Z140" s="137"/>
    </row>
    <row r="141">
      <c r="B141" s="288" t="s">
        <v>1223</v>
      </c>
      <c r="C141" s="280" t="s">
        <v>1224</v>
      </c>
      <c r="D141" s="293">
        <f>ROUND((F141*'Pawn Weights'!$B$3)+(G141*'Pawn Weights'!$B$4)+(H141*'Pawn Weights'!$B$5)+(I141*'Pawn Weights'!$B$6)+(J141*'Pawn Weights'!$B$7)+(K141*'Pawn Weights'!$B$8)+(L141*'Pawn Weights'!$B$9)+(M141*'Pawn Weights'!$B$10)+(N141*'Pawn Weights'!$B$11)+(O141*'Pawn Weights'!$B$12)+(P141*'Pawn Weights'!$B$13)+(Q141*'Pawn Weights'!$B$14), 2)</f>
        <v>63.7</v>
      </c>
      <c r="E141" s="280">
        <v>34.0</v>
      </c>
      <c r="F141" s="280"/>
      <c r="G141" s="280">
        <v>29.0</v>
      </c>
      <c r="H141" s="280">
        <v>60.0</v>
      </c>
      <c r="I141" s="280"/>
      <c r="J141" s="280"/>
      <c r="K141" s="280"/>
      <c r="L141" s="280">
        <v>15.0</v>
      </c>
      <c r="M141" s="281"/>
      <c r="N141" s="280"/>
      <c r="O141" s="280"/>
      <c r="P141" s="280"/>
      <c r="Q141" s="280"/>
      <c r="R141" s="290"/>
      <c r="S141" s="290"/>
      <c r="T141" s="281"/>
      <c r="U141" s="291"/>
      <c r="V141" s="281"/>
      <c r="W141" s="281"/>
      <c r="X141" s="281"/>
    </row>
    <row r="142">
      <c r="A142" s="25" t="s">
        <v>654</v>
      </c>
      <c r="B142" s="288" t="s">
        <v>1574</v>
      </c>
      <c r="C142" s="280" t="s">
        <v>1116</v>
      </c>
      <c r="D142" s="293">
        <f>ROUND((F142*'Pawn Weights'!$B$3)+(G142*'Pawn Weights'!$B$4)+(H142*'Pawn Weights'!$B$5)+(I142*'Pawn Weights'!$B$6)+(J142*'Pawn Weights'!$B$7)+(K142*'Pawn Weights'!$B$8)+(L142*'Pawn Weights'!$B$9)+(M142*'Pawn Weights'!$B$10)+(N142*'Pawn Weights'!$B$11)+(O142*'Pawn Weights'!$B$12)+(P142*'Pawn Weights'!$B$13)+(Q142*'Pawn Weights'!$B$14), 2)</f>
        <v>61.27</v>
      </c>
      <c r="E142" s="280">
        <v>33.0</v>
      </c>
      <c r="F142" s="280">
        <v>34.0</v>
      </c>
      <c r="G142" s="280">
        <v>23.0</v>
      </c>
      <c r="H142" s="280"/>
      <c r="I142" s="280"/>
      <c r="J142" s="280">
        <v>18.0</v>
      </c>
      <c r="K142" s="280"/>
      <c r="L142" s="280"/>
      <c r="M142" s="281"/>
      <c r="N142" s="280"/>
      <c r="O142" s="280"/>
      <c r="P142" s="280"/>
      <c r="Q142" s="280"/>
      <c r="R142" s="290"/>
      <c r="S142" s="290"/>
      <c r="T142" s="281"/>
      <c r="U142" s="291"/>
      <c r="V142" s="281"/>
      <c r="W142" s="281"/>
      <c r="X142" s="281"/>
    </row>
    <row r="143">
      <c r="A143" s="25" t="s">
        <v>627</v>
      </c>
      <c r="B143" s="311" t="s">
        <v>1575</v>
      </c>
      <c r="C143" s="280" t="s">
        <v>1576</v>
      </c>
      <c r="D143" s="293">
        <f>ROUND((F143*'Pawn Weights'!$B$3)+(G143*'Pawn Weights'!$B$4)+(H143*'Pawn Weights'!$B$5)+(I143*'Pawn Weights'!$B$6)+(J143*'Pawn Weights'!$B$7)+(K143*'Pawn Weights'!$B$8)+(L143*'Pawn Weights'!$B$9)+(M143*'Pawn Weights'!$B$10)+(N143*'Pawn Weights'!$B$11)+(O143*'Pawn Weights'!$B$12)+(P143*'Pawn Weights'!$B$13)+(Q143*'Pawn Weights'!$B$14), 2)</f>
        <v>59.84</v>
      </c>
      <c r="E143" s="280"/>
      <c r="F143" s="280">
        <v>35.0</v>
      </c>
      <c r="G143" s="280"/>
      <c r="H143" s="280"/>
      <c r="I143" s="280">
        <v>27.0</v>
      </c>
      <c r="J143" s="280"/>
      <c r="K143" s="280"/>
      <c r="L143" s="280"/>
      <c r="M143" s="281"/>
      <c r="N143" s="280"/>
      <c r="O143" s="280"/>
      <c r="P143" s="280"/>
      <c r="Q143" s="280"/>
      <c r="R143" s="290"/>
      <c r="S143" s="290"/>
      <c r="T143" s="281"/>
      <c r="U143" s="291" t="s">
        <v>1577</v>
      </c>
      <c r="V143" s="281"/>
      <c r="W143" s="281"/>
      <c r="X143" s="281"/>
    </row>
    <row r="144">
      <c r="A144" s="25" t="s">
        <v>1068</v>
      </c>
      <c r="B144" s="288" t="s">
        <v>1426</v>
      </c>
      <c r="C144" s="280" t="s">
        <v>997</v>
      </c>
      <c r="D144" s="293">
        <f>ROUND((F144*'Pawn Weights'!$B$3)+(G144*'Pawn Weights'!$B$4)+(H144*'Pawn Weights'!$B$5)+(I144*'Pawn Weights'!$B$6)+(J144*'Pawn Weights'!$B$7)+(K144*'Pawn Weights'!$B$8)+(L144*'Pawn Weights'!$B$9)+(M144*'Pawn Weights'!$B$10)+(N144*'Pawn Weights'!$B$11)+(O144*'Pawn Weights'!$B$12)+(P144*'Pawn Weights'!$B$13)+(Q144*'Pawn Weights'!$B$14), 2)</f>
        <v>59.68</v>
      </c>
      <c r="E144" s="280">
        <v>46.0</v>
      </c>
      <c r="F144" s="280">
        <v>33.0</v>
      </c>
      <c r="G144" s="280"/>
      <c r="H144" s="280"/>
      <c r="I144" s="280">
        <v>29.0</v>
      </c>
      <c r="J144" s="280"/>
      <c r="K144" s="280"/>
      <c r="L144" s="280"/>
      <c r="M144" s="281"/>
      <c r="N144" s="280"/>
      <c r="O144" s="280"/>
      <c r="P144" s="280"/>
      <c r="Q144" s="280"/>
      <c r="R144" s="290"/>
      <c r="S144" s="290"/>
      <c r="T144" s="281"/>
      <c r="U144" s="291" t="s">
        <v>827</v>
      </c>
      <c r="V144" s="281"/>
      <c r="W144" s="281"/>
      <c r="X144" s="281"/>
    </row>
    <row r="145">
      <c r="A145" s="295"/>
      <c r="B145" s="296" t="s">
        <v>1473</v>
      </c>
      <c r="C145" s="297" t="s">
        <v>904</v>
      </c>
      <c r="D145" s="293">
        <f>ROUND((F145*'Pawn Weights'!$B$3)+(G145*'Pawn Weights'!$B$4)+(H145*'Pawn Weights'!$B$5)+(I145*'Pawn Weights'!$B$6)+(J145*'Pawn Weights'!$B$7)+(K145*'Pawn Weights'!$B$8)+(L145*'Pawn Weights'!$B$9)+(M145*'Pawn Weights'!$B$10)+(N145*'Pawn Weights'!$B$11)+(O145*'Pawn Weights'!$B$12)+(P145*'Pawn Weights'!$B$13)+(Q145*'Pawn Weights'!$B$14), 2)</f>
        <v>59.24</v>
      </c>
      <c r="E145" s="298">
        <v>25.0</v>
      </c>
      <c r="F145" s="298">
        <v>36.0</v>
      </c>
      <c r="G145" s="298">
        <v>18.0</v>
      </c>
      <c r="H145" s="297"/>
      <c r="I145" s="297"/>
      <c r="J145" s="298">
        <v>17.0</v>
      </c>
      <c r="K145" s="297"/>
      <c r="L145" s="297"/>
      <c r="M145" s="137"/>
      <c r="N145" s="297"/>
      <c r="O145" s="297"/>
      <c r="P145" s="297"/>
      <c r="Q145" s="297"/>
      <c r="R145" s="295"/>
      <c r="S145" s="295"/>
      <c r="T145" s="137"/>
      <c r="U145" s="299"/>
      <c r="V145" s="137"/>
      <c r="W145" s="137"/>
      <c r="X145" s="137"/>
      <c r="Y145" s="137"/>
      <c r="Z145" s="137"/>
    </row>
    <row r="146">
      <c r="A146" s="301" t="s">
        <v>627</v>
      </c>
      <c r="B146" s="288" t="s">
        <v>1477</v>
      </c>
      <c r="C146" s="280" t="s">
        <v>904</v>
      </c>
      <c r="D146" s="293">
        <f>ROUND((F146*'Pawn Weights'!$B$3)+(G146*'Pawn Weights'!$B$4)+(H146*'Pawn Weights'!$B$5)+(I146*'Pawn Weights'!$B$6)+(J146*'Pawn Weights'!$B$7)+(K146*'Pawn Weights'!$B$8)+(L146*'Pawn Weights'!$B$9)+(M146*'Pawn Weights'!$B$10)+(N146*'Pawn Weights'!$B$11)+(O146*'Pawn Weights'!$B$12)+(P146*'Pawn Weights'!$B$13)+(Q146*'Pawn Weights'!$B$14), 2)</f>
        <v>58.73</v>
      </c>
      <c r="E146" s="280">
        <v>33.0</v>
      </c>
      <c r="F146" s="280"/>
      <c r="G146" s="280"/>
      <c r="H146" s="280">
        <v>50.0</v>
      </c>
      <c r="I146" s="280">
        <v>25.0</v>
      </c>
      <c r="J146" s="280">
        <v>20.0</v>
      </c>
      <c r="K146" s="280"/>
      <c r="L146" s="280"/>
      <c r="M146" s="281"/>
      <c r="N146" s="280"/>
      <c r="O146" s="280"/>
      <c r="P146" s="280"/>
      <c r="Q146" s="280"/>
      <c r="R146" s="290"/>
      <c r="S146" s="290"/>
      <c r="T146" s="281"/>
      <c r="U146" s="291"/>
      <c r="V146" s="281"/>
      <c r="W146" s="281"/>
      <c r="X146" s="281"/>
    </row>
    <row r="147">
      <c r="A147" s="387" t="s">
        <v>1439</v>
      </c>
      <c r="B147" s="311" t="s">
        <v>1578</v>
      </c>
      <c r="C147" s="280" t="s">
        <v>1579</v>
      </c>
      <c r="D147" s="293">
        <f>ROUND((F147*'Pawn Weights'!$B$3)+(G147*'Pawn Weights'!$B$4)+(H147*'Pawn Weights'!$B$5)+(I147*'Pawn Weights'!$B$6)+(J147*'Pawn Weights'!$B$7)+(K147*'Pawn Weights'!$B$8)+(L147*'Pawn Weights'!$B$9)+(M147*'Pawn Weights'!$B$10)+(N147*'Pawn Weights'!$B$11)+(O147*'Pawn Weights'!$B$12)+(P147*'Pawn Weights'!$B$13)+(Q147*'Pawn Weights'!$B$14), 2)</f>
        <v>55</v>
      </c>
      <c r="E147" s="280">
        <v>25.0</v>
      </c>
      <c r="F147" s="280">
        <v>31.0</v>
      </c>
      <c r="G147" s="280"/>
      <c r="H147" s="280"/>
      <c r="I147" s="280"/>
      <c r="J147" s="280"/>
      <c r="K147" s="280"/>
      <c r="L147" s="280"/>
      <c r="M147" s="281"/>
      <c r="N147" s="280"/>
      <c r="O147" s="280"/>
      <c r="P147" s="280">
        <v>2.0</v>
      </c>
      <c r="Q147" s="280">
        <v>1.0</v>
      </c>
      <c r="R147" s="290" t="s">
        <v>832</v>
      </c>
      <c r="S147" s="290"/>
      <c r="T147" s="281"/>
      <c r="U147" s="291" t="s">
        <v>1580</v>
      </c>
      <c r="V147" s="281"/>
      <c r="W147" s="281"/>
      <c r="X147" s="281"/>
    </row>
    <row r="148">
      <c r="A148" s="25" t="s">
        <v>965</v>
      </c>
      <c r="B148" s="288" t="s">
        <v>1581</v>
      </c>
      <c r="C148" s="280" t="s">
        <v>1582</v>
      </c>
      <c r="D148" s="293">
        <f>ROUND((F148*'Pawn Weights'!$B$3)+(G148*'Pawn Weights'!$B$4)+(H148*'Pawn Weights'!$B$5)+(I148*'Pawn Weights'!$B$6)+(J148*'Pawn Weights'!$B$7)+(K148*'Pawn Weights'!$B$8)+(L148*'Pawn Weights'!$B$9)+(M148*'Pawn Weights'!$B$10)+(N148*'Pawn Weights'!$B$11)+(O148*'Pawn Weights'!$B$12)+(P148*'Pawn Weights'!$B$13)+(Q148*'Pawn Weights'!$B$14), 2)</f>
        <v>54.38</v>
      </c>
      <c r="E148" s="280">
        <v>15.0</v>
      </c>
      <c r="F148" s="280">
        <v>35.0</v>
      </c>
      <c r="G148" s="280"/>
      <c r="H148" s="280"/>
      <c r="I148" s="280">
        <v>14.0</v>
      </c>
      <c r="J148" s="280">
        <v>10.0</v>
      </c>
      <c r="K148" s="280"/>
      <c r="L148" s="280"/>
      <c r="M148" s="281"/>
      <c r="N148" s="280"/>
      <c r="O148" s="280"/>
      <c r="P148" s="280"/>
      <c r="Q148" s="280"/>
      <c r="R148" s="290"/>
      <c r="S148" s="290"/>
      <c r="T148" s="281"/>
      <c r="U148" s="291"/>
      <c r="V148" s="281"/>
      <c r="W148" s="281"/>
      <c r="X148" s="281"/>
    </row>
    <row r="149">
      <c r="B149" s="311" t="s">
        <v>1583</v>
      </c>
      <c r="C149" s="280" t="s">
        <v>1584</v>
      </c>
      <c r="D149" s="293">
        <f>ROUND((F149*'Pawn Weights'!$B$3)+(G149*'Pawn Weights'!$B$4)+(H149*'Pawn Weights'!$B$5)+(I149*'Pawn Weights'!$B$6)+(J149*'Pawn Weights'!$B$7)+(K149*'Pawn Weights'!$B$8)+(L149*'Pawn Weights'!$B$9)+(M149*'Pawn Weights'!$B$10)+(N149*'Pawn Weights'!$B$11)+(O149*'Pawn Weights'!$B$12)+(P149*'Pawn Weights'!$B$13)+(Q149*'Pawn Weights'!$B$14), 2)</f>
        <v>53.49</v>
      </c>
      <c r="E149" s="280">
        <v>16.0</v>
      </c>
      <c r="F149" s="280"/>
      <c r="G149" s="280"/>
      <c r="H149" s="280">
        <v>48.0</v>
      </c>
      <c r="I149" s="280">
        <v>21.0</v>
      </c>
      <c r="J149" s="280">
        <v>19.0</v>
      </c>
      <c r="K149" s="280"/>
      <c r="L149" s="280"/>
      <c r="M149" s="281"/>
      <c r="N149" s="280"/>
      <c r="O149" s="280"/>
      <c r="P149" s="280"/>
      <c r="Q149" s="280"/>
      <c r="R149" s="290"/>
      <c r="S149" s="290"/>
      <c r="T149" s="281"/>
      <c r="U149" s="291"/>
      <c r="V149" s="281"/>
      <c r="W149" s="281"/>
      <c r="X149" s="281"/>
    </row>
    <row r="150">
      <c r="A150" s="301" t="s">
        <v>1499</v>
      </c>
      <c r="B150" s="288" t="s">
        <v>1585</v>
      </c>
      <c r="C150" s="280" t="s">
        <v>1159</v>
      </c>
      <c r="D150" s="293">
        <f>ROUND((F150*'Pawn Weights'!$B$3)+(G150*'Pawn Weights'!$B$4)+(H150*'Pawn Weights'!$B$5)+(I150*'Pawn Weights'!$B$6)+(J150*'Pawn Weights'!$B$7)+(K150*'Pawn Weights'!$B$8)+(L150*'Pawn Weights'!$B$9)+(M150*'Pawn Weights'!$B$10)+(N150*'Pawn Weights'!$B$11)+(O150*'Pawn Weights'!$B$12)+(P150*'Pawn Weights'!$B$13)+(Q150*'Pawn Weights'!$B$14), 2)</f>
        <v>51.92</v>
      </c>
      <c r="E150" s="280">
        <v>42.0</v>
      </c>
      <c r="F150" s="280">
        <v>28.0</v>
      </c>
      <c r="G150" s="280"/>
      <c r="H150" s="280"/>
      <c r="I150" s="280">
        <v>26.0</v>
      </c>
      <c r="J150" s="280"/>
      <c r="K150" s="280"/>
      <c r="L150" s="280"/>
      <c r="M150" s="281"/>
      <c r="N150" s="280"/>
      <c r="O150" s="280"/>
      <c r="P150" s="280"/>
      <c r="Q150" s="280"/>
      <c r="R150" s="290"/>
      <c r="S150" s="290"/>
      <c r="T150" s="281"/>
      <c r="U150" s="291" t="s">
        <v>1586</v>
      </c>
      <c r="V150" s="281"/>
      <c r="W150" s="281"/>
      <c r="X150" s="281"/>
    </row>
    <row r="151">
      <c r="A151" s="272" t="s">
        <v>828</v>
      </c>
      <c r="B151" s="281"/>
      <c r="C151" s="281"/>
      <c r="D151" s="293"/>
      <c r="E151" s="281"/>
      <c r="F151" s="281"/>
      <c r="G151" s="281"/>
      <c r="H151" s="281"/>
      <c r="I151" s="281"/>
      <c r="J151" s="281"/>
      <c r="K151" s="281"/>
      <c r="L151" s="281"/>
      <c r="M151" s="281"/>
      <c r="N151" s="281"/>
      <c r="O151" s="281"/>
      <c r="P151" s="281"/>
      <c r="Q151" s="281"/>
      <c r="R151" s="282"/>
      <c r="S151" s="282"/>
      <c r="T151" s="281"/>
      <c r="U151" s="285"/>
      <c r="V151" s="281"/>
      <c r="W151" s="281"/>
      <c r="X151" s="281"/>
    </row>
    <row r="152">
      <c r="A152" s="292"/>
      <c r="B152" s="288" t="s">
        <v>830</v>
      </c>
      <c r="C152" s="280" t="s">
        <v>649</v>
      </c>
      <c r="D152" s="293">
        <f>ROUND((F152*'Pawn Weights'!$B$3)+(G152*'Pawn Weights'!$B$4)+(H152*'Pawn Weights'!$B$5)+(I152*'Pawn Weights'!$B$6)+(J152*'Pawn Weights'!$B$7)+(K152*'Pawn Weights'!$B$8)+(L152*'Pawn Weights'!$B$9)+(M152*'Pawn Weights'!$B$10)+(N152*'Pawn Weights'!$B$11)+(O152*'Pawn Weights'!$B$12)+(P152*'Pawn Weights'!$B$13)+(Q152*'Pawn Weights'!$B$14), 2)</f>
        <v>97.27</v>
      </c>
      <c r="E152" s="280">
        <v>25.0</v>
      </c>
      <c r="F152" s="280"/>
      <c r="G152" s="280">
        <v>29.0</v>
      </c>
      <c r="H152" s="280">
        <v>74.0</v>
      </c>
      <c r="I152" s="280"/>
      <c r="J152" s="280"/>
      <c r="K152" s="280"/>
      <c r="L152" s="280">
        <v>25.0</v>
      </c>
      <c r="M152" s="281"/>
      <c r="N152" s="280"/>
      <c r="O152" s="280">
        <v>1.0</v>
      </c>
      <c r="P152" s="280"/>
      <c r="Q152" s="280">
        <v>1.0</v>
      </c>
      <c r="R152" s="290" t="s">
        <v>695</v>
      </c>
      <c r="S152" s="290"/>
      <c r="T152" s="281"/>
      <c r="U152" s="291"/>
      <c r="V152" s="281"/>
      <c r="W152" s="281"/>
      <c r="X152" s="281"/>
    </row>
    <row r="153">
      <c r="A153" s="292" t="s">
        <v>627</v>
      </c>
      <c r="B153" s="288" t="s">
        <v>836</v>
      </c>
      <c r="C153" s="280" t="s">
        <v>837</v>
      </c>
      <c r="D153" s="293">
        <f>ROUND((F153*'Pawn Weights'!$B$3)+(G153*'Pawn Weights'!$B$4)+(H153*'Pawn Weights'!$B$5)+(I153*'Pawn Weights'!$B$6)+(J153*'Pawn Weights'!$B$7)+(K153*'Pawn Weights'!$B$8)+(L153*'Pawn Weights'!$B$9)+(M153*'Pawn Weights'!$B$10)+(N153*'Pawn Weights'!$B$11)+(O153*'Pawn Weights'!$B$12)+(P153*'Pawn Weights'!$B$13)+(Q153*'Pawn Weights'!$B$14), 2)</f>
        <v>88.18</v>
      </c>
      <c r="E153" s="280">
        <v>21.0</v>
      </c>
      <c r="F153" s="280">
        <v>41.0</v>
      </c>
      <c r="G153" s="280"/>
      <c r="H153" s="280"/>
      <c r="I153" s="280">
        <v>24.0</v>
      </c>
      <c r="J153" s="280">
        <v>14.0</v>
      </c>
      <c r="K153" s="280"/>
      <c r="L153" s="280"/>
      <c r="M153" s="281"/>
      <c r="N153" s="280"/>
      <c r="O153" s="280"/>
      <c r="P153" s="280">
        <v>1.0</v>
      </c>
      <c r="Q153" s="280">
        <v>1.0</v>
      </c>
      <c r="R153" s="290" t="s">
        <v>702</v>
      </c>
      <c r="S153" s="290"/>
      <c r="T153" s="281"/>
      <c r="U153" s="291"/>
      <c r="V153" s="281"/>
      <c r="W153" s="281"/>
      <c r="X153" s="281"/>
    </row>
    <row r="154">
      <c r="A154" s="295"/>
      <c r="B154" s="296" t="s">
        <v>843</v>
      </c>
      <c r="C154" s="297" t="s">
        <v>844</v>
      </c>
      <c r="D154" s="293">
        <f>ROUND((F154*'Pawn Weights'!$B$3)+(G154*'Pawn Weights'!$B$4)+(H154*'Pawn Weights'!$B$5)+(I154*'Pawn Weights'!$B$6)+(J154*'Pawn Weights'!$B$7)+(K154*'Pawn Weights'!$B$8)+(L154*'Pawn Weights'!$B$9)+(M154*'Pawn Weights'!$B$10)+(N154*'Pawn Weights'!$B$11)+(O154*'Pawn Weights'!$B$12)+(P154*'Pawn Weights'!$B$13)+(Q154*'Pawn Weights'!$B$14)-8+7.68+1.354, 2)</f>
        <v>82.45</v>
      </c>
      <c r="E154" s="298">
        <v>33.0</v>
      </c>
      <c r="F154" s="297"/>
      <c r="G154" s="298">
        <v>34.0</v>
      </c>
      <c r="H154" s="298">
        <v>78.0</v>
      </c>
      <c r="I154" s="297"/>
      <c r="J154" s="298">
        <v>23.0</v>
      </c>
      <c r="K154" s="297"/>
      <c r="L154" s="297"/>
      <c r="M154" s="137"/>
      <c r="N154" s="297"/>
      <c r="O154" s="297"/>
      <c r="P154" s="298">
        <v>1.0</v>
      </c>
      <c r="Q154" s="297"/>
      <c r="R154" s="298" t="s">
        <v>711</v>
      </c>
      <c r="S154" s="295"/>
      <c r="T154" s="137"/>
      <c r="U154" s="295"/>
      <c r="V154" s="137"/>
      <c r="W154" s="137"/>
      <c r="X154" s="137"/>
      <c r="Y154" s="137"/>
      <c r="Z154" s="137"/>
    </row>
    <row r="155">
      <c r="A155" s="295"/>
      <c r="B155" s="296" t="s">
        <v>831</v>
      </c>
      <c r="C155" s="297" t="s">
        <v>718</v>
      </c>
      <c r="D155" s="293">
        <f>ROUND((F155*'Pawn Weights'!$B$3)+(G155*'Pawn Weights'!$B$4)+(H155*'Pawn Weights'!$B$5)+(I155*'Pawn Weights'!$B$6)+(J155*'Pawn Weights'!$B$7)+(K155*'Pawn Weights'!$B$8)+(L155*'Pawn Weights'!$B$9)+(M155*'Pawn Weights'!$B$10)+(N155*'Pawn Weights'!$B$11)+(O155*'Pawn Weights'!$B$12)+(P155*'Pawn Weights'!$B$13)+(Q155*'Pawn Weights'!$B$14), 2)</f>
        <v>82.2</v>
      </c>
      <c r="E155" s="298">
        <v>37.0</v>
      </c>
      <c r="F155" s="298">
        <v>34.0</v>
      </c>
      <c r="G155" s="297"/>
      <c r="H155" s="297"/>
      <c r="I155" s="297"/>
      <c r="J155" s="298">
        <v>14.0</v>
      </c>
      <c r="K155" s="297"/>
      <c r="L155" s="297"/>
      <c r="M155" s="359">
        <v>154.0</v>
      </c>
      <c r="N155" s="297"/>
      <c r="O155" s="298">
        <v>1.0</v>
      </c>
      <c r="P155" s="297"/>
      <c r="Q155" s="298">
        <v>1.0</v>
      </c>
      <c r="R155" s="298" t="s">
        <v>832</v>
      </c>
      <c r="S155" s="295"/>
      <c r="T155" s="137"/>
      <c r="U155" s="295"/>
      <c r="V155" s="137"/>
      <c r="W155" s="137"/>
      <c r="X155" s="137"/>
      <c r="Y155" s="137"/>
      <c r="Z155" s="137"/>
    </row>
    <row r="156">
      <c r="A156" s="292" t="s">
        <v>627</v>
      </c>
      <c r="B156" s="288" t="s">
        <v>845</v>
      </c>
      <c r="C156" s="280" t="s">
        <v>846</v>
      </c>
      <c r="D156" s="293">
        <f>ROUND((F156*'Pawn Weights'!$B$3)+(G156*'Pawn Weights'!$B$4)+(H156*'Pawn Weights'!$B$5)+(I156*'Pawn Weights'!$B$6)+(J156*'Pawn Weights'!$B$7)+(K156*'Pawn Weights'!$B$8)+(L156*'Pawn Weights'!$B$9)+(M156*'Pawn Weights'!$B$10)+(N156*'Pawn Weights'!$B$11)+(O156*'Pawn Weights'!$B$12)+(P156*'Pawn Weights'!$B$13)+(Q156*'Pawn Weights'!$B$14), 2)</f>
        <v>79.36</v>
      </c>
      <c r="E156" s="280">
        <v>14.0</v>
      </c>
      <c r="F156" s="280"/>
      <c r="G156" s="280">
        <v>32.0</v>
      </c>
      <c r="H156" s="280">
        <v>66.0</v>
      </c>
      <c r="I156" s="280"/>
      <c r="J156" s="280">
        <v>18.0</v>
      </c>
      <c r="K156" s="280"/>
      <c r="L156" s="280"/>
      <c r="M156" s="281"/>
      <c r="N156" s="280"/>
      <c r="O156" s="280"/>
      <c r="P156" s="280"/>
      <c r="Q156" s="280">
        <v>2.0</v>
      </c>
      <c r="R156" s="290" t="s">
        <v>695</v>
      </c>
      <c r="S156" s="290"/>
      <c r="T156" s="281"/>
      <c r="U156" s="291"/>
      <c r="V156" s="281"/>
      <c r="W156" s="281"/>
      <c r="X156" s="281"/>
    </row>
    <row r="157">
      <c r="A157" s="295" t="s">
        <v>671</v>
      </c>
      <c r="B157" s="296" t="s">
        <v>848</v>
      </c>
      <c r="C157" s="297" t="s">
        <v>849</v>
      </c>
      <c r="D157" s="367">
        <f>ROUND((F157*'Pawn Weights'!$B$3)+(G157*'Pawn Weights'!$B$4)+(H157*'Pawn Weights'!$B$5)+(I157*'Pawn Weights'!$B$6)+(J157*'Pawn Weights'!$B$7)+(K157*'Pawn Weights'!$B$8)+(L157*'Pawn Weights'!$B$9)+(M157*'Pawn Weights'!$B$10)+(N157*'Pawn Weights'!$B$11)+(O157*'Pawn Weights'!$B$12)+(P157*'Pawn Weights'!$B$13)+(Q157*'Pawn Weights'!$B$14), 2)</f>
        <v>76.8</v>
      </c>
      <c r="E157" s="298">
        <v>56.0</v>
      </c>
      <c r="F157" s="298">
        <v>40.0</v>
      </c>
      <c r="G157" s="297"/>
      <c r="H157" s="297"/>
      <c r="I157" s="298">
        <v>40.0</v>
      </c>
      <c r="J157" s="297"/>
      <c r="K157" s="297"/>
      <c r="L157" s="297"/>
      <c r="M157" s="137"/>
      <c r="N157" s="297"/>
      <c r="O157" s="297"/>
      <c r="P157" s="297"/>
      <c r="Q157" s="297"/>
      <c r="R157" s="295"/>
      <c r="S157" s="295"/>
      <c r="T157" s="361" t="s">
        <v>850</v>
      </c>
      <c r="U157" s="295"/>
      <c r="V157" s="137"/>
      <c r="W157" s="137"/>
      <c r="X157" s="137"/>
      <c r="Y157" s="137"/>
      <c r="Z157" s="137"/>
    </row>
    <row r="158">
      <c r="A158" s="281"/>
      <c r="B158" s="288" t="s">
        <v>847</v>
      </c>
      <c r="C158" s="280" t="s">
        <v>825</v>
      </c>
      <c r="D158" s="293">
        <f>ROUND((F158*'Pawn Weights'!$B$3)+(G158*'Pawn Weights'!$B$4)+(H158*'Pawn Weights'!$B$5)+(I158*'Pawn Weights'!$B$6)+(J158*'Pawn Weights'!$B$7)+(K158*'Pawn Weights'!$B$8)+(L158*'Pawn Weights'!$B$9)+(M158*'Pawn Weights'!$B$10)+(N158*'Pawn Weights'!$B$11)+(O158*'Pawn Weights'!$B$12)+(P158*'Pawn Weights'!$B$13)+(Q158*'Pawn Weights'!$B$14), 2)</f>
        <v>75.76</v>
      </c>
      <c r="E158" s="280">
        <v>30.0</v>
      </c>
      <c r="F158" s="280">
        <v>34.0</v>
      </c>
      <c r="G158" s="280"/>
      <c r="H158" s="280"/>
      <c r="I158" s="280">
        <v>28.0</v>
      </c>
      <c r="J158" s="280"/>
      <c r="K158" s="280"/>
      <c r="L158" s="280"/>
      <c r="M158" s="281"/>
      <c r="N158" s="280"/>
      <c r="O158" s="280">
        <v>1.0</v>
      </c>
      <c r="P158" s="280"/>
      <c r="Q158" s="280">
        <v>1.0</v>
      </c>
      <c r="R158" s="290" t="s">
        <v>702</v>
      </c>
      <c r="S158" s="290"/>
      <c r="T158" s="281"/>
      <c r="U158" s="291"/>
      <c r="V158" s="281"/>
      <c r="W158" s="281"/>
      <c r="X158" s="281"/>
    </row>
    <row r="159">
      <c r="A159" s="292" t="s">
        <v>627</v>
      </c>
      <c r="B159" s="288" t="s">
        <v>1099</v>
      </c>
      <c r="C159" s="280" t="s">
        <v>846</v>
      </c>
      <c r="D159" s="293">
        <f>ROUND((F159*'Pawn Weights'!$B$3)+(G159*'Pawn Weights'!$B$4)+(H159*'Pawn Weights'!$B$5)+(I159*'Pawn Weights'!$B$6)+(J159*'Pawn Weights'!$B$7)+(K159*'Pawn Weights'!$B$8)+(L159*'Pawn Weights'!$B$9)+(M159*'Pawn Weights'!$B$10)+(N159*'Pawn Weights'!$B$11)+(O159*'Pawn Weights'!$B$12)+(P159*'Pawn Weights'!$B$13)+(Q159*'Pawn Weights'!$B$14), 2)</f>
        <v>73.15</v>
      </c>
      <c r="E159" s="280">
        <v>20.0</v>
      </c>
      <c r="F159" s="280"/>
      <c r="G159" s="280">
        <v>17.0</v>
      </c>
      <c r="H159" s="280">
        <v>66.0</v>
      </c>
      <c r="I159" s="280">
        <v>17.0</v>
      </c>
      <c r="J159" s="280"/>
      <c r="K159" s="280"/>
      <c r="L159" s="280"/>
      <c r="M159" s="281"/>
      <c r="N159" s="280"/>
      <c r="O159" s="280"/>
      <c r="P159" s="280">
        <v>1.0</v>
      </c>
      <c r="Q159" s="280">
        <v>1.0</v>
      </c>
      <c r="R159" s="290" t="s">
        <v>695</v>
      </c>
      <c r="S159" s="290"/>
      <c r="T159" s="281"/>
      <c r="U159" s="291"/>
      <c r="V159" s="281"/>
      <c r="W159" s="281"/>
      <c r="X159" s="281"/>
    </row>
    <row r="160">
      <c r="A160" s="281"/>
      <c r="B160" s="288" t="s">
        <v>1100</v>
      </c>
      <c r="C160" s="280" t="s">
        <v>823</v>
      </c>
      <c r="D160" s="293">
        <f>ROUND((F160*'Pawn Weights'!$B$3)+(G160*'Pawn Weights'!$B$4)+(H160*'Pawn Weights'!$B$5)+(I160*'Pawn Weights'!$B$6)+(J160*'Pawn Weights'!$B$7)+(K160*'Pawn Weights'!$B$8)+(L160*'Pawn Weights'!$B$9)+(M160*'Pawn Weights'!$B$10)+(N160*'Pawn Weights'!$B$11)+(O160*'Pawn Weights'!$B$12)+(P160*'Pawn Weights'!$B$13)+(Q160*'Pawn Weights'!$B$14), 2)</f>
        <v>71.72</v>
      </c>
      <c r="E160" s="280">
        <v>27.0</v>
      </c>
      <c r="F160" s="280"/>
      <c r="G160" s="280"/>
      <c r="H160" s="280">
        <v>72.0</v>
      </c>
      <c r="I160" s="280">
        <v>25.0</v>
      </c>
      <c r="J160" s="280"/>
      <c r="K160" s="280"/>
      <c r="L160" s="280"/>
      <c r="M160" s="281"/>
      <c r="N160" s="280"/>
      <c r="O160" s="280"/>
      <c r="P160" s="280">
        <v>1.0</v>
      </c>
      <c r="Q160" s="280">
        <v>1.0</v>
      </c>
      <c r="R160" s="290" t="s">
        <v>702</v>
      </c>
      <c r="S160" s="290"/>
      <c r="T160" s="281"/>
      <c r="U160" s="291"/>
      <c r="V160" s="281"/>
      <c r="W160" s="281"/>
      <c r="X160" s="281"/>
    </row>
    <row r="161">
      <c r="A161" s="295"/>
      <c r="B161" s="296" t="s">
        <v>851</v>
      </c>
      <c r="C161" s="297" t="s">
        <v>844</v>
      </c>
      <c r="D161" s="293">
        <f>ROUND((F161*'Pawn Weights'!$B$3)+(G161*'Pawn Weights'!$B$4)+(H161*'Pawn Weights'!$B$5)+(I161*'Pawn Weights'!$B$6)+(J161*'Pawn Weights'!$B$7)+(K161*'Pawn Weights'!$B$8)+(L161*'Pawn Weights'!$B$9)+(M161*'Pawn Weights'!$B$10)+(N161*'Pawn Weights'!$B$11)+(O161*'Pawn Weights'!$B$12)+(P161*'Pawn Weights'!$B$13)+(Q161*'Pawn Weights'!$B$14), 2)</f>
        <v>70.8</v>
      </c>
      <c r="E161" s="298">
        <v>55.0</v>
      </c>
      <c r="F161" s="298">
        <v>40.0</v>
      </c>
      <c r="G161" s="297"/>
      <c r="H161" s="297"/>
      <c r="I161" s="297"/>
      <c r="J161" s="297"/>
      <c r="K161" s="298">
        <v>30.0</v>
      </c>
      <c r="L161" s="297"/>
      <c r="M161" s="137"/>
      <c r="N161" s="297"/>
      <c r="O161" s="297"/>
      <c r="P161" s="297"/>
      <c r="Q161" s="298">
        <v>1.0</v>
      </c>
      <c r="R161" s="298" t="s">
        <v>784</v>
      </c>
      <c r="S161" s="295"/>
      <c r="T161" s="361"/>
      <c r="U161" s="295"/>
      <c r="V161" s="137"/>
      <c r="W161" s="137"/>
      <c r="X161" s="137"/>
      <c r="Y161" s="137"/>
      <c r="Z161" s="137"/>
    </row>
    <row r="162">
      <c r="A162" s="295" t="s">
        <v>991</v>
      </c>
      <c r="B162" s="296" t="s">
        <v>1101</v>
      </c>
      <c r="C162" s="297" t="s">
        <v>1102</v>
      </c>
      <c r="D162" s="293">
        <f>ROUND((F162*'Pawn Weights'!$B$3)+(G162*'Pawn Weights'!$B$4)+(H162*'Pawn Weights'!$B$5)+(I162*'Pawn Weights'!$B$6)+(J162*'Pawn Weights'!$B$7)+(K162*'Pawn Weights'!$B$8)+(L162*'Pawn Weights'!$B$9)+(M162*'Pawn Weights'!$B$10)+(N162*'Pawn Weights'!$B$11)+(O162*'Pawn Weights'!$B$12)+(P162*'Pawn Weights'!$B$13)+(Q162*'Pawn Weights'!$B$14), 2)</f>
        <v>67.2</v>
      </c>
      <c r="E162" s="298">
        <v>49.0</v>
      </c>
      <c r="F162" s="298">
        <v>35.0</v>
      </c>
      <c r="G162" s="297"/>
      <c r="H162" s="297"/>
      <c r="I162" s="298">
        <v>35.0</v>
      </c>
      <c r="J162" s="297"/>
      <c r="K162" s="297"/>
      <c r="L162" s="297"/>
      <c r="M162" s="137"/>
      <c r="N162" s="297"/>
      <c r="O162" s="297"/>
      <c r="P162" s="297"/>
      <c r="Q162" s="297"/>
      <c r="R162" s="295"/>
      <c r="S162" s="295"/>
      <c r="T162" s="361" t="s">
        <v>850</v>
      </c>
      <c r="U162" s="295"/>
      <c r="V162" s="137"/>
      <c r="W162" s="137"/>
      <c r="X162" s="137"/>
      <c r="Y162" s="137"/>
      <c r="Z162" s="137"/>
    </row>
    <row r="163">
      <c r="A163" s="292"/>
      <c r="B163" s="288" t="s">
        <v>1587</v>
      </c>
      <c r="C163" s="280" t="s">
        <v>900</v>
      </c>
      <c r="D163" s="293">
        <f>ROUND((F163*'Pawn Weights'!$B$3)+(G163*'Pawn Weights'!$B$4)+(H163*'Pawn Weights'!$B$5)+(I163*'Pawn Weights'!$B$6)+(J163*'Pawn Weights'!$B$7)+(K163*'Pawn Weights'!$B$8)+(L163*'Pawn Weights'!$B$9)+(M163*'Pawn Weights'!$B$10)+(N163*'Pawn Weights'!$B$11)+(O163*'Pawn Weights'!$B$12)+(P163*'Pawn Weights'!$B$13)+(Q163*'Pawn Weights'!$B$14), 2)</f>
        <v>65.36</v>
      </c>
      <c r="E163" s="280">
        <v>30.0</v>
      </c>
      <c r="F163" s="280">
        <v>35.0</v>
      </c>
      <c r="G163" s="280"/>
      <c r="H163" s="280"/>
      <c r="I163" s="280">
        <v>33.0</v>
      </c>
      <c r="J163" s="280"/>
      <c r="K163" s="280"/>
      <c r="L163" s="280"/>
      <c r="M163" s="281"/>
      <c r="N163" s="280"/>
      <c r="O163" s="280"/>
      <c r="P163" s="280"/>
      <c r="Q163" s="280"/>
      <c r="R163" s="290"/>
      <c r="S163" s="290"/>
      <c r="T163" s="281"/>
      <c r="U163" s="291"/>
      <c r="V163" s="281"/>
      <c r="W163" s="281"/>
      <c r="X163" s="281"/>
    </row>
    <row r="164">
      <c r="A164" s="292" t="s">
        <v>995</v>
      </c>
      <c r="B164" s="288" t="s">
        <v>1588</v>
      </c>
      <c r="C164" s="280" t="s">
        <v>1589</v>
      </c>
      <c r="D164" s="293">
        <f>ROUND((F164*'Pawn Weights'!$B$3)+(G164*'Pawn Weights'!$B$4)+(H164*'Pawn Weights'!$B$5)+(I164*'Pawn Weights'!$B$6)+(J164*'Pawn Weights'!$B$7)+(K164*'Pawn Weights'!$B$8)+(L164*'Pawn Weights'!$B$9)+(M164*'Pawn Weights'!$B$10)+(N164*'Pawn Weights'!$B$11)+(O164*'Pawn Weights'!$B$12)+(P164*'Pawn Weights'!$B$13)+(Q164*'Pawn Weights'!$B$14), 2)</f>
        <v>59.52</v>
      </c>
      <c r="E164" s="280">
        <v>45.0</v>
      </c>
      <c r="F164" s="280">
        <v>31.0</v>
      </c>
      <c r="G164" s="280"/>
      <c r="H164" s="280"/>
      <c r="I164" s="280">
        <v>31.0</v>
      </c>
      <c r="J164" s="280"/>
      <c r="K164" s="280"/>
      <c r="L164" s="280"/>
      <c r="M164" s="281"/>
      <c r="N164" s="280"/>
      <c r="O164" s="280"/>
      <c r="P164" s="280"/>
      <c r="Q164" s="280"/>
      <c r="R164" s="290"/>
      <c r="S164" s="290"/>
      <c r="T164" s="281"/>
      <c r="U164" s="291" t="s">
        <v>850</v>
      </c>
      <c r="V164" s="281"/>
      <c r="W164" s="281"/>
      <c r="X164" s="281"/>
    </row>
    <row r="165">
      <c r="A165" s="281"/>
      <c r="B165" s="288" t="s">
        <v>1228</v>
      </c>
      <c r="C165" s="280" t="s">
        <v>1229</v>
      </c>
      <c r="D165" s="293">
        <f>ROUND((F165*'Pawn Weights'!$B$3)+(G165*'Pawn Weights'!$B$4)+(H165*'Pawn Weights'!$B$5)+(I165*'Pawn Weights'!$B$6)+(J165*'Pawn Weights'!$B$7)+(K165*'Pawn Weights'!$B$8)+(L165*'Pawn Weights'!$B$9)+(M165*'Pawn Weights'!$B$10)+(N165*'Pawn Weights'!$B$11)+(O165*'Pawn Weights'!$B$12)+(P165*'Pawn Weights'!$B$13)+(Q165*'Pawn Weights'!$B$14), 2)</f>
        <v>57.41</v>
      </c>
      <c r="E165" s="280">
        <v>28.0</v>
      </c>
      <c r="F165" s="280"/>
      <c r="G165" s="280">
        <v>28.0</v>
      </c>
      <c r="H165" s="280">
        <v>56.0</v>
      </c>
      <c r="I165" s="280"/>
      <c r="J165" s="280">
        <v>20.0</v>
      </c>
      <c r="K165" s="280"/>
      <c r="L165" s="280"/>
      <c r="M165" s="281"/>
      <c r="N165" s="280"/>
      <c r="O165" s="280"/>
      <c r="P165" s="280"/>
      <c r="Q165" s="280"/>
      <c r="R165" s="290"/>
      <c r="S165" s="290"/>
      <c r="T165" s="281"/>
      <c r="U165" s="291"/>
      <c r="V165" s="281"/>
      <c r="W165" s="281"/>
      <c r="X165" s="281"/>
    </row>
    <row r="166">
      <c r="A166" s="281"/>
      <c r="B166" s="288" t="s">
        <v>1590</v>
      </c>
      <c r="C166" s="280" t="s">
        <v>1278</v>
      </c>
      <c r="D166" s="293">
        <f>ROUND((F166*'Pawn Weights'!$B$3)+(G166*'Pawn Weights'!$B$4)+(H166*'Pawn Weights'!$B$5)+(I166*'Pawn Weights'!$B$6)+(J166*'Pawn Weights'!$B$7)+(K166*'Pawn Weights'!$B$8)+(L166*'Pawn Weights'!$B$9)+(M166*'Pawn Weights'!$B$10)+(N166*'Pawn Weights'!$B$11)+(O166*'Pawn Weights'!$B$12)+(P166*'Pawn Weights'!$B$13)+(Q166*'Pawn Weights'!$B$14)+2.031, 2)</f>
        <v>56.58</v>
      </c>
      <c r="E166" s="280">
        <v>37.0</v>
      </c>
      <c r="F166" s="280"/>
      <c r="G166" s="280">
        <v>18.0</v>
      </c>
      <c r="H166" s="280">
        <v>58.0</v>
      </c>
      <c r="I166" s="280"/>
      <c r="J166" s="280"/>
      <c r="K166" s="280"/>
      <c r="L166" s="280"/>
      <c r="M166" s="281"/>
      <c r="N166" s="280"/>
      <c r="O166" s="280">
        <v>2.0</v>
      </c>
      <c r="P166" s="280"/>
      <c r="Q166" s="280"/>
      <c r="R166" s="290" t="s">
        <v>695</v>
      </c>
      <c r="S166" s="290"/>
      <c r="T166" s="281"/>
      <c r="U166" s="291"/>
      <c r="V166" s="281"/>
      <c r="W166" s="281"/>
      <c r="X166" s="281"/>
    </row>
    <row r="167">
      <c r="A167" s="281"/>
      <c r="B167" s="311" t="s">
        <v>1591</v>
      </c>
      <c r="C167" s="280" t="s">
        <v>1592</v>
      </c>
      <c r="D167" s="293">
        <f>ROUND((F167*'Pawn Weights'!$B$3)+(G167*'Pawn Weights'!$B$4)+(H167*'Pawn Weights'!$B$5)+(I167*'Pawn Weights'!$B$6)+(J167*'Pawn Weights'!$B$7)+(K167*'Pawn Weights'!$B$8)+(L167*'Pawn Weights'!$B$9)+(M167*'Pawn Weights'!$B$10)+(N167*'Pawn Weights'!$B$11)+(O167*'Pawn Weights'!$B$12)+(P167*'Pawn Weights'!$B$13)+(Q167*'Pawn Weights'!$B$14), 2)</f>
        <v>56.4</v>
      </c>
      <c r="E167" s="280">
        <v>25.0</v>
      </c>
      <c r="F167" s="280">
        <v>22.0</v>
      </c>
      <c r="G167" s="280"/>
      <c r="H167" s="280"/>
      <c r="I167" s="280">
        <v>20.0</v>
      </c>
      <c r="J167" s="280"/>
      <c r="K167" s="280"/>
      <c r="L167" s="280"/>
      <c r="M167" s="281"/>
      <c r="N167" s="280"/>
      <c r="O167" s="280">
        <v>1.0</v>
      </c>
      <c r="P167" s="280"/>
      <c r="Q167" s="280">
        <v>1.0</v>
      </c>
      <c r="R167" s="290" t="s">
        <v>695</v>
      </c>
      <c r="S167" s="290"/>
      <c r="T167" s="281"/>
      <c r="U167" s="291"/>
      <c r="V167" s="281"/>
      <c r="W167" s="281"/>
      <c r="X167" s="281"/>
    </row>
    <row r="168">
      <c r="A168" s="292" t="s">
        <v>965</v>
      </c>
      <c r="B168" s="288" t="s">
        <v>1593</v>
      </c>
      <c r="C168" s="280" t="s">
        <v>1594</v>
      </c>
      <c r="D168" s="293">
        <f>ROUND((F168*'Pawn Weights'!$B$3)+(G168*'Pawn Weights'!$B$4)+(H168*'Pawn Weights'!$B$5)+(I168*'Pawn Weights'!$B$6)+(J168*'Pawn Weights'!$B$7)+(K168*'Pawn Weights'!$B$8)+(L168*'Pawn Weights'!$B$9)+(M168*'Pawn Weights'!$B$10)+(N168*'Pawn Weights'!$B$11)+(O168*'Pawn Weights'!$B$12)+(P168*'Pawn Weights'!$B$13)+(Q168*'Pawn Weights'!$B$14), 2)</f>
        <v>53.92</v>
      </c>
      <c r="E168" s="280">
        <v>21.0</v>
      </c>
      <c r="F168" s="280">
        <v>21.0</v>
      </c>
      <c r="G168" s="280">
        <v>20.0</v>
      </c>
      <c r="H168" s="280"/>
      <c r="I168" s="280">
        <v>14.0</v>
      </c>
      <c r="J168" s="280">
        <v>10.0</v>
      </c>
      <c r="K168" s="280"/>
      <c r="L168" s="280"/>
      <c r="M168" s="281"/>
      <c r="N168" s="280"/>
      <c r="O168" s="280"/>
      <c r="P168" s="280"/>
      <c r="Q168" s="280"/>
      <c r="R168" s="290"/>
      <c r="S168" s="290"/>
      <c r="T168" s="281"/>
      <c r="U168" s="291"/>
      <c r="V168" s="281"/>
      <c r="W168" s="281"/>
      <c r="X168" s="281"/>
    </row>
    <row r="169">
      <c r="A169" s="281"/>
      <c r="B169" s="311" t="s">
        <v>1595</v>
      </c>
      <c r="C169" s="280" t="s">
        <v>1596</v>
      </c>
      <c r="D169" s="293">
        <f>ROUND((F169*'Pawn Weights'!$B$3)+(G169*'Pawn Weights'!$B$4)+(H169*'Pawn Weights'!$B$5)+(I169*'Pawn Weights'!$B$6)+(J169*'Pawn Weights'!$B$7)+(K169*'Pawn Weights'!$B$8)+(L169*'Pawn Weights'!$B$9)+(M169*'Pawn Weights'!$B$10)+(N169*'Pawn Weights'!$B$11)+(O169*'Pawn Weights'!$B$12)+(P169*'Pawn Weights'!$B$13)+(Q169*'Pawn Weights'!$B$14), 2)</f>
        <v>52.94</v>
      </c>
      <c r="E169" s="280">
        <v>16.0</v>
      </c>
      <c r="F169" s="280"/>
      <c r="G169" s="280">
        <v>21.0</v>
      </c>
      <c r="H169" s="280">
        <v>50.0</v>
      </c>
      <c r="I169" s="280"/>
      <c r="J169" s="280"/>
      <c r="K169" s="280"/>
      <c r="L169" s="280"/>
      <c r="M169" s="281"/>
      <c r="N169" s="280"/>
      <c r="O169" s="280">
        <v>1.0</v>
      </c>
      <c r="P169" s="280"/>
      <c r="Q169" s="280">
        <v>1.0</v>
      </c>
      <c r="R169" s="290" t="s">
        <v>695</v>
      </c>
      <c r="S169" s="290"/>
      <c r="T169" s="281"/>
      <c r="U169" s="291"/>
      <c r="V169" s="281"/>
      <c r="W169" s="281"/>
      <c r="X169" s="281"/>
    </row>
    <row r="170">
      <c r="A170" s="281"/>
      <c r="B170" s="311" t="s">
        <v>1597</v>
      </c>
      <c r="C170" s="280" t="s">
        <v>1598</v>
      </c>
      <c r="D170" s="293">
        <f>ROUND((F170*'Pawn Weights'!$B$3)+(G170*'Pawn Weights'!$B$4)+(H170*'Pawn Weights'!$B$5)+(I170*'Pawn Weights'!$B$6)+(J170*'Pawn Weights'!$B$7)+(K170*'Pawn Weights'!$B$8)+(L170*'Pawn Weights'!$B$9)+(M170*'Pawn Weights'!$B$10)+(N170*'Pawn Weights'!$B$11)+(O170*'Pawn Weights'!$B$12)+(P170*'Pawn Weights'!$B$13)+(Q170*'Pawn Weights'!$B$14), 2)</f>
        <v>52.51</v>
      </c>
      <c r="E170" s="280">
        <v>22.0</v>
      </c>
      <c r="F170" s="280">
        <v>25.0</v>
      </c>
      <c r="G170" s="280">
        <v>17.0</v>
      </c>
      <c r="H170" s="280"/>
      <c r="I170" s="280"/>
      <c r="J170" s="280"/>
      <c r="K170" s="280"/>
      <c r="L170" s="280"/>
      <c r="M170" s="281"/>
      <c r="N170" s="280"/>
      <c r="O170" s="280">
        <v>1.0</v>
      </c>
      <c r="P170" s="280"/>
      <c r="Q170" s="280">
        <v>1.0</v>
      </c>
      <c r="R170" s="290" t="s">
        <v>695</v>
      </c>
      <c r="S170" s="290"/>
      <c r="T170" s="281"/>
      <c r="U170" s="291"/>
      <c r="V170" s="281"/>
      <c r="W170" s="281"/>
      <c r="X170" s="281"/>
    </row>
    <row r="171">
      <c r="A171" s="281"/>
      <c r="B171" s="311" t="s">
        <v>1599</v>
      </c>
      <c r="C171" s="280" t="s">
        <v>1596</v>
      </c>
      <c r="D171" s="293">
        <f>ROUND((F171*'Pawn Weights'!$B$3)+(G171*'Pawn Weights'!$B$4)+(H171*'Pawn Weights'!$B$5)+(I171*'Pawn Weights'!$B$6)+(J171*'Pawn Weights'!$B$7)+(K171*'Pawn Weights'!$B$8)+(L171*'Pawn Weights'!$B$9)+(M171*'Pawn Weights'!$B$10)+(N171*'Pawn Weights'!$B$11)+(O171*'Pawn Weights'!$B$12)+(P171*'Pawn Weights'!$B$13)+(Q171*'Pawn Weights'!$B$14), 2)</f>
        <v>52.48</v>
      </c>
      <c r="E171" s="280">
        <v>22.0</v>
      </c>
      <c r="F171" s="280">
        <v>27.0</v>
      </c>
      <c r="G171" s="280">
        <v>14.0</v>
      </c>
      <c r="H171" s="280"/>
      <c r="I171" s="280"/>
      <c r="J171" s="280"/>
      <c r="K171" s="280"/>
      <c r="L171" s="280"/>
      <c r="M171" s="281"/>
      <c r="N171" s="280"/>
      <c r="O171" s="280">
        <v>1.0</v>
      </c>
      <c r="P171" s="280">
        <v>1.0</v>
      </c>
      <c r="Q171" s="280"/>
      <c r="R171" s="290" t="s">
        <v>1189</v>
      </c>
      <c r="S171" s="290"/>
      <c r="T171" s="281"/>
      <c r="U171" s="291"/>
      <c r="V171" s="281"/>
      <c r="W171" s="281"/>
      <c r="X171" s="281"/>
    </row>
    <row r="172">
      <c r="A172" s="281"/>
      <c r="B172" s="288" t="s">
        <v>1600</v>
      </c>
      <c r="C172" s="280" t="s">
        <v>1601</v>
      </c>
      <c r="D172" s="293">
        <f>ROUND((F172*'Pawn Weights'!$B$3)+(G172*'Pawn Weights'!$B$4)+(H172*'Pawn Weights'!$B$5)+(I172*'Pawn Weights'!$B$6)+(J172*'Pawn Weights'!$B$7)+(K172*'Pawn Weights'!$B$8)+(L172*'Pawn Weights'!$B$9)+(M172*'Pawn Weights'!$B$10)+(N172*'Pawn Weights'!$B$11)+(O172*'Pawn Weights'!$B$12)+(P172*'Pawn Weights'!$B$13)+(Q172*'Pawn Weights'!$B$14), 2)</f>
        <v>51.84</v>
      </c>
      <c r="E172" s="280">
        <v>40.0</v>
      </c>
      <c r="F172" s="280">
        <v>27.0</v>
      </c>
      <c r="G172" s="280"/>
      <c r="H172" s="280"/>
      <c r="I172" s="280">
        <v>27.0</v>
      </c>
      <c r="J172" s="280"/>
      <c r="K172" s="280"/>
      <c r="L172" s="280"/>
      <c r="M172" s="281"/>
      <c r="N172" s="280"/>
      <c r="O172" s="280"/>
      <c r="P172" s="280"/>
      <c r="Q172" s="280"/>
      <c r="R172" s="290"/>
      <c r="S172" s="290"/>
      <c r="T172" s="281"/>
      <c r="U172" s="291" t="s">
        <v>1602</v>
      </c>
      <c r="V172" s="281"/>
      <c r="W172" s="281"/>
      <c r="X172" s="281"/>
    </row>
    <row r="173">
      <c r="A173" s="281"/>
      <c r="B173" s="311" t="s">
        <v>1603</v>
      </c>
      <c r="C173" s="280" t="s">
        <v>1604</v>
      </c>
      <c r="D173" s="293">
        <f>ROUND((F173*'Pawn Weights'!$B$3)+(G173*'Pawn Weights'!$B$4)+(H173*'Pawn Weights'!$B$5)+(I173*'Pawn Weights'!$B$6)+(J173*'Pawn Weights'!$B$7)+(K173*'Pawn Weights'!$B$8)+(L173*'Pawn Weights'!$B$9)+(M173*'Pawn Weights'!$B$10)+(N173*'Pawn Weights'!$B$11)+(O173*'Pawn Weights'!$B$12)+(P173*'Pawn Weights'!$B$13)+(Q173*'Pawn Weights'!$B$14), 2)</f>
        <v>51.8</v>
      </c>
      <c r="E173" s="280"/>
      <c r="F173" s="280"/>
      <c r="G173" s="280"/>
      <c r="H173" s="280">
        <v>50.0</v>
      </c>
      <c r="I173" s="280">
        <v>21.0</v>
      </c>
      <c r="J173" s="280">
        <v>15.0</v>
      </c>
      <c r="K173" s="280"/>
      <c r="L173" s="280"/>
      <c r="M173" s="281"/>
      <c r="N173" s="280"/>
      <c r="O173" s="280"/>
      <c r="P173" s="280"/>
      <c r="Q173" s="280"/>
      <c r="R173" s="290"/>
      <c r="S173" s="290"/>
      <c r="T173" s="281"/>
      <c r="U173" s="291"/>
      <c r="V173" s="281"/>
      <c r="W173" s="281"/>
      <c r="X173" s="281"/>
    </row>
    <row r="174">
      <c r="A174" s="292" t="s">
        <v>1559</v>
      </c>
      <c r="B174" s="288" t="s">
        <v>1605</v>
      </c>
      <c r="C174" s="280" t="s">
        <v>1606</v>
      </c>
      <c r="D174" s="293">
        <f>ROUND((F174*'Pawn Weights'!$B$3)+(G174*'Pawn Weights'!$B$4)+(H174*'Pawn Weights'!$B$5)+(I174*'Pawn Weights'!$B$6)+(J174*'Pawn Weights'!$B$7)+(K174*'Pawn Weights'!$B$8)+(L174*'Pawn Weights'!$B$9)+(M174*'Pawn Weights'!$B$10)+(N174*'Pawn Weights'!$B$11)+(O174*'Pawn Weights'!$B$12)+(P174*'Pawn Weights'!$B$13)+(Q174*'Pawn Weights'!$B$14), 2)</f>
        <v>51.72</v>
      </c>
      <c r="E174" s="280">
        <v>32.0</v>
      </c>
      <c r="F174" s="280"/>
      <c r="G174" s="280">
        <v>20.0</v>
      </c>
      <c r="H174" s="280">
        <v>84.0</v>
      </c>
      <c r="I174" s="280"/>
      <c r="J174" s="280"/>
      <c r="K174" s="280"/>
      <c r="L174" s="280"/>
      <c r="M174" s="281"/>
      <c r="N174" s="280"/>
      <c r="O174" s="280"/>
      <c r="P174" s="280"/>
      <c r="Q174" s="280"/>
      <c r="R174" s="290"/>
      <c r="S174" s="290"/>
      <c r="T174" s="281"/>
      <c r="U174" s="291"/>
      <c r="V174" s="281"/>
      <c r="W174" s="281"/>
      <c r="X174" s="281"/>
    </row>
    <row r="175">
      <c r="A175" s="301" t="s">
        <v>627</v>
      </c>
      <c r="B175" s="311" t="s">
        <v>1607</v>
      </c>
      <c r="C175" s="280" t="s">
        <v>904</v>
      </c>
      <c r="D175" s="293">
        <f>ROUND((F175*'Pawn Weights'!$B$3)+(G175*'Pawn Weights'!$B$4)+(H175*'Pawn Weights'!$B$5)+(I175*'Pawn Weights'!$B$6)+(J175*'Pawn Weights'!$B$7)+(K175*'Pawn Weights'!$B$8)+(L175*'Pawn Weights'!$B$9)+(M175*'Pawn Weights'!$B$10)+(N175*'Pawn Weights'!$B$11)+(O175*'Pawn Weights'!$B$12)+(P175*'Pawn Weights'!$B$13)+(Q175*'Pawn Weights'!$B$14), 2)</f>
        <v>50.91</v>
      </c>
      <c r="E175" s="280"/>
      <c r="F175" s="280"/>
      <c r="G175" s="280">
        <v>18.0</v>
      </c>
      <c r="H175" s="280">
        <v>50.0</v>
      </c>
      <c r="I175" s="280"/>
      <c r="J175" s="280"/>
      <c r="K175" s="280"/>
      <c r="L175" s="280"/>
      <c r="M175" s="281"/>
      <c r="N175" s="280"/>
      <c r="O175" s="280">
        <v>1.0</v>
      </c>
      <c r="P175" s="280"/>
      <c r="Q175" s="280">
        <v>1.0</v>
      </c>
      <c r="R175" s="290" t="s">
        <v>812</v>
      </c>
      <c r="S175" s="290"/>
      <c r="T175" s="281"/>
      <c r="U175" s="291" t="s">
        <v>1472</v>
      </c>
      <c r="V175" s="281"/>
      <c r="W175" s="281"/>
      <c r="X175" s="281"/>
    </row>
    <row r="176">
      <c r="A176" s="292" t="s">
        <v>965</v>
      </c>
      <c r="B176" s="288" t="s">
        <v>1608</v>
      </c>
      <c r="C176" s="280" t="s">
        <v>1609</v>
      </c>
      <c r="D176" s="293">
        <f>ROUND((F176*'Pawn Weights'!$B$3)+(G176*'Pawn Weights'!$B$4)+(H176*'Pawn Weights'!$B$5)+(I176*'Pawn Weights'!$B$6)+(J176*'Pawn Weights'!$B$7)+(K176*'Pawn Weights'!$B$8)+(L176*'Pawn Weights'!$B$9)+(M176*'Pawn Weights'!$B$10)+(N176*'Pawn Weights'!$B$11)+(O176*'Pawn Weights'!$B$12)+(P176*'Pawn Weights'!$B$13)+(Q176*'Pawn Weights'!$B$14), 2)</f>
        <v>50.38</v>
      </c>
      <c r="E176" s="280">
        <v>11.0</v>
      </c>
      <c r="F176" s="280">
        <v>31.0</v>
      </c>
      <c r="G176" s="280"/>
      <c r="H176" s="280"/>
      <c r="I176" s="280">
        <v>14.0</v>
      </c>
      <c r="J176" s="280">
        <v>10.0</v>
      </c>
      <c r="K176" s="280"/>
      <c r="L176" s="280"/>
      <c r="M176" s="281"/>
      <c r="N176" s="280"/>
      <c r="O176" s="280"/>
      <c r="P176" s="280"/>
      <c r="Q176" s="280"/>
      <c r="R176" s="290"/>
      <c r="S176" s="290"/>
      <c r="T176" s="281"/>
      <c r="U176" s="291"/>
      <c r="V176" s="281"/>
      <c r="W176" s="281"/>
      <c r="X176" s="281"/>
    </row>
    <row r="177">
      <c r="A177" s="281"/>
      <c r="B177" s="322" t="s">
        <v>1610</v>
      </c>
      <c r="C177" s="280" t="s">
        <v>1611</v>
      </c>
      <c r="D177" s="293">
        <f>ROUND((F177*'Pawn Weights'!$B$3)+(G177*'Pawn Weights'!$B$4)+(H177*'Pawn Weights'!$B$5)+(I177*'Pawn Weights'!$B$6)+(J177*'Pawn Weights'!$B$7)+(K177*'Pawn Weights'!$B$8)+(L177*'Pawn Weights'!$B$9)+(M177*'Pawn Weights'!$B$10)+(N177*'Pawn Weights'!$B$11)+(O177*'Pawn Weights'!$B$12)+(P177*'Pawn Weights'!$B$13)+(Q177*'Pawn Weights'!$B$14), 2)</f>
        <v>49.79</v>
      </c>
      <c r="E177" s="280"/>
      <c r="F177" s="280"/>
      <c r="G177" s="280"/>
      <c r="H177" s="280">
        <v>60.0</v>
      </c>
      <c r="I177" s="280">
        <v>16.0</v>
      </c>
      <c r="J177" s="280">
        <v>12.0</v>
      </c>
      <c r="K177" s="280"/>
      <c r="L177" s="280"/>
      <c r="M177" s="281"/>
      <c r="N177" s="280"/>
      <c r="O177" s="280"/>
      <c r="P177" s="280"/>
      <c r="Q177" s="280"/>
      <c r="R177" s="290"/>
      <c r="S177" s="290"/>
      <c r="T177" s="281"/>
      <c r="U177" s="291" t="s">
        <v>1612</v>
      </c>
      <c r="V177" s="281"/>
      <c r="W177" s="281"/>
      <c r="X177" s="281"/>
    </row>
    <row r="178">
      <c r="A178" s="272" t="s">
        <v>852</v>
      </c>
      <c r="B178" s="281"/>
      <c r="C178" s="281"/>
      <c r="D178" s="293"/>
      <c r="E178" s="281"/>
      <c r="F178" s="281"/>
      <c r="G178" s="281"/>
      <c r="H178" s="281"/>
      <c r="I178" s="281"/>
      <c r="J178" s="281"/>
      <c r="K178" s="281"/>
      <c r="L178" s="281"/>
      <c r="M178" s="281"/>
      <c r="N178" s="281"/>
      <c r="O178" s="281"/>
      <c r="P178" s="281"/>
      <c r="Q178" s="281"/>
      <c r="R178" s="282"/>
      <c r="S178" s="282"/>
      <c r="T178" s="281"/>
      <c r="U178" s="285"/>
      <c r="V178" s="281"/>
      <c r="W178" s="281"/>
      <c r="X178" s="281"/>
    </row>
    <row r="179">
      <c r="A179" s="137" t="s">
        <v>635</v>
      </c>
      <c r="B179" s="341" t="s">
        <v>860</v>
      </c>
      <c r="C179" s="361" t="s">
        <v>637</v>
      </c>
      <c r="D179" s="293">
        <f>ROUND((F179*'Pawn Weights'!$B$3)+(G179*'Pawn Weights'!$B$4)+(H179*'Pawn Weights'!$B$5)+(I179*'Pawn Weights'!$B$6)+(J179*'Pawn Weights'!$B$7)+(K179*'Pawn Weights'!$B$8)+(L179*'Pawn Weights'!$B$9)+(M179*'Pawn Weights'!$B$10)+(N179*'Pawn Weights'!$B$11)+(O179*'Pawn Weights'!$B$12)+(P179*'Pawn Weights'!$B$13)+(Q179*'Pawn Weights'!$B$14), 2)</f>
        <v>130.06</v>
      </c>
      <c r="E179" s="359">
        <v>77.0</v>
      </c>
      <c r="F179" s="359">
        <v>57.0</v>
      </c>
      <c r="G179" s="361"/>
      <c r="H179" s="361"/>
      <c r="I179" s="359">
        <v>53.0</v>
      </c>
      <c r="J179" s="359">
        <v>18.0</v>
      </c>
      <c r="K179" s="361"/>
      <c r="L179" s="361"/>
      <c r="M179" s="359">
        <v>84.0</v>
      </c>
      <c r="N179" s="361"/>
      <c r="O179" s="361"/>
      <c r="P179" s="361"/>
      <c r="Q179" s="361"/>
      <c r="R179" s="137"/>
      <c r="S179" s="137"/>
      <c r="T179" s="361" t="s">
        <v>861</v>
      </c>
      <c r="U179" s="137"/>
      <c r="V179" s="137"/>
      <c r="W179" s="137"/>
      <c r="X179" s="137"/>
      <c r="Y179" s="137"/>
      <c r="Z179" s="137"/>
    </row>
    <row r="180">
      <c r="A180" s="137"/>
      <c r="B180" s="341" t="s">
        <v>864</v>
      </c>
      <c r="C180" s="361" t="s">
        <v>865</v>
      </c>
      <c r="D180" s="367">
        <f>ROUND((F180*'Pawn Weights'!$B$3)+(G180*'Pawn Weights'!$B$4)+(H180*'Pawn Weights'!$B$5)+(I180*'Pawn Weights'!$B$6)+(J180*'Pawn Weights'!$B$7)+(K180*'Pawn Weights'!$B$8)+(L180*'Pawn Weights'!$B$9)+(M180*'Pawn Weights'!$B$10)+(N180*'Pawn Weights'!$B$11)+(O180*'Pawn Weights'!$B$12)+(P180*'Pawn Weights'!$B$13)+(Q180*'Pawn Weights'!$B$14), 2)</f>
        <v>116.93</v>
      </c>
      <c r="E180" s="359">
        <v>48.0</v>
      </c>
      <c r="F180" s="359">
        <v>52.0</v>
      </c>
      <c r="G180" s="361"/>
      <c r="H180" s="361"/>
      <c r="I180" s="361"/>
      <c r="J180" s="359">
        <v>25.0</v>
      </c>
      <c r="K180" s="359">
        <v>43.0</v>
      </c>
      <c r="L180" s="361"/>
      <c r="M180" s="361"/>
      <c r="N180" s="361"/>
      <c r="O180" s="361"/>
      <c r="P180" s="359">
        <v>1.0</v>
      </c>
      <c r="Q180" s="359">
        <v>1.0</v>
      </c>
      <c r="R180" s="359" t="s">
        <v>698</v>
      </c>
      <c r="S180" s="137"/>
      <c r="T180" s="137"/>
      <c r="U180" s="137"/>
      <c r="V180" s="137"/>
      <c r="W180" s="137"/>
      <c r="X180" s="137"/>
      <c r="Y180" s="137"/>
      <c r="Z180" s="137"/>
    </row>
    <row r="181">
      <c r="A181" s="137" t="s">
        <v>644</v>
      </c>
      <c r="B181" s="341" t="s">
        <v>867</v>
      </c>
      <c r="C181" s="361" t="s">
        <v>646</v>
      </c>
      <c r="D181" s="367">
        <f>ROUND((F181*'Pawn Weights'!$B$3)+(G181*'Pawn Weights'!$B$4)+(H181*'Pawn Weights'!$B$5)+(I181*'Pawn Weights'!$B$6)+(J181*'Pawn Weights'!$B$7)+(K181*'Pawn Weights'!$B$8)+(L181*'Pawn Weights'!$B$9)+(M181*'Pawn Weights'!$B$10)+(N181*'Pawn Weights'!$B$11)+(O181*'Pawn Weights'!$B$12)+(P181*'Pawn Weights'!$B$13)+(Q181*'Pawn Weights'!$B$14), 2)</f>
        <v>114.64</v>
      </c>
      <c r="E181" s="359">
        <v>70.0</v>
      </c>
      <c r="F181" s="359">
        <v>51.0</v>
      </c>
      <c r="G181" s="361"/>
      <c r="H181" s="361"/>
      <c r="I181" s="359">
        <v>47.0</v>
      </c>
      <c r="J181" s="359">
        <v>12.0</v>
      </c>
      <c r="K181" s="361"/>
      <c r="L181" s="361"/>
      <c r="M181" s="359">
        <v>84.0</v>
      </c>
      <c r="N181" s="361"/>
      <c r="O181" s="361"/>
      <c r="P181" s="361"/>
      <c r="Q181" s="361"/>
      <c r="R181" s="137"/>
      <c r="S181" s="137"/>
      <c r="T181" s="137"/>
      <c r="U181" s="137"/>
      <c r="V181" s="137"/>
      <c r="W181" s="137"/>
      <c r="X181" s="137"/>
      <c r="Y181" s="137"/>
      <c r="Z181" s="137"/>
    </row>
    <row r="182">
      <c r="A182" s="137"/>
      <c r="B182" s="341" t="s">
        <v>869</v>
      </c>
      <c r="C182" s="361" t="s">
        <v>865</v>
      </c>
      <c r="D182" s="367">
        <f>ROUND((F182*'Pawn Weights'!$B$3)+(G182*'Pawn Weights'!$B$4)+(H182*'Pawn Weights'!$B$5)+(I182*'Pawn Weights'!$B$6)+(J182*'Pawn Weights'!$B$7)+(K182*'Pawn Weights'!$B$8)+(L182*'Pawn Weights'!$B$9)+(M182*'Pawn Weights'!$B$10)+(N182*'Pawn Weights'!$B$11)+(O182*'Pawn Weights'!$B$12)+(P182*'Pawn Weights'!$B$13)+(Q182*'Pawn Weights'!$B$14), 2)</f>
        <v>111.88</v>
      </c>
      <c r="E182" s="359">
        <v>45.0</v>
      </c>
      <c r="F182" s="361"/>
      <c r="G182" s="359">
        <v>43.0</v>
      </c>
      <c r="H182" s="359">
        <v>104.0</v>
      </c>
      <c r="I182" s="361"/>
      <c r="J182" s="359">
        <v>30.0</v>
      </c>
      <c r="K182" s="361"/>
      <c r="L182" s="361"/>
      <c r="M182" s="361"/>
      <c r="N182" s="361"/>
      <c r="O182" s="361"/>
      <c r="P182" s="359">
        <v>1.0</v>
      </c>
      <c r="Q182" s="359">
        <v>1.0</v>
      </c>
      <c r="R182" s="359" t="s">
        <v>832</v>
      </c>
      <c r="S182" s="137"/>
      <c r="T182" s="137"/>
      <c r="U182" s="137"/>
      <c r="V182" s="137"/>
      <c r="W182" s="137"/>
      <c r="X182" s="137"/>
      <c r="Y182" s="137"/>
      <c r="Z182" s="137"/>
    </row>
    <row r="183">
      <c r="A183" s="301"/>
      <c r="B183" s="288" t="s">
        <v>874</v>
      </c>
      <c r="C183" s="280" t="s">
        <v>741</v>
      </c>
      <c r="D183" s="293">
        <f>ROUND((F183*'Pawn Weights'!$B$3)+(G183*'Pawn Weights'!$B$4)+(H183*'Pawn Weights'!$B$5)+(I183*'Pawn Weights'!$B$6)+(J183*'Pawn Weights'!$B$7)+(K183*'Pawn Weights'!$B$8)+(L183*'Pawn Weights'!$B$9)+(M183*'Pawn Weights'!$B$10)+(N183*'Pawn Weights'!$B$11)+(O183*'Pawn Weights'!$B$12)+(P183*'Pawn Weights'!$B$13)+(Q183*'Pawn Weights'!$B$14), 2)</f>
        <v>106.32</v>
      </c>
      <c r="E183" s="280">
        <v>31.0</v>
      </c>
      <c r="F183" s="280"/>
      <c r="G183" s="280">
        <v>45.0</v>
      </c>
      <c r="H183" s="280">
        <v>92.0</v>
      </c>
      <c r="I183" s="280">
        <v>37.0</v>
      </c>
      <c r="J183" s="280"/>
      <c r="K183" s="280"/>
      <c r="L183" s="280"/>
      <c r="M183" s="280"/>
      <c r="N183" s="280"/>
      <c r="O183" s="280"/>
      <c r="P183" s="280"/>
      <c r="Q183" s="280"/>
      <c r="R183" s="290"/>
      <c r="S183" s="290"/>
      <c r="T183" s="281"/>
      <c r="U183" s="294"/>
      <c r="V183" s="281"/>
      <c r="W183" s="281"/>
      <c r="X183" s="281"/>
      <c r="Y183" s="281"/>
    </row>
    <row r="184">
      <c r="A184" s="301" t="s">
        <v>647</v>
      </c>
      <c r="B184" s="288" t="s">
        <v>872</v>
      </c>
      <c r="C184" s="280" t="s">
        <v>873</v>
      </c>
      <c r="D184" s="293">
        <f>ROUND((F184*'Pawn Weights'!$B$3)+(G184*'Pawn Weights'!$B$4)+(H184*'Pawn Weights'!$B$5)+(I184*'Pawn Weights'!$B$6)+(J184*'Pawn Weights'!$B$7)+(K184*'Pawn Weights'!$B$8)+(L184*'Pawn Weights'!$B$9)+(M184*'Pawn Weights'!$B$10)+(N184*'Pawn Weights'!$B$11)+(O184*'Pawn Weights'!$B$12)+(P184*'Pawn Weights'!$B$13)+(Q184*'Pawn Weights'!$B$14)+1.84, 2)</f>
        <v>105.58</v>
      </c>
      <c r="E184" s="280">
        <v>57.0</v>
      </c>
      <c r="F184" s="280">
        <v>52.0</v>
      </c>
      <c r="G184" s="280"/>
      <c r="H184" s="280"/>
      <c r="I184" s="280">
        <v>32.0</v>
      </c>
      <c r="J184" s="280">
        <v>22.0</v>
      </c>
      <c r="K184" s="280"/>
      <c r="L184" s="280"/>
      <c r="M184" s="280"/>
      <c r="N184" s="280"/>
      <c r="O184" s="280">
        <v>1.0</v>
      </c>
      <c r="P184" s="280"/>
      <c r="Q184" s="280"/>
      <c r="R184" s="290" t="s">
        <v>736</v>
      </c>
      <c r="S184" s="290"/>
      <c r="T184" s="281"/>
      <c r="U184" s="294"/>
      <c r="V184" s="281"/>
      <c r="W184" s="281"/>
      <c r="X184" s="281"/>
      <c r="Y184" s="281"/>
    </row>
    <row r="185">
      <c r="A185" s="295"/>
      <c r="B185" s="296" t="s">
        <v>875</v>
      </c>
      <c r="C185" s="297" t="s">
        <v>865</v>
      </c>
      <c r="D185" s="367">
        <f>ROUND((F185*'Pawn Weights'!$B$3)+(G185*'Pawn Weights'!$B$4)+(H185*'Pawn Weights'!$B$5)+(I185*'Pawn Weights'!$B$6)+(J185*'Pawn Weights'!$B$7)+(K185*'Pawn Weights'!$B$8)+(L185*'Pawn Weights'!$B$9)+(M185*'Pawn Weights'!$B$10)+(N185*'Pawn Weights'!$B$11)+(O185*'Pawn Weights'!$B$12)+(P185*'Pawn Weights'!$B$13)+(Q185*'Pawn Weights'!$B$14), 2)</f>
        <v>102.81</v>
      </c>
      <c r="E185" s="298">
        <v>36.0</v>
      </c>
      <c r="F185" s="297"/>
      <c r="G185" s="298">
        <v>44.0</v>
      </c>
      <c r="H185" s="298">
        <v>104.0</v>
      </c>
      <c r="I185" s="297"/>
      <c r="J185" s="298">
        <v>15.0</v>
      </c>
      <c r="K185" s="297"/>
      <c r="L185" s="297"/>
      <c r="M185" s="297"/>
      <c r="N185" s="297"/>
      <c r="O185" s="297"/>
      <c r="P185" s="298">
        <v>1.0</v>
      </c>
      <c r="Q185" s="298">
        <v>1.0</v>
      </c>
      <c r="R185" s="298" t="s">
        <v>695</v>
      </c>
      <c r="S185" s="295"/>
      <c r="T185" s="137"/>
      <c r="U185" s="295"/>
      <c r="V185" s="137"/>
      <c r="W185" s="137"/>
      <c r="X185" s="137"/>
      <c r="Y185" s="137"/>
      <c r="Z185" s="137"/>
    </row>
    <row r="186">
      <c r="A186" s="301"/>
      <c r="B186" s="288" t="s">
        <v>870</v>
      </c>
      <c r="C186" s="280" t="s">
        <v>871</v>
      </c>
      <c r="D186" s="293">
        <f>ROUND((F186*'Pawn Weights'!$B$3)+(G186*'Pawn Weights'!$B$4)+(H186*'Pawn Weights'!$B$5)+(I186*'Pawn Weights'!$B$6)+(J186*'Pawn Weights'!$B$7)+(K186*'Pawn Weights'!$B$8)+(L186*'Pawn Weights'!$B$9)+(M186*'Pawn Weights'!$B$10)+(N186*'Pawn Weights'!$B$11)+(O186*'Pawn Weights'!$B$12)+(P186*'Pawn Weights'!$B$13)+(Q186*'Pawn Weights'!$B$14), 2)</f>
        <v>101.52</v>
      </c>
      <c r="E186" s="280">
        <v>46.0</v>
      </c>
      <c r="F186" s="280">
        <v>49.0</v>
      </c>
      <c r="G186" s="280"/>
      <c r="H186" s="280"/>
      <c r="I186" s="280">
        <v>31.0</v>
      </c>
      <c r="J186" s="280"/>
      <c r="K186" s="280"/>
      <c r="L186" s="280"/>
      <c r="M186" s="280"/>
      <c r="N186" s="280"/>
      <c r="O186" s="280">
        <v>1.0</v>
      </c>
      <c r="P186" s="280">
        <v>1.0</v>
      </c>
      <c r="Q186" s="280">
        <v>1.0</v>
      </c>
      <c r="R186" s="290" t="s">
        <v>643</v>
      </c>
      <c r="S186" s="290"/>
      <c r="T186" s="281"/>
      <c r="U186" s="294"/>
      <c r="V186" s="281"/>
      <c r="W186" s="281"/>
      <c r="X186" s="281"/>
      <c r="Y186" s="281"/>
    </row>
    <row r="187">
      <c r="A187" s="295"/>
      <c r="B187" s="296" t="s">
        <v>877</v>
      </c>
      <c r="C187" s="297" t="s">
        <v>708</v>
      </c>
      <c r="D187" s="367">
        <f>ROUND((F187*'Pawn Weights'!$B$3)+(G187*'Pawn Weights'!$B$4)+(H187*'Pawn Weights'!$B$5)+(I187*'Pawn Weights'!$B$6)+(J187*'Pawn Weights'!$B$7)+(K187*'Pawn Weights'!$B$8)+(L187*'Pawn Weights'!$B$9)+(M187*'Pawn Weights'!$B$10)+(N187*'Pawn Weights'!$B$11)+(O187*'Pawn Weights'!$B$12)+(P187*'Pawn Weights'!$B$13)+(Q187*'Pawn Weights'!$B$14)+2.708, 2)</f>
        <v>96.7</v>
      </c>
      <c r="E187" s="297"/>
      <c r="F187" s="297"/>
      <c r="G187" s="298">
        <v>37.0</v>
      </c>
      <c r="H187" s="298">
        <v>76.0</v>
      </c>
      <c r="I187" s="297"/>
      <c r="J187" s="298">
        <v>16.0</v>
      </c>
      <c r="K187" s="297"/>
      <c r="L187" s="297"/>
      <c r="M187" s="297"/>
      <c r="N187" s="297"/>
      <c r="O187" s="298">
        <v>3.0</v>
      </c>
      <c r="P187" s="297"/>
      <c r="Q187" s="297"/>
      <c r="R187" s="298" t="s">
        <v>622</v>
      </c>
      <c r="S187" s="298"/>
      <c r="T187" s="137"/>
      <c r="U187" s="295"/>
      <c r="V187" s="137"/>
      <c r="W187" s="137"/>
      <c r="X187" s="137"/>
      <c r="Y187" s="137"/>
      <c r="Z187" s="137"/>
    </row>
    <row r="188">
      <c r="A188" s="295"/>
      <c r="B188" s="296" t="s">
        <v>876</v>
      </c>
      <c r="C188" s="297" t="s">
        <v>865</v>
      </c>
      <c r="D188" s="293">
        <f>ROUND((F188*'Pawn Weights'!$B$3)+(G188*'Pawn Weights'!$B$4)+(H188*'Pawn Weights'!$B$5)+(I188*'Pawn Weights'!$B$6)+(J188*'Pawn Weights'!$B$7)+(K188*'Pawn Weights'!$B$8)+(L188*'Pawn Weights'!$B$9)+(M188*'Pawn Weights'!$B$10)+(N188*'Pawn Weights'!$B$11)+(O188*'Pawn Weights'!$B$12)+(P188*'Pawn Weights'!$B$13)+(Q188*'Pawn Weights'!$B$14), 2)</f>
        <v>96.52</v>
      </c>
      <c r="E188" s="298">
        <v>52.0</v>
      </c>
      <c r="F188" s="298">
        <v>39.0</v>
      </c>
      <c r="G188" s="298">
        <v>45.0</v>
      </c>
      <c r="H188" s="297"/>
      <c r="I188" s="297"/>
      <c r="J188" s="298">
        <v>17.0</v>
      </c>
      <c r="K188" s="297"/>
      <c r="L188" s="297"/>
      <c r="M188" s="297"/>
      <c r="N188" s="297"/>
      <c r="O188" s="298">
        <v>1.0</v>
      </c>
      <c r="P188" s="298">
        <v>1.0</v>
      </c>
      <c r="Q188" s="297"/>
      <c r="R188" s="298" t="s">
        <v>812</v>
      </c>
      <c r="S188" s="295"/>
      <c r="T188" s="137"/>
      <c r="U188" s="295"/>
      <c r="V188" s="137"/>
      <c r="W188" s="137"/>
      <c r="X188" s="137"/>
      <c r="Y188" s="137"/>
      <c r="Z188" s="137"/>
    </row>
    <row r="189">
      <c r="A189" s="301" t="s">
        <v>1068</v>
      </c>
      <c r="B189" s="288" t="s">
        <v>1410</v>
      </c>
      <c r="C189" s="280" t="s">
        <v>997</v>
      </c>
      <c r="D189" s="293">
        <f>ROUND((F189*'Pawn Weights'!$B$3)+(G189*'Pawn Weights'!$B$4)+(H189*'Pawn Weights'!$B$5)+(I189*'Pawn Weights'!$B$6)+(J189*'Pawn Weights'!$B$7)+(K189*'Pawn Weights'!$B$8)+(L189*'Pawn Weights'!$B$9)+(M189*'Pawn Weights'!$B$10)+(N189*'Pawn Weights'!$B$11)+(O189*'Pawn Weights'!$B$12)+(P189*'Pawn Weights'!$B$13)+(Q189*'Pawn Weights'!$B$14), 2)</f>
        <v>95.66</v>
      </c>
      <c r="E189" s="280">
        <v>63.0</v>
      </c>
      <c r="F189" s="280">
        <v>47.0</v>
      </c>
      <c r="G189" s="280"/>
      <c r="H189" s="280"/>
      <c r="I189" s="280">
        <v>43.0</v>
      </c>
      <c r="J189" s="280">
        <v>14.0</v>
      </c>
      <c r="K189" s="280"/>
      <c r="L189" s="280"/>
      <c r="M189" s="280"/>
      <c r="N189" s="280"/>
      <c r="O189" s="280"/>
      <c r="P189" s="280"/>
      <c r="Q189" s="280"/>
      <c r="R189" s="290"/>
      <c r="S189" s="290"/>
      <c r="T189" s="281"/>
      <c r="U189" s="294" t="s">
        <v>861</v>
      </c>
      <c r="V189" s="281"/>
      <c r="W189" s="281"/>
      <c r="X189" s="281"/>
      <c r="Y189" s="281"/>
    </row>
    <row r="190">
      <c r="A190" s="295"/>
      <c r="B190" s="296" t="s">
        <v>1234</v>
      </c>
      <c r="C190" s="297" t="s">
        <v>879</v>
      </c>
      <c r="D190" s="293">
        <f>ROUND((F190*'Pawn Weights'!$B$3)+(G190*'Pawn Weights'!$B$4)+(H190*'Pawn Weights'!$B$5)+(I190*'Pawn Weights'!$B$6)+(J190*'Pawn Weights'!$B$7)+(K190*'Pawn Weights'!$B$8)+(L190*'Pawn Weights'!$B$9)+(M190*'Pawn Weights'!$B$10)+(N190*'Pawn Weights'!$B$11)+(O190*'Pawn Weights'!$B$12)+(P190*'Pawn Weights'!$B$13)+(Q190*'Pawn Weights'!$B$14), 2)</f>
        <v>95.08</v>
      </c>
      <c r="E190" s="298">
        <v>46.0</v>
      </c>
      <c r="F190" s="297"/>
      <c r="G190" s="298">
        <v>45.0</v>
      </c>
      <c r="H190" s="298">
        <v>92.0</v>
      </c>
      <c r="I190" s="297"/>
      <c r="J190" s="297"/>
      <c r="K190" s="298">
        <v>30.0</v>
      </c>
      <c r="L190" s="297"/>
      <c r="M190" s="297"/>
      <c r="N190" s="297"/>
      <c r="O190" s="297"/>
      <c r="P190" s="297"/>
      <c r="Q190" s="297"/>
      <c r="R190" s="295"/>
      <c r="S190" s="295"/>
      <c r="T190" s="137"/>
      <c r="U190" s="295"/>
      <c r="V190" s="137"/>
      <c r="W190" s="137"/>
      <c r="X190" s="137"/>
      <c r="Y190" s="137"/>
      <c r="Z190" s="137"/>
    </row>
    <row r="191">
      <c r="A191" s="295"/>
      <c r="B191" s="296" t="s">
        <v>878</v>
      </c>
      <c r="C191" s="297" t="s">
        <v>879</v>
      </c>
      <c r="D191" s="293">
        <f>ROUND((F191*'Pawn Weights'!$B$3)+(G191*'Pawn Weights'!$B$4)+(H191*'Pawn Weights'!$B$5)+(I191*'Pawn Weights'!$B$6)+(J191*'Pawn Weights'!$B$7)+(K191*'Pawn Weights'!$B$8)+(L191*'Pawn Weights'!$B$9)+(M191*'Pawn Weights'!$B$10)+(N191*'Pawn Weights'!$B$11)+(O191*'Pawn Weights'!$B$12)+(P191*'Pawn Weights'!$B$13)+(Q191*'Pawn Weights'!$B$14), 2)</f>
        <v>94.7</v>
      </c>
      <c r="E191" s="298">
        <v>43.0</v>
      </c>
      <c r="F191" s="298">
        <v>46.0</v>
      </c>
      <c r="G191" s="297"/>
      <c r="H191" s="297"/>
      <c r="I191" s="297"/>
      <c r="J191" s="298">
        <v>38.0</v>
      </c>
      <c r="K191" s="297"/>
      <c r="L191" s="297"/>
      <c r="M191" s="297"/>
      <c r="N191" s="297"/>
      <c r="O191" s="298">
        <v>1.0</v>
      </c>
      <c r="P191" s="298">
        <v>1.0</v>
      </c>
      <c r="Q191" s="298">
        <v>1.0</v>
      </c>
      <c r="R191" s="298" t="s">
        <v>643</v>
      </c>
      <c r="S191" s="295"/>
      <c r="T191" s="137"/>
      <c r="U191" s="295"/>
      <c r="V191" s="137"/>
      <c r="W191" s="137"/>
      <c r="X191" s="137"/>
      <c r="Y191" s="137"/>
      <c r="Z191" s="137"/>
    </row>
    <row r="192">
      <c r="A192" s="301"/>
      <c r="B192" s="288" t="s">
        <v>880</v>
      </c>
      <c r="C192" s="280" t="s">
        <v>881</v>
      </c>
      <c r="D192" s="293">
        <f>ROUND((F192*'Pawn Weights'!$B$3)+(G192*'Pawn Weights'!$B$4)+(H192*'Pawn Weights'!$B$5)+(I192*'Pawn Weights'!$B$6)+(J192*'Pawn Weights'!$B$7)+(K192*'Pawn Weights'!$B$8)+(L192*'Pawn Weights'!$B$9)+(M192*'Pawn Weights'!$B$10)+(N192*'Pawn Weights'!$B$11)+(O192*'Pawn Weights'!$B$12)+(P192*'Pawn Weights'!$B$13)+(Q192*'Pawn Weights'!$B$14), 2)</f>
        <v>92.95</v>
      </c>
      <c r="E192" s="280">
        <v>28.0</v>
      </c>
      <c r="F192" s="280"/>
      <c r="G192" s="280">
        <v>32.0</v>
      </c>
      <c r="H192" s="280">
        <v>64.0</v>
      </c>
      <c r="I192" s="280"/>
      <c r="J192" s="280">
        <v>28.0</v>
      </c>
      <c r="K192" s="280"/>
      <c r="L192" s="280"/>
      <c r="M192" s="280"/>
      <c r="N192" s="280"/>
      <c r="O192" s="280">
        <v>2.0</v>
      </c>
      <c r="P192" s="280"/>
      <c r="Q192" s="280">
        <v>1.0</v>
      </c>
      <c r="R192" s="290" t="s">
        <v>882</v>
      </c>
      <c r="S192" s="290"/>
      <c r="T192" s="281"/>
      <c r="U192" s="294"/>
      <c r="V192" s="281"/>
      <c r="W192" s="281"/>
      <c r="X192" s="281"/>
      <c r="Y192" s="281"/>
    </row>
    <row r="193">
      <c r="A193" s="301" t="s">
        <v>627</v>
      </c>
      <c r="B193" s="311" t="s">
        <v>1235</v>
      </c>
      <c r="C193" s="280" t="s">
        <v>904</v>
      </c>
      <c r="D193" s="293">
        <f>ROUND((F193*'Pawn Weights'!$B$3)+(G193*'Pawn Weights'!$B$4)+(H193*'Pawn Weights'!$B$5)+(I193*'Pawn Weights'!$B$6)+(J193*'Pawn Weights'!$B$7)+(K193*'Pawn Weights'!$B$8)+(L193*'Pawn Weights'!$B$9)+(M193*'Pawn Weights'!$B$10)+(N193*'Pawn Weights'!$B$11)+(O193*'Pawn Weights'!$B$12)+(P193*'Pawn Weights'!$B$13)+(Q193*'Pawn Weights'!$B$14)-16+15.36+3.636, 2)</f>
        <v>89.88</v>
      </c>
      <c r="E193" s="280"/>
      <c r="F193" s="280"/>
      <c r="G193" s="280"/>
      <c r="H193" s="280">
        <v>52.0</v>
      </c>
      <c r="I193" s="280">
        <v>25.0</v>
      </c>
      <c r="J193" s="280">
        <v>25.0</v>
      </c>
      <c r="K193" s="280"/>
      <c r="L193" s="280"/>
      <c r="M193" s="280"/>
      <c r="N193" s="280"/>
      <c r="O193" s="280">
        <v>1.0</v>
      </c>
      <c r="P193" s="280">
        <v>2.0</v>
      </c>
      <c r="Q193" s="280"/>
      <c r="R193" s="290" t="s">
        <v>745</v>
      </c>
      <c r="S193" s="290"/>
      <c r="T193" s="281"/>
      <c r="U193" s="294"/>
      <c r="V193" s="281"/>
      <c r="W193" s="281"/>
      <c r="X193" s="281"/>
      <c r="Y193" s="281"/>
    </row>
    <row r="194">
      <c r="A194" s="301"/>
      <c r="B194" s="288" t="s">
        <v>1349</v>
      </c>
      <c r="C194" s="280" t="s">
        <v>1195</v>
      </c>
      <c r="D194" s="293">
        <f>ROUND((F194*'Pawn Weights'!$B$3)+(G194*'Pawn Weights'!$B$4)+(H194*'Pawn Weights'!$B$5)+(I194*'Pawn Weights'!$B$6)+(J194*'Pawn Weights'!$B$7)+(K194*'Pawn Weights'!$B$8)+(L194*'Pawn Weights'!$B$9)+(M194*'Pawn Weights'!$B$10)+(N194*'Pawn Weights'!$B$11)+(O194*'Pawn Weights'!$B$12)+(P194*'Pawn Weights'!$B$13)+(Q194*'Pawn Weights'!$B$14), 2)</f>
        <v>89.05</v>
      </c>
      <c r="E194" s="280">
        <v>33.0</v>
      </c>
      <c r="F194" s="280"/>
      <c r="G194" s="280">
        <v>37.0</v>
      </c>
      <c r="H194" s="280">
        <v>88.0</v>
      </c>
      <c r="I194" s="280"/>
      <c r="J194" s="280"/>
      <c r="K194" s="280"/>
      <c r="L194" s="280"/>
      <c r="M194" s="280"/>
      <c r="N194" s="280"/>
      <c r="O194" s="280">
        <v>1.0</v>
      </c>
      <c r="P194" s="280">
        <v>1.0</v>
      </c>
      <c r="Q194" s="280">
        <v>1.0</v>
      </c>
      <c r="R194" s="290" t="s">
        <v>622</v>
      </c>
      <c r="S194" s="290"/>
      <c r="T194" s="281"/>
      <c r="U194" s="294"/>
      <c r="V194" s="281"/>
      <c r="W194" s="281"/>
      <c r="X194" s="281"/>
      <c r="Y194" s="281"/>
    </row>
    <row r="195">
      <c r="A195" s="309"/>
      <c r="B195" s="288" t="s">
        <v>1238</v>
      </c>
      <c r="C195" s="280" t="s">
        <v>1239</v>
      </c>
      <c r="D195" s="293">
        <f>ROUND((F195*'Pawn Weights'!$B$3)+(G195*'Pawn Weights'!$B$4)+(H195*'Pawn Weights'!$B$5)+(I195*'Pawn Weights'!$B$6)+(J195*'Pawn Weights'!$B$7)+(K195*'Pawn Weights'!$B$8)+(L195*'Pawn Weights'!$B$9)+(M195*'Pawn Weights'!$B$10)+(N195*'Pawn Weights'!$B$11)+(O195*'Pawn Weights'!$B$12)+(P195*'Pawn Weights'!$B$13)+(Q195*'Pawn Weights'!$B$14), 2)</f>
        <v>88.98</v>
      </c>
      <c r="E195" s="280">
        <v>30.0</v>
      </c>
      <c r="F195" s="280"/>
      <c r="G195" s="280"/>
      <c r="H195" s="280">
        <v>64.0</v>
      </c>
      <c r="I195" s="280">
        <v>27.0</v>
      </c>
      <c r="J195" s="280">
        <v>17.0</v>
      </c>
      <c r="K195" s="280"/>
      <c r="L195" s="280"/>
      <c r="M195" s="281"/>
      <c r="N195" s="280"/>
      <c r="O195" s="280">
        <v>2.0</v>
      </c>
      <c r="P195" s="280"/>
      <c r="Q195" s="280">
        <v>1.0</v>
      </c>
      <c r="R195" s="290" t="s">
        <v>626</v>
      </c>
      <c r="S195" s="290"/>
      <c r="T195" s="281"/>
      <c r="U195" s="291"/>
      <c r="V195" s="281"/>
      <c r="W195" s="281"/>
      <c r="X195" s="281"/>
    </row>
    <row r="196">
      <c r="A196" s="301" t="s">
        <v>654</v>
      </c>
      <c r="B196" s="288" t="s">
        <v>1613</v>
      </c>
      <c r="C196" s="280" t="s">
        <v>823</v>
      </c>
      <c r="D196" s="293">
        <f>ROUND((F196*'Pawn Weights'!$B$3)+(G196*'Pawn Weights'!$B$4)+(H196*'Pawn Weights'!$B$5)+(I196*'Pawn Weights'!$B$6)+(J196*'Pawn Weights'!$B$7)+(K196*'Pawn Weights'!$B$8)+(L196*'Pawn Weights'!$B$9)+(M196*'Pawn Weights'!$B$10)+(N196*'Pawn Weights'!$B$11)+(O196*'Pawn Weights'!$B$12)+(P196*'Pawn Weights'!$B$13)+(Q196*'Pawn Weights'!$B$14), 2)</f>
        <v>85.04</v>
      </c>
      <c r="E196" s="280">
        <v>54.0</v>
      </c>
      <c r="F196" s="280">
        <v>51.0</v>
      </c>
      <c r="G196" s="280"/>
      <c r="H196" s="280"/>
      <c r="I196" s="280">
        <v>37.0</v>
      </c>
      <c r="J196" s="280"/>
      <c r="K196" s="280"/>
      <c r="L196" s="280"/>
      <c r="M196" s="280"/>
      <c r="N196" s="280"/>
      <c r="O196" s="280"/>
      <c r="P196" s="280"/>
      <c r="Q196" s="280"/>
      <c r="R196" s="290"/>
      <c r="S196" s="290"/>
      <c r="T196" s="281"/>
      <c r="U196" s="294"/>
      <c r="V196" s="281"/>
      <c r="W196" s="281"/>
      <c r="X196" s="281"/>
      <c r="Y196" s="281"/>
    </row>
    <row r="197">
      <c r="A197" s="309"/>
      <c r="B197" s="311" t="s">
        <v>1479</v>
      </c>
      <c r="C197" s="280" t="s">
        <v>1480</v>
      </c>
      <c r="D197" s="293">
        <f>ROUND((F197*'Pawn Weights'!$B$3)+(G197*'Pawn Weights'!$B$4)+(H197*'Pawn Weights'!$B$5)+(I197*'Pawn Weights'!$B$6)+(J197*'Pawn Weights'!$B$7)+(K197*'Pawn Weights'!$B$8)+(L197*'Pawn Weights'!$B$9)+(M197*'Pawn Weights'!$B$10)+(N197*'Pawn Weights'!$B$11)+(O197*'Pawn Weights'!$B$12)+(P197*'Pawn Weights'!$B$13)+(Q197*'Pawn Weights'!$B$14), 2)</f>
        <v>81.52</v>
      </c>
      <c r="E197" s="280">
        <v>24.0</v>
      </c>
      <c r="F197" s="280">
        <v>30.0</v>
      </c>
      <c r="G197" s="280">
        <v>30.0</v>
      </c>
      <c r="H197" s="280"/>
      <c r="I197" s="280"/>
      <c r="J197" s="280">
        <v>17.0</v>
      </c>
      <c r="K197" s="280"/>
      <c r="L197" s="280">
        <v>18.0</v>
      </c>
      <c r="M197" s="280"/>
      <c r="N197" s="280"/>
      <c r="O197" s="280"/>
      <c r="P197" s="280"/>
      <c r="Q197" s="280"/>
      <c r="R197" s="290"/>
      <c r="S197" s="290"/>
      <c r="T197" s="281"/>
      <c r="U197" s="294" t="s">
        <v>1521</v>
      </c>
      <c r="V197" s="281"/>
      <c r="W197" s="281"/>
      <c r="X197" s="281"/>
      <c r="Y197" s="281"/>
    </row>
    <row r="198">
      <c r="A198" s="309"/>
      <c r="B198" s="288" t="s">
        <v>1614</v>
      </c>
      <c r="C198" s="280" t="s">
        <v>1615</v>
      </c>
      <c r="D198" s="293">
        <f>ROUND((F198*'Pawn Weights'!$B$3)+(G198*'Pawn Weights'!$B$4)+(H198*'Pawn Weights'!$B$5)+(I198*'Pawn Weights'!$B$6)+(J198*'Pawn Weights'!$B$7)+(K198*'Pawn Weights'!$B$8)+(L198*'Pawn Weights'!$B$9)+(M198*'Pawn Weights'!$B$10)+(N198*'Pawn Weights'!$B$11)+(O198*'Pawn Weights'!$B$12)+(P198*'Pawn Weights'!$B$13)+(Q198*'Pawn Weights'!$B$14), 2)</f>
        <v>81.16</v>
      </c>
      <c r="E198" s="280">
        <v>36.0</v>
      </c>
      <c r="F198" s="280">
        <v>36.0</v>
      </c>
      <c r="G198" s="280"/>
      <c r="H198" s="280"/>
      <c r="I198" s="280">
        <v>23.0</v>
      </c>
      <c r="J198" s="280"/>
      <c r="K198" s="280"/>
      <c r="L198" s="280"/>
      <c r="M198" s="280"/>
      <c r="N198" s="280"/>
      <c r="O198" s="280">
        <v>2.0</v>
      </c>
      <c r="P198" s="280"/>
      <c r="Q198" s="280">
        <v>1.0</v>
      </c>
      <c r="R198" s="290" t="s">
        <v>626</v>
      </c>
      <c r="S198" s="290"/>
      <c r="T198" s="281"/>
      <c r="U198" s="294"/>
      <c r="V198" s="281"/>
      <c r="W198" s="281"/>
      <c r="X198" s="281"/>
      <c r="Y198" s="281"/>
    </row>
    <row r="199">
      <c r="A199" s="301" t="s">
        <v>1499</v>
      </c>
      <c r="B199" s="302" t="s">
        <v>1616</v>
      </c>
      <c r="C199" s="280" t="s">
        <v>1159</v>
      </c>
      <c r="D199" s="293">
        <f>ROUND((F199*'Pawn Weights'!$B$3)+(G199*'Pawn Weights'!$B$4)+(H199*'Pawn Weights'!$B$5)+(I199*'Pawn Weights'!$B$6)+(J199*'Pawn Weights'!$B$7)+(K199*'Pawn Weights'!$B$8)+(L199*'Pawn Weights'!$B$9)+(M199*'Pawn Weights'!$B$10)+(N199*'Pawn Weights'!$B$11)+(O199*'Pawn Weights'!$B$12)+(P199*'Pawn Weights'!$B$13)+(Q199*'Pawn Weights'!$B$14), 2)</f>
        <v>80.92</v>
      </c>
      <c r="E199" s="280">
        <v>55.0</v>
      </c>
      <c r="F199" s="280">
        <v>40.0</v>
      </c>
      <c r="G199" s="280"/>
      <c r="H199" s="280"/>
      <c r="I199" s="280">
        <v>36.0</v>
      </c>
      <c r="J199" s="280">
        <v>12.0</v>
      </c>
      <c r="K199" s="280"/>
      <c r="L199" s="280"/>
      <c r="M199" s="281"/>
      <c r="N199" s="280"/>
      <c r="O199" s="280"/>
      <c r="P199" s="280"/>
      <c r="Q199" s="280"/>
      <c r="R199" s="290"/>
      <c r="S199" s="290"/>
      <c r="T199" s="281"/>
      <c r="U199" s="291" t="s">
        <v>1325</v>
      </c>
      <c r="V199" s="281"/>
      <c r="W199" s="281"/>
      <c r="X199" s="281"/>
    </row>
    <row r="200">
      <c r="A200" s="309"/>
      <c r="B200" s="311" t="s">
        <v>1617</v>
      </c>
      <c r="C200" s="280" t="s">
        <v>1618</v>
      </c>
      <c r="D200" s="293">
        <f>ROUND((F200*'Pawn Weights'!$B$3)+(G200*'Pawn Weights'!$B$4)+(H200*'Pawn Weights'!$B$5)+(I200*'Pawn Weights'!$B$6)+(J200*'Pawn Weights'!$B$7)+(K200*'Pawn Weights'!$B$8)+(L200*'Pawn Weights'!$B$9)+(M200*'Pawn Weights'!$B$10)+(N200*'Pawn Weights'!$B$11)+(O200*'Pawn Weights'!$B$12)+(P200*'Pawn Weights'!$B$13)+(Q200*'Pawn Weights'!$B$14), 2)</f>
        <v>76.57</v>
      </c>
      <c r="E200" s="280">
        <v>27.0</v>
      </c>
      <c r="F200" s="280">
        <v>35.0</v>
      </c>
      <c r="G200" s="280">
        <v>25.0</v>
      </c>
      <c r="H200" s="280"/>
      <c r="I200" s="280"/>
      <c r="J200" s="280"/>
      <c r="K200" s="280"/>
      <c r="L200" s="280">
        <v>22.0</v>
      </c>
      <c r="M200" s="280"/>
      <c r="N200" s="280"/>
      <c r="O200" s="280"/>
      <c r="P200" s="280"/>
      <c r="Q200" s="280"/>
      <c r="R200" s="290"/>
      <c r="S200" s="290"/>
      <c r="T200" s="281"/>
      <c r="U200" s="294" t="s">
        <v>1619</v>
      </c>
      <c r="V200" s="281"/>
      <c r="W200" s="281"/>
      <c r="X200" s="281"/>
      <c r="Y200" s="281"/>
    </row>
    <row r="201">
      <c r="A201" s="309"/>
      <c r="B201" s="311" t="s">
        <v>1620</v>
      </c>
      <c r="C201" s="280" t="s">
        <v>1520</v>
      </c>
      <c r="D201" s="293">
        <f>ROUND((F201*'Pawn Weights'!$B$3)+(G201*'Pawn Weights'!$B$4)+(H201*'Pawn Weights'!$B$5)+(I201*'Pawn Weights'!$B$6)+(J201*'Pawn Weights'!$B$7)+(K201*'Pawn Weights'!$B$8)+(L201*'Pawn Weights'!$B$9)+(M201*'Pawn Weights'!$B$10)+(N201*'Pawn Weights'!$B$11)+(O201*'Pawn Weights'!$B$12)+(P201*'Pawn Weights'!$B$13)+(Q201*'Pawn Weights'!$B$14), 2)</f>
        <v>76.26</v>
      </c>
      <c r="E201" s="280"/>
      <c r="F201" s="280">
        <v>39.0</v>
      </c>
      <c r="G201" s="280">
        <v>32.0</v>
      </c>
      <c r="H201" s="280"/>
      <c r="I201" s="280"/>
      <c r="J201" s="280">
        <v>24.0</v>
      </c>
      <c r="K201" s="280"/>
      <c r="L201" s="280"/>
      <c r="M201" s="280"/>
      <c r="N201" s="280"/>
      <c r="O201" s="280"/>
      <c r="P201" s="280"/>
      <c r="Q201" s="280"/>
      <c r="R201" s="290"/>
      <c r="S201" s="290"/>
      <c r="T201" s="281"/>
      <c r="U201" s="294" t="s">
        <v>1621</v>
      </c>
      <c r="V201" s="281"/>
      <c r="W201" s="281"/>
      <c r="X201" s="281"/>
      <c r="Y201" s="281"/>
    </row>
    <row r="202">
      <c r="A202" s="309"/>
      <c r="B202" s="311" t="s">
        <v>1622</v>
      </c>
      <c r="C202" s="280" t="s">
        <v>1623</v>
      </c>
      <c r="D202" s="293">
        <f>ROUND((F202*'Pawn Weights'!$B$3)+(G202*'Pawn Weights'!$B$4)+(H202*'Pawn Weights'!$B$5)+(I202*'Pawn Weights'!$B$6)+(J202*'Pawn Weights'!$B$7)+(K202*'Pawn Weights'!$B$8)+(L202*'Pawn Weights'!$B$9)+(M202*'Pawn Weights'!$B$10)+(N202*'Pawn Weights'!$B$11)+(O202*'Pawn Weights'!$B$12)+(P202*'Pawn Weights'!$B$13)+(Q202*'Pawn Weights'!$B$14), 2)</f>
        <v>72.12</v>
      </c>
      <c r="E202" s="280">
        <v>27.0</v>
      </c>
      <c r="F202" s="280">
        <v>38.0</v>
      </c>
      <c r="G202" s="280"/>
      <c r="H202" s="280"/>
      <c r="I202" s="280">
        <v>11.0</v>
      </c>
      <c r="J202" s="280"/>
      <c r="K202" s="280"/>
      <c r="L202" s="280"/>
      <c r="M202" s="280"/>
      <c r="N202" s="280"/>
      <c r="O202" s="280">
        <v>1.0</v>
      </c>
      <c r="P202" s="280">
        <v>1.0</v>
      </c>
      <c r="Q202" s="280">
        <v>1.0</v>
      </c>
      <c r="R202" s="290" t="s">
        <v>633</v>
      </c>
      <c r="S202" s="290"/>
      <c r="T202" s="281"/>
      <c r="U202" s="294"/>
      <c r="V202" s="281"/>
      <c r="W202" s="281"/>
      <c r="X202" s="281"/>
      <c r="Y202" s="281"/>
    </row>
    <row r="203">
      <c r="A203" s="301" t="s">
        <v>1439</v>
      </c>
      <c r="B203" s="311" t="s">
        <v>1624</v>
      </c>
      <c r="C203" s="280" t="s">
        <v>1625</v>
      </c>
      <c r="D203" s="293">
        <f>ROUND((F203*'Pawn Weights'!$B$3)+(G203*'Pawn Weights'!$B$4)+(H203*'Pawn Weights'!$B$5)+(I203*'Pawn Weights'!$B$6)+(J203*'Pawn Weights'!$B$7)+(K203*'Pawn Weights'!$B$8)+(L203*'Pawn Weights'!$B$9)+(M203*'Pawn Weights'!$B$10)+(N203*'Pawn Weights'!$B$11)+(O203*'Pawn Weights'!$B$12)+(P203*'Pawn Weights'!$B$13)+(Q203*'Pawn Weights'!$B$14), 2)</f>
        <v>71.89</v>
      </c>
      <c r="E203" s="280">
        <v>33.0</v>
      </c>
      <c r="F203" s="280">
        <v>36.0</v>
      </c>
      <c r="G203" s="280"/>
      <c r="H203" s="280"/>
      <c r="I203" s="280">
        <v>27.0</v>
      </c>
      <c r="J203" s="280">
        <v>17.0</v>
      </c>
      <c r="K203" s="280"/>
      <c r="L203" s="280"/>
      <c r="M203" s="280"/>
      <c r="N203" s="280"/>
      <c r="O203" s="280"/>
      <c r="P203" s="280"/>
      <c r="Q203" s="280"/>
      <c r="R203" s="290"/>
      <c r="S203" s="290"/>
      <c r="T203" s="281"/>
      <c r="U203" s="294" t="s">
        <v>1580</v>
      </c>
      <c r="V203" s="281"/>
      <c r="W203" s="281"/>
      <c r="X203" s="281"/>
      <c r="Y203" s="281"/>
    </row>
    <row r="204">
      <c r="A204" s="301" t="s">
        <v>1439</v>
      </c>
      <c r="B204" s="311" t="s">
        <v>1626</v>
      </c>
      <c r="C204" s="280" t="s">
        <v>1627</v>
      </c>
      <c r="D204" s="293">
        <f>ROUND((F204*'Pawn Weights'!$B$3)+(G204*'Pawn Weights'!$B$4)+(H204*'Pawn Weights'!$B$5)+(I204*'Pawn Weights'!$B$6)+(J204*'Pawn Weights'!$B$7)+(K204*'Pawn Weights'!$B$8)+(L204*'Pawn Weights'!$B$9)+(M204*'Pawn Weights'!$B$10)+(N204*'Pawn Weights'!$B$11)+(O204*'Pawn Weights'!$B$12)+(P204*'Pawn Weights'!$B$13)+(Q204*'Pawn Weights'!$B$14), 2)</f>
        <v>70.06</v>
      </c>
      <c r="E204" s="280">
        <v>27.0</v>
      </c>
      <c r="F204" s="280"/>
      <c r="G204" s="280">
        <v>31.0</v>
      </c>
      <c r="H204" s="280">
        <v>28.0</v>
      </c>
      <c r="I204" s="280"/>
      <c r="J204" s="280">
        <v>19.0</v>
      </c>
      <c r="K204" s="280"/>
      <c r="L204" s="280"/>
      <c r="M204" s="280"/>
      <c r="N204" s="280"/>
      <c r="O204" s="280">
        <v>2.0</v>
      </c>
      <c r="P204" s="280"/>
      <c r="Q204" s="280">
        <v>1.0</v>
      </c>
      <c r="R204" s="290" t="s">
        <v>1628</v>
      </c>
      <c r="S204" s="290"/>
      <c r="T204" s="281"/>
      <c r="U204" s="294" t="s">
        <v>1580</v>
      </c>
      <c r="V204" s="281"/>
      <c r="W204" s="281"/>
      <c r="X204" s="281"/>
      <c r="Y204" s="281"/>
    </row>
    <row r="205">
      <c r="A205" s="272" t="s">
        <v>883</v>
      </c>
      <c r="B205" s="281"/>
      <c r="C205" s="281"/>
      <c r="D205" s="293"/>
      <c r="E205" s="281"/>
      <c r="F205" s="281"/>
      <c r="G205" s="281"/>
      <c r="H205" s="281"/>
      <c r="I205" s="281"/>
      <c r="J205" s="281"/>
      <c r="K205" s="281"/>
      <c r="L205" s="281"/>
      <c r="M205" s="281"/>
      <c r="N205" s="281"/>
      <c r="O205" s="281"/>
      <c r="P205" s="281"/>
      <c r="Q205" s="281"/>
      <c r="R205" s="282"/>
      <c r="S205" s="282"/>
      <c r="T205" s="281"/>
      <c r="U205" s="285"/>
      <c r="V205" s="281"/>
      <c r="W205" s="281"/>
      <c r="X205" s="281"/>
    </row>
    <row r="206">
      <c r="A206" s="137"/>
      <c r="B206" s="341" t="s">
        <v>888</v>
      </c>
      <c r="C206" s="361" t="s">
        <v>889</v>
      </c>
      <c r="D206" s="293">
        <f>ROUND((F206*'Pawn Weights'!$B$3)+(G206*'Pawn Weights'!$B$4)+(H206*'Pawn Weights'!$B$5)+(I206*'Pawn Weights'!$B$6)+(J206*'Pawn Weights'!$B$7)+(K206*'Pawn Weights'!$B$8)+(L206*'Pawn Weights'!$B$9)+(M206*'Pawn Weights'!$B$10)+(N206*'Pawn Weights'!$B$11)+(O206*'Pawn Weights'!$B$12)+(P206*'Pawn Weights'!$B$13)+(Q206*'Pawn Weights'!$B$14), 2)</f>
        <v>77.2</v>
      </c>
      <c r="E206" s="359">
        <v>21.0</v>
      </c>
      <c r="F206" s="361"/>
      <c r="G206" s="359">
        <v>29.0</v>
      </c>
      <c r="H206" s="359">
        <v>60.0</v>
      </c>
      <c r="I206" s="361"/>
      <c r="J206" s="359">
        <v>22.0</v>
      </c>
      <c r="K206" s="361"/>
      <c r="L206" s="361"/>
      <c r="M206" s="137"/>
      <c r="N206" s="361"/>
      <c r="O206" s="359">
        <v>1.0</v>
      </c>
      <c r="P206" s="361"/>
      <c r="Q206" s="359">
        <v>1.0</v>
      </c>
      <c r="R206" s="359" t="s">
        <v>832</v>
      </c>
      <c r="S206" s="137"/>
      <c r="T206" s="137"/>
      <c r="U206" s="137"/>
      <c r="V206" s="137"/>
      <c r="W206" s="137"/>
      <c r="X206" s="137"/>
      <c r="Y206" s="137"/>
      <c r="Z206" s="137"/>
    </row>
    <row r="207">
      <c r="A207" s="137" t="s">
        <v>671</v>
      </c>
      <c r="B207" s="341" t="s">
        <v>891</v>
      </c>
      <c r="C207" s="361" t="s">
        <v>892</v>
      </c>
      <c r="D207" s="367">
        <f>ROUND((F207*'Pawn Weights'!$B$3)+(G207*'Pawn Weights'!$B$4)+(H207*'Pawn Weights'!$B$5)+(I207*'Pawn Weights'!$B$6)+(J207*'Pawn Weights'!$B$7)+(K207*'Pawn Weights'!$B$8)+(L207*'Pawn Weights'!$B$9)+(M207*'Pawn Weights'!$B$10)+(N207*'Pawn Weights'!$B$11)+(O207*'Pawn Weights'!$B$12)+(P207*'Pawn Weights'!$B$13)+(Q207*'Pawn Weights'!$B$14), 2)</f>
        <v>76.8</v>
      </c>
      <c r="E207" s="359">
        <v>56.0</v>
      </c>
      <c r="F207" s="359">
        <v>40.0</v>
      </c>
      <c r="G207" s="361"/>
      <c r="H207" s="361"/>
      <c r="I207" s="359">
        <v>40.0</v>
      </c>
      <c r="J207" s="361"/>
      <c r="K207" s="361"/>
      <c r="L207" s="361"/>
      <c r="M207" s="137"/>
      <c r="N207" s="361"/>
      <c r="O207" s="361"/>
      <c r="P207" s="361"/>
      <c r="Q207" s="361"/>
      <c r="R207" s="137"/>
      <c r="S207" s="137"/>
      <c r="T207" s="361" t="s">
        <v>850</v>
      </c>
      <c r="U207" s="137"/>
      <c r="V207" s="137"/>
      <c r="W207" s="137"/>
      <c r="X207" s="137"/>
      <c r="Y207" s="137"/>
      <c r="Z207" s="137"/>
    </row>
    <row r="208">
      <c r="A208" s="137" t="s">
        <v>627</v>
      </c>
      <c r="B208" s="341" t="s">
        <v>897</v>
      </c>
      <c r="C208" s="361" t="s">
        <v>898</v>
      </c>
      <c r="D208" s="367">
        <f>ROUND((F208*'Pawn Weights'!$B$3)+(G208*'Pawn Weights'!$B$4)+(H208*'Pawn Weights'!$B$5)+(I208*'Pawn Weights'!$B$6)+(J208*'Pawn Weights'!$B$7)+(K208*'Pawn Weights'!$B$8)+(L208*'Pawn Weights'!$B$9)+(M208*'Pawn Weights'!$B$10)+(N208*'Pawn Weights'!$B$11)+(O208*'Pawn Weights'!$B$12)+(P208*'Pawn Weights'!$B$13)+(Q208*'Pawn Weights'!$B$14), 2)</f>
        <v>74.39</v>
      </c>
      <c r="E208" s="359">
        <v>34.0</v>
      </c>
      <c r="F208" s="361"/>
      <c r="G208" s="361"/>
      <c r="H208" s="359">
        <v>66.0</v>
      </c>
      <c r="I208" s="359">
        <v>32.0</v>
      </c>
      <c r="J208" s="359">
        <v>23.0</v>
      </c>
      <c r="K208" s="361"/>
      <c r="L208" s="361"/>
      <c r="M208" s="137"/>
      <c r="N208" s="361"/>
      <c r="O208" s="361"/>
      <c r="P208" s="361"/>
      <c r="Q208" s="361"/>
      <c r="R208" s="137"/>
      <c r="S208" s="137"/>
      <c r="T208" s="137"/>
      <c r="U208" s="137"/>
      <c r="V208" s="137"/>
      <c r="W208" s="137"/>
      <c r="X208" s="137"/>
      <c r="Y208" s="137"/>
      <c r="Z208" s="137"/>
    </row>
    <row r="209">
      <c r="A209" s="137"/>
      <c r="B209" s="341" t="s">
        <v>899</v>
      </c>
      <c r="C209" s="361" t="s">
        <v>900</v>
      </c>
      <c r="D209" s="367">
        <f>ROUND((F209*'Pawn Weights'!$B$3)+(G209*'Pawn Weights'!$B$4)+(H209*'Pawn Weights'!$B$5)+(I209*'Pawn Weights'!$B$6)+(J209*'Pawn Weights'!$B$7)+(K209*'Pawn Weights'!$B$8)+(L209*'Pawn Weights'!$B$9)+(M209*'Pawn Weights'!$B$10)+(N209*'Pawn Weights'!$B$11)+(O209*'Pawn Weights'!$B$12)+(P209*'Pawn Weights'!$B$13)+(Q209*'Pawn Weights'!$B$14), 2)</f>
        <v>72.52</v>
      </c>
      <c r="E209" s="359">
        <v>29.0</v>
      </c>
      <c r="F209" s="359">
        <v>44.0</v>
      </c>
      <c r="G209" s="361"/>
      <c r="H209" s="361"/>
      <c r="I209" s="359">
        <v>31.0</v>
      </c>
      <c r="J209" s="361"/>
      <c r="K209" s="361"/>
      <c r="L209" s="361"/>
      <c r="M209" s="137"/>
      <c r="N209" s="361"/>
      <c r="O209" s="361"/>
      <c r="P209" s="361"/>
      <c r="Q209" s="361"/>
      <c r="R209" s="137"/>
      <c r="S209" s="137"/>
      <c r="T209" s="137"/>
      <c r="U209" s="137"/>
      <c r="V209" s="137"/>
      <c r="W209" s="137"/>
      <c r="X209" s="137"/>
      <c r="Y209" s="137"/>
      <c r="Z209" s="137"/>
    </row>
    <row r="210">
      <c r="A210" s="137"/>
      <c r="B210" s="341" t="s">
        <v>890</v>
      </c>
      <c r="C210" s="361" t="s">
        <v>773</v>
      </c>
      <c r="D210" s="293">
        <f>ROUND((F210*'Pawn Weights'!$B$3)+(G210*'Pawn Weights'!$B$4)+(H210*'Pawn Weights'!$B$5)+(I210*'Pawn Weights'!$B$6)+(J210*'Pawn Weights'!$B$7)+(K210*'Pawn Weights'!$B$8)+(L210*'Pawn Weights'!$B$9)+(M210*'Pawn Weights'!$B$10)+(N210*'Pawn Weights'!$B$11)+(O210*'Pawn Weights'!$B$12)+(P210*'Pawn Weights'!$B$13)+(Q210*'Pawn Weights'!$B$14), 2)</f>
        <v>72.22</v>
      </c>
      <c r="E210" s="359">
        <v>28.0</v>
      </c>
      <c r="F210" s="361"/>
      <c r="G210" s="359">
        <v>28.0</v>
      </c>
      <c r="H210" s="359">
        <v>58.0</v>
      </c>
      <c r="I210" s="361"/>
      <c r="J210" s="361"/>
      <c r="K210" s="361"/>
      <c r="L210" s="361"/>
      <c r="M210" s="359">
        <v>126.0</v>
      </c>
      <c r="N210" s="361"/>
      <c r="O210" s="359">
        <v>1.0</v>
      </c>
      <c r="P210" s="361"/>
      <c r="Q210" s="361"/>
      <c r="R210" s="359" t="s">
        <v>674</v>
      </c>
      <c r="S210" s="137"/>
      <c r="T210" s="137"/>
      <c r="U210" s="137"/>
      <c r="V210" s="137"/>
      <c r="W210" s="137"/>
      <c r="X210" s="137"/>
      <c r="Y210" s="137"/>
      <c r="Z210" s="137"/>
    </row>
    <row r="211">
      <c r="A211" s="137"/>
      <c r="B211" s="341" t="s">
        <v>901</v>
      </c>
      <c r="C211" s="361" t="s">
        <v>649</v>
      </c>
      <c r="D211" s="367">
        <f>ROUND((F211*'Pawn Weights'!$B$3)+(G211*'Pawn Weights'!$B$4)+(H211*'Pawn Weights'!$B$5)+(I211*'Pawn Weights'!$B$6)+(J211*'Pawn Weights'!$B$7)+(K211*'Pawn Weights'!$B$8)+(L211*'Pawn Weights'!$B$9)+(M211*'Pawn Weights'!$B$10)+(N211*'Pawn Weights'!$B$11)+(O211*'Pawn Weights'!$B$12)+(P211*'Pawn Weights'!$B$13)+(Q211*'Pawn Weights'!$B$14), 2)</f>
        <v>68.34</v>
      </c>
      <c r="E211" s="359">
        <v>25.0</v>
      </c>
      <c r="F211" s="361"/>
      <c r="G211" s="359">
        <v>33.0</v>
      </c>
      <c r="H211" s="359">
        <v>66.0</v>
      </c>
      <c r="I211" s="361"/>
      <c r="J211" s="361"/>
      <c r="K211" s="361"/>
      <c r="L211" s="361"/>
      <c r="M211" s="137"/>
      <c r="N211" s="361"/>
      <c r="O211" s="359">
        <v>1.0</v>
      </c>
      <c r="P211" s="361"/>
      <c r="Q211" s="359">
        <v>1.0</v>
      </c>
      <c r="R211" s="359" t="s">
        <v>695</v>
      </c>
      <c r="S211" s="359"/>
      <c r="T211" s="137"/>
      <c r="U211" s="137"/>
      <c r="V211" s="137"/>
      <c r="W211" s="137"/>
      <c r="X211" s="137"/>
      <c r="Y211" s="137"/>
      <c r="Z211" s="137"/>
    </row>
    <row r="212">
      <c r="A212" s="301"/>
      <c r="B212" s="288" t="s">
        <v>902</v>
      </c>
      <c r="C212" s="280" t="s">
        <v>871</v>
      </c>
      <c r="D212" s="293">
        <f>ROUND((F212*'Pawn Weights'!$B$3)+(G212*'Pawn Weights'!$B$4)+(H212*'Pawn Weights'!$B$5)+(I212*'Pawn Weights'!$B$6)+(J212*'Pawn Weights'!$B$7)+(K212*'Pawn Weights'!$B$8)+(L212*'Pawn Weights'!$B$9)+(M212*'Pawn Weights'!$B$10)+(N212*'Pawn Weights'!$B$11)+(O212*'Pawn Weights'!$B$12)+(P212*'Pawn Weights'!$B$13)+(Q212*'Pawn Weights'!$B$14), 2)</f>
        <v>68.34</v>
      </c>
      <c r="E212" s="280">
        <v>13.0</v>
      </c>
      <c r="F212" s="280"/>
      <c r="G212" s="280">
        <v>33.0</v>
      </c>
      <c r="H212" s="280">
        <v>66.0</v>
      </c>
      <c r="I212" s="280"/>
      <c r="J212" s="280"/>
      <c r="K212" s="280"/>
      <c r="L212" s="280"/>
      <c r="M212" s="281"/>
      <c r="N212" s="280"/>
      <c r="O212" s="280"/>
      <c r="P212" s="280"/>
      <c r="Q212" s="280">
        <v>2.0</v>
      </c>
      <c r="R212" s="290" t="s">
        <v>809</v>
      </c>
      <c r="S212" s="290"/>
      <c r="T212" s="281"/>
      <c r="U212" s="291"/>
      <c r="V212" s="281"/>
      <c r="W212" s="281"/>
      <c r="X212" s="281"/>
    </row>
    <row r="213">
      <c r="A213" s="295" t="s">
        <v>991</v>
      </c>
      <c r="B213" s="296" t="s">
        <v>1108</v>
      </c>
      <c r="C213" s="297" t="s">
        <v>892</v>
      </c>
      <c r="D213" s="367">
        <f>ROUND((F213*'Pawn Weights'!$B$3)+(G213*'Pawn Weights'!$B$4)+(H213*'Pawn Weights'!$B$5)+(I213*'Pawn Weights'!$B$6)+(J213*'Pawn Weights'!$B$7)+(K213*'Pawn Weights'!$B$8)+(L213*'Pawn Weights'!$B$9)+(M213*'Pawn Weights'!$B$10)+(N213*'Pawn Weights'!$B$11)+(O213*'Pawn Weights'!$B$12)+(P213*'Pawn Weights'!$B$13)+(Q213*'Pawn Weights'!$B$14), 2)</f>
        <v>67.2</v>
      </c>
      <c r="E213" s="298">
        <v>49.0</v>
      </c>
      <c r="F213" s="298">
        <v>35.0</v>
      </c>
      <c r="G213" s="297"/>
      <c r="H213" s="297"/>
      <c r="I213" s="298">
        <v>35.0</v>
      </c>
      <c r="J213" s="297"/>
      <c r="K213" s="297"/>
      <c r="L213" s="297"/>
      <c r="M213" s="137"/>
      <c r="N213" s="297"/>
      <c r="O213" s="297"/>
      <c r="P213" s="297"/>
      <c r="Q213" s="297"/>
      <c r="R213" s="295"/>
      <c r="S213" s="295"/>
      <c r="T213" s="361" t="s">
        <v>850</v>
      </c>
      <c r="U213" s="295"/>
      <c r="V213" s="137"/>
      <c r="W213" s="137"/>
      <c r="X213" s="137"/>
      <c r="Y213" s="137"/>
      <c r="Z213" s="137"/>
    </row>
    <row r="214">
      <c r="A214" s="301" t="s">
        <v>627</v>
      </c>
      <c r="B214" s="311" t="s">
        <v>903</v>
      </c>
      <c r="C214" s="280" t="s">
        <v>904</v>
      </c>
      <c r="D214" s="293">
        <f>ROUND((F214*'Pawn Weights'!$B$3)+(G214*'Pawn Weights'!$B$4)+(H214*'Pawn Weights'!$B$5)+(I214*'Pawn Weights'!$B$6)+(J214*'Pawn Weights'!$B$7)+(K214*'Pawn Weights'!$B$8)+(L214*'Pawn Weights'!$B$9)+(M214*'Pawn Weights'!$B$10)+(N214*'Pawn Weights'!$B$11)+(O214*'Pawn Weights'!$B$12)+(P214*'Pawn Weights'!$B$13)+(Q214*'Pawn Weights'!$B$14)-8+7.68+2.727, 2)</f>
        <v>66.66</v>
      </c>
      <c r="E214" s="280"/>
      <c r="F214" s="280"/>
      <c r="G214" s="280"/>
      <c r="H214" s="280">
        <v>36.0</v>
      </c>
      <c r="I214" s="280">
        <v>17.0</v>
      </c>
      <c r="J214" s="280">
        <v>25.0</v>
      </c>
      <c r="K214" s="280"/>
      <c r="L214" s="280"/>
      <c r="M214" s="281"/>
      <c r="N214" s="280"/>
      <c r="O214" s="280">
        <v>1.0</v>
      </c>
      <c r="P214" s="280">
        <v>1.0</v>
      </c>
      <c r="Q214" s="280"/>
      <c r="R214" s="290" t="s">
        <v>809</v>
      </c>
      <c r="S214" s="290"/>
      <c r="T214" s="281"/>
      <c r="U214" s="291"/>
      <c r="V214" s="281"/>
      <c r="W214" s="281"/>
      <c r="X214" s="281"/>
    </row>
    <row r="215">
      <c r="A215" s="295"/>
      <c r="B215" s="296" t="s">
        <v>895</v>
      </c>
      <c r="C215" s="297" t="s">
        <v>773</v>
      </c>
      <c r="D215" s="293">
        <f>ROUND((F215*'Pawn Weights'!$B$3)+(G215*'Pawn Weights'!$B$4)+(H215*'Pawn Weights'!$B$5)+(I215*'Pawn Weights'!$B$6)+(J215*'Pawn Weights'!$B$7)+(K215*'Pawn Weights'!$B$8)+(L215*'Pawn Weights'!$B$9)+(M215*'Pawn Weights'!$B$10)+(N215*'Pawn Weights'!$B$11)+(O215*'Pawn Weights'!$B$12)+(P215*'Pawn Weights'!$B$13)+(Q215*'Pawn Weights'!$B$14), 2)</f>
        <v>66</v>
      </c>
      <c r="E215" s="298">
        <v>30.0</v>
      </c>
      <c r="F215" s="298">
        <v>29.0</v>
      </c>
      <c r="G215" s="297"/>
      <c r="H215" s="297"/>
      <c r="I215" s="297"/>
      <c r="J215" s="297"/>
      <c r="K215" s="297"/>
      <c r="L215" s="297"/>
      <c r="M215" s="359">
        <v>140.0</v>
      </c>
      <c r="N215" s="297"/>
      <c r="O215" s="298">
        <v>1.0</v>
      </c>
      <c r="P215" s="297"/>
      <c r="Q215" s="298">
        <v>1.0</v>
      </c>
      <c r="R215" s="298" t="s">
        <v>698</v>
      </c>
      <c r="S215" s="295"/>
      <c r="T215" s="137"/>
      <c r="U215" s="295"/>
      <c r="V215" s="137"/>
      <c r="W215" s="137"/>
      <c r="X215" s="137"/>
      <c r="Y215" s="137"/>
      <c r="Z215" s="137"/>
    </row>
    <row r="216">
      <c r="A216" s="309"/>
      <c r="B216" s="288" t="s">
        <v>1103</v>
      </c>
      <c r="C216" s="280" t="s">
        <v>1104</v>
      </c>
      <c r="D216" s="293">
        <f>ROUND((F216*'Pawn Weights'!$B$3)+(G216*'Pawn Weights'!$B$4)+(H216*'Pawn Weights'!$B$5)+(I216*'Pawn Weights'!$B$6)+(J216*'Pawn Weights'!$B$7)+(K216*'Pawn Weights'!$B$8)+(L216*'Pawn Weights'!$B$9)+(M216*'Pawn Weights'!$B$10)+(N216*'Pawn Weights'!$B$11)+(O216*'Pawn Weights'!$B$12)+(P216*'Pawn Weights'!$B$13)+(Q216*'Pawn Weights'!$B$14)-8+7.68+1.95, 2)</f>
        <v>65.71</v>
      </c>
      <c r="E216" s="280">
        <v>28.0</v>
      </c>
      <c r="F216" s="280"/>
      <c r="G216" s="280">
        <v>29.0</v>
      </c>
      <c r="H216" s="280">
        <v>44.0</v>
      </c>
      <c r="I216" s="280"/>
      <c r="J216" s="280">
        <v>13.0</v>
      </c>
      <c r="K216" s="280"/>
      <c r="L216" s="280"/>
      <c r="M216" s="281"/>
      <c r="N216" s="280"/>
      <c r="O216" s="280">
        <v>1.0</v>
      </c>
      <c r="P216" s="280">
        <v>1.0</v>
      </c>
      <c r="Q216" s="280"/>
      <c r="R216" s="290" t="s">
        <v>832</v>
      </c>
      <c r="S216" s="290"/>
      <c r="T216" s="281"/>
      <c r="U216" s="291"/>
      <c r="V216" s="281"/>
      <c r="W216" s="281"/>
      <c r="X216" s="281"/>
    </row>
    <row r="217">
      <c r="A217" s="309"/>
      <c r="B217" s="288" t="s">
        <v>1105</v>
      </c>
      <c r="C217" s="280" t="s">
        <v>1106</v>
      </c>
      <c r="D217" s="293">
        <f>ROUND((F217*'Pawn Weights'!$B$3)+(G217*'Pawn Weights'!$B$4)+(H217*'Pawn Weights'!$B$5)+(I217*'Pawn Weights'!$B$6)+(J217*'Pawn Weights'!$B$7)+(K217*'Pawn Weights'!$B$8)+(L217*'Pawn Weights'!$B$9)+(M217*'Pawn Weights'!$B$10)+(N217*'Pawn Weights'!$B$11)+(O217*'Pawn Weights'!$B$12)+(P217*'Pawn Weights'!$B$13)+(Q217*'Pawn Weights'!$B$14)-8+7.68+3, 2)</f>
        <v>65.22</v>
      </c>
      <c r="E217" s="280">
        <v>28.0</v>
      </c>
      <c r="F217" s="280">
        <v>33.0</v>
      </c>
      <c r="G217" s="280">
        <v>20.0</v>
      </c>
      <c r="H217" s="280"/>
      <c r="I217" s="280"/>
      <c r="J217" s="280"/>
      <c r="K217" s="280"/>
      <c r="L217" s="280"/>
      <c r="M217" s="281"/>
      <c r="N217" s="280"/>
      <c r="O217" s="280">
        <v>1.0</v>
      </c>
      <c r="P217" s="280">
        <v>1.0</v>
      </c>
      <c r="Q217" s="280"/>
      <c r="R217" s="290" t="s">
        <v>698</v>
      </c>
      <c r="S217" s="290"/>
      <c r="T217" s="281"/>
      <c r="U217" s="291"/>
      <c r="V217" s="281"/>
      <c r="W217" s="281"/>
      <c r="X217" s="281"/>
    </row>
    <row r="218">
      <c r="A218" s="309"/>
      <c r="B218" s="288" t="s">
        <v>1629</v>
      </c>
      <c r="C218" s="280" t="s">
        <v>1630</v>
      </c>
      <c r="D218" s="293">
        <f>ROUND((F218*'Pawn Weights'!$B$3)+(G218*'Pawn Weights'!$B$4)+(H218*'Pawn Weights'!$B$5)+(I218*'Pawn Weights'!$B$6)+(J218*'Pawn Weights'!$B$7)+(K218*'Pawn Weights'!$B$8)+(L218*'Pawn Weights'!$B$9)+(M218*'Pawn Weights'!$B$10)+(N218*'Pawn Weights'!$B$11)+(O218*'Pawn Weights'!$B$12)+(P218*'Pawn Weights'!$B$13)+(Q218*'Pawn Weights'!$B$14), 2)</f>
        <v>61.48</v>
      </c>
      <c r="E218" s="280">
        <v>28.0</v>
      </c>
      <c r="F218" s="280">
        <v>28.0</v>
      </c>
      <c r="G218" s="280"/>
      <c r="H218" s="280"/>
      <c r="I218" s="280">
        <v>19.0</v>
      </c>
      <c r="J218" s="280"/>
      <c r="K218" s="280"/>
      <c r="L218" s="280"/>
      <c r="M218" s="281"/>
      <c r="N218" s="280"/>
      <c r="O218" s="280"/>
      <c r="P218" s="280">
        <v>1.0</v>
      </c>
      <c r="Q218" s="280">
        <v>1.0</v>
      </c>
      <c r="R218" s="290" t="s">
        <v>698</v>
      </c>
      <c r="S218" s="290"/>
      <c r="T218" s="281"/>
      <c r="U218" s="291"/>
      <c r="V218" s="281"/>
      <c r="W218" s="281"/>
      <c r="X218" s="281"/>
    </row>
    <row r="219">
      <c r="A219" s="301" t="s">
        <v>995</v>
      </c>
      <c r="B219" s="288" t="s">
        <v>1631</v>
      </c>
      <c r="C219" s="280" t="s">
        <v>1589</v>
      </c>
      <c r="D219" s="293">
        <f>ROUND((F219*'Pawn Weights'!$B$3)+(G219*'Pawn Weights'!$B$4)+(H219*'Pawn Weights'!$B$5)+(I219*'Pawn Weights'!$B$6)+(J219*'Pawn Weights'!$B$7)+(K219*'Pawn Weights'!$B$8)+(L219*'Pawn Weights'!$B$9)+(M219*'Pawn Weights'!$B$10)+(N219*'Pawn Weights'!$B$11)+(O219*'Pawn Weights'!$B$12)+(P219*'Pawn Weights'!$B$13)+(Q219*'Pawn Weights'!$B$14), 2)</f>
        <v>59.52</v>
      </c>
      <c r="E219" s="280">
        <v>45.0</v>
      </c>
      <c r="F219" s="280">
        <v>31.0</v>
      </c>
      <c r="G219" s="280"/>
      <c r="H219" s="280"/>
      <c r="I219" s="280">
        <v>31.0</v>
      </c>
      <c r="J219" s="280"/>
      <c r="K219" s="280"/>
      <c r="L219" s="280"/>
      <c r="M219" s="281"/>
      <c r="N219" s="280"/>
      <c r="O219" s="280"/>
      <c r="P219" s="280"/>
      <c r="Q219" s="280"/>
      <c r="R219" s="290"/>
      <c r="S219" s="290"/>
      <c r="T219" s="281"/>
      <c r="U219" s="291" t="s">
        <v>850</v>
      </c>
      <c r="V219" s="281"/>
      <c r="W219" s="281"/>
      <c r="X219" s="281"/>
    </row>
    <row r="220">
      <c r="A220" s="309"/>
      <c r="B220" s="311" t="s">
        <v>1632</v>
      </c>
      <c r="C220" s="280" t="s">
        <v>1633</v>
      </c>
      <c r="D220" s="293">
        <f>ROUND((F220*'Pawn Weights'!$B$3)+(G220*'Pawn Weights'!$B$4)+(H220*'Pawn Weights'!$B$5)+(I220*'Pawn Weights'!$B$6)+(J220*'Pawn Weights'!$B$7)+(K220*'Pawn Weights'!$B$8)+(L220*'Pawn Weights'!$B$9)+(M220*'Pawn Weights'!$B$10)+(N220*'Pawn Weights'!$B$11)+(O220*'Pawn Weights'!$B$12)+(P220*'Pawn Weights'!$B$13)+(Q220*'Pawn Weights'!$B$14), 2)</f>
        <v>54.22</v>
      </c>
      <c r="E220" s="280">
        <v>22.0</v>
      </c>
      <c r="F220" s="280">
        <v>24.0</v>
      </c>
      <c r="G220" s="280">
        <v>21.0</v>
      </c>
      <c r="H220" s="280"/>
      <c r="I220" s="280"/>
      <c r="J220" s="280"/>
      <c r="K220" s="280"/>
      <c r="L220" s="280"/>
      <c r="M220" s="281"/>
      <c r="N220" s="280"/>
      <c r="O220" s="280">
        <v>1.0</v>
      </c>
      <c r="P220" s="280"/>
      <c r="Q220" s="280">
        <v>1.0</v>
      </c>
      <c r="R220" s="290" t="s">
        <v>1634</v>
      </c>
      <c r="S220" s="290"/>
      <c r="T220" s="281"/>
      <c r="U220" s="291" t="s">
        <v>1635</v>
      </c>
      <c r="V220" s="281"/>
      <c r="W220" s="281"/>
      <c r="X220" s="281"/>
    </row>
    <row r="221">
      <c r="A221" s="309"/>
      <c r="B221" s="288" t="s">
        <v>1636</v>
      </c>
      <c r="C221" s="280" t="s">
        <v>1637</v>
      </c>
      <c r="D221" s="293">
        <f>ROUND((F221*'Pawn Weights'!$B$3)+(G221*'Pawn Weights'!$B$4)+(H221*'Pawn Weights'!$B$5)+(I221*'Pawn Weights'!$B$6)+(J221*'Pawn Weights'!$B$7)+(K221*'Pawn Weights'!$B$8)+(L221*'Pawn Weights'!$B$9)+(M221*'Pawn Weights'!$B$10)+(N221*'Pawn Weights'!$B$11)+(O221*'Pawn Weights'!$B$12)+(P221*'Pawn Weights'!$B$13)+(Q221*'Pawn Weights'!$B$14), 2)</f>
        <v>51.84</v>
      </c>
      <c r="E221" s="280">
        <v>40.0</v>
      </c>
      <c r="F221" s="280">
        <v>27.0</v>
      </c>
      <c r="G221" s="280"/>
      <c r="H221" s="280"/>
      <c r="I221" s="280">
        <v>27.0</v>
      </c>
      <c r="J221" s="280"/>
      <c r="K221" s="280"/>
      <c r="L221" s="280"/>
      <c r="M221" s="281"/>
      <c r="N221" s="280"/>
      <c r="O221" s="280"/>
      <c r="P221" s="280"/>
      <c r="Q221" s="280"/>
      <c r="R221" s="290"/>
      <c r="S221" s="290"/>
      <c r="T221" s="281"/>
      <c r="U221" s="291" t="s">
        <v>1602</v>
      </c>
      <c r="V221" s="281"/>
      <c r="W221" s="281"/>
      <c r="X221" s="281"/>
    </row>
    <row r="222">
      <c r="A222" s="224" t="s">
        <v>905</v>
      </c>
      <c r="B222" s="281"/>
      <c r="C222" s="281"/>
      <c r="D222" s="293"/>
      <c r="E222" s="281"/>
      <c r="F222" s="281"/>
      <c r="G222" s="281"/>
      <c r="H222" s="281"/>
      <c r="I222" s="281"/>
      <c r="J222" s="281"/>
      <c r="K222" s="281"/>
      <c r="L222" s="281"/>
      <c r="M222" s="281"/>
      <c r="N222" s="281"/>
      <c r="O222" s="281"/>
      <c r="P222" s="281"/>
      <c r="Q222" s="281"/>
      <c r="R222" s="282"/>
      <c r="S222" s="282"/>
      <c r="T222" s="281"/>
      <c r="U222" s="285"/>
      <c r="V222" s="281"/>
      <c r="W222" s="281"/>
      <c r="X222" s="281"/>
    </row>
    <row r="223">
      <c r="A223" s="295" t="s">
        <v>627</v>
      </c>
      <c r="B223" s="341" t="s">
        <v>910</v>
      </c>
      <c r="C223" s="361" t="s">
        <v>911</v>
      </c>
      <c r="D223" s="293">
        <f>ROUND((F223*'Pawn Weights'!$B$3)+(G223*'Pawn Weights'!$B$4)+(H223*'Pawn Weights'!$B$5)+(I223*'Pawn Weights'!$B$6)+(J223*'Pawn Weights'!$B$7)+(K223*'Pawn Weights'!$B$8)+(L223*'Pawn Weights'!$B$9)+(M223*'Pawn Weights'!$B$10)+(N223*'Pawn Weights'!$B$11)+(O223*'Pawn Weights'!$B$12)+(P223*'Pawn Weights'!$B$13)+(Q223*'Pawn Weights'!$B$14), 2)</f>
        <v>67.95</v>
      </c>
      <c r="E223" s="359">
        <v>42.0</v>
      </c>
      <c r="F223" s="361"/>
      <c r="G223" s="359">
        <v>30.0</v>
      </c>
      <c r="H223" s="359">
        <v>58.0</v>
      </c>
      <c r="I223" s="361"/>
      <c r="J223" s="361"/>
      <c r="K223" s="359">
        <v>28.0</v>
      </c>
      <c r="L223" s="361"/>
      <c r="M223" s="137"/>
      <c r="N223" s="361"/>
      <c r="O223" s="361"/>
      <c r="P223" s="361"/>
      <c r="Q223" s="361"/>
      <c r="R223" s="137"/>
      <c r="S223" s="137"/>
      <c r="T223" s="137"/>
      <c r="U223" s="137"/>
      <c r="V223" s="137"/>
      <c r="W223" s="137"/>
      <c r="X223" s="137"/>
      <c r="Y223" s="137"/>
      <c r="Z223" s="137"/>
    </row>
    <row r="224">
      <c r="A224" s="295"/>
      <c r="B224" s="341" t="s">
        <v>908</v>
      </c>
      <c r="C224" s="361" t="s">
        <v>909</v>
      </c>
      <c r="D224" s="293">
        <f>ROUND((F224*'Pawn Weights'!$B$3)+(G224*'Pawn Weights'!$B$4)+(H224*'Pawn Weights'!$B$5)+(I224*'Pawn Weights'!$B$6)+(J224*'Pawn Weights'!$B$7)+(K224*'Pawn Weights'!$B$8)+(L224*'Pawn Weights'!$B$9)+(M224*'Pawn Weights'!$B$10)+(N224*'Pawn Weights'!$B$11)+(O224*'Pawn Weights'!$B$12)+(P224*'Pawn Weights'!$B$13)+(Q224*'Pawn Weights'!$B$14), 2)</f>
        <v>64.89</v>
      </c>
      <c r="E224" s="359">
        <v>28.0</v>
      </c>
      <c r="F224" s="361"/>
      <c r="G224" s="359">
        <v>29.0</v>
      </c>
      <c r="H224" s="359">
        <v>58.0</v>
      </c>
      <c r="I224" s="361"/>
      <c r="J224" s="361"/>
      <c r="K224" s="361"/>
      <c r="L224" s="361"/>
      <c r="M224" s="359">
        <v>126.0</v>
      </c>
      <c r="N224" s="361"/>
      <c r="O224" s="361"/>
      <c r="P224" s="361"/>
      <c r="Q224" s="361"/>
      <c r="R224" s="137"/>
      <c r="S224" s="137"/>
      <c r="T224" s="137"/>
      <c r="U224" s="137"/>
      <c r="V224" s="137"/>
      <c r="W224" s="137"/>
      <c r="X224" s="137"/>
      <c r="Y224" s="137"/>
      <c r="Z224" s="137"/>
    </row>
    <row r="225">
      <c r="A225" s="295"/>
      <c r="B225" s="341" t="s">
        <v>917</v>
      </c>
      <c r="C225" s="361" t="s">
        <v>741</v>
      </c>
      <c r="D225" s="367">
        <f>ROUND((F225*'Pawn Weights'!$B$3)+(G225*'Pawn Weights'!$B$4)+(H225*'Pawn Weights'!$B$5)+(I225*'Pawn Weights'!$B$6)+(J225*'Pawn Weights'!$B$7)+(K225*'Pawn Weights'!$B$8)+(L225*'Pawn Weights'!$B$9)+(M225*'Pawn Weights'!$B$10)+(N225*'Pawn Weights'!$B$11)+(O225*'Pawn Weights'!$B$12)+(P225*'Pawn Weights'!$B$13)+(Q225*'Pawn Weights'!$B$14), 2)</f>
        <v>62.91</v>
      </c>
      <c r="E225" s="359">
        <v>27.0</v>
      </c>
      <c r="F225" s="361"/>
      <c r="G225" s="361"/>
      <c r="H225" s="359">
        <v>56.0</v>
      </c>
      <c r="I225" s="359">
        <v>28.0</v>
      </c>
      <c r="J225" s="359">
        <v>18.0</v>
      </c>
      <c r="K225" s="361"/>
      <c r="L225" s="361"/>
      <c r="M225" s="137"/>
      <c r="N225" s="361"/>
      <c r="O225" s="361"/>
      <c r="P225" s="361"/>
      <c r="Q225" s="361"/>
      <c r="R225" s="137"/>
      <c r="S225" s="137"/>
      <c r="T225" s="137"/>
      <c r="U225" s="137"/>
      <c r="V225" s="137"/>
      <c r="W225" s="137"/>
      <c r="X225" s="137"/>
      <c r="Y225" s="137"/>
      <c r="Z225" s="137"/>
    </row>
    <row r="226">
      <c r="A226" s="295" t="s">
        <v>671</v>
      </c>
      <c r="B226" s="341" t="s">
        <v>915</v>
      </c>
      <c r="C226" s="361" t="s">
        <v>916</v>
      </c>
      <c r="D226" s="293">
        <f>ROUND((F226*'Pawn Weights'!$B$3)+(G226*'Pawn Weights'!$B$4)+(H226*'Pawn Weights'!$B$5)+(I226*'Pawn Weights'!$B$6)+(J226*'Pawn Weights'!$B$7)+(K226*'Pawn Weights'!$B$8)+(L226*'Pawn Weights'!$B$9)+(M226*'Pawn Weights'!$B$10)+(N226*'Pawn Weights'!$B$11)+(O226*'Pawn Weights'!$B$12)+(P226*'Pawn Weights'!$B$13)+(Q226*'Pawn Weights'!$B$14), 2)</f>
        <v>59.63</v>
      </c>
      <c r="E226" s="359">
        <v>38.0</v>
      </c>
      <c r="F226" s="361"/>
      <c r="G226" s="361"/>
      <c r="H226" s="359">
        <v>52.0</v>
      </c>
      <c r="I226" s="359">
        <v>30.0</v>
      </c>
      <c r="J226" s="361"/>
      <c r="K226" s="361"/>
      <c r="L226" s="361"/>
      <c r="M226" s="359">
        <v>56.0</v>
      </c>
      <c r="N226" s="361"/>
      <c r="O226" s="361"/>
      <c r="P226" s="361"/>
      <c r="Q226" s="361"/>
      <c r="R226" s="137"/>
      <c r="S226" s="137"/>
      <c r="T226" s="361" t="s">
        <v>861</v>
      </c>
      <c r="U226" s="137"/>
      <c r="V226" s="137"/>
      <c r="W226" s="137"/>
      <c r="X226" s="137"/>
      <c r="Y226" s="137"/>
      <c r="Z226" s="137"/>
    </row>
    <row r="227">
      <c r="A227" s="295"/>
      <c r="B227" s="341" t="s">
        <v>922</v>
      </c>
      <c r="C227" s="361" t="s">
        <v>708</v>
      </c>
      <c r="D227" s="367">
        <f>ROUND((F227*'Pawn Weights'!$B$3)+(G227*'Pawn Weights'!$B$4)+(H227*'Pawn Weights'!$B$5)+(I227*'Pawn Weights'!$B$6)+(J227*'Pawn Weights'!$B$7)+(K227*'Pawn Weights'!$B$8)+(L227*'Pawn Weights'!$B$9)+(M227*'Pawn Weights'!$B$10)+(N227*'Pawn Weights'!$B$11)+(O227*'Pawn Weights'!$B$12)+(P227*'Pawn Weights'!$B$13)+(Q227*'Pawn Weights'!$B$14), 2)</f>
        <v>55.41</v>
      </c>
      <c r="E227" s="361"/>
      <c r="F227" s="361"/>
      <c r="G227" s="361"/>
      <c r="H227" s="359">
        <v>62.0</v>
      </c>
      <c r="I227" s="359">
        <v>19.0</v>
      </c>
      <c r="J227" s="359">
        <v>15.0</v>
      </c>
      <c r="K227" s="361"/>
      <c r="L227" s="361"/>
      <c r="M227" s="137"/>
      <c r="N227" s="361"/>
      <c r="O227" s="361"/>
      <c r="P227" s="361"/>
      <c r="Q227" s="361"/>
      <c r="R227" s="137"/>
      <c r="S227" s="137"/>
      <c r="T227" s="137"/>
      <c r="U227" s="137"/>
      <c r="V227" s="137"/>
      <c r="W227" s="137"/>
      <c r="X227" s="137"/>
      <c r="Y227" s="137"/>
      <c r="Z227" s="137"/>
    </row>
    <row r="228">
      <c r="A228" s="281"/>
      <c r="B228" s="288" t="s">
        <v>923</v>
      </c>
      <c r="C228" s="280" t="s">
        <v>656</v>
      </c>
      <c r="D228" s="293">
        <f>ROUND((F228*'Pawn Weights'!$B$3)+(G228*'Pawn Weights'!$B$4)+(H228*'Pawn Weights'!$B$5)+(I228*'Pawn Weights'!$B$6)+(J228*'Pawn Weights'!$B$7)+(K228*'Pawn Weights'!$B$8)+(L228*'Pawn Weights'!$B$9)+(M228*'Pawn Weights'!$B$10)+(N228*'Pawn Weights'!$B$11)+(O228*'Pawn Weights'!$B$12)+(P228*'Pawn Weights'!$B$13)+(Q228*'Pawn Weights'!$B$14), 2)</f>
        <v>53.51</v>
      </c>
      <c r="E228" s="280">
        <v>21.0</v>
      </c>
      <c r="F228" s="280"/>
      <c r="G228" s="280"/>
      <c r="H228" s="280">
        <v>44.0</v>
      </c>
      <c r="I228" s="280">
        <v>23.0</v>
      </c>
      <c r="J228" s="280">
        <v>19.0</v>
      </c>
      <c r="K228" s="280"/>
      <c r="L228" s="280"/>
      <c r="M228" s="281"/>
      <c r="N228" s="280"/>
      <c r="O228" s="280"/>
      <c r="P228" s="280"/>
      <c r="Q228" s="280"/>
      <c r="R228" s="290"/>
      <c r="S228" s="290"/>
      <c r="T228" s="281"/>
      <c r="U228" s="291"/>
      <c r="V228" s="281"/>
      <c r="W228" s="281"/>
      <c r="X228" s="281"/>
    </row>
    <row r="229">
      <c r="A229" s="295" t="s">
        <v>991</v>
      </c>
      <c r="B229" s="341" t="s">
        <v>1109</v>
      </c>
      <c r="C229" s="361" t="s">
        <v>1110</v>
      </c>
      <c r="D229" s="293">
        <f>ROUND((F229*'Pawn Weights'!$B$3)+(G229*'Pawn Weights'!$B$4)+(H229*'Pawn Weights'!$B$5)+(I229*'Pawn Weights'!$B$6)+(J229*'Pawn Weights'!$B$7)+(K229*'Pawn Weights'!$B$8)+(L229*'Pawn Weights'!$B$9)+(M229*'Pawn Weights'!$B$10)+(N229*'Pawn Weights'!$B$11)+(O229*'Pawn Weights'!$B$12)+(P229*'Pawn Weights'!$B$13)+(Q229*'Pawn Weights'!$B$14), 2)</f>
        <v>52.32</v>
      </c>
      <c r="E229" s="359">
        <v>34.0</v>
      </c>
      <c r="F229" s="361"/>
      <c r="G229" s="361"/>
      <c r="H229" s="359">
        <v>44.0</v>
      </c>
      <c r="I229" s="359">
        <v>26.0</v>
      </c>
      <c r="J229" s="361"/>
      <c r="K229" s="361"/>
      <c r="L229" s="361"/>
      <c r="M229" s="359">
        <v>56.0</v>
      </c>
      <c r="N229" s="361"/>
      <c r="O229" s="361"/>
      <c r="P229" s="361"/>
      <c r="Q229" s="137"/>
      <c r="R229" s="137"/>
      <c r="S229" s="137"/>
      <c r="T229" s="361" t="s">
        <v>861</v>
      </c>
      <c r="U229" s="137"/>
      <c r="V229" s="137"/>
      <c r="W229" s="137"/>
      <c r="X229" s="137"/>
      <c r="Y229" s="137"/>
      <c r="Z229" s="137"/>
    </row>
    <row r="230">
      <c r="A230" s="281"/>
      <c r="B230" s="288" t="s">
        <v>927</v>
      </c>
      <c r="C230" s="280" t="s">
        <v>710</v>
      </c>
      <c r="D230" s="293">
        <f>ROUND((F230*'Pawn Weights'!$B$3)+(G230*'Pawn Weights'!$B$4)+(H230*'Pawn Weights'!$B$5)+(I230*'Pawn Weights'!$B$6)+(J230*'Pawn Weights'!$B$7)+(K230*'Pawn Weights'!$B$8)+(L230*'Pawn Weights'!$B$9)+(M230*'Pawn Weights'!$B$10)+(N230*'Pawn Weights'!$B$11)+(O230*'Pawn Weights'!$B$12)+(P230*'Pawn Weights'!$B$13)+(Q230*'Pawn Weights'!$B$14), 2)</f>
        <v>51.32</v>
      </c>
      <c r="E230" s="280">
        <v>19.0</v>
      </c>
      <c r="F230" s="280"/>
      <c r="G230" s="280">
        <v>24.0</v>
      </c>
      <c r="H230" s="280">
        <v>50.0</v>
      </c>
      <c r="I230" s="280"/>
      <c r="J230" s="280">
        <v>19.0</v>
      </c>
      <c r="K230" s="280"/>
      <c r="L230" s="280"/>
      <c r="M230" s="281"/>
      <c r="N230" s="280"/>
      <c r="O230" s="280"/>
      <c r="P230" s="280"/>
      <c r="Q230" s="280"/>
      <c r="R230" s="290"/>
      <c r="S230" s="290"/>
      <c r="T230" s="281"/>
      <c r="U230" s="291"/>
      <c r="V230" s="281"/>
      <c r="W230" s="281"/>
      <c r="X230" s="281"/>
    </row>
    <row r="231">
      <c r="A231" s="281"/>
      <c r="B231" s="288" t="s">
        <v>1111</v>
      </c>
      <c r="C231" s="280" t="s">
        <v>1112</v>
      </c>
      <c r="D231" s="293">
        <f>ROUND((F231*'Pawn Weights'!$B$3)+(G231*'Pawn Weights'!$B$4)+(H231*'Pawn Weights'!$B$5)+(I231*'Pawn Weights'!$B$6)+(J231*'Pawn Weights'!$B$7)+(K231*'Pawn Weights'!$B$8)+(L231*'Pawn Weights'!$B$9)+(M231*'Pawn Weights'!$B$10)+(N231*'Pawn Weights'!$B$11)+(O231*'Pawn Weights'!$B$12)+(P231*'Pawn Weights'!$B$13)+(Q231*'Pawn Weights'!$B$14), 2)</f>
        <v>48.93</v>
      </c>
      <c r="E231" s="280"/>
      <c r="F231" s="280"/>
      <c r="G231" s="280"/>
      <c r="H231" s="280">
        <v>40.0</v>
      </c>
      <c r="I231" s="280">
        <v>20.0</v>
      </c>
      <c r="J231" s="280">
        <v>19.0</v>
      </c>
      <c r="K231" s="280"/>
      <c r="L231" s="280"/>
      <c r="M231" s="281"/>
      <c r="N231" s="280"/>
      <c r="O231" s="280"/>
      <c r="P231" s="280"/>
      <c r="Q231" s="280"/>
      <c r="R231" s="290"/>
      <c r="S231" s="290"/>
      <c r="T231" s="281"/>
      <c r="U231" s="291"/>
      <c r="V231" s="281"/>
      <c r="W231" s="281"/>
      <c r="X231" s="281"/>
    </row>
    <row r="232">
      <c r="A232" s="281"/>
      <c r="B232" s="288" t="s">
        <v>1113</v>
      </c>
      <c r="C232" s="280" t="s">
        <v>881</v>
      </c>
      <c r="D232" s="293">
        <f>ROUND((F232*'Pawn Weights'!$B$3)+(G232*'Pawn Weights'!$B$4)+(H232*'Pawn Weights'!$B$5)+(I232*'Pawn Weights'!$B$6)+(J232*'Pawn Weights'!$B$7)+(K232*'Pawn Weights'!$B$8)+(L232*'Pawn Weights'!$B$9)+(M232*'Pawn Weights'!$B$10)+(N232*'Pawn Weights'!$B$11)+(O232*'Pawn Weights'!$B$12)+(P232*'Pawn Weights'!$B$13)+(Q232*'Pawn Weights'!$B$14), 2)</f>
        <v>46.24</v>
      </c>
      <c r="E232" s="280">
        <v>24.0</v>
      </c>
      <c r="F232" s="280">
        <v>26.0</v>
      </c>
      <c r="G232" s="280"/>
      <c r="H232" s="280"/>
      <c r="I232" s="280">
        <v>22.0</v>
      </c>
      <c r="J232" s="280"/>
      <c r="K232" s="280"/>
      <c r="L232" s="280"/>
      <c r="M232" s="281"/>
      <c r="N232" s="280"/>
      <c r="O232" s="280"/>
      <c r="P232" s="280"/>
      <c r="Q232" s="280"/>
      <c r="R232" s="290"/>
      <c r="S232" s="290"/>
      <c r="T232" s="281"/>
      <c r="U232" s="291"/>
      <c r="V232" s="281"/>
      <c r="W232" s="281"/>
      <c r="X232" s="281"/>
    </row>
    <row r="233">
      <c r="A233" s="281"/>
      <c r="B233" s="288" t="s">
        <v>1114</v>
      </c>
      <c r="C233" s="280" t="s">
        <v>683</v>
      </c>
      <c r="D233" s="293">
        <f>ROUND((F233*'Pawn Weights'!$B$3)+(G233*'Pawn Weights'!$B$4)+(H233*'Pawn Weights'!$B$5)+(I233*'Pawn Weights'!$B$6)+(J233*'Pawn Weights'!$B$7)+(K233*'Pawn Weights'!$B$8)+(L233*'Pawn Weights'!$B$9)+(M233*'Pawn Weights'!$B$10)+(N233*'Pawn Weights'!$B$11)+(O233*'Pawn Weights'!$B$12)+(P233*'Pawn Weights'!$B$13)+(Q233*'Pawn Weights'!$B$14), 2)</f>
        <v>46.22</v>
      </c>
      <c r="E233" s="280">
        <v>30.0</v>
      </c>
      <c r="F233" s="280">
        <v>32.0</v>
      </c>
      <c r="G233" s="280">
        <v>21.0</v>
      </c>
      <c r="H233" s="280"/>
      <c r="I233" s="280"/>
      <c r="J233" s="280"/>
      <c r="K233" s="280"/>
      <c r="L233" s="280"/>
      <c r="M233" s="281"/>
      <c r="N233" s="280"/>
      <c r="O233" s="280"/>
      <c r="P233" s="280"/>
      <c r="Q233" s="280"/>
      <c r="R233" s="290"/>
      <c r="S233" s="290"/>
      <c r="T233" s="281"/>
      <c r="U233" s="291"/>
      <c r="V233" s="281"/>
      <c r="W233" s="281"/>
      <c r="X233" s="281"/>
    </row>
    <row r="234">
      <c r="A234" s="281"/>
      <c r="B234" s="288" t="s">
        <v>1115</v>
      </c>
      <c r="C234" s="280" t="s">
        <v>1116</v>
      </c>
      <c r="D234" s="293">
        <f>ROUND((F234*'Pawn Weights'!$B$3)+(G234*'Pawn Weights'!$B$4)+(H234*'Pawn Weights'!$B$5)+(I234*'Pawn Weights'!$B$6)+(J234*'Pawn Weights'!$B$7)+(K234*'Pawn Weights'!$B$8)+(L234*'Pawn Weights'!$B$9)+(M234*'Pawn Weights'!$B$10)+(N234*'Pawn Weights'!$B$11)+(O234*'Pawn Weights'!$B$12)+(P234*'Pawn Weights'!$B$13)+(Q234*'Pawn Weights'!$B$14), 2)</f>
        <v>43.42</v>
      </c>
      <c r="E234" s="280">
        <v>25.0</v>
      </c>
      <c r="F234" s="280"/>
      <c r="G234" s="280">
        <v>20.0</v>
      </c>
      <c r="H234" s="280">
        <v>40.0</v>
      </c>
      <c r="I234" s="280"/>
      <c r="J234" s="280">
        <v>18.0</v>
      </c>
      <c r="K234" s="280"/>
      <c r="L234" s="280"/>
      <c r="M234" s="281"/>
      <c r="N234" s="280"/>
      <c r="O234" s="280"/>
      <c r="P234" s="280"/>
      <c r="Q234" s="280"/>
      <c r="R234" s="290"/>
      <c r="S234" s="290"/>
      <c r="T234" s="281"/>
      <c r="U234" s="291"/>
      <c r="V234" s="281"/>
      <c r="W234" s="281"/>
      <c r="X234" s="281"/>
    </row>
    <row r="235">
      <c r="A235" s="292" t="s">
        <v>965</v>
      </c>
      <c r="B235" s="288" t="s">
        <v>1427</v>
      </c>
      <c r="C235" s="280" t="s">
        <v>1428</v>
      </c>
      <c r="D235" s="293">
        <f>ROUND((F235*'Pawn Weights'!$B$3)+(G235*'Pawn Weights'!$B$4)+(H235*'Pawn Weights'!$B$5)+(I235*'Pawn Weights'!$B$6)+(J235*'Pawn Weights'!$B$7)+(K235*'Pawn Weights'!$B$8)+(L235*'Pawn Weights'!$B$9)+(M235*'Pawn Weights'!$B$10)+(N235*'Pawn Weights'!$B$11)+(O235*'Pawn Weights'!$B$12)+(P235*'Pawn Weights'!$B$13)+(Q235*'Pawn Weights'!$B$14), 2)</f>
        <v>43.01</v>
      </c>
      <c r="E235" s="280"/>
      <c r="F235" s="280"/>
      <c r="G235" s="280"/>
      <c r="H235" s="280">
        <v>52.0</v>
      </c>
      <c r="I235" s="280">
        <v>14.0</v>
      </c>
      <c r="J235" s="280">
        <v>10.0</v>
      </c>
      <c r="K235" s="280"/>
      <c r="L235" s="280"/>
      <c r="M235" s="281"/>
      <c r="N235" s="280"/>
      <c r="O235" s="280"/>
      <c r="P235" s="280"/>
      <c r="Q235" s="280"/>
      <c r="R235" s="290"/>
      <c r="S235" s="290"/>
      <c r="T235" s="281"/>
      <c r="U235" s="291"/>
      <c r="V235" s="281"/>
      <c r="W235" s="281"/>
      <c r="X235" s="281"/>
    </row>
    <row r="236">
      <c r="A236" s="281"/>
      <c r="B236" s="288" t="s">
        <v>1429</v>
      </c>
      <c r="C236" s="280" t="s">
        <v>1430</v>
      </c>
      <c r="D236" s="293">
        <f>ROUND((F236*'Pawn Weights'!$B$3)+(G236*'Pawn Weights'!$B$4)+(H236*'Pawn Weights'!$B$5)+(I236*'Pawn Weights'!$B$6)+(J236*'Pawn Weights'!$B$7)+(K236*'Pawn Weights'!$B$8)+(L236*'Pawn Weights'!$B$9)+(M236*'Pawn Weights'!$B$10)+(N236*'Pawn Weights'!$B$11)+(O236*'Pawn Weights'!$B$12)+(P236*'Pawn Weights'!$B$13)+(Q236*'Pawn Weights'!$B$14), 2)</f>
        <v>42.07</v>
      </c>
      <c r="E236" s="280">
        <v>24.0</v>
      </c>
      <c r="F236" s="280"/>
      <c r="G236" s="280"/>
      <c r="H236" s="280">
        <v>46.0</v>
      </c>
      <c r="I236" s="280">
        <v>23.0</v>
      </c>
      <c r="J236" s="280"/>
      <c r="K236" s="280"/>
      <c r="L236" s="280"/>
      <c r="M236" s="281"/>
      <c r="N236" s="280"/>
      <c r="O236" s="280"/>
      <c r="P236" s="280"/>
      <c r="Q236" s="280"/>
      <c r="R236" s="290"/>
      <c r="S236" s="290"/>
      <c r="T236" s="281"/>
      <c r="U236" s="291"/>
      <c r="V236" s="281"/>
      <c r="W236" s="281"/>
      <c r="X236" s="281"/>
    </row>
    <row r="237">
      <c r="A237" s="281"/>
      <c r="B237" s="288" t="s">
        <v>1242</v>
      </c>
      <c r="C237" s="280" t="s">
        <v>1243</v>
      </c>
      <c r="D237" s="293">
        <f>ROUND((F237*'Pawn Weights'!$B$3)+(G237*'Pawn Weights'!$B$4)+(H237*'Pawn Weights'!$B$5)+(I237*'Pawn Weights'!$B$6)+(J237*'Pawn Weights'!$B$7)+(K237*'Pawn Weights'!$B$8)+(L237*'Pawn Weights'!$B$9)+(M237*'Pawn Weights'!$B$10)+(N237*'Pawn Weights'!$B$11)+(O237*'Pawn Weights'!$B$12)+(P237*'Pawn Weights'!$B$13)+(Q237*'Pawn Weights'!$B$14), 2)</f>
        <v>41.7</v>
      </c>
      <c r="E237" s="280">
        <v>28.0</v>
      </c>
      <c r="F237" s="280"/>
      <c r="G237" s="280"/>
      <c r="H237" s="280">
        <v>56.0</v>
      </c>
      <c r="I237" s="280"/>
      <c r="J237" s="280">
        <v>25.0</v>
      </c>
      <c r="K237" s="280"/>
      <c r="L237" s="280"/>
      <c r="M237" s="281"/>
      <c r="N237" s="280"/>
      <c r="O237" s="280"/>
      <c r="P237" s="280"/>
      <c r="Q237" s="280"/>
      <c r="R237" s="290"/>
      <c r="S237" s="290"/>
      <c r="T237" s="281"/>
      <c r="U237" s="291"/>
      <c r="V237" s="281"/>
      <c r="W237" s="281"/>
      <c r="X237" s="281"/>
    </row>
    <row r="238">
      <c r="A238" s="281"/>
      <c r="B238" s="311" t="s">
        <v>1638</v>
      </c>
      <c r="C238" s="280" t="s">
        <v>1639</v>
      </c>
      <c r="D238" s="293">
        <f>ROUND((F238*'Pawn Weights'!$B$3)+(G238*'Pawn Weights'!$B$4)+(H238*'Pawn Weights'!$B$5)+(I238*'Pawn Weights'!$B$6)+(J238*'Pawn Weights'!$B$7)+(K238*'Pawn Weights'!$B$8)+(L238*'Pawn Weights'!$B$9)+(M238*'Pawn Weights'!$B$10)+(N238*'Pawn Weights'!$B$11)+(O238*'Pawn Weights'!$B$12)+(P238*'Pawn Weights'!$B$13)+(Q238*'Pawn Weights'!$B$14), 2)</f>
        <v>41.66</v>
      </c>
      <c r="E238" s="280"/>
      <c r="F238" s="280">
        <v>25.0</v>
      </c>
      <c r="G238" s="280">
        <v>15.0</v>
      </c>
      <c r="H238" s="280"/>
      <c r="I238" s="280"/>
      <c r="J238" s="280">
        <v>10.0</v>
      </c>
      <c r="K238" s="280"/>
      <c r="L238" s="280"/>
      <c r="M238" s="281"/>
      <c r="N238" s="280"/>
      <c r="O238" s="280"/>
      <c r="P238" s="280"/>
      <c r="Q238" s="280"/>
      <c r="R238" s="290"/>
      <c r="S238" s="290"/>
      <c r="T238" s="281"/>
      <c r="U238" s="291"/>
      <c r="V238" s="281"/>
      <c r="W238" s="281"/>
      <c r="X238" s="281"/>
    </row>
    <row r="239">
      <c r="A239" s="281"/>
      <c r="B239" s="288" t="s">
        <v>1640</v>
      </c>
      <c r="C239" s="280" t="s">
        <v>1641</v>
      </c>
      <c r="D239" s="293">
        <f>ROUND((F239*'Pawn Weights'!$B$3)+(G239*'Pawn Weights'!$B$4)+(H239*'Pawn Weights'!$B$5)+(I239*'Pawn Weights'!$B$6)+(J239*'Pawn Weights'!$B$7)+(K239*'Pawn Weights'!$B$8)+(L239*'Pawn Weights'!$B$9)+(M239*'Pawn Weights'!$B$10)+(N239*'Pawn Weights'!$B$11)+(O239*'Pawn Weights'!$B$12)+(P239*'Pawn Weights'!$B$13)+(Q239*'Pawn Weights'!$B$14), 2)</f>
        <v>40.79</v>
      </c>
      <c r="E239" s="280">
        <v>27.0</v>
      </c>
      <c r="F239" s="280"/>
      <c r="G239" s="280">
        <v>24.0</v>
      </c>
      <c r="H239" s="280">
        <v>54.0</v>
      </c>
      <c r="I239" s="280"/>
      <c r="J239" s="280"/>
      <c r="K239" s="280"/>
      <c r="L239" s="280"/>
      <c r="M239" s="281"/>
      <c r="N239" s="280"/>
      <c r="O239" s="280"/>
      <c r="P239" s="280"/>
      <c r="Q239" s="280"/>
      <c r="R239" s="290"/>
      <c r="S239" s="290"/>
      <c r="T239" s="281"/>
      <c r="U239" s="291"/>
      <c r="V239" s="281"/>
      <c r="W239" s="281"/>
      <c r="X239" s="281"/>
    </row>
    <row r="240">
      <c r="A240" s="281"/>
      <c r="B240" s="302" t="s">
        <v>1642</v>
      </c>
      <c r="C240" s="280" t="s">
        <v>1643</v>
      </c>
      <c r="D240" s="293">
        <f>ROUND((F240*'Pawn Weights'!$B$3)+(G240*'Pawn Weights'!$B$4)+(H240*'Pawn Weights'!$B$5)+(I240*'Pawn Weights'!$B$6)+(J240*'Pawn Weights'!$B$7)+(K240*'Pawn Weights'!$B$8)+(L240*'Pawn Weights'!$B$9)+(M240*'Pawn Weights'!$B$10)+(N240*'Pawn Weights'!$B$11)+(O240*'Pawn Weights'!$B$12)+(P240*'Pawn Weights'!$B$13)+(Q240*'Pawn Weights'!$B$14), 2)</f>
        <v>39.83</v>
      </c>
      <c r="E240" s="280">
        <v>18.0</v>
      </c>
      <c r="F240" s="280">
        <v>29.0</v>
      </c>
      <c r="G240" s="280">
        <v>16.0</v>
      </c>
      <c r="H240" s="280"/>
      <c r="I240" s="280"/>
      <c r="J240" s="280"/>
      <c r="K240" s="280"/>
      <c r="L240" s="280"/>
      <c r="M240" s="281"/>
      <c r="N240" s="280"/>
      <c r="O240" s="280"/>
      <c r="P240" s="280"/>
      <c r="Q240" s="280"/>
      <c r="R240" s="290"/>
      <c r="S240" s="290"/>
      <c r="T240" s="281"/>
      <c r="U240" s="291"/>
      <c r="V240" s="281"/>
      <c r="W240" s="281"/>
      <c r="X240" s="281"/>
    </row>
    <row r="241">
      <c r="A241" s="281"/>
      <c r="B241" s="311" t="s">
        <v>1644</v>
      </c>
      <c r="C241" s="280" t="s">
        <v>1645</v>
      </c>
      <c r="D241" s="293">
        <f>ROUND((F241*'Pawn Weights'!$B$3)+(G241*'Pawn Weights'!$B$4)+(H241*'Pawn Weights'!$B$5)+(I241*'Pawn Weights'!$B$6)+(J241*'Pawn Weights'!$B$7)+(K241*'Pawn Weights'!$B$8)+(L241*'Pawn Weights'!$B$9)+(M241*'Pawn Weights'!$B$10)+(N241*'Pawn Weights'!$B$11)+(O241*'Pawn Weights'!$B$12)+(P241*'Pawn Weights'!$B$13)+(Q241*'Pawn Weights'!$B$14), 2)</f>
        <v>39.56</v>
      </c>
      <c r="E241" s="280">
        <v>18.0</v>
      </c>
      <c r="F241" s="280">
        <v>23.0</v>
      </c>
      <c r="G241" s="280"/>
      <c r="H241" s="280"/>
      <c r="I241" s="280">
        <v>18.0</v>
      </c>
      <c r="J241" s="280"/>
      <c r="K241" s="280"/>
      <c r="L241" s="280"/>
      <c r="M241" s="281"/>
      <c r="N241" s="280"/>
      <c r="O241" s="280"/>
      <c r="P241" s="280"/>
      <c r="Q241" s="280"/>
      <c r="R241" s="290"/>
      <c r="S241" s="290"/>
      <c r="T241" s="281"/>
      <c r="U241" s="291"/>
      <c r="V241" s="281"/>
      <c r="W241" s="281"/>
      <c r="X241" s="281"/>
    </row>
    <row r="242">
      <c r="A242" s="281"/>
      <c r="B242" s="311" t="s">
        <v>1646</v>
      </c>
      <c r="C242" s="280" t="s">
        <v>1647</v>
      </c>
      <c r="D242" s="293">
        <f>ROUND((F242*'Pawn Weights'!$B$3)+(G242*'Pawn Weights'!$B$4)+(H242*'Pawn Weights'!$B$5)+(I242*'Pawn Weights'!$B$6)+(J242*'Pawn Weights'!$B$7)+(K242*'Pawn Weights'!$B$8)+(L242*'Pawn Weights'!$B$9)+(M242*'Pawn Weights'!$B$10)+(N242*'Pawn Weights'!$B$11)+(O242*'Pawn Weights'!$B$12)+(P242*'Pawn Weights'!$B$13)+(Q242*'Pawn Weights'!$B$14), 2)</f>
        <v>39.38</v>
      </c>
      <c r="E242" s="280"/>
      <c r="F242" s="280"/>
      <c r="G242" s="280">
        <v>15.0</v>
      </c>
      <c r="H242" s="280">
        <v>50.0</v>
      </c>
      <c r="I242" s="280"/>
      <c r="J242" s="280">
        <v>10.0</v>
      </c>
      <c r="K242" s="280"/>
      <c r="L242" s="280"/>
      <c r="M242" s="281"/>
      <c r="N242" s="280"/>
      <c r="O242" s="280"/>
      <c r="P242" s="280"/>
      <c r="Q242" s="280"/>
      <c r="R242" s="290"/>
      <c r="S242" s="290"/>
      <c r="T242" s="281"/>
      <c r="U242" s="291"/>
      <c r="V242" s="281"/>
      <c r="W242" s="281"/>
      <c r="X242" s="281"/>
    </row>
    <row r="243">
      <c r="A243" s="281"/>
      <c r="B243" s="288" t="s">
        <v>1244</v>
      </c>
      <c r="C243" s="280" t="s">
        <v>1245</v>
      </c>
      <c r="D243" s="293">
        <f>ROUND((F243*'Pawn Weights'!$B$3)+(G243*'Pawn Weights'!$B$4)+(H243*'Pawn Weights'!$B$5)+(I243*'Pawn Weights'!$B$6)+(J243*'Pawn Weights'!$B$7)+(K243*'Pawn Weights'!$B$8)+(L243*'Pawn Weights'!$B$9)+(M243*'Pawn Weights'!$B$10)+(N243*'Pawn Weights'!$B$11)+(O243*'Pawn Weights'!$B$12)+(P243*'Pawn Weights'!$B$13)+(Q243*'Pawn Weights'!$B$14), 2)</f>
        <v>39.33</v>
      </c>
      <c r="E243" s="280">
        <v>18.0</v>
      </c>
      <c r="F243" s="280"/>
      <c r="G243" s="280">
        <v>25.0</v>
      </c>
      <c r="H243" s="280"/>
      <c r="I243" s="280"/>
      <c r="J243" s="280"/>
      <c r="K243" s="280"/>
      <c r="L243" s="280">
        <v>20.0</v>
      </c>
      <c r="M243" s="281"/>
      <c r="N243" s="280"/>
      <c r="O243" s="280"/>
      <c r="P243" s="280"/>
      <c r="Q243" s="280"/>
      <c r="R243" s="290"/>
      <c r="S243" s="290"/>
      <c r="T243" s="281"/>
      <c r="U243" s="291" t="s">
        <v>1246</v>
      </c>
      <c r="V243" s="281"/>
      <c r="W243" s="281"/>
      <c r="X243" s="281"/>
    </row>
    <row r="244">
      <c r="A244" s="281"/>
      <c r="B244" s="288" t="s">
        <v>1648</v>
      </c>
      <c r="C244" s="280" t="s">
        <v>1649</v>
      </c>
      <c r="D244" s="293">
        <f>ROUND((F244*'Pawn Weights'!$B$3)+(G244*'Pawn Weights'!$B$4)+(H244*'Pawn Weights'!$B$5)+(I244*'Pawn Weights'!$B$6)+(J244*'Pawn Weights'!$B$7)+(K244*'Pawn Weights'!$B$8)+(L244*'Pawn Weights'!$B$9)+(M244*'Pawn Weights'!$B$10)+(N244*'Pawn Weights'!$B$11)+(O244*'Pawn Weights'!$B$12)+(P244*'Pawn Weights'!$B$13)+(Q244*'Pawn Weights'!$B$14), 2)</f>
        <v>39.33</v>
      </c>
      <c r="E244" s="280">
        <v>30.0</v>
      </c>
      <c r="F244" s="280"/>
      <c r="G244" s="280"/>
      <c r="H244" s="280">
        <v>42.0</v>
      </c>
      <c r="I244" s="280">
        <v>22.0</v>
      </c>
      <c r="J244" s="280"/>
      <c r="K244" s="280"/>
      <c r="L244" s="280"/>
      <c r="M244" s="281"/>
      <c r="N244" s="280"/>
      <c r="O244" s="280"/>
      <c r="P244" s="280"/>
      <c r="Q244" s="280"/>
      <c r="R244" s="290"/>
      <c r="S244" s="290"/>
      <c r="T244" s="281"/>
      <c r="U244" s="291"/>
      <c r="V244" s="281"/>
      <c r="W244" s="281"/>
      <c r="X244" s="281"/>
    </row>
    <row r="245">
      <c r="A245" s="281"/>
      <c r="B245" s="288" t="s">
        <v>1650</v>
      </c>
      <c r="C245" s="280" t="s">
        <v>1651</v>
      </c>
      <c r="D245" s="293">
        <f>ROUND((F245*'Pawn Weights'!$B$3)+(G245*'Pawn Weights'!$B$4)+(H245*'Pawn Weights'!$B$5)+(I245*'Pawn Weights'!$B$6)+(J245*'Pawn Weights'!$B$7)+(K245*'Pawn Weights'!$B$8)+(L245*'Pawn Weights'!$B$9)+(M245*'Pawn Weights'!$B$10)+(N245*'Pawn Weights'!$B$11)+(O245*'Pawn Weights'!$B$12)+(P245*'Pawn Weights'!$B$13)+(Q245*'Pawn Weights'!$B$14), 2)</f>
        <v>37.32</v>
      </c>
      <c r="E245" s="280">
        <v>24.0</v>
      </c>
      <c r="F245" s="280"/>
      <c r="G245" s="280"/>
      <c r="H245" s="280">
        <v>34.0</v>
      </c>
      <c r="I245" s="280">
        <v>16.0</v>
      </c>
      <c r="J245" s="280">
        <v>11.0</v>
      </c>
      <c r="K245" s="280"/>
      <c r="L245" s="280"/>
      <c r="M245" s="281"/>
      <c r="N245" s="280"/>
      <c r="O245" s="280"/>
      <c r="P245" s="280"/>
      <c r="Q245" s="280"/>
      <c r="R245" s="290"/>
      <c r="S245" s="290"/>
      <c r="T245" s="281"/>
      <c r="U245" s="291"/>
      <c r="V245" s="281"/>
      <c r="W245" s="281"/>
      <c r="X245" s="281"/>
    </row>
    <row r="246">
      <c r="A246" s="224" t="s">
        <v>928</v>
      </c>
      <c r="B246" s="312" t="s">
        <v>929</v>
      </c>
      <c r="C246" s="281"/>
      <c r="D246" s="293"/>
      <c r="E246" s="313" t="s">
        <v>607</v>
      </c>
      <c r="F246" s="314" t="s">
        <v>608</v>
      </c>
      <c r="G246" s="314" t="s">
        <v>561</v>
      </c>
      <c r="H246" s="314" t="s">
        <v>930</v>
      </c>
      <c r="I246" s="314" t="s">
        <v>330</v>
      </c>
      <c r="J246" s="314" t="s">
        <v>344</v>
      </c>
      <c r="K246" s="314" t="s">
        <v>356</v>
      </c>
      <c r="L246" s="314" t="s">
        <v>563</v>
      </c>
      <c r="M246" s="314" t="s">
        <v>564</v>
      </c>
      <c r="N246" s="281"/>
      <c r="O246" s="281"/>
      <c r="P246" s="281"/>
      <c r="Q246" s="281"/>
      <c r="R246" s="282"/>
      <c r="S246" s="282"/>
      <c r="T246" s="281"/>
      <c r="U246" s="285"/>
      <c r="V246" s="281"/>
      <c r="W246" s="281"/>
      <c r="X246" s="281"/>
    </row>
    <row r="247" ht="15.0" customHeight="1">
      <c r="A247" s="292" t="s">
        <v>931</v>
      </c>
      <c r="B247" s="288" t="s">
        <v>932</v>
      </c>
      <c r="C247" s="280" t="s">
        <v>871</v>
      </c>
      <c r="D247" s="25"/>
      <c r="E247" s="280">
        <v>30.0</v>
      </c>
      <c r="F247" s="280"/>
      <c r="G247" s="280"/>
      <c r="H247" s="280"/>
      <c r="I247" s="280"/>
      <c r="J247" s="280"/>
      <c r="K247" s="280"/>
      <c r="L247" s="280"/>
      <c r="M247" s="281"/>
      <c r="N247" s="280"/>
      <c r="O247" s="280"/>
      <c r="P247" s="280"/>
      <c r="Q247" s="280"/>
      <c r="R247" s="290"/>
      <c r="S247" s="290"/>
      <c r="T247" s="281"/>
      <c r="U247" s="291" t="s">
        <v>933</v>
      </c>
      <c r="V247" s="281"/>
      <c r="W247" s="281"/>
      <c r="X247" s="281"/>
    </row>
    <row r="248">
      <c r="A248" s="281"/>
      <c r="B248" s="288" t="s">
        <v>936</v>
      </c>
      <c r="C248" s="280" t="s">
        <v>823</v>
      </c>
      <c r="D248" s="293">
        <f>ROUND((F248*'Pawn Weights'!$B$3)+(G248*'Pawn Weights'!$B$4)+(H248*'Pawn Weights'!$B$5)+(I248*'Pawn Weights'!$B$6)+(J248*'Pawn Weights'!$B$7)+(K248*'Pawn Weights'!$B$8)+(L248*'Pawn Weights'!$B$9)+(M248*'Pawn Weights'!$B$10)+(N248*'Pawn Weights'!$B$11)+(O248*'Pawn Weights'!$B$12)+(P248*'Pawn Weights'!$B$13)+(Q248*'Pawn Weights'!$B$14), 2)</f>
        <v>94.75</v>
      </c>
      <c r="E248" s="280"/>
      <c r="F248" s="280"/>
      <c r="G248" s="280"/>
      <c r="H248" s="280">
        <v>40.0</v>
      </c>
      <c r="I248" s="280"/>
      <c r="J248" s="280"/>
      <c r="K248" s="280">
        <v>100.75</v>
      </c>
      <c r="L248" s="280"/>
      <c r="M248" s="281"/>
      <c r="N248" s="280"/>
      <c r="O248" s="280"/>
      <c r="P248" s="280"/>
      <c r="Q248" s="280"/>
      <c r="R248" s="290"/>
      <c r="S248" s="290"/>
      <c r="T248" s="281"/>
      <c r="U248" s="291" t="s">
        <v>937</v>
      </c>
      <c r="V248" s="281"/>
      <c r="W248" s="281"/>
      <c r="X248" s="281"/>
    </row>
    <row r="249" ht="15.0" customHeight="1">
      <c r="A249" s="295"/>
      <c r="B249" s="296" t="s">
        <v>938</v>
      </c>
      <c r="C249" s="297" t="s">
        <v>939</v>
      </c>
      <c r="D249" s="293">
        <f>ROUND((F249*'Pawn Weights'!$B$3)+(G249*'Pawn Weights'!$B$4)+(H249*'Pawn Weights'!$B$5)+(I249*'Pawn Weights'!$B$6)+(J249*'Pawn Weights'!$B$7)+(K249*'Pawn Weights'!$B$8)+(L249*'Pawn Weights'!$B$9)+(M249*'Pawn Weights'!$B$10)+(N249*'Pawn Weights'!$B$11)+(O249*'Pawn Weights'!$B$12)+(P249*'Pawn Weights'!$B$13)+(Q249*'Pawn Weights'!$B$14), 2)</f>
        <v>91.09</v>
      </c>
      <c r="E249" s="297"/>
      <c r="F249" s="297"/>
      <c r="G249" s="297"/>
      <c r="H249" s="298">
        <v>92.0</v>
      </c>
      <c r="I249" s="297"/>
      <c r="J249" s="297"/>
      <c r="K249" s="297"/>
      <c r="L249" s="298">
        <v>44.0</v>
      </c>
      <c r="M249" s="137"/>
      <c r="N249" s="297"/>
      <c r="O249" s="297"/>
      <c r="P249" s="297"/>
      <c r="Q249" s="297"/>
      <c r="R249" s="295"/>
      <c r="S249" s="295"/>
      <c r="T249" s="361" t="s">
        <v>940</v>
      </c>
      <c r="U249" s="295"/>
      <c r="V249" s="137"/>
      <c r="W249" s="137"/>
      <c r="X249" s="137"/>
      <c r="Y249" s="137"/>
      <c r="Z249" s="137"/>
    </row>
    <row r="250">
      <c r="A250" s="292" t="s">
        <v>949</v>
      </c>
      <c r="B250" s="288" t="s">
        <v>950</v>
      </c>
      <c r="C250" s="280" t="s">
        <v>951</v>
      </c>
      <c r="D250" s="293">
        <f>ROUND((F250*'Pawn Weights'!$B$3)+(G250*'Pawn Weights'!$B$4)+(H250*'Pawn Weights'!$B$5)+(I250*'Pawn Weights'!$B$6)+(J250*'Pawn Weights'!$B$7)+(K250*'Pawn Weights'!$B$8)+(L250*'Pawn Weights'!$B$9)+(M250*'Pawn Weights'!$B$10)+(N250*'Pawn Weights'!$B$11)+(O250*'Pawn Weights'!$B$12)+(P250*'Pawn Weights'!$B$13)+(Q250*'Pawn Weights'!$B$14), 2)</f>
        <v>68.18</v>
      </c>
      <c r="E250" s="280"/>
      <c r="F250" s="280"/>
      <c r="G250" s="280"/>
      <c r="H250" s="280">
        <v>150.0</v>
      </c>
      <c r="I250" s="280"/>
      <c r="J250" s="280"/>
      <c r="K250" s="280"/>
      <c r="L250" s="280"/>
      <c r="M250" s="281"/>
      <c r="N250" s="280"/>
      <c r="O250" s="280"/>
      <c r="P250" s="280"/>
      <c r="Q250" s="280"/>
      <c r="R250" s="290"/>
      <c r="S250" s="290"/>
      <c r="T250" s="281"/>
      <c r="U250" s="291" t="s">
        <v>952</v>
      </c>
      <c r="V250" s="281"/>
      <c r="W250" s="281"/>
      <c r="X250" s="281"/>
    </row>
    <row r="251">
      <c r="A251" s="281"/>
      <c r="B251" s="288" t="s">
        <v>956</v>
      </c>
      <c r="C251" s="280" t="s">
        <v>957</v>
      </c>
      <c r="D251" s="293">
        <f>ROUND((F251*'Pawn Weights'!$B$3)+(G251*'Pawn Weights'!$B$4)+(H251*'Pawn Weights'!$B$5)+(I251*'Pawn Weights'!$B$6)+(J251*'Pawn Weights'!$B$7)+(K251*'Pawn Weights'!$B$8)+(L251*'Pawn Weights'!$B$9)+(M251*'Pawn Weights'!$B$10)+(N251*'Pawn Weights'!$B$11)+(O251*'Pawn Weights'!$B$12)+(P251*'Pawn Weights'!$B$13)+(Q251*'Pawn Weights'!$B$14), 2)</f>
        <v>61.46</v>
      </c>
      <c r="E251" s="280"/>
      <c r="F251" s="280"/>
      <c r="G251" s="280"/>
      <c r="H251" s="280">
        <v>44.0</v>
      </c>
      <c r="I251" s="280">
        <v>38.0</v>
      </c>
      <c r="J251" s="280">
        <v>10.0</v>
      </c>
      <c r="K251" s="280"/>
      <c r="L251" s="280"/>
      <c r="M251" s="281"/>
      <c r="N251" s="280"/>
      <c r="O251" s="280"/>
      <c r="P251" s="280"/>
      <c r="Q251" s="280"/>
      <c r="R251" s="290"/>
      <c r="S251" s="290"/>
      <c r="T251" s="281"/>
      <c r="U251" s="291" t="s">
        <v>958</v>
      </c>
      <c r="V251" s="281"/>
      <c r="W251" s="281"/>
      <c r="X251" s="281"/>
    </row>
    <row r="252">
      <c r="A252" s="137" t="s">
        <v>627</v>
      </c>
      <c r="B252" s="296" t="s">
        <v>953</v>
      </c>
      <c r="C252" s="297" t="s">
        <v>954</v>
      </c>
      <c r="D252" s="293">
        <f>ROUND((F252*'Pawn Weights'!$B$3)+(G252*'Pawn Weights'!$B$4)+(H252*'Pawn Weights'!$B$5)+(I252*'Pawn Weights'!$B$6)+(J252*'Pawn Weights'!$B$7)+(K252*'Pawn Weights'!$B$8)+(L252*'Pawn Weights'!$B$9)+(M252*'Pawn Weights'!$B$10)+(N252*'Pawn Weights'!$B$11)+(O252*'Pawn Weights'!$B$12)+(P252*'Pawn Weights'!$B$13)+(Q252*'Pawn Weights'!$B$14), 2)</f>
        <v>60.6</v>
      </c>
      <c r="E252" s="295"/>
      <c r="F252" s="295"/>
      <c r="G252" s="295"/>
      <c r="H252" s="298">
        <v>133.33</v>
      </c>
      <c r="I252" s="295"/>
      <c r="J252" s="295"/>
      <c r="K252" s="295"/>
      <c r="L252" s="295"/>
      <c r="M252" s="137"/>
      <c r="N252" s="295"/>
      <c r="O252" s="295"/>
      <c r="P252" s="295"/>
      <c r="Q252" s="295"/>
      <c r="R252" s="295"/>
      <c r="S252" s="295"/>
      <c r="T252" s="361" t="s">
        <v>955</v>
      </c>
      <c r="U252" s="295"/>
      <c r="V252" s="137"/>
      <c r="W252" s="137"/>
      <c r="X252" s="137"/>
      <c r="Y252" s="137"/>
      <c r="Z252" s="137"/>
    </row>
    <row r="253">
      <c r="A253" s="281"/>
      <c r="B253" s="288" t="s">
        <v>959</v>
      </c>
      <c r="C253" s="154" t="s">
        <v>960</v>
      </c>
      <c r="D253" s="293">
        <f>ROUND((F253*'Pawn Weights'!$B$3)+(G253*'Pawn Weights'!$B$4)+(H253*'Pawn Weights'!$B$5)+(I253*'Pawn Weights'!$B$6)+(J253*'Pawn Weights'!$B$7)+(K253*'Pawn Weights'!$B$8)+(L253*'Pawn Weights'!$B$9)+(M253*'Pawn Weights'!$B$10)+(N253*'Pawn Weights'!$B$11)+(O253*'Pawn Weights'!$B$12)+(P253*'Pawn Weights'!$B$13)+(Q253*'Pawn Weights'!$B$14), 2)</f>
        <v>54.54</v>
      </c>
      <c r="E253" s="280"/>
      <c r="F253" s="280"/>
      <c r="G253" s="280"/>
      <c r="H253" s="280">
        <v>120.0</v>
      </c>
      <c r="I253" s="280"/>
      <c r="J253" s="280"/>
      <c r="K253" s="280"/>
      <c r="L253" s="280"/>
      <c r="M253" s="280"/>
      <c r="N253" s="280"/>
      <c r="O253" s="280"/>
      <c r="P253" s="280"/>
      <c r="Q253" s="280"/>
      <c r="R253" s="290"/>
      <c r="S253" s="290"/>
      <c r="T253" s="281"/>
      <c r="U253" s="291" t="s">
        <v>961</v>
      </c>
      <c r="V253" s="281"/>
      <c r="W253" s="281"/>
      <c r="X253" s="281"/>
      <c r="Y253" s="281"/>
    </row>
    <row r="254">
      <c r="A254" s="281"/>
      <c r="B254" s="288" t="s">
        <v>962</v>
      </c>
      <c r="C254" s="280" t="s">
        <v>963</v>
      </c>
      <c r="D254" s="293">
        <f>ROUND((F254*'Pawn Weights'!$B$3)+(G254*'Pawn Weights'!$B$4)+(H254*'Pawn Weights'!$B$5)+(I254*'Pawn Weights'!$B$6)+(J254*'Pawn Weights'!$B$7)+(K254*'Pawn Weights'!$B$8)+(L254*'Pawn Weights'!$B$9)+(M254*'Pawn Weights'!$B$10)+(N254*'Pawn Weights'!$B$11)+(O254*'Pawn Weights'!$B$12)+(P254*'Pawn Weights'!$B$13)+(Q254*'Pawn Weights'!$B$14), 2)</f>
        <v>53.63</v>
      </c>
      <c r="E254" s="280"/>
      <c r="F254" s="280"/>
      <c r="G254" s="280"/>
      <c r="H254" s="280">
        <v>118.0</v>
      </c>
      <c r="I254" s="280"/>
      <c r="J254" s="280"/>
      <c r="K254" s="280"/>
      <c r="L254" s="280"/>
      <c r="M254" s="280"/>
      <c r="N254" s="280"/>
      <c r="O254" s="280"/>
      <c r="P254" s="280"/>
      <c r="Q254" s="280"/>
      <c r="R254" s="290"/>
      <c r="S254" s="290"/>
      <c r="T254" s="281"/>
      <c r="U254" s="291" t="s">
        <v>964</v>
      </c>
      <c r="V254" s="281"/>
      <c r="W254" s="281"/>
      <c r="X254" s="281"/>
      <c r="Y254" s="281"/>
    </row>
    <row r="255">
      <c r="A255" s="292" t="s">
        <v>965</v>
      </c>
      <c r="B255" s="288" t="s">
        <v>966</v>
      </c>
      <c r="C255" s="280" t="s">
        <v>967</v>
      </c>
      <c r="D255" s="293">
        <f>ROUND((F255*'Pawn Weights'!$B$3)+(G255*'Pawn Weights'!$B$4)+(H255*'Pawn Weights'!$B$5)+(I255*'Pawn Weights'!$B$6)+(J255*'Pawn Weights'!$B$7)+(K255*'Pawn Weights'!$B$8)+(L255*'Pawn Weights'!$B$9)+(M255*'Pawn Weights'!$B$10)+(N255*'Pawn Weights'!$B$11)+(O255*'Pawn Weights'!$B$12)+(P255*'Pawn Weights'!$B$13)+(Q255*'Pawn Weights'!$B$14), 2)</f>
        <v>48.63</v>
      </c>
      <c r="E255" s="280"/>
      <c r="F255" s="280"/>
      <c r="G255" s="280"/>
      <c r="H255" s="280">
        <v>107.0</v>
      </c>
      <c r="I255" s="280"/>
      <c r="J255" s="280"/>
      <c r="K255" s="280"/>
      <c r="L255" s="280"/>
      <c r="M255" s="281"/>
      <c r="N255" s="280"/>
      <c r="O255" s="280"/>
      <c r="P255" s="280"/>
      <c r="Q255" s="280"/>
      <c r="R255" s="290"/>
      <c r="S255" s="290"/>
      <c r="T255" s="281"/>
      <c r="U255" s="291" t="s">
        <v>968</v>
      </c>
      <c r="V255" s="281"/>
      <c r="W255" s="281"/>
      <c r="X255" s="281"/>
    </row>
    <row r="256">
      <c r="A256" s="281"/>
      <c r="B256" s="311" t="s">
        <v>969</v>
      </c>
      <c r="C256" s="280" t="s">
        <v>970</v>
      </c>
      <c r="D256" s="293">
        <f>ROUND((F256*'Pawn Weights'!$B$3)+(G256*'Pawn Weights'!$B$4)+(H256*'Pawn Weights'!$B$5)+(I256*'Pawn Weights'!$B$6)+(J256*'Pawn Weights'!$B$7)+(K256*'Pawn Weights'!$B$8)+(L256*'Pawn Weights'!$B$9)+(M256*'Pawn Weights'!$B$10)+(N256*'Pawn Weights'!$B$11)+(O256*'Pawn Weights'!$B$12)+(P256*'Pawn Weights'!$B$13)+(Q256*'Pawn Weights'!$B$14), 2)</f>
        <v>47.17</v>
      </c>
      <c r="E256" s="280"/>
      <c r="F256" s="280"/>
      <c r="G256" s="280"/>
      <c r="H256" s="280">
        <v>39.0</v>
      </c>
      <c r="I256" s="280">
        <v>32.0</v>
      </c>
      <c r="J256" s="280"/>
      <c r="K256" s="280"/>
      <c r="L256" s="280"/>
      <c r="M256" s="280"/>
      <c r="N256" s="280"/>
      <c r="O256" s="280"/>
      <c r="P256" s="280"/>
      <c r="Q256" s="280"/>
      <c r="R256" s="290"/>
      <c r="S256" s="290"/>
      <c r="T256" s="281"/>
      <c r="U256" s="291" t="s">
        <v>971</v>
      </c>
      <c r="V256" s="281"/>
      <c r="W256" s="281"/>
      <c r="X256" s="281"/>
      <c r="Y256" s="281"/>
    </row>
    <row r="257">
      <c r="A257" s="281"/>
      <c r="B257" s="311" t="s">
        <v>1357</v>
      </c>
      <c r="C257" s="280" t="s">
        <v>1358</v>
      </c>
      <c r="D257" s="293">
        <f>ROUND((F257*'Pawn Weights'!$B$3)+(G257*'Pawn Weights'!$B$4)+(H257*'Pawn Weights'!$B$5)+(I257*'Pawn Weights'!$B$6)+(J257*'Pawn Weights'!$B$7)+(K257*'Pawn Weights'!$B$8)+(L257*'Pawn Weights'!$B$9)+(M257*'Pawn Weights'!$B$10)+(N257*'Pawn Weights'!$B$11)+(O257*'Pawn Weights'!$B$12)+(P257*'Pawn Weights'!$B$13)+(Q257*'Pawn Weights'!$B$14), 2)</f>
        <v>45.54</v>
      </c>
      <c r="E257" s="280"/>
      <c r="F257" s="280"/>
      <c r="G257" s="280"/>
      <c r="H257" s="280">
        <v>64.0</v>
      </c>
      <c r="I257" s="280"/>
      <c r="J257" s="280"/>
      <c r="K257" s="280">
        <v>21.65</v>
      </c>
      <c r="L257" s="280"/>
      <c r="M257" s="281"/>
      <c r="N257" s="280"/>
      <c r="O257" s="280"/>
      <c r="P257" s="280"/>
      <c r="Q257" s="280"/>
      <c r="R257" s="290"/>
      <c r="S257" s="290"/>
      <c r="T257" s="281"/>
      <c r="U257" s="291" t="s">
        <v>1359</v>
      </c>
      <c r="V257" s="281"/>
      <c r="W257" s="281"/>
      <c r="X257" s="281"/>
    </row>
    <row r="258">
      <c r="A258" s="281"/>
      <c r="B258" s="311" t="s">
        <v>1652</v>
      </c>
      <c r="C258" s="280" t="s">
        <v>1653</v>
      </c>
      <c r="D258" s="293">
        <f>ROUND((F258*'Pawn Weights'!$B$3)+(G258*'Pawn Weights'!$B$4)+(H258*'Pawn Weights'!$B$5)+(I258*'Pawn Weights'!$B$6)+(J258*'Pawn Weights'!$B$7)+(K258*'Pawn Weights'!$B$8)+(L258*'Pawn Weights'!$B$9)+(M258*'Pawn Weights'!$B$10)+(N258*'Pawn Weights'!$B$11)+(O258*'Pawn Weights'!$B$12)+(P258*'Pawn Weights'!$B$13)+(Q258*'Pawn Weights'!$B$14), 2)</f>
        <v>38.92</v>
      </c>
      <c r="E258" s="280"/>
      <c r="F258" s="280"/>
      <c r="G258" s="280"/>
      <c r="H258" s="280">
        <v>33.0</v>
      </c>
      <c r="I258" s="280">
        <v>26.0</v>
      </c>
      <c r="J258" s="280"/>
      <c r="K258" s="280"/>
      <c r="L258" s="280"/>
      <c r="M258" s="281"/>
      <c r="N258" s="280"/>
      <c r="O258" s="280"/>
      <c r="P258" s="280"/>
      <c r="Q258" s="280"/>
      <c r="R258" s="290"/>
      <c r="S258" s="290"/>
      <c r="T258" s="281"/>
      <c r="U258" s="291" t="s">
        <v>1654</v>
      </c>
      <c r="V258" s="281"/>
      <c r="W258" s="281"/>
      <c r="X258" s="281"/>
    </row>
    <row r="259">
      <c r="A259" s="281"/>
      <c r="B259" s="322" t="s">
        <v>1655</v>
      </c>
      <c r="C259" s="280" t="s">
        <v>1656</v>
      </c>
      <c r="D259" s="293">
        <f>ROUND((F259*'Pawn Weights'!$B$3)+(G259*'Pawn Weights'!$B$4)+(H259*'Pawn Weights'!$B$5)+(I259*'Pawn Weights'!$B$6)+(J259*'Pawn Weights'!$B$7)+(K259*'Pawn Weights'!$B$8)+(L259*'Pawn Weights'!$B$9)+(M259*'Pawn Weights'!$B$10)+(N259*'Pawn Weights'!$B$11)+(O259*'Pawn Weights'!$B$12)+(P259*'Pawn Weights'!$B$13)+(Q259*'Pawn Weights'!$B$14), 2)</f>
        <v>38.63</v>
      </c>
      <c r="E259" s="280"/>
      <c r="F259" s="280"/>
      <c r="G259" s="280"/>
      <c r="H259" s="280">
        <v>85.0</v>
      </c>
      <c r="I259" s="280"/>
      <c r="J259" s="280"/>
      <c r="K259" s="280"/>
      <c r="L259" s="280"/>
      <c r="M259" s="281"/>
      <c r="N259" s="280"/>
      <c r="O259" s="280"/>
      <c r="P259" s="280"/>
      <c r="Q259" s="280"/>
      <c r="R259" s="290"/>
      <c r="S259" s="290"/>
      <c r="T259" s="281"/>
      <c r="U259" s="291" t="s">
        <v>1657</v>
      </c>
      <c r="V259" s="281"/>
      <c r="W259" s="281"/>
      <c r="X259" s="281"/>
    </row>
    <row r="260">
      <c r="A260" s="292" t="s">
        <v>965</v>
      </c>
      <c r="B260" s="288" t="s">
        <v>1658</v>
      </c>
      <c r="C260" s="280" t="s">
        <v>1659</v>
      </c>
      <c r="D260" s="293">
        <f>ROUND((F260*'Pawn Weights'!$B$3)+(G260*'Pawn Weights'!$B$4)+(H260*'Pawn Weights'!$B$5)+(I260*'Pawn Weights'!$B$6)+(J260*'Pawn Weights'!$B$7)+(K260*'Pawn Weights'!$B$8)+(L260*'Pawn Weights'!$B$9)+(M260*'Pawn Weights'!$B$10)+(N260*'Pawn Weights'!$B$11)+(O260*'Pawn Weights'!$B$12)+(P260*'Pawn Weights'!$B$13)+(Q260*'Pawn Weights'!$B$14), 2)</f>
        <v>38.45</v>
      </c>
      <c r="E260" s="280"/>
      <c r="F260" s="280"/>
      <c r="G260" s="280"/>
      <c r="H260" s="280">
        <v>56.0</v>
      </c>
      <c r="I260" s="280"/>
      <c r="J260" s="280">
        <v>20.0</v>
      </c>
      <c r="K260" s="280"/>
      <c r="L260" s="280"/>
      <c r="M260" s="281"/>
      <c r="N260" s="280"/>
      <c r="O260" s="280"/>
      <c r="P260" s="280"/>
      <c r="Q260" s="280"/>
      <c r="R260" s="290"/>
      <c r="S260" s="290"/>
      <c r="T260" s="281"/>
      <c r="U260" s="291" t="s">
        <v>1660</v>
      </c>
      <c r="V260" s="281"/>
      <c r="W260" s="281"/>
      <c r="X260" s="281"/>
    </row>
    <row r="261">
      <c r="A261" s="292" t="s">
        <v>965</v>
      </c>
      <c r="B261" s="288" t="s">
        <v>1661</v>
      </c>
      <c r="C261" s="280" t="s">
        <v>1662</v>
      </c>
      <c r="D261" s="293">
        <f>ROUND((F261*'Pawn Weights'!$B$3)+(G261*'Pawn Weights'!$B$4)+(H261*'Pawn Weights'!$B$5)+(I261*'Pawn Weights'!$B$6)+(J261*'Pawn Weights'!$B$7)+(K261*'Pawn Weights'!$B$8)+(L261*'Pawn Weights'!$B$9)+(M261*'Pawn Weights'!$B$10)+(N261*'Pawn Weights'!$B$11)+(O261*'Pawn Weights'!$B$12)+(P261*'Pawn Weights'!$B$13)+(Q261*'Pawn Weights'!$B$14), 2)</f>
        <v>38.38</v>
      </c>
      <c r="E261" s="280"/>
      <c r="F261" s="280"/>
      <c r="G261" s="280"/>
      <c r="H261" s="280"/>
      <c r="I261" s="280">
        <v>14.0</v>
      </c>
      <c r="J261" s="280">
        <v>10.0</v>
      </c>
      <c r="K261" s="280">
        <v>25.0</v>
      </c>
      <c r="L261" s="280"/>
      <c r="M261" s="281"/>
      <c r="N261" s="280"/>
      <c r="O261" s="280"/>
      <c r="P261" s="280"/>
      <c r="Q261" s="280"/>
      <c r="R261" s="290"/>
      <c r="S261" s="290"/>
      <c r="T261" s="281"/>
      <c r="U261" s="291" t="s">
        <v>1663</v>
      </c>
      <c r="V261" s="281"/>
      <c r="W261" s="281"/>
      <c r="X261" s="281"/>
    </row>
    <row r="262">
      <c r="A262" s="292"/>
      <c r="B262" s="311" t="s">
        <v>1664</v>
      </c>
      <c r="C262" s="280" t="s">
        <v>1665</v>
      </c>
      <c r="D262" s="293">
        <f>ROUND((F262*'Pawn Weights'!$B$3)+(G262*'Pawn Weights'!$B$4)+(H262*'Pawn Weights'!$B$5)+(I262*'Pawn Weights'!$B$6)+(J262*'Pawn Weights'!$B$7)+(K262*'Pawn Weights'!$B$8)+(L262*'Pawn Weights'!$B$9)+(M262*'Pawn Weights'!$B$10)+(N262*'Pawn Weights'!$B$11)+(O262*'Pawn Weights'!$B$12)+(P262*'Pawn Weights'!$B$13)+(Q262*'Pawn Weights'!$B$14), 2)</f>
        <v>34.5</v>
      </c>
      <c r="E262" s="280"/>
      <c r="F262" s="280"/>
      <c r="G262" s="280"/>
      <c r="H262" s="280"/>
      <c r="I262" s="280"/>
      <c r="J262" s="280">
        <v>30.0</v>
      </c>
      <c r="K262" s="280"/>
      <c r="L262" s="280"/>
      <c r="M262" s="280">
        <v>100.0</v>
      </c>
      <c r="N262" s="280"/>
      <c r="O262" s="280"/>
      <c r="P262" s="280"/>
      <c r="Q262" s="280"/>
      <c r="R262" s="290"/>
      <c r="S262" s="290"/>
      <c r="T262" s="281"/>
      <c r="U262" s="291" t="s">
        <v>1666</v>
      </c>
      <c r="V262" s="281"/>
      <c r="W262" s="281"/>
      <c r="X262" s="281"/>
    </row>
    <row r="263">
      <c r="A263" s="272" t="s">
        <v>972</v>
      </c>
      <c r="B263" s="281"/>
      <c r="C263" s="281"/>
      <c r="D263" s="25"/>
      <c r="E263" s="281"/>
      <c r="F263" s="281"/>
      <c r="G263" s="281"/>
      <c r="H263" s="281"/>
      <c r="I263" s="281"/>
      <c r="J263" s="281"/>
      <c r="K263" s="281"/>
      <c r="L263" s="281"/>
      <c r="M263" s="281"/>
      <c r="N263" s="281"/>
      <c r="O263" s="281"/>
      <c r="P263" s="281"/>
      <c r="Q263" s="281"/>
      <c r="R263" s="282"/>
      <c r="S263" s="282"/>
      <c r="T263" s="281"/>
      <c r="U263" s="285"/>
      <c r="V263" s="281"/>
      <c r="W263" s="281"/>
      <c r="X263" s="281"/>
    </row>
    <row r="264">
      <c r="A264" s="137"/>
      <c r="B264" s="341" t="s">
        <v>979</v>
      </c>
      <c r="C264" s="361" t="s">
        <v>980</v>
      </c>
      <c r="D264" s="293">
        <f>ROUND((F264*'Pawn Weights'!$B$3)+(G264*'Pawn Weights'!$B$4)+(H264*'Pawn Weights'!$B$5)+(I264*'Pawn Weights'!$B$6)+(J264*'Pawn Weights'!$B$7)+(K264*'Pawn Weights'!$B$8)+(L264*'Pawn Weights'!$B$9)+(M264*'Pawn Weights'!$B$10)+(N264*'Pawn Weights'!$B$11)+(O264*'Pawn Weights'!$B$12)+(P264*'Pawn Weights'!$B$13)+(Q264*'Pawn Weights'!$B$14), 2)</f>
        <v>40.2</v>
      </c>
      <c r="E264" s="137"/>
      <c r="F264" s="137"/>
      <c r="G264" s="137"/>
      <c r="H264" s="359">
        <v>32.0</v>
      </c>
      <c r="I264" s="359">
        <v>18.0</v>
      </c>
      <c r="J264" s="359">
        <v>14.0</v>
      </c>
      <c r="K264" s="137"/>
      <c r="L264" s="137"/>
      <c r="M264" s="137"/>
      <c r="N264" s="137"/>
      <c r="O264" s="137"/>
      <c r="P264" s="137"/>
      <c r="Q264" s="137"/>
      <c r="R264" s="137"/>
      <c r="S264" s="137"/>
      <c r="T264" s="137"/>
      <c r="U264" s="137"/>
      <c r="V264" s="137"/>
      <c r="W264" s="137"/>
      <c r="X264" s="137"/>
      <c r="Y264" s="137"/>
      <c r="Z264" s="137"/>
    </row>
    <row r="265">
      <c r="A265" s="137" t="s">
        <v>671</v>
      </c>
      <c r="B265" s="341" t="s">
        <v>985</v>
      </c>
      <c r="C265" s="361" t="s">
        <v>637</v>
      </c>
      <c r="D265" s="293">
        <f>ROUND((F265*'Pawn Weights'!$B$3)+(G265*'Pawn Weights'!$B$4)+(H265*'Pawn Weights'!$B$5)+(I265*'Pawn Weights'!$B$6)+(J265*'Pawn Weights'!$B$7)+(K265*'Pawn Weights'!$B$8)+(L265*'Pawn Weights'!$B$9)+(M265*'Pawn Weights'!$B$10)+(N265*'Pawn Weights'!$B$11)+(O265*'Pawn Weights'!$B$12)+(P265*'Pawn Weights'!$B$13)+(Q265*'Pawn Weights'!$B$14), 2)</f>
        <v>32.01</v>
      </c>
      <c r="E265" s="359">
        <v>27.0</v>
      </c>
      <c r="F265" s="137"/>
      <c r="G265" s="137"/>
      <c r="H265" s="359">
        <v>34.0</v>
      </c>
      <c r="I265" s="359">
        <v>18.0</v>
      </c>
      <c r="J265" s="137"/>
      <c r="K265" s="137"/>
      <c r="L265" s="137"/>
      <c r="M265" s="137"/>
      <c r="N265" s="137"/>
      <c r="O265" s="137"/>
      <c r="P265" s="137"/>
      <c r="Q265" s="137"/>
      <c r="R265" s="137"/>
      <c r="S265" s="137"/>
      <c r="T265" s="361" t="s">
        <v>986</v>
      </c>
      <c r="U265" s="137"/>
      <c r="V265" s="137"/>
      <c r="W265" s="137"/>
      <c r="X265" s="137"/>
      <c r="Y265" s="137"/>
      <c r="Z265" s="137"/>
    </row>
    <row r="266">
      <c r="A266" s="219" t="s">
        <v>991</v>
      </c>
      <c r="B266" s="341" t="s">
        <v>992</v>
      </c>
      <c r="C266" s="361" t="s">
        <v>646</v>
      </c>
      <c r="D266" s="293">
        <f>ROUND((F266*'Pawn Weights'!$B$3)+(G266*'Pawn Weights'!$B$4)+(H266*'Pawn Weights'!$B$5)+(I266*'Pawn Weights'!$B$6)+(J266*'Pawn Weights'!$B$7)+(K266*'Pawn Weights'!$B$8)+(L266*'Pawn Weights'!$B$9)+(M266*'Pawn Weights'!$B$10)+(N266*'Pawn Weights'!$B$11)+(O266*'Pawn Weights'!$B$12)+(P266*'Pawn Weights'!$B$13)+(Q266*'Pawn Weights'!$B$14), 2)</f>
        <v>29.28</v>
      </c>
      <c r="E266" s="359">
        <v>24.0</v>
      </c>
      <c r="F266" s="137"/>
      <c r="G266" s="137"/>
      <c r="H266" s="359">
        <v>30.0</v>
      </c>
      <c r="I266" s="359">
        <v>17.0</v>
      </c>
      <c r="J266" s="137"/>
      <c r="K266" s="137"/>
      <c r="L266" s="137"/>
      <c r="M266" s="137"/>
      <c r="N266" s="137"/>
      <c r="O266" s="137"/>
      <c r="P266" s="137"/>
      <c r="Q266" s="137"/>
      <c r="R266" s="137"/>
      <c r="S266" s="137"/>
      <c r="T266" s="361" t="s">
        <v>986</v>
      </c>
      <c r="U266" s="137"/>
      <c r="V266" s="137"/>
      <c r="W266" s="137"/>
      <c r="X266" s="137"/>
      <c r="Y266" s="137"/>
      <c r="Z266" s="137"/>
    </row>
    <row r="267">
      <c r="A267" s="281"/>
      <c r="B267" s="288" t="s">
        <v>987</v>
      </c>
      <c r="C267" s="280" t="s">
        <v>649</v>
      </c>
      <c r="D267" s="293">
        <f>ROUND((F267*'Pawn Weights'!$B$3)+(G267*'Pawn Weights'!$B$4)+(H267*'Pawn Weights'!$B$5)+(I267*'Pawn Weights'!$B$6)+(J267*'Pawn Weights'!$B$7)+(K267*'Pawn Weights'!$B$8)+(L267*'Pawn Weights'!$B$9)+(M267*'Pawn Weights'!$B$10)+(N267*'Pawn Weights'!$B$11)+(O267*'Pawn Weights'!$B$12)+(P267*'Pawn Weights'!$B$13)+(Q267*'Pawn Weights'!$B$14), 2)</f>
        <v>31.99</v>
      </c>
      <c r="E267" s="280">
        <v>17.0</v>
      </c>
      <c r="F267" s="280"/>
      <c r="G267" s="280"/>
      <c r="H267" s="280">
        <v>38.0</v>
      </c>
      <c r="I267" s="280">
        <v>16.0</v>
      </c>
      <c r="J267" s="280"/>
      <c r="K267" s="320"/>
      <c r="L267" s="320"/>
      <c r="M267" s="281"/>
      <c r="N267" s="320"/>
      <c r="O267" s="280"/>
      <c r="P267" s="320"/>
      <c r="Q267" s="320"/>
      <c r="R267" s="290"/>
      <c r="S267" s="290"/>
      <c r="T267" s="281"/>
      <c r="U267" s="291"/>
      <c r="V267" s="281"/>
      <c r="W267" s="281"/>
      <c r="X267" s="281"/>
    </row>
    <row r="268">
      <c r="A268" s="281"/>
      <c r="B268" s="288" t="s">
        <v>981</v>
      </c>
      <c r="C268" s="280" t="s">
        <v>982</v>
      </c>
      <c r="D268" s="293">
        <f>ROUND((F268*'Pawn Weights'!$B$3)+(G268*'Pawn Weights'!$B$4)+(H268*'Pawn Weights'!$B$5)+(I268*'Pawn Weights'!$B$6)+(J268*'Pawn Weights'!$B$7)+(K268*'Pawn Weights'!$B$8)+(L268*'Pawn Weights'!$B$9)+(M268*'Pawn Weights'!$B$10)+(N268*'Pawn Weights'!$B$11)+(O268*'Pawn Weights'!$B$12)+(P268*'Pawn Weights'!$B$13)+(Q268*'Pawn Weights'!$B$14)+2.76, 2)</f>
        <v>29.59</v>
      </c>
      <c r="E268" s="280"/>
      <c r="F268" s="280"/>
      <c r="G268" s="280">
        <v>16.0</v>
      </c>
      <c r="H268" s="280"/>
      <c r="I268" s="280"/>
      <c r="J268" s="280"/>
      <c r="K268" s="320"/>
      <c r="L268" s="320"/>
      <c r="M268" s="281"/>
      <c r="N268" s="320"/>
      <c r="O268" s="280">
        <v>2.0</v>
      </c>
      <c r="P268" s="320"/>
      <c r="Q268" s="320"/>
      <c r="R268" s="290" t="s">
        <v>702</v>
      </c>
      <c r="S268" s="290"/>
      <c r="T268" s="281"/>
      <c r="U268" s="291"/>
      <c r="V268" s="281"/>
      <c r="W268" s="281"/>
      <c r="X268" s="281"/>
    </row>
    <row r="269">
      <c r="A269" s="137"/>
      <c r="B269" s="296" t="s">
        <v>989</v>
      </c>
      <c r="C269" s="297" t="s">
        <v>990</v>
      </c>
      <c r="D269" s="293">
        <f>ROUND((F269*'Pawn Weights'!$B$3)+(G269*'Pawn Weights'!$B$4)+(H269*'Pawn Weights'!$B$5)+(I269*'Pawn Weights'!$B$6)+(J269*'Pawn Weights'!$B$7)+(K269*'Pawn Weights'!$B$8)+(L269*'Pawn Weights'!$B$9)+(M269*'Pawn Weights'!$B$10)+(N269*'Pawn Weights'!$B$11)+(O269*'Pawn Weights'!$B$12)+(P269*'Pawn Weights'!$B$13)+(Q269*'Pawn Weights'!$B$14), 2)</f>
        <v>28.9</v>
      </c>
      <c r="E269" s="295"/>
      <c r="F269" s="295"/>
      <c r="G269" s="298">
        <v>14.0</v>
      </c>
      <c r="H269" s="298">
        <v>26.0</v>
      </c>
      <c r="I269" s="295"/>
      <c r="J269" s="295"/>
      <c r="K269" s="359">
        <v>10.0</v>
      </c>
      <c r="L269" s="137"/>
      <c r="M269" s="137"/>
      <c r="N269" s="137"/>
      <c r="O269" s="295"/>
      <c r="P269" s="137"/>
      <c r="Q269" s="137"/>
      <c r="R269" s="295"/>
      <c r="S269" s="295"/>
      <c r="T269" s="137"/>
      <c r="U269" s="295"/>
      <c r="V269" s="137"/>
      <c r="W269" s="137"/>
      <c r="X269" s="137"/>
      <c r="Y269" s="137"/>
      <c r="Z269" s="137"/>
    </row>
    <row r="270">
      <c r="A270" s="281"/>
      <c r="B270" s="288" t="s">
        <v>994</v>
      </c>
      <c r="C270" s="280" t="s">
        <v>656</v>
      </c>
      <c r="D270" s="293">
        <f>ROUND((F270*'Pawn Weights'!$B$3)+(G270*'Pawn Weights'!$B$4)+(H270*'Pawn Weights'!$B$5)+(I270*'Pawn Weights'!$B$6)+(J270*'Pawn Weights'!$B$7)+(K270*'Pawn Weights'!$B$8)+(L270*'Pawn Weights'!$B$9)+(M270*'Pawn Weights'!$B$10)+(N270*'Pawn Weights'!$B$11)+(O270*'Pawn Weights'!$B$12)+(P270*'Pawn Weights'!$B$13)+(Q270*'Pawn Weights'!$B$14), 2)</f>
        <v>28.32</v>
      </c>
      <c r="E270" s="280"/>
      <c r="F270" s="280"/>
      <c r="G270" s="280">
        <v>19.0</v>
      </c>
      <c r="H270" s="280">
        <v>34.0</v>
      </c>
      <c r="I270" s="280"/>
      <c r="J270" s="280"/>
      <c r="K270" s="320"/>
      <c r="L270" s="320"/>
      <c r="M270" s="281"/>
      <c r="N270" s="320"/>
      <c r="O270" s="320"/>
      <c r="P270" s="320"/>
      <c r="Q270" s="320"/>
      <c r="R270" s="321"/>
      <c r="S270" s="321"/>
      <c r="T270" s="281"/>
      <c r="U270" s="291"/>
      <c r="V270" s="281"/>
      <c r="W270" s="281"/>
      <c r="X270" s="281"/>
    </row>
    <row r="271" ht="14.25" customHeight="1">
      <c r="A271" s="219" t="s">
        <v>995</v>
      </c>
      <c r="B271" s="288" t="s">
        <v>996</v>
      </c>
      <c r="C271" s="154" t="s">
        <v>997</v>
      </c>
      <c r="D271" s="293">
        <f>ROUND((F271*'Pawn Weights'!$B$3)+(G271*'Pawn Weights'!$B$4)+(H271*'Pawn Weights'!$B$5)+(I271*'Pawn Weights'!$B$6)+(J271*'Pawn Weights'!$B$7)+(K271*'Pawn Weights'!$B$8)+(L271*'Pawn Weights'!$B$9)+(M271*'Pawn Weights'!$B$10)+(N271*'Pawn Weights'!$B$11)+(O271*'Pawn Weights'!$B$12)+(P271*'Pawn Weights'!$B$13)+(Q271*'Pawn Weights'!$B$14), 2)</f>
        <v>27.45</v>
      </c>
      <c r="E271" s="280">
        <v>21.0</v>
      </c>
      <c r="F271" s="280"/>
      <c r="G271" s="280"/>
      <c r="H271" s="280">
        <v>28.0</v>
      </c>
      <c r="I271" s="280">
        <v>16.0</v>
      </c>
      <c r="J271" s="280"/>
      <c r="K271" s="280"/>
      <c r="L271" s="280"/>
      <c r="M271" s="281"/>
      <c r="N271" s="280"/>
      <c r="O271" s="280"/>
      <c r="P271" s="280"/>
      <c r="Q271" s="280"/>
      <c r="R271" s="290"/>
      <c r="S271" s="290"/>
      <c r="T271" s="281"/>
      <c r="U271" s="291" t="s">
        <v>986</v>
      </c>
      <c r="V271" s="281"/>
      <c r="W271" s="281"/>
      <c r="X271" s="281"/>
    </row>
    <row r="272" ht="14.25" customHeight="1">
      <c r="B272" s="322" t="s">
        <v>998</v>
      </c>
      <c r="C272" s="154" t="s">
        <v>999</v>
      </c>
      <c r="D272" s="293">
        <f>ROUND((F272*'Pawn Weights'!$B$3)+(G272*'Pawn Weights'!$B$4)+(H272*'Pawn Weights'!$B$5)+(I272*'Pawn Weights'!$B$6)+(J272*'Pawn Weights'!$B$7)+(K272*'Pawn Weights'!$B$8)+(L272*'Pawn Weights'!$B$9)+(M272*'Pawn Weights'!$B$10)+(N272*'Pawn Weights'!$B$11)+(O272*'Pawn Weights'!$B$12)+(P272*'Pawn Weights'!$B$13)+(Q272*'Pawn Weights'!$B$14), 2)</f>
        <v>26.83</v>
      </c>
      <c r="E272" s="280"/>
      <c r="F272" s="280"/>
      <c r="G272" s="280">
        <v>10.0</v>
      </c>
      <c r="H272" s="280">
        <v>32.0</v>
      </c>
      <c r="I272" s="280">
        <v>6.0</v>
      </c>
      <c r="J272" s="280"/>
      <c r="K272" s="280"/>
      <c r="L272" s="280"/>
      <c r="M272" s="281"/>
      <c r="N272" s="280"/>
      <c r="O272" s="280"/>
      <c r="P272" s="280"/>
      <c r="Q272" s="280"/>
      <c r="R272" s="290"/>
      <c r="S272" s="290"/>
      <c r="T272" s="281"/>
      <c r="U272" s="291"/>
      <c r="V272" s="281"/>
      <c r="W272" s="281"/>
      <c r="X272" s="281"/>
    </row>
    <row r="273">
      <c r="A273" s="281"/>
      <c r="B273" s="288" t="s">
        <v>1120</v>
      </c>
      <c r="C273" s="280" t="s">
        <v>681</v>
      </c>
      <c r="D273" s="293">
        <f>ROUND((F273*'Pawn Weights'!$B$3)+(G273*'Pawn Weights'!$B$4)+(H273*'Pawn Weights'!$B$5)+(I273*'Pawn Weights'!$B$6)+(J273*'Pawn Weights'!$B$7)+(K273*'Pawn Weights'!$B$8)+(L273*'Pawn Weights'!$B$9)+(M273*'Pawn Weights'!$B$10)+(N273*'Pawn Weights'!$B$11)+(O273*'Pawn Weights'!$B$12)+(P273*'Pawn Weights'!$B$13)+(Q273*'Pawn Weights'!$B$14), 2)</f>
        <v>26.2</v>
      </c>
      <c r="E273" s="280">
        <v>14.0</v>
      </c>
      <c r="F273" s="280"/>
      <c r="G273" s="280"/>
      <c r="H273" s="280"/>
      <c r="I273" s="280">
        <v>20.0</v>
      </c>
      <c r="J273" s="280">
        <v>12.0</v>
      </c>
      <c r="K273" s="320"/>
      <c r="L273" s="320"/>
      <c r="M273" s="281"/>
      <c r="N273" s="320"/>
      <c r="O273" s="280"/>
      <c r="P273" s="320"/>
      <c r="Q273" s="320"/>
      <c r="R273" s="290"/>
      <c r="S273" s="290"/>
      <c r="T273" s="281"/>
      <c r="U273" s="291"/>
      <c r="V273" s="281"/>
      <c r="W273" s="281"/>
      <c r="X273" s="281"/>
    </row>
    <row r="274">
      <c r="A274" s="281"/>
      <c r="B274" s="288" t="s">
        <v>1121</v>
      </c>
      <c r="C274" s="280" t="s">
        <v>1122</v>
      </c>
      <c r="D274" s="293">
        <f>ROUND((F274*'Pawn Weights'!$B$3)+(G274*'Pawn Weights'!$B$4)+(H274*'Pawn Weights'!$B$5)+(I274*'Pawn Weights'!$B$6)+(J274*'Pawn Weights'!$B$7)+(K274*'Pawn Weights'!$B$8)+(L274*'Pawn Weights'!$B$9)+(M274*'Pawn Weights'!$B$10)+(N274*'Pawn Weights'!$B$11)+(O274*'Pawn Weights'!$B$12)+(P274*'Pawn Weights'!$B$13)+(Q274*'Pawn Weights'!$B$14), 2)</f>
        <v>26.2</v>
      </c>
      <c r="E274" s="280"/>
      <c r="F274" s="280"/>
      <c r="G274" s="280"/>
      <c r="H274" s="280"/>
      <c r="I274" s="280">
        <v>20.0</v>
      </c>
      <c r="J274" s="280">
        <v>12.0</v>
      </c>
      <c r="K274" s="280"/>
      <c r="L274" s="280"/>
      <c r="M274" s="281"/>
      <c r="N274" s="280"/>
      <c r="O274" s="280"/>
      <c r="P274" s="280"/>
      <c r="Q274" s="280"/>
      <c r="R274" s="290"/>
      <c r="S274" s="290"/>
      <c r="T274" s="281"/>
      <c r="U274" s="291"/>
      <c r="V274" s="281"/>
      <c r="W274" s="281"/>
      <c r="X274" s="281"/>
    </row>
    <row r="275">
      <c r="A275" s="281"/>
      <c r="B275" s="288" t="s">
        <v>1123</v>
      </c>
      <c r="C275" s="280" t="s">
        <v>1025</v>
      </c>
      <c r="D275" s="293">
        <f>ROUND((F275*'Pawn Weights'!$B$3)+(G275*'Pawn Weights'!$B$4)+(H275*'Pawn Weights'!$B$5)+(I275*'Pawn Weights'!$B$6)+(J275*'Pawn Weights'!$B$7)+(K275*'Pawn Weights'!$B$8)+(L275*'Pawn Weights'!$B$9)+(M275*'Pawn Weights'!$B$10)+(N275*'Pawn Weights'!$B$11)+(O275*'Pawn Weights'!$B$12)+(P275*'Pawn Weights'!$B$13)+(Q275*'Pawn Weights'!$B$14), 2)</f>
        <v>25.89</v>
      </c>
      <c r="E275" s="280"/>
      <c r="F275" s="280"/>
      <c r="G275" s="280">
        <v>20.0</v>
      </c>
      <c r="H275" s="280"/>
      <c r="I275" s="280"/>
      <c r="J275" s="280">
        <v>19.0</v>
      </c>
      <c r="K275" s="320"/>
      <c r="L275" s="320"/>
      <c r="M275" s="281"/>
      <c r="N275" s="320"/>
      <c r="O275" s="280"/>
      <c r="P275" s="320"/>
      <c r="Q275" s="320"/>
      <c r="R275" s="290"/>
      <c r="S275" s="290"/>
      <c r="T275" s="281"/>
      <c r="U275" s="291"/>
      <c r="V275" s="281"/>
      <c r="W275" s="281"/>
      <c r="X275" s="281"/>
    </row>
    <row r="276">
      <c r="A276" s="281"/>
      <c r="B276" s="288" t="s">
        <v>1251</v>
      </c>
      <c r="C276" s="280" t="s">
        <v>1252</v>
      </c>
      <c r="D276" s="293">
        <f>ROUND((F276*'Pawn Weights'!$B$3)+(G276*'Pawn Weights'!$B$4)+(H276*'Pawn Weights'!$B$5)+(I276*'Pawn Weights'!$B$6)+(J276*'Pawn Weights'!$B$7)+(K276*'Pawn Weights'!$B$8)+(L276*'Pawn Weights'!$B$9)+(M276*'Pawn Weights'!$B$10)+(N276*'Pawn Weights'!$B$11)+(O276*'Pawn Weights'!$B$12)+(P276*'Pawn Weights'!$B$13)+(Q276*'Pawn Weights'!$B$14), 2)</f>
        <v>25.27</v>
      </c>
      <c r="E276" s="280"/>
      <c r="F276" s="280"/>
      <c r="G276" s="280">
        <v>12.0</v>
      </c>
      <c r="H276" s="280">
        <v>22.0</v>
      </c>
      <c r="I276" s="320"/>
      <c r="J276" s="280">
        <v>11.0</v>
      </c>
      <c r="K276" s="320"/>
      <c r="L276" s="320"/>
      <c r="M276" s="281"/>
      <c r="N276" s="320"/>
      <c r="O276" s="320"/>
      <c r="P276" s="320"/>
      <c r="Q276" s="320"/>
      <c r="R276" s="321"/>
      <c r="S276" s="321"/>
      <c r="T276" s="281"/>
      <c r="U276" s="291"/>
      <c r="V276" s="281"/>
      <c r="W276" s="281"/>
      <c r="X276" s="281"/>
    </row>
    <row r="277">
      <c r="A277" s="292" t="s">
        <v>627</v>
      </c>
      <c r="B277" s="311" t="s">
        <v>1667</v>
      </c>
      <c r="C277" s="280" t="s">
        <v>1561</v>
      </c>
      <c r="D277" s="293">
        <f>ROUND((F277*'Pawn Weights'!$B$3)+(G277*'Pawn Weights'!$B$4)+(H277*'Pawn Weights'!$B$5)+(I277*'Pawn Weights'!$B$6)+(J277*'Pawn Weights'!$B$7)+(K277*'Pawn Weights'!$B$8)+(L277*'Pawn Weights'!$B$9)+(M277*'Pawn Weights'!$B$10)+(N277*'Pawn Weights'!$B$11)+(O277*'Pawn Weights'!$B$12)+(P277*'Pawn Weights'!$B$13)+(Q277*'Pawn Weights'!$B$14), 2)</f>
        <v>24.79</v>
      </c>
      <c r="E277" s="280"/>
      <c r="F277" s="280"/>
      <c r="G277" s="280"/>
      <c r="H277" s="280">
        <v>20.0</v>
      </c>
      <c r="I277" s="280">
        <v>10.0</v>
      </c>
      <c r="J277" s="280">
        <v>10.0</v>
      </c>
      <c r="K277" s="280"/>
      <c r="L277" s="280"/>
      <c r="M277" s="281"/>
      <c r="N277" s="280"/>
      <c r="O277" s="280"/>
      <c r="P277" s="280"/>
      <c r="Q277" s="280"/>
      <c r="R277" s="290"/>
      <c r="S277" s="290"/>
      <c r="T277" s="281"/>
      <c r="U277" s="291"/>
      <c r="V277" s="281"/>
      <c r="W277" s="281"/>
      <c r="X277" s="281"/>
    </row>
    <row r="278">
      <c r="A278" s="281"/>
      <c r="B278" s="288" t="s">
        <v>1668</v>
      </c>
      <c r="C278" s="280" t="s">
        <v>1294</v>
      </c>
      <c r="D278" s="293">
        <f>ROUND((F278*'Pawn Weights'!$B$3)+(G278*'Pawn Weights'!$B$4)+(H278*'Pawn Weights'!$B$5)+(I278*'Pawn Weights'!$B$6)+(J278*'Pawn Weights'!$B$7)+(K278*'Pawn Weights'!$B$8)+(L278*'Pawn Weights'!$B$9)+(M278*'Pawn Weights'!$B$10)+(N278*'Pawn Weights'!$B$11)+(O278*'Pawn Weights'!$B$12)+(P278*'Pawn Weights'!$B$13)+(Q278*'Pawn Weights'!$B$14), 2)</f>
        <v>24.7</v>
      </c>
      <c r="E278" s="280"/>
      <c r="F278" s="280"/>
      <c r="G278" s="280">
        <v>15.0</v>
      </c>
      <c r="H278" s="280">
        <v>32.0</v>
      </c>
      <c r="I278" s="280"/>
      <c r="J278" s="280"/>
      <c r="K278" s="320"/>
      <c r="L278" s="320"/>
      <c r="M278" s="281"/>
      <c r="N278" s="320"/>
      <c r="O278" s="320"/>
      <c r="P278" s="320"/>
      <c r="Q278" s="320"/>
      <c r="R278" s="321"/>
      <c r="S278" s="321"/>
      <c r="T278" s="281"/>
      <c r="U278" s="291"/>
      <c r="V278" s="281"/>
      <c r="W278" s="281"/>
      <c r="X278" s="281"/>
    </row>
    <row r="279">
      <c r="A279" s="281"/>
      <c r="B279" s="288" t="s">
        <v>1253</v>
      </c>
      <c r="C279" s="280" t="s">
        <v>1078</v>
      </c>
      <c r="D279" s="293">
        <f>ROUND((F279*'Pawn Weights'!$B$3)+(G279*'Pawn Weights'!$B$4)+(H279*'Pawn Weights'!$B$5)+(I279*'Pawn Weights'!$B$6)+(J279*'Pawn Weights'!$B$7)+(K279*'Pawn Weights'!$B$8)+(L279*'Pawn Weights'!$B$9)+(M279*'Pawn Weights'!$B$10)+(N279*'Pawn Weights'!$B$11)+(O279*'Pawn Weights'!$B$12)+(P279*'Pawn Weights'!$B$13)+(Q279*'Pawn Weights'!$B$14), 2)</f>
        <v>24.04</v>
      </c>
      <c r="E279" s="280"/>
      <c r="F279" s="280"/>
      <c r="G279" s="280"/>
      <c r="H279" s="280">
        <v>30.0</v>
      </c>
      <c r="I279" s="280"/>
      <c r="J279" s="280">
        <v>16.0</v>
      </c>
      <c r="K279" s="320"/>
      <c r="L279" s="320"/>
      <c r="M279" s="281"/>
      <c r="N279" s="320"/>
      <c r="O279" s="320"/>
      <c r="P279" s="320"/>
      <c r="Q279" s="320"/>
      <c r="R279" s="321"/>
      <c r="S279" s="321"/>
      <c r="T279" s="281"/>
      <c r="U279" s="291"/>
      <c r="V279" s="281"/>
      <c r="W279" s="281"/>
      <c r="X279" s="281"/>
    </row>
    <row r="280">
      <c r="A280" s="292" t="s">
        <v>965</v>
      </c>
      <c r="B280" s="288" t="s">
        <v>1669</v>
      </c>
      <c r="C280" s="280" t="s">
        <v>1670</v>
      </c>
      <c r="D280" s="293">
        <f>ROUND((F280*'Pawn Weights'!$B$3)+(G280*'Pawn Weights'!$B$4)+(H280*'Pawn Weights'!$B$5)+(I280*'Pawn Weights'!$B$6)+(J280*'Pawn Weights'!$B$7)+(K280*'Pawn Weights'!$B$8)+(L280*'Pawn Weights'!$B$9)+(M280*'Pawn Weights'!$B$10)+(N280*'Pawn Weights'!$B$11)+(O280*'Pawn Weights'!$B$12)+(P280*'Pawn Weights'!$B$13)+(Q280*'Pawn Weights'!$B$14), 2)</f>
        <v>23.79</v>
      </c>
      <c r="E280" s="280"/>
      <c r="F280" s="280"/>
      <c r="G280" s="280"/>
      <c r="H280" s="280">
        <v>24.0</v>
      </c>
      <c r="I280" s="280">
        <v>14.0</v>
      </c>
      <c r="J280" s="320"/>
      <c r="K280" s="280"/>
      <c r="L280" s="280"/>
      <c r="M280" s="281"/>
      <c r="N280" s="320"/>
      <c r="O280" s="320"/>
      <c r="P280" s="320"/>
      <c r="Q280" s="320"/>
      <c r="R280" s="321"/>
      <c r="S280" s="321"/>
      <c r="T280" s="281"/>
      <c r="U280" s="291"/>
      <c r="V280" s="281"/>
      <c r="W280" s="281"/>
      <c r="X280" s="281"/>
    </row>
    <row r="281" ht="14.25" customHeight="1">
      <c r="A281" s="219" t="s">
        <v>1449</v>
      </c>
      <c r="B281" s="288" t="s">
        <v>1671</v>
      </c>
      <c r="C281" s="154" t="s">
        <v>1159</v>
      </c>
      <c r="D281" s="293">
        <f>ROUND((F281*'Pawn Weights'!$B$3)+(G281*'Pawn Weights'!$B$4)+(H281*'Pawn Weights'!$B$5)+(I281*'Pawn Weights'!$B$6)+(J281*'Pawn Weights'!$B$7)+(K281*'Pawn Weights'!$B$8)+(L281*'Pawn Weights'!$B$9)+(M281*'Pawn Weights'!$B$10)+(N281*'Pawn Weights'!$B$11)+(O281*'Pawn Weights'!$B$12)+(P281*'Pawn Weights'!$B$13)+(Q281*'Pawn Weights'!$B$14), 2)</f>
        <v>21.03</v>
      </c>
      <c r="E281" s="280">
        <v>15.0</v>
      </c>
      <c r="F281" s="280"/>
      <c r="G281" s="280"/>
      <c r="H281" s="280">
        <v>24.0</v>
      </c>
      <c r="I281" s="280">
        <v>11.0</v>
      </c>
      <c r="J281" s="280"/>
      <c r="K281" s="280"/>
      <c r="L281" s="280"/>
      <c r="M281" s="281"/>
      <c r="N281" s="280"/>
      <c r="O281" s="280"/>
      <c r="P281" s="280"/>
      <c r="Q281" s="280"/>
      <c r="R281" s="290"/>
      <c r="S281" s="290"/>
      <c r="T281" s="281"/>
      <c r="U281" s="291" t="s">
        <v>986</v>
      </c>
      <c r="V281" s="281"/>
      <c r="W281" s="281"/>
      <c r="X281" s="281"/>
    </row>
    <row r="282" ht="14.25" customHeight="1">
      <c r="A282" s="295"/>
      <c r="B282" s="383" t="s">
        <v>1000</v>
      </c>
      <c r="C282" s="297" t="s">
        <v>1001</v>
      </c>
      <c r="D282" s="293">
        <f>ROUND((F282*'Pawn Weights'!$B$3)+(G282*'Pawn Weights'!$B$4)+(H282*'Pawn Weights'!$B$5)+(I282*'Pawn Weights'!$B$6)+(J282*'Pawn Weights'!$B$7)+(K282*'Pawn Weights'!$B$8)+(L282*'Pawn Weights'!$B$9)+(M282*'Pawn Weights'!$B$10)+(N282*'Pawn Weights'!$B$11)+(O282*'Pawn Weights'!$B$12)+(P282*'Pawn Weights'!$B$13)+(Q282*'Pawn Weights'!$B$14), 2)</f>
        <v>17.7</v>
      </c>
      <c r="E282" s="298">
        <v>16.0</v>
      </c>
      <c r="F282" s="297"/>
      <c r="G282" s="297"/>
      <c r="H282" s="297"/>
      <c r="I282" s="297"/>
      <c r="J282" s="298">
        <v>10.0</v>
      </c>
      <c r="K282" s="297"/>
      <c r="L282" s="298">
        <v>10.0</v>
      </c>
      <c r="M282" s="361"/>
      <c r="N282" s="297"/>
      <c r="O282" s="297"/>
      <c r="P282" s="297"/>
      <c r="Q282" s="297"/>
      <c r="R282" s="295"/>
      <c r="S282" s="295"/>
      <c r="T282" s="361" t="s">
        <v>971</v>
      </c>
      <c r="U282" s="295"/>
      <c r="V282" s="137"/>
      <c r="W282" s="137"/>
      <c r="X282" s="137"/>
      <c r="Y282" s="137"/>
      <c r="Z282" s="137"/>
    </row>
    <row r="283">
      <c r="A283" s="224" t="s">
        <v>1002</v>
      </c>
      <c r="B283" s="323" t="s">
        <v>604</v>
      </c>
      <c r="C283" s="323" t="s">
        <v>605</v>
      </c>
      <c r="D283" s="323" t="s">
        <v>606</v>
      </c>
      <c r="E283" s="224" t="s">
        <v>1003</v>
      </c>
      <c r="F283" s="224" t="s">
        <v>1004</v>
      </c>
      <c r="G283" s="224" t="s">
        <v>561</v>
      </c>
      <c r="H283" s="224" t="s">
        <v>562</v>
      </c>
      <c r="I283" s="224" t="s">
        <v>330</v>
      </c>
      <c r="J283" s="224" t="s">
        <v>563</v>
      </c>
      <c r="K283" s="272" t="s">
        <v>344</v>
      </c>
      <c r="L283" s="224" t="s">
        <v>607</v>
      </c>
      <c r="M283" s="224" t="s">
        <v>564</v>
      </c>
      <c r="N283" s="224" t="s">
        <v>1006</v>
      </c>
      <c r="O283" s="274" t="s">
        <v>610</v>
      </c>
      <c r="P283" s="275" t="s">
        <v>611</v>
      </c>
      <c r="Q283" s="276" t="s">
        <v>612</v>
      </c>
      <c r="R283" s="277" t="s">
        <v>613</v>
      </c>
      <c r="S283" s="277"/>
      <c r="T283" s="366" t="s">
        <v>1380</v>
      </c>
      <c r="U283" s="224" t="s">
        <v>615</v>
      </c>
      <c r="V283" s="366" t="s">
        <v>1672</v>
      </c>
      <c r="W283" s="324"/>
      <c r="X283" s="366"/>
    </row>
    <row r="284">
      <c r="A284" s="292"/>
      <c r="B284" s="325" t="s">
        <v>1673</v>
      </c>
      <c r="C284" s="326"/>
      <c r="D284" s="25"/>
      <c r="E284" s="326"/>
      <c r="F284" s="326"/>
      <c r="G284" s="154"/>
      <c r="H284" s="326"/>
      <c r="I284" s="326"/>
      <c r="J284" s="326"/>
      <c r="K284" s="326"/>
      <c r="L284" s="326"/>
      <c r="M284" s="326"/>
      <c r="N284" s="326"/>
      <c r="O284" s="326"/>
      <c r="P284" s="326"/>
      <c r="Q284" s="326"/>
      <c r="R284" s="327"/>
      <c r="S284" s="327"/>
      <c r="T284" s="326"/>
      <c r="U284" s="328"/>
      <c r="V284" s="326"/>
      <c r="W284" s="326"/>
      <c r="X284" s="329"/>
    </row>
    <row r="285">
      <c r="A285" s="219" t="s">
        <v>671</v>
      </c>
      <c r="B285" s="296" t="s">
        <v>1011</v>
      </c>
      <c r="C285" s="330" t="s">
        <v>637</v>
      </c>
      <c r="D285" s="25">
        <f>ROUND((E285*'Pawn Weights'!$B$15)+(G285*'Pawn Weights'!$B$4)+(H285*'Pawn Weights'!$B$5)+(I285*'Pawn Weights'!$B$6)+(J285*'Pawn Weights'!$B$9)+(K285*'Pawn Weights'!$B$7)+(M285*'Pawn Weights'!$B$10)+(N285*'Pawn Weights'!$B$3)+(O285*'Pawn Weights'!$B$12)+(P285*'Pawn Weights'!$B$13)+(Q285*'Pawn Weights'!$B$14)+(F285*'Pawn Weights'!$B$16), 2)</f>
        <v>557.06</v>
      </c>
      <c r="E285" s="332">
        <v>107.9</v>
      </c>
      <c r="F285" s="332">
        <v>2.6</v>
      </c>
      <c r="G285" s="330"/>
      <c r="H285" s="332">
        <v>38.0</v>
      </c>
      <c r="I285" s="332">
        <v>22.0</v>
      </c>
      <c r="J285" s="330"/>
      <c r="K285" s="332">
        <v>9.0</v>
      </c>
      <c r="L285" s="332">
        <v>31.0</v>
      </c>
      <c r="M285" s="332">
        <v>49.0</v>
      </c>
      <c r="N285" s="330"/>
      <c r="O285" s="330"/>
      <c r="P285" s="330"/>
      <c r="Q285" s="330"/>
      <c r="R285" s="295"/>
      <c r="S285" s="330"/>
      <c r="T285" s="330" t="s">
        <v>986</v>
      </c>
      <c r="U285" s="330"/>
      <c r="V285" s="330"/>
      <c r="W285" s="295"/>
      <c r="X285" s="137"/>
      <c r="Y285" s="137"/>
      <c r="Z285" s="137"/>
    </row>
    <row r="286">
      <c r="A286" s="219" t="s">
        <v>991</v>
      </c>
      <c r="B286" s="296" t="s">
        <v>1018</v>
      </c>
      <c r="C286" s="330" t="s">
        <v>646</v>
      </c>
      <c r="D286" s="25">
        <f>ROUND((E286*'Pawn Weights'!$B$15)+(G286*'Pawn Weights'!$B$4)+(H286*'Pawn Weights'!$B$5)+(I286*'Pawn Weights'!$B$6)+(J286*'Pawn Weights'!$B$9)+(K286*'Pawn Weights'!$B$7)+(M286*'Pawn Weights'!$B$10)+(N286*'Pawn Weights'!$B$3)+(O286*'Pawn Weights'!$B$12)+(P286*'Pawn Weights'!$B$13)+(Q286*'Pawn Weights'!$B$14)+(F286*'Pawn Weights'!$B$16), 2)</f>
        <v>532.07</v>
      </c>
      <c r="E286" s="332">
        <v>103.1</v>
      </c>
      <c r="F286" s="332">
        <v>2.6</v>
      </c>
      <c r="G286" s="330"/>
      <c r="H286" s="332">
        <v>34.0</v>
      </c>
      <c r="I286" s="332">
        <v>21.0</v>
      </c>
      <c r="J286" s="330"/>
      <c r="K286" s="332">
        <v>8.0</v>
      </c>
      <c r="L286" s="332">
        <v>30.0</v>
      </c>
      <c r="M286" s="332">
        <v>49.0</v>
      </c>
      <c r="N286" s="330"/>
      <c r="O286" s="330"/>
      <c r="P286" s="330"/>
      <c r="Q286" s="330"/>
      <c r="R286" s="295"/>
      <c r="S286" s="330"/>
      <c r="T286" s="330" t="s">
        <v>986</v>
      </c>
      <c r="U286" s="330"/>
      <c r="V286" s="330"/>
      <c r="W286" s="295"/>
      <c r="X286" s="137"/>
      <c r="Y286" s="137"/>
      <c r="Z286" s="137"/>
    </row>
    <row r="287">
      <c r="A287" s="295"/>
      <c r="B287" s="296" t="s">
        <v>1013</v>
      </c>
      <c r="C287" s="330" t="s">
        <v>1014</v>
      </c>
      <c r="D287" s="25">
        <f>ROUND((E287*'Pawn Weights'!$B$15)+(G287*'Pawn Weights'!$B$4)+(H287*'Pawn Weights'!$B$5)+(I287*'Pawn Weights'!$B$6)+(J287*'Pawn Weights'!$B$9)+(K287*'Pawn Weights'!$B$7)+(M287*'Pawn Weights'!$B$10)+(N287*'Pawn Weights'!$B$3)+(O287*'Pawn Weights'!$B$12)+(P287*'Pawn Weights'!$B$13)+(Q287*'Pawn Weights'!$B$14)+(F287*'Pawn Weights'!$B$16), 2)</f>
        <v>519.07</v>
      </c>
      <c r="E287" s="332">
        <v>103.0</v>
      </c>
      <c r="F287" s="332">
        <v>2.5</v>
      </c>
      <c r="G287" s="332">
        <v>23.0</v>
      </c>
      <c r="H287" s="332">
        <v>44.0</v>
      </c>
      <c r="I287" s="330"/>
      <c r="J287" s="330"/>
      <c r="K287" s="330"/>
      <c r="L287" s="330"/>
      <c r="M287" s="330"/>
      <c r="N287" s="330"/>
      <c r="O287" s="330"/>
      <c r="P287" s="330"/>
      <c r="Q287" s="330"/>
      <c r="R287" s="295"/>
      <c r="S287" s="332">
        <v>21.0</v>
      </c>
      <c r="T287" s="295"/>
      <c r="U287" s="330"/>
      <c r="V287" s="330"/>
      <c r="W287" s="295"/>
      <c r="X287" s="137"/>
      <c r="Y287" s="137"/>
      <c r="Z287" s="137"/>
    </row>
    <row r="288">
      <c r="A288" s="301" t="s">
        <v>627</v>
      </c>
      <c r="B288" s="288" t="s">
        <v>1055</v>
      </c>
      <c r="C288" s="326" t="s">
        <v>1016</v>
      </c>
      <c r="D288" s="25">
        <f>ROUND((E288*'Pawn Weights'!$B$15)+(G288*'Pawn Weights'!$B$4)+(H288*'Pawn Weights'!$B$5)+(I288*'Pawn Weights'!$B$6)+(J288*'Pawn Weights'!$B$9)+(K288*'Pawn Weights'!$B$7)+(M288*'Pawn Weights'!$B$10)+(N288*'Pawn Weights'!$B$3)+(O288*'Pawn Weights'!$B$12)+(P288*'Pawn Weights'!$B$13)+(Q288*'Pawn Weights'!$B$14)+(F288*'Pawn Weights'!$B$16)+(74.2*'Pawn Weights'!$B$8), 2)</f>
        <v>517.19</v>
      </c>
      <c r="E288" s="326">
        <v>97.6</v>
      </c>
      <c r="F288" s="326">
        <v>2.7</v>
      </c>
      <c r="G288" s="326"/>
      <c r="H288" s="326"/>
      <c r="I288" s="326"/>
      <c r="J288" s="326"/>
      <c r="K288" s="326"/>
      <c r="L288" s="326">
        <v>19.0</v>
      </c>
      <c r="M288" s="326"/>
      <c r="N288" s="326"/>
      <c r="O288" s="326"/>
      <c r="P288" s="326"/>
      <c r="Q288" s="326"/>
      <c r="R288" s="327"/>
      <c r="S288" s="327"/>
      <c r="T288" s="326"/>
      <c r="U288" s="328" t="s">
        <v>1411</v>
      </c>
      <c r="V288" s="326"/>
      <c r="W288" s="326"/>
      <c r="X288" s="329"/>
    </row>
    <row r="289">
      <c r="A289" s="309"/>
      <c r="B289" s="288" t="s">
        <v>1020</v>
      </c>
      <c r="C289" s="326" t="s">
        <v>741</v>
      </c>
      <c r="D289" s="25">
        <f>ROUND((E289*'Pawn Weights'!$B$15)+(G289*'Pawn Weights'!$B$4)+(H289*'Pawn Weights'!$B$5)+(I289*'Pawn Weights'!$B$6)+(J289*'Pawn Weights'!$B$9)+(K289*'Pawn Weights'!$B$7)+(M289*'Pawn Weights'!$B$10)+(N289*'Pawn Weights'!$B$3)+(O289*'Pawn Weights'!$B$12)+(P289*'Pawn Weights'!$B$13)+(Q289*'Pawn Weights'!$B$14)+(F289*'Pawn Weights'!$B$16)+11, 2)</f>
        <v>507.13</v>
      </c>
      <c r="E289" s="326">
        <v>100.2</v>
      </c>
      <c r="F289" s="326">
        <v>2.7</v>
      </c>
      <c r="G289" s="326"/>
      <c r="H289" s="326">
        <v>52.0</v>
      </c>
      <c r="I289" s="326"/>
      <c r="J289" s="326"/>
      <c r="K289" s="326"/>
      <c r="L289" s="326"/>
      <c r="M289" s="326"/>
      <c r="N289" s="326"/>
      <c r="O289" s="326"/>
      <c r="P289" s="326"/>
      <c r="Q289" s="326"/>
      <c r="R289" s="327"/>
      <c r="S289" s="327"/>
      <c r="T289" s="326"/>
      <c r="U289" s="328" t="s">
        <v>1021</v>
      </c>
      <c r="V289" s="326"/>
      <c r="W289" s="326"/>
      <c r="X289" s="329"/>
    </row>
    <row r="290">
      <c r="A290" s="309"/>
      <c r="B290" s="288" t="s">
        <v>1024</v>
      </c>
      <c r="C290" s="326" t="s">
        <v>1025</v>
      </c>
      <c r="D290" s="25">
        <f>ROUND((E290*'Pawn Weights'!$B$15)+(G290*'Pawn Weights'!$B$4)+(H290*'Pawn Weights'!$B$5)+(I290*'Pawn Weights'!$B$6)+(J290*'Pawn Weights'!$B$9)+(K290*'Pawn Weights'!$B$7)+(M290*'Pawn Weights'!$B$10)+(N290*'Pawn Weights'!$B$3)+(O290*'Pawn Weights'!$B$12)+(P290*'Pawn Weights'!$B$13)+(Q290*'Pawn Weights'!$B$14)+(F290*'Pawn Weights'!$B$16), 2)</f>
        <v>506.71</v>
      </c>
      <c r="E290" s="326">
        <v>96.5</v>
      </c>
      <c r="F290" s="326">
        <v>2.7</v>
      </c>
      <c r="G290" s="326"/>
      <c r="H290" s="326">
        <v>52.0</v>
      </c>
      <c r="I290" s="326">
        <v>19.0</v>
      </c>
      <c r="J290" s="326"/>
      <c r="K290" s="326">
        <v>15.0</v>
      </c>
      <c r="L290" s="326"/>
      <c r="M290" s="326"/>
      <c r="N290" s="326"/>
      <c r="O290" s="326"/>
      <c r="P290" s="326"/>
      <c r="Q290" s="326"/>
      <c r="R290" s="327"/>
      <c r="S290" s="327"/>
      <c r="T290" s="326"/>
      <c r="U290" s="328"/>
      <c r="V290" s="326"/>
      <c r="W290" s="326"/>
      <c r="X290" s="329"/>
    </row>
    <row r="291">
      <c r="A291" s="301" t="s">
        <v>627</v>
      </c>
      <c r="B291" s="288" t="s">
        <v>1031</v>
      </c>
      <c r="C291" s="326" t="s">
        <v>1032</v>
      </c>
      <c r="D291" s="25">
        <f>ROUND((E291*'Pawn Weights'!$B$15)+(G291*'Pawn Weights'!$B$4)+(H291*'Pawn Weights'!$B$5)+(I291*'Pawn Weights'!$B$6)+(J291*'Pawn Weights'!$B$9)+(K291*'Pawn Weights'!$B$7)+(M291*'Pawn Weights'!$B$10)+(N291*'Pawn Weights'!$B$3)+(O291*'Pawn Weights'!$B$12)+(P291*'Pawn Weights'!$B$13)+(Q291*'Pawn Weights'!$B$14)+(F291*'Pawn Weights'!$B$16), 2)</f>
        <v>503.78</v>
      </c>
      <c r="E291" s="326">
        <v>97.6</v>
      </c>
      <c r="F291" s="326">
        <v>2.7</v>
      </c>
      <c r="G291" s="326"/>
      <c r="H291" s="326">
        <v>48.0</v>
      </c>
      <c r="I291" s="326">
        <v>23.0</v>
      </c>
      <c r="J291" s="326"/>
      <c r="K291" s="326"/>
      <c r="L291" s="326"/>
      <c r="M291" s="326"/>
      <c r="N291" s="326"/>
      <c r="O291" s="326"/>
      <c r="P291" s="326"/>
      <c r="Q291" s="326"/>
      <c r="R291" s="327"/>
      <c r="S291" s="327"/>
      <c r="T291" s="326"/>
      <c r="U291" s="328" t="s">
        <v>1384</v>
      </c>
      <c r="V291" s="326"/>
      <c r="W291" s="326"/>
      <c r="X291" s="329"/>
    </row>
    <row r="292">
      <c r="A292" s="301" t="s">
        <v>995</v>
      </c>
      <c r="B292" s="288" t="s">
        <v>1033</v>
      </c>
      <c r="C292" s="326" t="s">
        <v>997</v>
      </c>
      <c r="D292" s="25">
        <f>ROUND((E292*'Pawn Weights'!$B$15)+(G292*'Pawn Weights'!$B$4)+(H292*'Pawn Weights'!$B$5)+(I292*'Pawn Weights'!$B$6)+(J292*'Pawn Weights'!$B$9)+(K292*'Pawn Weights'!$B$7)+(M292*'Pawn Weights'!$B$10)+(N292*'Pawn Weights'!$B$3)+(O292*'Pawn Weights'!$B$12)+(P292*'Pawn Weights'!$B$13)+(Q292*'Pawn Weights'!$B$14)+(F292*'Pawn Weights'!$B$16), 2)</f>
        <v>498.07</v>
      </c>
      <c r="E292" s="326">
        <v>97.7</v>
      </c>
      <c r="F292" s="326">
        <v>2.6</v>
      </c>
      <c r="G292" s="326"/>
      <c r="H292" s="326">
        <v>30.0</v>
      </c>
      <c r="I292" s="326">
        <v>19.0</v>
      </c>
      <c r="J292" s="326"/>
      <c r="K292" s="326">
        <v>10.0</v>
      </c>
      <c r="L292" s="326">
        <v>27.0</v>
      </c>
      <c r="M292" s="326"/>
      <c r="N292" s="326"/>
      <c r="O292" s="326"/>
      <c r="P292" s="326"/>
      <c r="Q292" s="326"/>
      <c r="R292" s="327"/>
      <c r="S292" s="327"/>
      <c r="T292" s="326"/>
      <c r="U292" s="328" t="s">
        <v>1034</v>
      </c>
      <c r="V292" s="326"/>
      <c r="W292" s="326"/>
      <c r="X292" s="329"/>
    </row>
    <row r="293">
      <c r="A293" s="309"/>
      <c r="B293" s="288" t="s">
        <v>1035</v>
      </c>
      <c r="C293" s="326" t="s">
        <v>900</v>
      </c>
      <c r="D293" s="25">
        <f>ROUND((E293*'Pawn Weights'!$B$15)+(G293*'Pawn Weights'!$B$4)+(H293*'Pawn Weights'!$B$5)+(I293*'Pawn Weights'!$B$6)+(J293*'Pawn Weights'!$B$9)+(K293*'Pawn Weights'!$B$7)+(M293*'Pawn Weights'!$B$10)+(N293*'Pawn Weights'!$B$3)+(O293*'Pawn Weights'!$B$12)+(P293*'Pawn Weights'!$B$13)+(Q293*'Pawn Weights'!$B$14)+(F293*'Pawn Weights'!$B$16), 2)</f>
        <v>497.19</v>
      </c>
      <c r="E293" s="326">
        <v>96.5</v>
      </c>
      <c r="F293" s="326">
        <v>2.7</v>
      </c>
      <c r="G293" s="326">
        <v>15.0</v>
      </c>
      <c r="H293" s="326">
        <v>40.0</v>
      </c>
      <c r="I293" s="326"/>
      <c r="J293" s="326"/>
      <c r="K293" s="326">
        <v>20.0</v>
      </c>
      <c r="L293" s="326"/>
      <c r="M293" s="326"/>
      <c r="N293" s="326"/>
      <c r="O293" s="326"/>
      <c r="P293" s="326"/>
      <c r="Q293" s="326"/>
      <c r="R293" s="327"/>
      <c r="S293" s="327"/>
      <c r="T293" s="326"/>
      <c r="U293" s="328" t="s">
        <v>1036</v>
      </c>
      <c r="V293" s="326"/>
      <c r="W293" s="326"/>
      <c r="X293" s="329"/>
    </row>
    <row r="294">
      <c r="A294" s="309"/>
      <c r="B294" s="288" t="s">
        <v>1037</v>
      </c>
      <c r="C294" s="326" t="s">
        <v>1025</v>
      </c>
      <c r="D294" s="25">
        <f>ROUND((E294*'Pawn Weights'!$B$15)+(G294*'Pawn Weights'!$B$4)+(H294*'Pawn Weights'!$B$5)+(I294*'Pawn Weights'!$B$6)+(J294*'Pawn Weights'!$B$9)+(K294*'Pawn Weights'!$B$7)+(M294*'Pawn Weights'!$B$10)+(N294*'Pawn Weights'!$B$3)+(O294*'Pawn Weights'!$B$12)+(P294*'Pawn Weights'!$B$13)+(Q294*'Pawn Weights'!$B$14)+(F294*'Pawn Weights'!$B$16), 2)</f>
        <v>490.16</v>
      </c>
      <c r="E294" s="326">
        <v>96.5</v>
      </c>
      <c r="F294" s="326">
        <v>2.6</v>
      </c>
      <c r="G294" s="326">
        <v>25.0</v>
      </c>
      <c r="H294" s="326">
        <v>40.0</v>
      </c>
      <c r="I294" s="326"/>
      <c r="J294" s="326"/>
      <c r="K294" s="326"/>
      <c r="L294" s="326">
        <v>21.0</v>
      </c>
      <c r="M294" s="326"/>
      <c r="N294" s="326"/>
      <c r="O294" s="326"/>
      <c r="P294" s="326"/>
      <c r="Q294" s="326"/>
      <c r="R294" s="327"/>
      <c r="S294" s="327"/>
      <c r="T294" s="326"/>
      <c r="U294" s="328"/>
      <c r="V294" s="326"/>
      <c r="W294" s="326"/>
      <c r="X294" s="329"/>
    </row>
    <row r="295">
      <c r="A295" s="301" t="s">
        <v>627</v>
      </c>
      <c r="B295" s="288" t="s">
        <v>1295</v>
      </c>
      <c r="C295" s="326" t="s">
        <v>1296</v>
      </c>
      <c r="D295" s="25">
        <f>ROUND((E295*'Pawn Weights'!$B$15)+(G295*'Pawn Weights'!$B$4)+(H295*'Pawn Weights'!$B$5)+(I295*'Pawn Weights'!$B$6)+(J295*'Pawn Weights'!$B$9)+(K295*'Pawn Weights'!$B$7)+(M295*'Pawn Weights'!$B$10)+(N295*'Pawn Weights'!$B$3)+(O295*'Pawn Weights'!$B$12)+(P295*'Pawn Weights'!$B$13)+(Q295*'Pawn Weights'!$B$14)+(F295*'Pawn Weights'!$B$16)+(74.2*'Pawn Weights'!$B$8), 2)</f>
        <v>487.94</v>
      </c>
      <c r="E295" s="326">
        <v>91.1</v>
      </c>
      <c r="F295" s="326">
        <v>2.7</v>
      </c>
      <c r="G295" s="154"/>
      <c r="H295" s="326"/>
      <c r="I295" s="326"/>
      <c r="J295" s="326"/>
      <c r="K295" s="326"/>
      <c r="L295" s="326">
        <v>9.0</v>
      </c>
      <c r="M295" s="326"/>
      <c r="N295" s="326"/>
      <c r="O295" s="326"/>
      <c r="P295" s="326"/>
      <c r="Q295" s="326"/>
      <c r="R295" s="327"/>
      <c r="S295" s="327"/>
      <c r="T295" s="326"/>
      <c r="U295" s="328" t="s">
        <v>1411</v>
      </c>
      <c r="V295" s="326"/>
      <c r="W295" s="326"/>
      <c r="X295" s="329"/>
    </row>
    <row r="296">
      <c r="A296" s="301" t="s">
        <v>627</v>
      </c>
      <c r="B296" s="288" t="s">
        <v>1392</v>
      </c>
      <c r="C296" s="326" t="s">
        <v>1393</v>
      </c>
      <c r="D296" s="25">
        <f>ROUND((E296*'Pawn Weights'!$B$15)+(G296*'Pawn Weights'!$B$4)+(H296*'Pawn Weights'!$B$5)+(I296*'Pawn Weights'!$B$6)+(J296*'Pawn Weights'!$B$9)+(K296*'Pawn Weights'!$B$7)+(M296*'Pawn Weights'!$B$10)+(N296*'Pawn Weights'!$B$3)+(O296*'Pawn Weights'!$B$12)+(P296*'Pawn Weights'!$B$13)+(Q296*'Pawn Weights'!$B$14)+(F296*'Pawn Weights'!$B$16), 2)</f>
        <v>470.87</v>
      </c>
      <c r="E296" s="326">
        <v>91.1</v>
      </c>
      <c r="F296" s="326">
        <v>2.7</v>
      </c>
      <c r="G296" s="326"/>
      <c r="H296" s="326">
        <v>44.0</v>
      </c>
      <c r="I296" s="326">
        <v>21.0</v>
      </c>
      <c r="J296" s="326"/>
      <c r="K296" s="326"/>
      <c r="L296" s="326"/>
      <c r="M296" s="326"/>
      <c r="N296" s="326"/>
      <c r="O296" s="326"/>
      <c r="P296" s="326"/>
      <c r="Q296" s="326"/>
      <c r="R296" s="327"/>
      <c r="S296" s="327"/>
      <c r="T296" s="326"/>
      <c r="U296" s="328" t="s">
        <v>1384</v>
      </c>
      <c r="V296" s="326"/>
      <c r="W296" s="326"/>
      <c r="X296" s="329"/>
    </row>
    <row r="297">
      <c r="A297" s="301" t="s">
        <v>1449</v>
      </c>
      <c r="B297" s="288" t="s">
        <v>1256</v>
      </c>
      <c r="C297" s="326" t="s">
        <v>1159</v>
      </c>
      <c r="D297" s="25">
        <f>ROUND((E297*'Pawn Weights'!$B$15)+(G297*'Pawn Weights'!$B$4)+(H297*'Pawn Weights'!$B$5)+(I297*'Pawn Weights'!$B$6)+(J297*'Pawn Weights'!$B$9)+(K297*'Pawn Weights'!$B$7)+(M297*'Pawn Weights'!$B$10)+(N297*'Pawn Weights'!$B$3)+(O297*'Pawn Weights'!$B$12)+(P297*'Pawn Weights'!$B$13)+(Q297*'Pawn Weights'!$B$14)+(F297*'Pawn Weights'!$B$16), 2)</f>
        <v>463.58</v>
      </c>
      <c r="E297" s="326">
        <v>91.2</v>
      </c>
      <c r="F297" s="326">
        <v>2.6</v>
      </c>
      <c r="G297" s="326"/>
      <c r="H297" s="326">
        <v>28.0</v>
      </c>
      <c r="I297" s="326">
        <v>15.0</v>
      </c>
      <c r="J297" s="326"/>
      <c r="K297" s="326">
        <v>9.0</v>
      </c>
      <c r="L297" s="326">
        <v>21.0</v>
      </c>
      <c r="M297" s="326"/>
      <c r="N297" s="326"/>
      <c r="O297" s="326"/>
      <c r="P297" s="326"/>
      <c r="Q297" s="326"/>
      <c r="R297" s="327"/>
      <c r="S297" s="327"/>
      <c r="T297" s="326"/>
      <c r="U297" s="328" t="s">
        <v>1257</v>
      </c>
      <c r="V297" s="326"/>
      <c r="W297" s="326"/>
      <c r="X297" s="329"/>
    </row>
    <row r="298">
      <c r="A298" s="309"/>
      <c r="B298" s="288" t="s">
        <v>1488</v>
      </c>
      <c r="C298" s="326" t="s">
        <v>656</v>
      </c>
      <c r="D298" s="25">
        <f>ROUND((E298*'Pawn Weights'!$B$15)+(G298*'Pawn Weights'!$B$4)+(H298*'Pawn Weights'!$B$5)+(I298*'Pawn Weights'!$B$6)+(J298*'Pawn Weights'!$B$9)+(K298*'Pawn Weights'!$B$7)+(M298*'Pawn Weights'!$B$10)+(N298*'Pawn Weights'!$B$3)+(O298*'Pawn Weights'!$B$12)+(P298*'Pawn Weights'!$B$13)+(Q298*'Pawn Weights'!$B$14)+(F298*'Pawn Weights'!$B$16), 2)</f>
        <v>460.09</v>
      </c>
      <c r="E298" s="326">
        <v>92.1</v>
      </c>
      <c r="F298" s="326">
        <v>2.6</v>
      </c>
      <c r="G298" s="326"/>
      <c r="H298" s="326"/>
      <c r="I298" s="326">
        <v>27.0</v>
      </c>
      <c r="J298" s="326"/>
      <c r="K298" s="326"/>
      <c r="L298" s="326"/>
      <c r="M298" s="326"/>
      <c r="N298" s="326"/>
      <c r="O298" s="326"/>
      <c r="P298" s="326"/>
      <c r="Q298" s="326"/>
      <c r="R298" s="327"/>
      <c r="S298" s="327"/>
      <c r="T298" s="326"/>
      <c r="U298" s="328" t="s">
        <v>1674</v>
      </c>
      <c r="V298" s="326"/>
      <c r="W298" s="326"/>
      <c r="X298" s="329"/>
    </row>
    <row r="299">
      <c r="A299" s="301"/>
      <c r="B299" s="288" t="s">
        <v>1289</v>
      </c>
      <c r="C299" s="326" t="s">
        <v>1122</v>
      </c>
      <c r="D299" s="25">
        <f>ROUND((E299*'Pawn Weights'!$B$15)+(G299*'Pawn Weights'!$B$4)+(H299*'Pawn Weights'!$B$5)+(I299*'Pawn Weights'!$B$6)+(J299*'Pawn Weights'!$B$9)+(K299*'Pawn Weights'!$B$7)+(M299*'Pawn Weights'!$B$10)+(N299*'Pawn Weights'!$B$3)+(O299*'Pawn Weights'!$B$12)+(P299*'Pawn Weights'!$B$13)+(Q299*'Pawn Weights'!$B$14)+(F299*'Pawn Weights'!$B$16), 2)</f>
        <v>458.27</v>
      </c>
      <c r="E299" s="326">
        <v>87.5</v>
      </c>
      <c r="F299" s="326">
        <v>2.6</v>
      </c>
      <c r="G299" s="154"/>
      <c r="H299" s="326">
        <v>30.0</v>
      </c>
      <c r="I299" s="326">
        <v>24.0</v>
      </c>
      <c r="J299" s="326"/>
      <c r="K299" s="326"/>
      <c r="L299" s="326"/>
      <c r="M299" s="326"/>
      <c r="N299" s="326"/>
      <c r="O299" s="326"/>
      <c r="P299" s="326">
        <v>1.0</v>
      </c>
      <c r="Q299" s="326"/>
      <c r="R299" s="327" t="s">
        <v>674</v>
      </c>
      <c r="S299" s="327"/>
      <c r="T299" s="326"/>
      <c r="U299" s="328"/>
      <c r="V299" s="326"/>
      <c r="W299" s="326"/>
      <c r="X299" s="329"/>
    </row>
    <row r="300">
      <c r="A300" s="301" t="s">
        <v>627</v>
      </c>
      <c r="B300" s="288" t="s">
        <v>1298</v>
      </c>
      <c r="C300" s="326" t="s">
        <v>1299</v>
      </c>
      <c r="D300" s="25">
        <f>ROUND((E300*'Pawn Weights'!$B$15)+(G300*'Pawn Weights'!$B$4)+(H300*'Pawn Weights'!$B$5)+(I300*'Pawn Weights'!$B$6)+(J300*'Pawn Weights'!$B$9)+(K300*'Pawn Weights'!$B$7)+(M300*'Pawn Weights'!$B$10)+(N300*'Pawn Weights'!$B$3)+(O300*'Pawn Weights'!$B$12)+(P300*'Pawn Weights'!$B$13)+(Q300*'Pawn Weights'!$B$14)+(F300*'Pawn Weights'!$B$16)+(74.2*'Pawn Weights'!$B$8), 2)</f>
        <v>457.34</v>
      </c>
      <c r="E300" s="326">
        <v>84.3</v>
      </c>
      <c r="F300" s="326">
        <v>2.7</v>
      </c>
      <c r="G300" s="154"/>
      <c r="H300" s="326"/>
      <c r="I300" s="326"/>
      <c r="J300" s="326"/>
      <c r="K300" s="326"/>
      <c r="L300" s="326"/>
      <c r="M300" s="326"/>
      <c r="N300" s="326"/>
      <c r="O300" s="326"/>
      <c r="P300" s="326"/>
      <c r="Q300" s="326"/>
      <c r="R300" s="327"/>
      <c r="S300" s="327"/>
      <c r="T300" s="326"/>
      <c r="U300" s="328" t="s">
        <v>1411</v>
      </c>
      <c r="V300" s="326"/>
      <c r="W300" s="326"/>
      <c r="X300" s="329"/>
    </row>
    <row r="301" ht="14.25" customHeight="1">
      <c r="A301" s="301"/>
      <c r="B301" s="288" t="s">
        <v>1260</v>
      </c>
      <c r="C301" s="326" t="s">
        <v>708</v>
      </c>
      <c r="D301" s="25">
        <f>ROUND((E301*'Pawn Weights'!$B$15)+(G301*'Pawn Weights'!$B$4)+(H301*'Pawn Weights'!$B$5)+(I301*'Pawn Weights'!$B$6)+(J301*'Pawn Weights'!$B$9)+(K301*'Pawn Weights'!$B$7)+(M301*'Pawn Weights'!$B$10)+(N301*'Pawn Weights'!$B$3)+(O301*'Pawn Weights'!$B$12)+(P301*'Pawn Weights'!$B$13)+(Q301*'Pawn Weights'!$B$14)+(F301*'Pawn Weights'!$B$16), 2)</f>
        <v>456.72</v>
      </c>
      <c r="E301" s="326">
        <v>89.8</v>
      </c>
      <c r="F301" s="326">
        <v>2.6</v>
      </c>
      <c r="G301" s="154"/>
      <c r="H301" s="326">
        <v>70.0</v>
      </c>
      <c r="I301" s="326"/>
      <c r="J301" s="326"/>
      <c r="K301" s="326"/>
      <c r="L301" s="326"/>
      <c r="M301" s="326"/>
      <c r="N301" s="326"/>
      <c r="O301" s="326"/>
      <c r="P301" s="326"/>
      <c r="Q301" s="326"/>
      <c r="R301" s="327"/>
      <c r="S301" s="327"/>
      <c r="T301" s="326"/>
      <c r="U301" s="328"/>
      <c r="V301" s="326"/>
      <c r="W301" s="326"/>
      <c r="X301" s="329"/>
    </row>
    <row r="302" ht="14.25" customHeight="1">
      <c r="A302" s="301"/>
      <c r="B302" s="288" t="s">
        <v>1261</v>
      </c>
      <c r="C302" s="326" t="s">
        <v>881</v>
      </c>
      <c r="D302" s="25">
        <f>ROUND((E302*'Pawn Weights'!$B$15)+(G302*'Pawn Weights'!$B$4)+(H302*'Pawn Weights'!$B$5)+(I302*'Pawn Weights'!$B$6)+(J302*'Pawn Weights'!$B$9)+(K302*'Pawn Weights'!$B$7)+(M302*'Pawn Weights'!$B$10)+(N302*'Pawn Weights'!$B$3)+(O302*'Pawn Weights'!$B$12)+(P302*'Pawn Weights'!$B$13)+(Q302*'Pawn Weights'!$B$14)+(F302*'Pawn Weights'!$B$16), 2)</f>
        <v>446.19</v>
      </c>
      <c r="E302" s="326">
        <v>87.6</v>
      </c>
      <c r="F302" s="326">
        <v>2.7</v>
      </c>
      <c r="G302" s="154">
        <v>14.0</v>
      </c>
      <c r="H302" s="326">
        <v>46.0</v>
      </c>
      <c r="I302" s="326"/>
      <c r="J302" s="326"/>
      <c r="K302" s="326"/>
      <c r="L302" s="326">
        <v>16.0</v>
      </c>
      <c r="M302" s="326"/>
      <c r="N302" s="326"/>
      <c r="O302" s="326"/>
      <c r="P302" s="326"/>
      <c r="Q302" s="326"/>
      <c r="R302" s="327"/>
      <c r="S302" s="327"/>
      <c r="T302" s="326"/>
      <c r="U302" s="328"/>
      <c r="V302" s="326"/>
      <c r="W302" s="326"/>
      <c r="X302" s="329"/>
    </row>
    <row r="303">
      <c r="A303" s="309"/>
      <c r="B303" s="288" t="s">
        <v>1290</v>
      </c>
      <c r="C303" s="326" t="s">
        <v>1291</v>
      </c>
      <c r="D303" s="25">
        <f>ROUND((E303*'Pawn Weights'!$B$15)+(G303*'Pawn Weights'!$B$4)+(H303*'Pawn Weights'!$B$5)+(I303*'Pawn Weights'!$B$6)+(J303*'Pawn Weights'!$B$9)+(K303*'Pawn Weights'!$B$7)+(M303*'Pawn Weights'!$B$10)+(N303*'Pawn Weights'!$B$3)+(O303*'Pawn Weights'!$B$12)+(P303*'Pawn Weights'!$B$13)+(Q303*'Pawn Weights'!$B$14)+(F303*'Pawn Weights'!$B$16)+(63*'Pawn Weights'!B8), 2)</f>
        <v>445.33</v>
      </c>
      <c r="E303" s="326">
        <v>83.7</v>
      </c>
      <c r="F303" s="326">
        <v>2.6</v>
      </c>
      <c r="G303" s="154"/>
      <c r="H303" s="326"/>
      <c r="I303" s="326"/>
      <c r="J303" s="326"/>
      <c r="K303" s="326"/>
      <c r="L303" s="326"/>
      <c r="M303" s="326"/>
      <c r="N303" s="326"/>
      <c r="O303" s="326"/>
      <c r="P303" s="326"/>
      <c r="Q303" s="326"/>
      <c r="R303" s="327"/>
      <c r="S303" s="327"/>
      <c r="T303" s="326"/>
      <c r="U303" s="328" t="s">
        <v>1292</v>
      </c>
      <c r="V303" s="326"/>
      <c r="W303" s="326"/>
      <c r="X303" s="329"/>
    </row>
    <row r="304">
      <c r="A304" s="301"/>
      <c r="B304" s="288" t="s">
        <v>1293</v>
      </c>
      <c r="C304" s="326" t="s">
        <v>1294</v>
      </c>
      <c r="D304" s="25">
        <f>ROUND((E304*'Pawn Weights'!$B$15)+(G304*'Pawn Weights'!$B$4)+(H304*'Pawn Weights'!$B$5)+(I304*'Pawn Weights'!$B$6)+(J304*'Pawn Weights'!$B$9)+(K304*'Pawn Weights'!$B$7)+(M304*'Pawn Weights'!$B$10)+(N304*'Pawn Weights'!$B$3)+(O304*'Pawn Weights'!$B$12)+(P304*'Pawn Weights'!$B$13)+(Q304*'Pawn Weights'!$B$14)+(F304*'Pawn Weights'!$B$16), 2)</f>
        <v>444.11</v>
      </c>
      <c r="E304" s="326">
        <v>87.6</v>
      </c>
      <c r="F304" s="326">
        <v>2.5</v>
      </c>
      <c r="G304" s="154">
        <v>17.0</v>
      </c>
      <c r="H304" s="326"/>
      <c r="I304" s="326">
        <v>20.0</v>
      </c>
      <c r="J304" s="326"/>
      <c r="K304" s="326"/>
      <c r="L304" s="326">
        <v>18.0</v>
      </c>
      <c r="M304" s="326"/>
      <c r="N304" s="326"/>
      <c r="O304" s="326"/>
      <c r="P304" s="326"/>
      <c r="Q304" s="326"/>
      <c r="R304" s="327"/>
      <c r="S304" s="327"/>
      <c r="T304" s="326"/>
      <c r="U304" s="328"/>
      <c r="V304" s="326"/>
      <c r="W304" s="326"/>
      <c r="X304" s="329"/>
    </row>
    <row r="305">
      <c r="A305" s="301" t="s">
        <v>627</v>
      </c>
      <c r="B305" s="288" t="s">
        <v>1675</v>
      </c>
      <c r="C305" s="326" t="s">
        <v>1676</v>
      </c>
      <c r="D305" s="25">
        <f>ROUND((E305*'Pawn Weights'!$B$15)+(G305*'Pawn Weights'!$B$4)+(H305*'Pawn Weights'!$B$5)+(I305*'Pawn Weights'!$B$6)+(J305*'Pawn Weights'!$B$9)+(K305*'Pawn Weights'!$B$7)+(M305*'Pawn Weights'!$B$10)+(N305*'Pawn Weights'!$B$3)+(O305*'Pawn Weights'!$B$12)+(P305*'Pawn Weights'!$B$13)+(Q305*'Pawn Weights'!$B$14)+(F305*'Pawn Weights'!$B$16), 2)</f>
        <v>438.44</v>
      </c>
      <c r="E305" s="326">
        <v>84.3</v>
      </c>
      <c r="F305" s="326">
        <v>2.7</v>
      </c>
      <c r="G305" s="154"/>
      <c r="H305" s="326">
        <v>42.0</v>
      </c>
      <c r="I305" s="326">
        <v>20.0</v>
      </c>
      <c r="J305" s="326"/>
      <c r="K305" s="326"/>
      <c r="L305" s="326"/>
      <c r="M305" s="326"/>
      <c r="N305" s="326"/>
      <c r="O305" s="326"/>
      <c r="P305" s="326"/>
      <c r="Q305" s="326"/>
      <c r="R305" s="327"/>
      <c r="S305" s="327"/>
      <c r="T305" s="326"/>
      <c r="U305" s="328" t="s">
        <v>1384</v>
      </c>
      <c r="V305" s="326"/>
      <c r="W305" s="326"/>
      <c r="X305" s="329"/>
    </row>
    <row r="306">
      <c r="A306" s="301" t="s">
        <v>627</v>
      </c>
      <c r="B306" s="288" t="s">
        <v>1677</v>
      </c>
      <c r="C306" s="326" t="s">
        <v>1268</v>
      </c>
      <c r="D306" s="25">
        <f>ROUND((E306*'Pawn Weights'!$B$15)+(G306*'Pawn Weights'!$B$4)+(H306*'Pawn Weights'!$B$5)+(I306*'Pawn Weights'!$B$6)+(J306*'Pawn Weights'!$B$9)+(K306*'Pawn Weights'!$B$7)+(M306*'Pawn Weights'!$B$10)+(N306*'Pawn Weights'!$B$3)+(O306*'Pawn Weights'!$B$12)+(P306*'Pawn Weights'!$B$13)+(Q306*'Pawn Weights'!$B$14)+(F306*'Pawn Weights'!$B$16), 2)</f>
        <v>429.32</v>
      </c>
      <c r="E306" s="326">
        <v>83.4</v>
      </c>
      <c r="F306" s="326">
        <v>2.2</v>
      </c>
      <c r="G306" s="154"/>
      <c r="H306" s="326"/>
      <c r="I306" s="326">
        <v>21.0</v>
      </c>
      <c r="J306" s="326"/>
      <c r="K306" s="326">
        <v>14.0</v>
      </c>
      <c r="L306" s="326"/>
      <c r="M306" s="326"/>
      <c r="N306" s="326"/>
      <c r="O306" s="326">
        <v>1.0</v>
      </c>
      <c r="P306" s="326"/>
      <c r="Q306" s="326"/>
      <c r="R306" s="327" t="s">
        <v>674</v>
      </c>
      <c r="S306" s="327"/>
      <c r="T306" s="326"/>
      <c r="U306" s="306" t="s">
        <v>1678</v>
      </c>
      <c r="V306" s="326"/>
      <c r="W306" s="326"/>
      <c r="X306" s="329"/>
    </row>
    <row r="307">
      <c r="A307" s="309"/>
      <c r="B307" s="288" t="s">
        <v>1264</v>
      </c>
      <c r="C307" s="326" t="s">
        <v>1265</v>
      </c>
      <c r="D307" s="25">
        <f>ROUND((E307*'Pawn Weights'!$B$15)+(G307*'Pawn Weights'!$B$4)+(H307*'Pawn Weights'!$B$5)+(I307*'Pawn Weights'!$B$6)+(J307*'Pawn Weights'!$B$9)+(K307*'Pawn Weights'!$B$7)+(M307*'Pawn Weights'!$B$10)+(N307*'Pawn Weights'!$B$3)+(O307*'Pawn Weights'!$B$12)+(P307*'Pawn Weights'!$B$13)+(Q307*'Pawn Weights'!$B$14)+(F307*'Pawn Weights'!$B$16), 2)</f>
        <v>386.2</v>
      </c>
      <c r="E307" s="326">
        <v>81.2</v>
      </c>
      <c r="F307" s="326">
        <v>2.6</v>
      </c>
      <c r="G307" s="154"/>
      <c r="H307" s="326"/>
      <c r="I307" s="326"/>
      <c r="J307" s="326"/>
      <c r="K307" s="326"/>
      <c r="L307" s="326"/>
      <c r="M307" s="326"/>
      <c r="N307" s="326"/>
      <c r="O307" s="326"/>
      <c r="P307" s="326"/>
      <c r="Q307" s="326"/>
      <c r="R307" s="327"/>
      <c r="S307" s="327"/>
      <c r="T307" s="326"/>
      <c r="U307" s="328" t="s">
        <v>1679</v>
      </c>
      <c r="V307" s="326"/>
      <c r="W307" s="326"/>
      <c r="X307" s="329"/>
    </row>
    <row r="308" ht="15.0" customHeight="1">
      <c r="A308" s="301" t="s">
        <v>627</v>
      </c>
      <c r="B308" s="288" t="s">
        <v>1300</v>
      </c>
      <c r="C308" s="326" t="s">
        <v>1268</v>
      </c>
      <c r="D308" s="25">
        <f>ROUND((E308*'Pawn Weights'!$B$15)+(G308*'Pawn Weights'!$B$4)+(H308*'Pawn Weights'!$B$5)+(I308*'Pawn Weights'!$B$6)+(J308*'Pawn Weights'!$B$9)+(K308*'Pawn Weights'!$B$7)+(M308*'Pawn Weights'!$B$10)+(N308*'Pawn Weights'!$B$3)+(O308*'Pawn Weights'!$B$12)+(P308*'Pawn Weights'!$B$13)+(Q308*'Pawn Weights'!$B$14)+(F308*'Pawn Weights'!$B$16), 2)</f>
        <v>417.68</v>
      </c>
      <c r="E308" s="326">
        <v>83.5</v>
      </c>
      <c r="F308" s="326">
        <v>2.4</v>
      </c>
      <c r="G308" s="154"/>
      <c r="H308" s="326">
        <v>50.0</v>
      </c>
      <c r="I308" s="326"/>
      <c r="J308" s="326"/>
      <c r="K308" s="326"/>
      <c r="L308" s="326"/>
      <c r="M308" s="326"/>
      <c r="N308" s="326"/>
      <c r="O308" s="326"/>
      <c r="P308" s="326"/>
      <c r="Q308" s="326"/>
      <c r="R308" s="327"/>
      <c r="S308" s="327"/>
      <c r="T308" s="326"/>
      <c r="U308" s="328"/>
      <c r="V308" s="326"/>
      <c r="W308" s="326"/>
      <c r="X308" s="329"/>
    </row>
    <row r="309" ht="15.0" customHeight="1">
      <c r="A309" s="281"/>
      <c r="B309" s="288" t="s">
        <v>1262</v>
      </c>
      <c r="C309" s="326" t="s">
        <v>1263</v>
      </c>
      <c r="D309" s="25">
        <f>ROUND((E309*'Pawn Weights'!$B$15)+(G309*'Pawn Weights'!$B$4)+(H309*'Pawn Weights'!$B$5)+(I309*'Pawn Weights'!$B$6)+(J309*'Pawn Weights'!$B$9)+(K309*'Pawn Weights'!$B$7)+(M309*'Pawn Weights'!$B$10)+(N309*'Pawn Weights'!$B$3)+(O309*'Pawn Weights'!$B$12)+(P309*'Pawn Weights'!$B$13)+(Q309*'Pawn Weights'!$B$14)+(F309*'Pawn Weights'!$B$16), 2)</f>
        <v>415.82</v>
      </c>
      <c r="E309" s="326">
        <v>81.2</v>
      </c>
      <c r="F309" s="326">
        <v>2.6</v>
      </c>
      <c r="G309" s="154"/>
      <c r="H309" s="326">
        <v>38.0</v>
      </c>
      <c r="I309" s="326"/>
      <c r="J309" s="326"/>
      <c r="K309" s="326">
        <v>19.0</v>
      </c>
      <c r="L309" s="326"/>
      <c r="M309" s="326"/>
      <c r="N309" s="326"/>
      <c r="O309" s="326"/>
      <c r="P309" s="326"/>
      <c r="Q309" s="326"/>
      <c r="R309" s="327"/>
      <c r="S309" s="327"/>
      <c r="T309" s="326"/>
      <c r="U309" s="328"/>
      <c r="V309" s="326"/>
      <c r="W309" s="326"/>
      <c r="X309" s="329"/>
    </row>
    <row r="310">
      <c r="A310" s="292" t="s">
        <v>627</v>
      </c>
      <c r="B310" s="288" t="s">
        <v>1267</v>
      </c>
      <c r="C310" s="326" t="s">
        <v>1268</v>
      </c>
      <c r="D310" s="25">
        <f>ROUND((E310*'Pawn Weights'!$B$15)+(G310*'Pawn Weights'!$B$4)+(H310*'Pawn Weights'!$B$5)+(I310*'Pawn Weights'!$B$6)+(J310*'Pawn Weights'!$B$9)+(K310*'Pawn Weights'!$B$7)+(M310*'Pawn Weights'!$B$10)+(N310*'Pawn Weights'!$B$3)+(O310*'Pawn Weights'!$B$12)+(P310*'Pawn Weights'!$B$13)+(Q310*'Pawn Weights'!$B$14)+(F310*'Pawn Weights'!$B$16), 2)</f>
        <v>410.5</v>
      </c>
      <c r="E310" s="326">
        <v>83.4</v>
      </c>
      <c r="F310" s="326">
        <v>2.2</v>
      </c>
      <c r="G310" s="154">
        <v>26.0</v>
      </c>
      <c r="H310" s="326"/>
      <c r="I310" s="326"/>
      <c r="J310" s="326"/>
      <c r="K310" s="326"/>
      <c r="L310" s="326">
        <v>15.0</v>
      </c>
      <c r="M310" s="326"/>
      <c r="N310" s="326"/>
      <c r="O310" s="326"/>
      <c r="P310" s="326"/>
      <c r="Q310" s="326"/>
      <c r="R310" s="327"/>
      <c r="S310" s="327"/>
      <c r="T310" s="326"/>
      <c r="U310" s="328"/>
      <c r="V310" s="326"/>
      <c r="W310" s="326"/>
      <c r="X310" s="329"/>
    </row>
    <row r="311">
      <c r="A311" s="224" t="s">
        <v>1040</v>
      </c>
      <c r="B311" s="407" t="s">
        <v>604</v>
      </c>
      <c r="C311" s="323" t="s">
        <v>605</v>
      </c>
      <c r="D311" s="323" t="s">
        <v>606</v>
      </c>
      <c r="E311" s="224" t="s">
        <v>1003</v>
      </c>
      <c r="F311" s="224" t="s">
        <v>1004</v>
      </c>
      <c r="G311" s="224" t="s">
        <v>561</v>
      </c>
      <c r="H311" s="224" t="s">
        <v>562</v>
      </c>
      <c r="I311" s="224" t="s">
        <v>330</v>
      </c>
      <c r="J311" s="224" t="s">
        <v>563</v>
      </c>
      <c r="K311" s="272" t="s">
        <v>344</v>
      </c>
      <c r="L311" s="224" t="s">
        <v>607</v>
      </c>
      <c r="M311" s="224" t="s">
        <v>564</v>
      </c>
      <c r="N311" s="224" t="s">
        <v>1006</v>
      </c>
      <c r="O311" s="274" t="s">
        <v>610</v>
      </c>
      <c r="P311" s="275" t="s">
        <v>611</v>
      </c>
      <c r="Q311" s="276" t="s">
        <v>612</v>
      </c>
      <c r="R311" s="277" t="s">
        <v>613</v>
      </c>
      <c r="S311" s="277"/>
      <c r="T311" s="366"/>
      <c r="U311" s="224" t="s">
        <v>615</v>
      </c>
      <c r="V311" s="366" t="s">
        <v>1672</v>
      </c>
      <c r="W311" s="324"/>
      <c r="X311" s="324"/>
    </row>
    <row r="312" ht="14.25" customHeight="1">
      <c r="A312" s="281"/>
      <c r="B312" s="325" t="s">
        <v>1673</v>
      </c>
      <c r="C312" s="326"/>
      <c r="D312" s="25"/>
      <c r="E312" s="326"/>
      <c r="F312" s="326"/>
      <c r="G312" s="326"/>
      <c r="H312" s="326"/>
      <c r="I312" s="326"/>
      <c r="J312" s="326"/>
      <c r="K312" s="326"/>
      <c r="L312" s="326"/>
      <c r="M312" s="326"/>
      <c r="N312" s="326"/>
      <c r="O312" s="326"/>
      <c r="P312" s="326"/>
      <c r="Q312" s="326"/>
      <c r="R312" s="327"/>
      <c r="S312" s="327"/>
      <c r="T312" s="326"/>
      <c r="U312" s="328"/>
      <c r="V312" s="326"/>
      <c r="W312" s="326"/>
      <c r="X312" s="329"/>
    </row>
    <row r="313" ht="14.25" customHeight="1">
      <c r="A313" s="137" t="s">
        <v>671</v>
      </c>
      <c r="B313" s="296" t="s">
        <v>1011</v>
      </c>
      <c r="C313" s="330" t="s">
        <v>637</v>
      </c>
      <c r="D313" s="367">
        <f>ROUND((E313*'Pawn Weights'!$B$17)+(G313*'Pawn Weights'!$B$4)+(H313*'Pawn Weights'!$B$5)+(I313*'Pawn Weights'!$B$6)+(J313*'Pawn Weights'!$B$9)+(K313*'Pawn Weights'!$B$7)+(M313*'Pawn Weights'!$B$10)+(N313*'Pawn Weights'!$B$3)+(O313*'Pawn Weights'!$B$12)+(P313*'Pawn Weights'!$B$13)+(Q313*'Pawn Weights'!$B$14)+(F313*'Pawn Weights'!$B$18), 2)</f>
        <v>386.55</v>
      </c>
      <c r="E313" s="332">
        <v>107.9</v>
      </c>
      <c r="F313" s="332">
        <v>2.6</v>
      </c>
      <c r="G313" s="330"/>
      <c r="H313" s="332">
        <v>38.0</v>
      </c>
      <c r="I313" s="332">
        <v>22.0</v>
      </c>
      <c r="J313" s="330"/>
      <c r="K313" s="332">
        <v>9.0</v>
      </c>
      <c r="L313" s="332">
        <v>31.0</v>
      </c>
      <c r="M313" s="332">
        <v>49.0</v>
      </c>
      <c r="N313" s="330"/>
      <c r="O313" s="330"/>
      <c r="P313" s="330"/>
      <c r="Q313" s="330"/>
      <c r="R313" s="295"/>
      <c r="S313" s="330"/>
      <c r="T313" s="330" t="s">
        <v>986</v>
      </c>
      <c r="U313" s="330"/>
      <c r="V313" s="330"/>
      <c r="W313" s="295"/>
      <c r="X313" s="137"/>
      <c r="Y313" s="137"/>
      <c r="Z313" s="137"/>
    </row>
    <row r="314" ht="14.25" customHeight="1">
      <c r="A314" s="292" t="s">
        <v>671</v>
      </c>
      <c r="B314" s="288" t="s">
        <v>1045</v>
      </c>
      <c r="C314" s="326" t="s">
        <v>637</v>
      </c>
      <c r="D314" s="367">
        <f>ROUND((E314*'Pawn Weights'!$B$17)+(G314*'Pawn Weights'!$B$4)+(H314*'Pawn Weights'!$B$5)+(I314*'Pawn Weights'!$B$6)+(J314*'Pawn Weights'!$B$9)+(K314*'Pawn Weights'!$B$7)+(M314*'Pawn Weights'!$B$10)+(N314*'Pawn Weights'!$B$3)+(O314*'Pawn Weights'!$B$12)+(P314*'Pawn Weights'!$B$13)+(Q314*'Pawn Weights'!$B$14)+(F314*'Pawn Weights'!$B$18), 2)</f>
        <v>381.72</v>
      </c>
      <c r="E314" s="326">
        <v>108.0</v>
      </c>
      <c r="F314" s="326">
        <v>1.5</v>
      </c>
      <c r="G314" s="326"/>
      <c r="H314" s="326">
        <v>38.0</v>
      </c>
      <c r="I314" s="326">
        <v>22.0</v>
      </c>
      <c r="J314" s="326"/>
      <c r="K314" s="326">
        <v>9.0</v>
      </c>
      <c r="L314" s="326">
        <v>31.0</v>
      </c>
      <c r="M314" s="326">
        <v>49.0</v>
      </c>
      <c r="N314" s="326"/>
      <c r="O314" s="326"/>
      <c r="P314" s="326"/>
      <c r="Q314" s="326"/>
      <c r="R314" s="327"/>
      <c r="S314" s="326"/>
      <c r="T314" s="328" t="s">
        <v>986</v>
      </c>
      <c r="U314" s="326"/>
      <c r="V314" s="326"/>
      <c r="W314" s="329"/>
    </row>
    <row r="315" ht="14.25" customHeight="1">
      <c r="A315" s="137" t="s">
        <v>991</v>
      </c>
      <c r="B315" s="296" t="s">
        <v>1018</v>
      </c>
      <c r="C315" s="330" t="s">
        <v>646</v>
      </c>
      <c r="D315" s="367">
        <f>ROUND((E315*'Pawn Weights'!$B$17)+(G315*'Pawn Weights'!$B$4)+(H315*'Pawn Weights'!$B$5)+(I315*'Pawn Weights'!$B$6)+(J315*'Pawn Weights'!$B$9)+(K315*'Pawn Weights'!$B$7)+(M315*'Pawn Weights'!$B$10)+(N315*'Pawn Weights'!$B$3)+(O315*'Pawn Weights'!$B$12)+(P315*'Pawn Weights'!$B$13)+(Q315*'Pawn Weights'!$B$14)+(F315*'Pawn Weights'!$B$18), 2)</f>
        <v>368.77</v>
      </c>
      <c r="E315" s="332">
        <v>103.1</v>
      </c>
      <c r="F315" s="332">
        <v>2.6</v>
      </c>
      <c r="G315" s="330"/>
      <c r="H315" s="332">
        <v>34.0</v>
      </c>
      <c r="I315" s="332">
        <v>21.0</v>
      </c>
      <c r="J315" s="330"/>
      <c r="K315" s="332">
        <v>8.0</v>
      </c>
      <c r="L315" s="332">
        <v>30.0</v>
      </c>
      <c r="M315" s="332">
        <v>49.0</v>
      </c>
      <c r="N315" s="330"/>
      <c r="O315" s="330"/>
      <c r="P315" s="330"/>
      <c r="Q315" s="330"/>
      <c r="R315" s="295"/>
      <c r="S315" s="330"/>
      <c r="T315" s="330" t="s">
        <v>986</v>
      </c>
      <c r="U315" s="330"/>
      <c r="V315" s="330"/>
      <c r="W315" s="295"/>
      <c r="X315" s="137"/>
      <c r="Y315" s="137"/>
      <c r="Z315" s="137"/>
    </row>
    <row r="316" ht="14.25" customHeight="1">
      <c r="A316" s="137" t="s">
        <v>991</v>
      </c>
      <c r="B316" s="317" t="s">
        <v>1051</v>
      </c>
      <c r="C316" s="330" t="s">
        <v>646</v>
      </c>
      <c r="D316" s="367">
        <f>ROUND((E316*'Pawn Weights'!$B$17)+(G316*'Pawn Weights'!$B$4)+(H316*'Pawn Weights'!$B$5)+(I316*'Pawn Weights'!$B$6)+(J316*'Pawn Weights'!$B$9)+(K316*'Pawn Weights'!$B$7)+(M316*'Pawn Weights'!$B$10)+(N316*'Pawn Weights'!$B$3)+(O316*'Pawn Weights'!$B$12)+(P316*'Pawn Weights'!$B$13)+(Q316*'Pawn Weights'!$B$14)+(F316*'Pawn Weights'!$B$18), 2)</f>
        <v>363.33</v>
      </c>
      <c r="E316" s="331">
        <v>103.0</v>
      </c>
      <c r="F316" s="331">
        <v>1.5</v>
      </c>
      <c r="G316" s="330"/>
      <c r="H316" s="332">
        <v>34.0</v>
      </c>
      <c r="I316" s="332">
        <v>21.0</v>
      </c>
      <c r="J316" s="330"/>
      <c r="K316" s="332">
        <v>8.0</v>
      </c>
      <c r="L316" s="332">
        <v>30.0</v>
      </c>
      <c r="M316" s="332">
        <v>49.0</v>
      </c>
      <c r="N316" s="330"/>
      <c r="O316" s="330"/>
      <c r="P316" s="330"/>
      <c r="Q316" s="330"/>
      <c r="R316" s="295"/>
      <c r="S316" s="330"/>
      <c r="T316" s="330" t="s">
        <v>986</v>
      </c>
      <c r="U316" s="330"/>
      <c r="V316" s="330"/>
      <c r="W316" s="295"/>
      <c r="X316" s="137"/>
      <c r="Y316" s="137"/>
      <c r="Z316" s="137"/>
    </row>
    <row r="317" ht="14.25" customHeight="1">
      <c r="A317" s="137"/>
      <c r="B317" s="296" t="s">
        <v>1046</v>
      </c>
      <c r="C317" s="330" t="s">
        <v>1047</v>
      </c>
      <c r="D317" s="367">
        <f>ROUND((E317*'Pawn Weights'!$B$17)+(G317*'Pawn Weights'!$B$4)+(H317*'Pawn Weights'!$B$5)+(I317*'Pawn Weights'!$B$6)+(J317*'Pawn Weights'!$B$9)+(K317*'Pawn Weights'!$B$7)+(M317*'Pawn Weights'!$B$10)+(N317*'Pawn Weights'!$B$3)+(O317*'Pawn Weights'!$B$12)+(P317*'Pawn Weights'!$B$13)+(Q317*'Pawn Weights'!$B$14)+(F317*'Pawn Weights'!$B$18), 2)</f>
        <v>354.32</v>
      </c>
      <c r="E317" s="332">
        <v>103.0</v>
      </c>
      <c r="F317" s="332">
        <v>2.5</v>
      </c>
      <c r="G317" s="330"/>
      <c r="H317" s="332">
        <v>44.0</v>
      </c>
      <c r="I317" s="330"/>
      <c r="J317" s="330"/>
      <c r="K317" s="332">
        <v>21.0</v>
      </c>
      <c r="L317" s="330"/>
      <c r="M317" s="330"/>
      <c r="N317" s="330"/>
      <c r="O317" s="330"/>
      <c r="P317" s="330"/>
      <c r="Q317" s="330"/>
      <c r="R317" s="295"/>
      <c r="S317" s="332">
        <v>23.0</v>
      </c>
      <c r="T317" s="295"/>
      <c r="U317" s="330"/>
      <c r="V317" s="330"/>
      <c r="W317" s="295"/>
      <c r="X317" s="137"/>
      <c r="Y317" s="137"/>
      <c r="Z317" s="137"/>
    </row>
    <row r="318" ht="14.25" customHeight="1">
      <c r="A318" s="137"/>
      <c r="B318" s="296" t="s">
        <v>1048</v>
      </c>
      <c r="C318" s="330" t="s">
        <v>1047</v>
      </c>
      <c r="D318" s="367">
        <f>ROUND((E318*'Pawn Weights'!$B$17)+(G318*'Pawn Weights'!$B$4)+(H318*'Pawn Weights'!$B$5)+(I318*'Pawn Weights'!$B$6)+(J318*'Pawn Weights'!$B$9)+(K318*'Pawn Weights'!$B$7)+(M318*'Pawn Weights'!$B$10)+(N318*'Pawn Weights'!$B$3)+(O318*'Pawn Weights'!$B$12)+(P318*'Pawn Weights'!$B$13)+(Q318*'Pawn Weights'!$B$14)+(F318*'Pawn Weights'!$B$18), 2)</f>
        <v>349.65</v>
      </c>
      <c r="E318" s="332">
        <v>103.0</v>
      </c>
      <c r="F318" s="332">
        <v>1.5</v>
      </c>
      <c r="G318" s="330"/>
      <c r="H318" s="332">
        <v>44.0</v>
      </c>
      <c r="I318" s="330"/>
      <c r="J318" s="330"/>
      <c r="K318" s="332">
        <v>21.0</v>
      </c>
      <c r="L318" s="330"/>
      <c r="M318" s="330"/>
      <c r="N318" s="330"/>
      <c r="O318" s="330"/>
      <c r="P318" s="330"/>
      <c r="Q318" s="330"/>
      <c r="R318" s="295"/>
      <c r="S318" s="332">
        <v>23.0</v>
      </c>
      <c r="T318" s="295"/>
      <c r="U318" s="330"/>
      <c r="V318" s="330"/>
      <c r="W318" s="295"/>
      <c r="X318" s="137"/>
      <c r="Y318" s="137"/>
      <c r="Z318" s="137"/>
    </row>
    <row r="319">
      <c r="A319" s="295" t="s">
        <v>627</v>
      </c>
      <c r="B319" s="296" t="s">
        <v>1031</v>
      </c>
      <c r="C319" s="330" t="s">
        <v>1032</v>
      </c>
      <c r="D319" s="367">
        <f>ROUND((E319*'Pawn Weights'!$B$17)+(G319*'Pawn Weights'!$B$4)+(H319*'Pawn Weights'!$B$5)+(I319*'Pawn Weights'!$B$6)+(J319*'Pawn Weights'!$B$9)+(K319*'Pawn Weights'!$B$7)+(M319*'Pawn Weights'!$B$10)+(N319*'Pawn Weights'!$B$3)+(O319*'Pawn Weights'!$B$12)+(P319*'Pawn Weights'!$B$13)+(Q319*'Pawn Weights'!$B$14)+(F319*'Pawn Weights'!$B$18), 2)</f>
        <v>348.39</v>
      </c>
      <c r="E319" s="332">
        <v>97.6</v>
      </c>
      <c r="F319" s="332">
        <v>2.7</v>
      </c>
      <c r="G319" s="330"/>
      <c r="H319" s="332">
        <v>48.0</v>
      </c>
      <c r="I319" s="332">
        <v>23.0</v>
      </c>
      <c r="J319" s="330"/>
      <c r="K319" s="330"/>
      <c r="L319" s="330"/>
      <c r="M319" s="330"/>
      <c r="N319" s="330"/>
      <c r="O319" s="330"/>
      <c r="P319" s="330"/>
      <c r="Q319" s="330"/>
      <c r="R319" s="295"/>
      <c r="S319" s="295"/>
      <c r="T319" s="330"/>
      <c r="U319" s="402" t="s">
        <v>1391</v>
      </c>
      <c r="V319" s="330"/>
      <c r="W319" s="330"/>
      <c r="X319" s="137"/>
      <c r="Y319" s="137"/>
      <c r="Z319" s="137"/>
    </row>
    <row r="320">
      <c r="A320" s="295" t="s">
        <v>627</v>
      </c>
      <c r="B320" s="317" t="s">
        <v>1049</v>
      </c>
      <c r="C320" s="330" t="s">
        <v>1016</v>
      </c>
      <c r="D320" s="367">
        <f>ROUND((E320*'Pawn Weights'!$B$17)+(G320*'Pawn Weights'!$B$4)+(H320*'Pawn Weights'!$B$5)+(I320*'Pawn Weights'!$B$6)+(J320*'Pawn Weights'!$B$9)+(K320*'Pawn Weights'!$B$7)+(M320*'Pawn Weights'!$B$10)+(N320*'Pawn Weights'!$B$3)+(O320*'Pawn Weights'!$B$12)+(P320*'Pawn Weights'!$B$13)+(Q320*'Pawn Weights'!$B$14)+(F320*'Pawn Weights'!$B$18)+(53*'Pawn Weights'!$B$8), 2)</f>
        <v>345.69</v>
      </c>
      <c r="E320" s="332">
        <v>97.6</v>
      </c>
      <c r="F320" s="332">
        <v>2.7</v>
      </c>
      <c r="G320" s="330"/>
      <c r="H320" s="330"/>
      <c r="I320" s="330"/>
      <c r="J320" s="330"/>
      <c r="K320" s="330"/>
      <c r="L320" s="332">
        <v>19.0</v>
      </c>
      <c r="M320" s="330"/>
      <c r="N320" s="330"/>
      <c r="O320" s="330"/>
      <c r="P320" s="330"/>
      <c r="Q320" s="330"/>
      <c r="R320" s="295"/>
      <c r="S320" s="295"/>
      <c r="T320" s="330"/>
      <c r="U320" s="328" t="s">
        <v>1050</v>
      </c>
      <c r="V320" s="330"/>
      <c r="W320" s="330"/>
      <c r="X320" s="137"/>
      <c r="Y320" s="137"/>
      <c r="Z320" s="137"/>
    </row>
    <row r="321">
      <c r="A321" s="137"/>
      <c r="B321" s="296" t="s">
        <v>1035</v>
      </c>
      <c r="C321" s="330" t="s">
        <v>900</v>
      </c>
      <c r="D321" s="367">
        <f>ROUND((E321*'Pawn Weights'!$B$17)+(G321*'Pawn Weights'!$B$4)+(H321*'Pawn Weights'!$B$5)+(I321*'Pawn Weights'!$B$6)+(J321*'Pawn Weights'!$B$9)+(K321*'Pawn Weights'!$B$7)+(M321*'Pawn Weights'!$B$10)+(N321*'Pawn Weights'!$B$3)+(O321*'Pawn Weights'!$B$12)+(P321*'Pawn Weights'!$B$13)+(Q321*'Pawn Weights'!$B$14)+(F321*'Pawn Weights'!$B$18), 2)</f>
        <v>343.44</v>
      </c>
      <c r="E321" s="332">
        <v>96.5</v>
      </c>
      <c r="F321" s="332">
        <v>2.7</v>
      </c>
      <c r="G321" s="332">
        <v>15.0</v>
      </c>
      <c r="H321" s="332">
        <v>40.0</v>
      </c>
      <c r="I321" s="330"/>
      <c r="J321" s="330"/>
      <c r="K321" s="332">
        <v>20.0</v>
      </c>
      <c r="L321" s="330"/>
      <c r="M321" s="330"/>
      <c r="N321" s="330"/>
      <c r="O321" s="330"/>
      <c r="P321" s="330"/>
      <c r="Q321" s="330"/>
      <c r="R321" s="295"/>
      <c r="S321" s="295"/>
      <c r="T321" s="330"/>
      <c r="U321" s="402" t="s">
        <v>1036</v>
      </c>
      <c r="V321" s="330"/>
      <c r="W321" s="330"/>
      <c r="X321" s="137"/>
      <c r="Y321" s="137"/>
      <c r="Z321" s="137"/>
    </row>
    <row r="322">
      <c r="A322" s="219" t="s">
        <v>995</v>
      </c>
      <c r="B322" s="296" t="s">
        <v>1033</v>
      </c>
      <c r="C322" s="330" t="s">
        <v>997</v>
      </c>
      <c r="D322" s="367">
        <f>ROUND((E322*'Pawn Weights'!$B$17)+(G322*'Pawn Weights'!$B$4)+(H322*'Pawn Weights'!$B$5)+(I322*'Pawn Weights'!$B$6)+(J322*'Pawn Weights'!$B$9)+(K322*'Pawn Weights'!$B$7)+(M322*'Pawn Weights'!$B$10)+(N322*'Pawn Weights'!$B$3)+(O322*'Pawn Weights'!$B$12)+(P322*'Pawn Weights'!$B$13)+(Q322*'Pawn Weights'!$B$14)+(F322*'Pawn Weights'!$B$18), 2)</f>
        <v>342.86</v>
      </c>
      <c r="E322" s="332">
        <v>97.7</v>
      </c>
      <c r="F322" s="332">
        <v>2.6</v>
      </c>
      <c r="G322" s="330"/>
      <c r="H322" s="332">
        <v>30.0</v>
      </c>
      <c r="I322" s="332">
        <v>19.0</v>
      </c>
      <c r="J322" s="330"/>
      <c r="K322" s="332">
        <v>10.0</v>
      </c>
      <c r="L322" s="332">
        <v>27.0</v>
      </c>
      <c r="M322" s="330"/>
      <c r="N322" s="330"/>
      <c r="O322" s="330"/>
      <c r="P322" s="330"/>
      <c r="Q322" s="330"/>
      <c r="R322" s="295"/>
      <c r="S322" s="295"/>
      <c r="T322" s="330"/>
      <c r="U322" s="402" t="s">
        <v>1034</v>
      </c>
      <c r="V322" s="330"/>
      <c r="W322" s="330"/>
      <c r="X322" s="137"/>
      <c r="Y322" s="137"/>
      <c r="Z322" s="137"/>
    </row>
    <row r="323">
      <c r="A323" s="137"/>
      <c r="B323" s="296" t="s">
        <v>1020</v>
      </c>
      <c r="C323" s="330" t="s">
        <v>741</v>
      </c>
      <c r="D323" s="367">
        <f>ROUND((E323*'Pawn Weights'!$B$17)+(G323*'Pawn Weights'!$B$4)+(H323*'Pawn Weights'!$B$5)+(I323*'Pawn Weights'!$B$6)+(J323*'Pawn Weights'!$B$9)+(K323*'Pawn Weights'!$B$7)+(M323*'Pawn Weights'!$B$10)+(N323*'Pawn Weights'!$B$3)+(O323*'Pawn Weights'!$B$12)+(P323*'Pawn Weights'!$B$13)+(Q323*'Pawn Weights'!$B$14)+(F323*'Pawn Weights'!$B$18)+6, 2)</f>
        <v>342.84</v>
      </c>
      <c r="E323" s="332">
        <v>100.2</v>
      </c>
      <c r="F323" s="332">
        <v>2.7</v>
      </c>
      <c r="G323" s="330"/>
      <c r="H323" s="332">
        <v>52.0</v>
      </c>
      <c r="I323" s="330"/>
      <c r="J323" s="330"/>
      <c r="K323" s="330"/>
      <c r="L323" s="330"/>
      <c r="M323" s="330"/>
      <c r="N323" s="330"/>
      <c r="O323" s="330"/>
      <c r="P323" s="330"/>
      <c r="Q323" s="330"/>
      <c r="R323" s="295"/>
      <c r="S323" s="295"/>
      <c r="T323" s="330"/>
      <c r="U323" s="402" t="s">
        <v>1021</v>
      </c>
      <c r="V323" s="330"/>
      <c r="W323" s="330"/>
      <c r="X323" s="137"/>
      <c r="Y323" s="137"/>
      <c r="Z323" s="137"/>
    </row>
    <row r="324">
      <c r="A324" s="345"/>
      <c r="B324" s="334" t="s">
        <v>1058</v>
      </c>
      <c r="C324" s="335" t="s">
        <v>997</v>
      </c>
      <c r="D324" s="367">
        <f>ROUND((E324*'Pawn Weights'!$B$17)+(G324*'Pawn Weights'!$B$4)+(H324*'Pawn Weights'!$B$5)+(I324*'Pawn Weights'!$B$6)+(J324*'Pawn Weights'!$B$9)+(K324*'Pawn Weights'!$B$7)+(M324*'Pawn Weights'!$B$10)+(N324*'Pawn Weights'!$B$3)+(O324*'Pawn Weights'!$B$12)+(P324*'Pawn Weights'!$B$13)+(Q324*'Pawn Weights'!$B$14)+(F324*'Pawn Weights'!$B$18), 2)</f>
        <v>337.72</v>
      </c>
      <c r="E324" s="335">
        <v>97.7</v>
      </c>
      <c r="F324" s="335">
        <v>1.5</v>
      </c>
      <c r="G324" s="335"/>
      <c r="H324" s="335">
        <v>30.0</v>
      </c>
      <c r="I324" s="335">
        <v>19.0</v>
      </c>
      <c r="J324" s="335"/>
      <c r="K324" s="335">
        <v>10.0</v>
      </c>
      <c r="L324" s="335"/>
      <c r="M324" s="336"/>
      <c r="N324" s="336"/>
      <c r="O324" s="336"/>
      <c r="P324" s="336"/>
      <c r="Q324" s="336"/>
      <c r="R324" s="337"/>
      <c r="S324" s="337"/>
      <c r="T324" s="336"/>
      <c r="U324" s="347"/>
      <c r="V324" s="336"/>
      <c r="W324" s="348"/>
      <c r="X324" s="348"/>
      <c r="Y324" s="340"/>
      <c r="Z324" s="340"/>
    </row>
    <row r="325">
      <c r="A325" s="137"/>
      <c r="B325" s="296" t="s">
        <v>1037</v>
      </c>
      <c r="C325" s="330" t="s">
        <v>1025</v>
      </c>
      <c r="D325" s="367">
        <f>ROUND((E325*'Pawn Weights'!$B$17)+(G325*'Pawn Weights'!$B$4)+(H325*'Pawn Weights'!$B$5)+(I325*'Pawn Weights'!$B$6)+(J325*'Pawn Weights'!$B$9)+(K325*'Pawn Weights'!$B$7)+(M325*'Pawn Weights'!$B$10)+(N325*'Pawn Weights'!$B$3)+(O325*'Pawn Weights'!$B$12)+(P325*'Pawn Weights'!$B$13)+(Q325*'Pawn Weights'!$B$14)+(F325*'Pawn Weights'!$B$18), 2)</f>
        <v>336.75</v>
      </c>
      <c r="E325" s="332">
        <v>96.5</v>
      </c>
      <c r="F325" s="332">
        <v>2.6</v>
      </c>
      <c r="G325" s="332">
        <v>25.0</v>
      </c>
      <c r="H325" s="332">
        <v>40.0</v>
      </c>
      <c r="I325" s="330"/>
      <c r="J325" s="330"/>
      <c r="K325" s="330"/>
      <c r="L325" s="332">
        <v>21.0</v>
      </c>
      <c r="M325" s="330"/>
      <c r="N325" s="330"/>
      <c r="O325" s="330"/>
      <c r="P325" s="330"/>
      <c r="Q325" s="330"/>
      <c r="R325" s="295"/>
      <c r="S325" s="295"/>
      <c r="T325" s="330"/>
      <c r="U325" s="299"/>
      <c r="V325" s="330"/>
      <c r="W325" s="330"/>
      <c r="X325" s="137"/>
      <c r="Y325" s="137"/>
      <c r="Z325" s="137"/>
    </row>
    <row r="326">
      <c r="A326" s="295" t="s">
        <v>627</v>
      </c>
      <c r="B326" s="317" t="s">
        <v>1055</v>
      </c>
      <c r="C326" s="330" t="s">
        <v>1016</v>
      </c>
      <c r="D326" s="367">
        <f>ROUND((E326*'Pawn Weights'!$B$17)+(G326*'Pawn Weights'!$B$4)+(H326*'Pawn Weights'!$B$5)+(I326*'Pawn Weights'!$B$6)+(J326*'Pawn Weights'!$B$9)+(K326*'Pawn Weights'!$B$7)+(M326*'Pawn Weights'!$B$10)+(N326*'Pawn Weights'!$B$3)+(O326*'Pawn Weights'!$B$12)+(P326*'Pawn Weights'!$B$13)+(Q326*'Pawn Weights'!$B$14)+(F326*'Pawn Weights'!$B$18)+(38.16*'Pawn Weights'!$B$8), 2)</f>
        <v>334.41</v>
      </c>
      <c r="E326" s="332">
        <v>97.6</v>
      </c>
      <c r="F326" s="332">
        <v>2.7</v>
      </c>
      <c r="G326" s="330"/>
      <c r="H326" s="330"/>
      <c r="I326" s="330"/>
      <c r="J326" s="330"/>
      <c r="K326" s="330"/>
      <c r="L326" s="332">
        <v>19.0</v>
      </c>
      <c r="M326" s="330"/>
      <c r="N326" s="330"/>
      <c r="O326" s="330"/>
      <c r="P326" s="330"/>
      <c r="Q326" s="330"/>
      <c r="R326" s="295"/>
      <c r="S326" s="295"/>
      <c r="T326" s="330"/>
      <c r="U326" s="328" t="s">
        <v>1050</v>
      </c>
      <c r="V326" s="330"/>
      <c r="W326" s="330"/>
      <c r="X326" s="137"/>
      <c r="Y326" s="137"/>
      <c r="Z326" s="137"/>
    </row>
    <row r="327">
      <c r="A327" s="423"/>
      <c r="B327" s="334" t="s">
        <v>1060</v>
      </c>
      <c r="C327" s="335" t="s">
        <v>1025</v>
      </c>
      <c r="D327" s="367">
        <f>ROUND((E327*'Pawn Weights'!$B$17)+(G327*'Pawn Weights'!$B$4)+(H327*'Pawn Weights'!$B$5)+(I327*'Pawn Weights'!$B$6)+(J327*'Pawn Weights'!$B$9)+(K327*'Pawn Weights'!$B$7)+(M327*'Pawn Weights'!$B$10)+(N327*'Pawn Weights'!$B$3)+(O327*'Pawn Weights'!$B$12)+(P327*'Pawn Weights'!$B$13)+(Q327*'Pawn Weights'!$B$14)+(F327*'Pawn Weights'!$B$18), 2)</f>
        <v>332.21</v>
      </c>
      <c r="E327" s="335">
        <v>96.7</v>
      </c>
      <c r="F327" s="335">
        <v>1.5</v>
      </c>
      <c r="G327" s="335">
        <v>25.0</v>
      </c>
      <c r="H327" s="335">
        <v>40.0</v>
      </c>
      <c r="I327" s="336"/>
      <c r="J327" s="335"/>
      <c r="K327" s="336"/>
      <c r="L327" s="335">
        <v>21.0</v>
      </c>
      <c r="M327" s="336"/>
      <c r="N327" s="336"/>
      <c r="O327" s="336"/>
      <c r="P327" s="336"/>
      <c r="Q327" s="336"/>
      <c r="R327" s="337"/>
      <c r="S327" s="337"/>
      <c r="T327" s="336"/>
      <c r="U327" s="347"/>
      <c r="V327" s="336"/>
      <c r="W327" s="348"/>
      <c r="X327" s="348"/>
      <c r="Y327" s="340"/>
      <c r="Z327" s="340"/>
    </row>
    <row r="328">
      <c r="A328" s="295" t="s">
        <v>627</v>
      </c>
      <c r="B328" s="317" t="s">
        <v>1389</v>
      </c>
      <c r="C328" s="330" t="s">
        <v>1296</v>
      </c>
      <c r="D328" s="367">
        <f>ROUND((E328*'Pawn Weights'!$B$17)+(G328*'Pawn Weights'!$B$4)+(H328*'Pawn Weights'!$B$5)+(I328*'Pawn Weights'!$B$6)+(J328*'Pawn Weights'!$B$9)+(K328*'Pawn Weights'!$B$7)+(M328*'Pawn Weights'!$B$10)+(N328*'Pawn Weights'!$B$3)+(O328*'Pawn Weights'!$B$12)+(P328*'Pawn Weights'!$B$13)+(Q328*'Pawn Weights'!$B$14)+(F328*'Pawn Weights'!$B$18)+(53*'Pawn Weights'!$B$8), 2)</f>
        <v>326.19</v>
      </c>
      <c r="E328" s="332">
        <v>91.1</v>
      </c>
      <c r="F328" s="332">
        <v>2.7</v>
      </c>
      <c r="G328" s="295"/>
      <c r="H328" s="330"/>
      <c r="I328" s="330"/>
      <c r="J328" s="330"/>
      <c r="K328" s="330"/>
      <c r="L328" s="332">
        <v>9.0</v>
      </c>
      <c r="M328" s="330"/>
      <c r="N328" s="330"/>
      <c r="O328" s="330"/>
      <c r="P328" s="330"/>
      <c r="Q328" s="330"/>
      <c r="R328" s="295"/>
      <c r="S328" s="295"/>
      <c r="T328" s="330"/>
      <c r="U328" s="328" t="s">
        <v>1050</v>
      </c>
      <c r="V328" s="368"/>
      <c r="W328" s="330"/>
      <c r="X328" s="137"/>
      <c r="Y328" s="137"/>
      <c r="Z328" s="137"/>
    </row>
    <row r="329">
      <c r="A329" s="295" t="s">
        <v>627</v>
      </c>
      <c r="B329" s="296" t="s">
        <v>1392</v>
      </c>
      <c r="C329" s="330" t="s">
        <v>1393</v>
      </c>
      <c r="D329" s="367">
        <f>ROUND((E329*'Pawn Weights'!$B$17)+(G329*'Pawn Weights'!$B$4)+(H329*'Pawn Weights'!$B$5)+(I329*'Pawn Weights'!$B$6)+(J329*'Pawn Weights'!$B$9)+(K329*'Pawn Weights'!$B$7)+(M329*'Pawn Weights'!$B$10)+(N329*'Pawn Weights'!$B$3)+(O329*'Pawn Weights'!$B$12)+(P329*'Pawn Weights'!$B$13)+(Q329*'Pawn Weights'!$B$14)+(F329*'Pawn Weights'!$B$18), 2)</f>
        <v>325.23</v>
      </c>
      <c r="E329" s="332">
        <v>91.1</v>
      </c>
      <c r="F329" s="332">
        <v>2.7</v>
      </c>
      <c r="G329" s="330"/>
      <c r="H329" s="332">
        <v>44.0</v>
      </c>
      <c r="I329" s="332">
        <v>21.0</v>
      </c>
      <c r="J329" s="330"/>
      <c r="K329" s="330"/>
      <c r="L329" s="330"/>
      <c r="M329" s="330"/>
      <c r="N329" s="330"/>
      <c r="O329" s="330"/>
      <c r="P329" s="330"/>
      <c r="Q329" s="330"/>
      <c r="R329" s="295"/>
      <c r="S329" s="295"/>
      <c r="T329" s="330"/>
      <c r="U329" s="402" t="s">
        <v>1391</v>
      </c>
      <c r="V329" s="330"/>
      <c r="W329" s="330"/>
      <c r="X329" s="137"/>
      <c r="Y329" s="137"/>
      <c r="Z329" s="137"/>
    </row>
    <row r="330" ht="14.25" customHeight="1">
      <c r="A330" s="301" t="s">
        <v>627</v>
      </c>
      <c r="B330" s="288" t="s">
        <v>1061</v>
      </c>
      <c r="C330" s="326" t="s">
        <v>1062</v>
      </c>
      <c r="D330" s="367">
        <f>ROUND((E330*'Pawn Weights'!$B$17)+(G330*'Pawn Weights'!$B$4)+(H330*'Pawn Weights'!$B$5)+(I330*'Pawn Weights'!$B$6)+(J330*'Pawn Weights'!$B$9)+(K330*'Pawn Weights'!$B$7)+(M330*'Pawn Weights'!$B$10)+(N330*'Pawn Weights'!$B$3)+(O330*'Pawn Weights'!$B$12)+(P330*'Pawn Weights'!$B$13)+(Q330*'Pawn Weights'!$B$14)+(F330*'Pawn Weights'!$B$18), 2)</f>
        <v>324.54</v>
      </c>
      <c r="E330" s="326">
        <v>97.5</v>
      </c>
      <c r="F330" s="326">
        <v>1.6</v>
      </c>
      <c r="G330" s="326">
        <v>19.0</v>
      </c>
      <c r="H330" s="326"/>
      <c r="I330" s="326"/>
      <c r="J330" s="326"/>
      <c r="K330" s="326">
        <v>18.0</v>
      </c>
      <c r="L330" s="326">
        <v>28.0</v>
      </c>
      <c r="M330" s="326"/>
      <c r="N330" s="326"/>
      <c r="O330" s="326"/>
      <c r="P330" s="326"/>
      <c r="Q330" s="326"/>
      <c r="R330" s="327"/>
      <c r="S330" s="327"/>
      <c r="T330" s="326"/>
      <c r="U330" s="328" t="s">
        <v>1063</v>
      </c>
      <c r="V330" s="326"/>
      <c r="W330" s="326"/>
      <c r="X330" s="329"/>
    </row>
    <row r="331">
      <c r="A331" s="301"/>
      <c r="B331" s="288" t="s">
        <v>1289</v>
      </c>
      <c r="C331" s="326" t="s">
        <v>1122</v>
      </c>
      <c r="D331" s="367">
        <f>ROUND((E331*'Pawn Weights'!$B$17)+(G331*'Pawn Weights'!$B$4)+(H331*'Pawn Weights'!$B$5)+(I331*'Pawn Weights'!$B$6)+(J331*'Pawn Weights'!$B$9)+(K331*'Pawn Weights'!$B$7)+(M331*'Pawn Weights'!$B$10)+(N331*'Pawn Weights'!$B$3)+(O331*'Pawn Weights'!$B$12)+(P331*'Pawn Weights'!$B$13)+(Q331*'Pawn Weights'!$B$14)+(F331*'Pawn Weights'!$B$18), 2)</f>
        <v>318.36</v>
      </c>
      <c r="E331" s="326">
        <v>87.5</v>
      </c>
      <c r="F331" s="326">
        <v>2.6</v>
      </c>
      <c r="G331" s="154"/>
      <c r="H331" s="326">
        <v>30.0</v>
      </c>
      <c r="I331" s="326">
        <v>24.0</v>
      </c>
      <c r="J331" s="326"/>
      <c r="K331" s="326"/>
      <c r="L331" s="326"/>
      <c r="M331" s="326"/>
      <c r="N331" s="326"/>
      <c r="O331" s="326"/>
      <c r="P331" s="326">
        <v>1.0</v>
      </c>
      <c r="Q331" s="326"/>
      <c r="R331" s="327" t="s">
        <v>674</v>
      </c>
      <c r="S331" s="327"/>
      <c r="T331" s="326"/>
      <c r="U331" s="328"/>
      <c r="V331" s="326"/>
      <c r="W331" s="326"/>
      <c r="X331" s="329"/>
    </row>
    <row r="332" ht="14.25" customHeight="1">
      <c r="A332" s="301" t="s">
        <v>1449</v>
      </c>
      <c r="B332" s="288" t="s">
        <v>1256</v>
      </c>
      <c r="C332" s="326" t="s">
        <v>1159</v>
      </c>
      <c r="D332" s="367">
        <f>ROUND((E332*'Pawn Weights'!$B$17)+(G332*'Pawn Weights'!$B$4)+(H332*'Pawn Weights'!$B$5)+(I332*'Pawn Weights'!$B$6)+(J332*'Pawn Weights'!$B$9)+(K332*'Pawn Weights'!$B$7)+(M332*'Pawn Weights'!$B$10)+(N332*'Pawn Weights'!$B$3)+(O332*'Pawn Weights'!$B$12)+(P332*'Pawn Weights'!$B$13)+(Q332*'Pawn Weights'!$B$14)+(F332*'Pawn Weights'!$B$18), 2)</f>
        <v>318.12</v>
      </c>
      <c r="E332" s="326">
        <v>91.2</v>
      </c>
      <c r="F332" s="326">
        <v>2.6</v>
      </c>
      <c r="G332" s="326"/>
      <c r="H332" s="326">
        <v>28.0</v>
      </c>
      <c r="I332" s="326">
        <v>15.0</v>
      </c>
      <c r="J332" s="326"/>
      <c r="K332" s="326">
        <v>9.0</v>
      </c>
      <c r="L332" s="326">
        <v>21.0</v>
      </c>
      <c r="M332" s="326"/>
      <c r="N332" s="326"/>
      <c r="O332" s="326"/>
      <c r="P332" s="326"/>
      <c r="Q332" s="326"/>
      <c r="R332" s="327"/>
      <c r="S332" s="327"/>
      <c r="T332" s="326"/>
      <c r="U332" s="328"/>
      <c r="V332" s="326"/>
      <c r="W332" s="326"/>
      <c r="X332" s="329"/>
    </row>
    <row r="333" ht="14.25" customHeight="1">
      <c r="A333" s="295" t="s">
        <v>627</v>
      </c>
      <c r="B333" s="296" t="s">
        <v>1295</v>
      </c>
      <c r="C333" s="330" t="s">
        <v>1296</v>
      </c>
      <c r="D333" s="367">
        <f>ROUND((E333*'Pawn Weights'!$B$17)+(G333*'Pawn Weights'!$B$4)+(H333*'Pawn Weights'!$B$5)+(I333*'Pawn Weights'!$B$6)+(J333*'Pawn Weights'!$B$9)+(K333*'Pawn Weights'!$B$7)+(M333*'Pawn Weights'!$B$10)+(N333*'Pawn Weights'!$B$3)+(O333*'Pawn Weights'!$B$12)+(P333*'Pawn Weights'!$B$13)+(Q333*'Pawn Weights'!$B$14)+(F333*'Pawn Weights'!$B$18)+(38.16*'Pawn Weights'!$B$8), 2)</f>
        <v>314.91</v>
      </c>
      <c r="E333" s="332">
        <v>91.1</v>
      </c>
      <c r="F333" s="332">
        <v>2.7</v>
      </c>
      <c r="G333" s="295"/>
      <c r="H333" s="330"/>
      <c r="I333" s="330"/>
      <c r="J333" s="330"/>
      <c r="K333" s="330"/>
      <c r="L333" s="332">
        <v>9.0</v>
      </c>
      <c r="M333" s="330"/>
      <c r="N333" s="330"/>
      <c r="O333" s="330"/>
      <c r="P333" s="330"/>
      <c r="Q333" s="330"/>
      <c r="R333" s="295"/>
      <c r="S333" s="295"/>
      <c r="T333" s="330"/>
      <c r="U333" s="328" t="s">
        <v>1050</v>
      </c>
      <c r="V333" s="368"/>
      <c r="W333" s="330"/>
      <c r="X333" s="137"/>
      <c r="Y333" s="137"/>
      <c r="Z333" s="137"/>
    </row>
    <row r="334">
      <c r="A334" s="423"/>
      <c r="B334" s="334" t="s">
        <v>1680</v>
      </c>
      <c r="C334" s="335" t="s">
        <v>683</v>
      </c>
      <c r="D334" s="367">
        <f>ROUND((E334*'Pawn Weights'!$B$17)+(G334*'Pawn Weights'!$B$4)+(H334*'Pawn Weights'!$B$5)+(I334*'Pawn Weights'!$B$6)+(J334*'Pawn Weights'!$B$9)+(K334*'Pawn Weights'!$B$7)+(M334*'Pawn Weights'!$B$10)+(N334*'Pawn Weights'!$B$3)+(O334*'Pawn Weights'!$B$12)+(P334*'Pawn Weights'!$B$13)+(Q334*'Pawn Weights'!$B$14)+(F334*'Pawn Weights'!$B$18), 2)</f>
        <v>314.02</v>
      </c>
      <c r="E334" s="335">
        <v>96.8</v>
      </c>
      <c r="F334" s="335">
        <v>1.7</v>
      </c>
      <c r="G334" s="336"/>
      <c r="H334" s="336"/>
      <c r="I334" s="336"/>
      <c r="J334" s="335">
        <v>14.0</v>
      </c>
      <c r="K334" s="336"/>
      <c r="L334" s="335">
        <v>34.0</v>
      </c>
      <c r="M334" s="336"/>
      <c r="N334" s="336"/>
      <c r="O334" s="336"/>
      <c r="P334" s="336"/>
      <c r="Q334" s="336"/>
      <c r="R334" s="337"/>
      <c r="S334" s="337"/>
      <c r="T334" s="336"/>
      <c r="U334" s="347" t="s">
        <v>1681</v>
      </c>
      <c r="V334" s="336"/>
      <c r="W334" s="348"/>
      <c r="X334" s="348"/>
      <c r="Y334" s="340"/>
      <c r="Z334" s="340"/>
    </row>
    <row r="335" ht="14.25" customHeight="1">
      <c r="A335" s="295"/>
      <c r="B335" s="296" t="s">
        <v>1260</v>
      </c>
      <c r="C335" s="330" t="s">
        <v>708</v>
      </c>
      <c r="D335" s="367">
        <f>ROUND((E335*'Pawn Weights'!$B$17)+(G335*'Pawn Weights'!$B$4)+(H335*'Pawn Weights'!$B$5)+(I335*'Pawn Weights'!$B$6)+(J335*'Pawn Weights'!$B$9)+(K335*'Pawn Weights'!$B$7)+(M335*'Pawn Weights'!$B$10)+(N335*'Pawn Weights'!$B$3)+(O335*'Pawn Weights'!$B$12)+(P335*'Pawn Weights'!$B$13)+(Q335*'Pawn Weights'!$B$14)+(F335*'Pawn Weights'!$B$18), 2)</f>
        <v>313.36</v>
      </c>
      <c r="E335" s="332">
        <v>89.8</v>
      </c>
      <c r="F335" s="332">
        <v>2.6</v>
      </c>
      <c r="G335" s="295"/>
      <c r="H335" s="332">
        <v>70.0</v>
      </c>
      <c r="I335" s="330"/>
      <c r="J335" s="330"/>
      <c r="K335" s="330"/>
      <c r="L335" s="330"/>
      <c r="M335" s="330"/>
      <c r="N335" s="330"/>
      <c r="O335" s="330"/>
      <c r="P335" s="330"/>
      <c r="Q335" s="330"/>
      <c r="R335" s="295"/>
      <c r="S335" s="295"/>
      <c r="T335" s="330"/>
      <c r="U335" s="299"/>
      <c r="V335" s="330"/>
      <c r="W335" s="330"/>
      <c r="X335" s="137"/>
      <c r="Y335" s="137"/>
      <c r="Z335" s="137"/>
    </row>
    <row r="336">
      <c r="A336" s="309"/>
      <c r="B336" s="288" t="s">
        <v>1488</v>
      </c>
      <c r="C336" s="326" t="s">
        <v>656</v>
      </c>
      <c r="D336" s="367">
        <f>ROUND((E336*'Pawn Weights'!$B$17)+(G336*'Pawn Weights'!$B$4)+(H336*'Pawn Weights'!$B$5)+(I336*'Pawn Weights'!$B$6)+(J336*'Pawn Weights'!$B$9)+(K336*'Pawn Weights'!$B$7)+(M336*'Pawn Weights'!$B$10)+(N336*'Pawn Weights'!$B$3)+(O336*'Pawn Weights'!$B$12)+(P336*'Pawn Weights'!$B$13)+(Q336*'Pawn Weights'!$B$14)+(F336*'Pawn Weights'!$B$18), 2)</f>
        <v>313.28</v>
      </c>
      <c r="E336" s="326">
        <v>92.1</v>
      </c>
      <c r="F336" s="326">
        <v>2.6</v>
      </c>
      <c r="G336" s="326"/>
      <c r="H336" s="326"/>
      <c r="I336" s="326">
        <v>27.0</v>
      </c>
      <c r="J336" s="326"/>
      <c r="K336" s="326"/>
      <c r="L336" s="326"/>
      <c r="M336" s="326"/>
      <c r="N336" s="326"/>
      <c r="O336" s="326"/>
      <c r="P336" s="326"/>
      <c r="Q336" s="326"/>
      <c r="R336" s="327"/>
      <c r="S336" s="327"/>
      <c r="T336" s="326"/>
      <c r="U336" s="328" t="s">
        <v>1682</v>
      </c>
      <c r="V336" s="326"/>
      <c r="W336" s="326"/>
      <c r="X336" s="329"/>
    </row>
    <row r="337">
      <c r="A337" s="301" t="s">
        <v>1449</v>
      </c>
      <c r="B337" s="288" t="s">
        <v>1270</v>
      </c>
      <c r="C337" s="326" t="s">
        <v>1683</v>
      </c>
      <c r="D337" s="367">
        <f>ROUND((E337*'Pawn Weights'!$B$17)+(G337*'Pawn Weights'!$B$4)+(H337*'Pawn Weights'!$B$5)+(I337*'Pawn Weights'!$B$6)+(J337*'Pawn Weights'!$B$9)+(K337*'Pawn Weights'!$B$7)+(M337*'Pawn Weights'!$B$10)+(N337*'Pawn Weights'!$B$3)+(O337*'Pawn Weights'!$B$12)+(P337*'Pawn Weights'!$B$13)+(Q337*'Pawn Weights'!$B$14)+(F337*'Pawn Weights'!$B$18), 2)</f>
        <v>312.38</v>
      </c>
      <c r="E337" s="326">
        <v>91.0</v>
      </c>
      <c r="F337" s="326">
        <v>1.5</v>
      </c>
      <c r="G337" s="326"/>
      <c r="H337" s="326">
        <v>28.0</v>
      </c>
      <c r="I337" s="326">
        <v>15.0</v>
      </c>
      <c r="J337" s="326"/>
      <c r="K337" s="326">
        <v>9.0</v>
      </c>
      <c r="L337" s="326">
        <v>21.0</v>
      </c>
      <c r="M337" s="326"/>
      <c r="N337" s="326"/>
      <c r="O337" s="326"/>
      <c r="P337" s="326"/>
      <c r="Q337" s="326"/>
      <c r="R337" s="327"/>
      <c r="S337" s="327"/>
      <c r="T337" s="326"/>
      <c r="U337" s="328"/>
      <c r="V337" s="326"/>
      <c r="W337" s="326"/>
      <c r="X337" s="329"/>
    </row>
    <row r="338">
      <c r="A338" s="301"/>
      <c r="B338" s="288" t="s">
        <v>1261</v>
      </c>
      <c r="C338" s="326" t="s">
        <v>881</v>
      </c>
      <c r="D338" s="367">
        <f>ROUND((E338*'Pawn Weights'!$B$17)+(G338*'Pawn Weights'!$B$4)+(H338*'Pawn Weights'!$B$5)+(I338*'Pawn Weights'!$B$6)+(J338*'Pawn Weights'!$B$9)+(K338*'Pawn Weights'!$B$7)+(M338*'Pawn Weights'!$B$10)+(N338*'Pawn Weights'!$B$3)+(O338*'Pawn Weights'!$B$12)+(P338*'Pawn Weights'!$B$13)+(Q338*'Pawn Weights'!$B$14)+(F338*'Pawn Weights'!$B$18), 2)</f>
        <v>305.79</v>
      </c>
      <c r="E338" s="326">
        <v>87.6</v>
      </c>
      <c r="F338" s="326">
        <v>2.7</v>
      </c>
      <c r="G338" s="154">
        <v>14.0</v>
      </c>
      <c r="H338" s="326">
        <v>46.0</v>
      </c>
      <c r="I338" s="326"/>
      <c r="J338" s="326"/>
      <c r="K338" s="326"/>
      <c r="L338" s="326">
        <v>16.0</v>
      </c>
      <c r="M338" s="326"/>
      <c r="N338" s="326"/>
      <c r="O338" s="326"/>
      <c r="P338" s="326"/>
      <c r="Q338" s="326"/>
      <c r="R338" s="327"/>
      <c r="S338" s="327"/>
      <c r="T338" s="326"/>
      <c r="U338" s="328"/>
      <c r="V338" s="326"/>
      <c r="W338" s="326"/>
      <c r="X338" s="329"/>
    </row>
    <row r="339">
      <c r="A339" s="295" t="s">
        <v>627</v>
      </c>
      <c r="B339" s="317" t="s">
        <v>1390</v>
      </c>
      <c r="C339" s="330" t="s">
        <v>1299</v>
      </c>
      <c r="D339" s="367">
        <f>ROUND((E339*'Pawn Weights'!$B$17)+(G339*'Pawn Weights'!$B$4)+(H339*'Pawn Weights'!$B$5)+(I339*'Pawn Weights'!$B$6)+(J339*'Pawn Weights'!$B$9)+(K339*'Pawn Weights'!$B$7)+(M339*'Pawn Weights'!$B$10)+(N339*'Pawn Weights'!$B$3)+(O339*'Pawn Weights'!$B$12)+(P339*'Pawn Weights'!$B$13)+(Q339*'Pawn Weights'!$B$14)+(F339*'Pawn Weights'!$B$18)+(53*'Pawn Weights'!$B$8), 2)</f>
        <v>305.79</v>
      </c>
      <c r="E339" s="332">
        <v>84.3</v>
      </c>
      <c r="F339" s="332">
        <v>2.7</v>
      </c>
      <c r="G339" s="295"/>
      <c r="H339" s="330"/>
      <c r="I339" s="330"/>
      <c r="J339" s="330"/>
      <c r="K339" s="330"/>
      <c r="L339" s="330"/>
      <c r="M339" s="330"/>
      <c r="N339" s="330"/>
      <c r="O339" s="330"/>
      <c r="P339" s="330"/>
      <c r="Q339" s="330"/>
      <c r="R339" s="295"/>
      <c r="S339" s="295"/>
      <c r="T339" s="330"/>
      <c r="U339" s="328" t="s">
        <v>1050</v>
      </c>
      <c r="V339" s="330"/>
      <c r="W339" s="330"/>
      <c r="X339" s="137"/>
      <c r="Y339" s="137"/>
      <c r="Z339" s="137"/>
    </row>
    <row r="340">
      <c r="A340" s="292" t="s">
        <v>627</v>
      </c>
      <c r="B340" s="288" t="s">
        <v>1273</v>
      </c>
      <c r="C340" s="326" t="s">
        <v>1274</v>
      </c>
      <c r="D340" s="367">
        <f>ROUND((E340*'Pawn Weights'!$B$17)+(G340*'Pawn Weights'!$B$4)+(H340*'Pawn Weights'!$B$5)+(I340*'Pawn Weights'!$B$6)+(J340*'Pawn Weights'!$B$9)+(K340*'Pawn Weights'!$B$7)+(M340*'Pawn Weights'!$B$10)+(N340*'Pawn Weights'!$B$3)+(O340*'Pawn Weights'!$B$12)+(P340*'Pawn Weights'!$B$13)+(Q340*'Pawn Weights'!$B$14)+(F340*'Pawn Weights'!$B$18), 2)</f>
        <v>303.93</v>
      </c>
      <c r="E340" s="326">
        <v>91.3</v>
      </c>
      <c r="F340" s="326">
        <v>1.6</v>
      </c>
      <c r="G340" s="326">
        <v>17.0</v>
      </c>
      <c r="H340" s="326"/>
      <c r="I340" s="326"/>
      <c r="J340" s="326"/>
      <c r="K340" s="326">
        <v>17.0</v>
      </c>
      <c r="L340" s="326">
        <v>25.0</v>
      </c>
      <c r="M340" s="326"/>
      <c r="N340" s="326"/>
      <c r="O340" s="326"/>
      <c r="P340" s="326"/>
      <c r="Q340" s="326"/>
      <c r="R340" s="327"/>
      <c r="S340" s="327"/>
      <c r="T340" s="326"/>
      <c r="U340" s="328"/>
      <c r="V340" s="326"/>
      <c r="W340" s="326"/>
      <c r="X340" s="329"/>
    </row>
    <row r="341">
      <c r="A341" s="295" t="s">
        <v>627</v>
      </c>
      <c r="B341" s="296" t="s">
        <v>1675</v>
      </c>
      <c r="C341" s="330" t="s">
        <v>1676</v>
      </c>
      <c r="D341" s="367">
        <f>ROUND((E341*'Pawn Weights'!$B$17)+(G341*'Pawn Weights'!$B$4)+(H341*'Pawn Weights'!$B$5)+(I341*'Pawn Weights'!$B$6)+(J341*'Pawn Weights'!$B$9)+(K341*'Pawn Weights'!$B$7)+(M341*'Pawn Weights'!$B$10)+(N341*'Pawn Weights'!$B$3)+(O341*'Pawn Weights'!$B$12)+(P341*'Pawn Weights'!$B$13)+(Q341*'Pawn Weights'!$B$14)+(F341*'Pawn Weights'!$B$18), 2)</f>
        <v>303</v>
      </c>
      <c r="E341" s="332">
        <v>84.3</v>
      </c>
      <c r="F341" s="332">
        <v>2.7</v>
      </c>
      <c r="G341" s="295"/>
      <c r="H341" s="332">
        <v>42.0</v>
      </c>
      <c r="I341" s="332">
        <v>20.0</v>
      </c>
      <c r="J341" s="330"/>
      <c r="K341" s="330"/>
      <c r="L341" s="330"/>
      <c r="M341" s="330"/>
      <c r="N341" s="330"/>
      <c r="O341" s="330"/>
      <c r="P341" s="330"/>
      <c r="Q341" s="330"/>
      <c r="R341" s="295"/>
      <c r="S341" s="295"/>
      <c r="T341" s="330"/>
      <c r="U341" s="402" t="s">
        <v>1391</v>
      </c>
      <c r="V341" s="330"/>
      <c r="W341" s="330"/>
      <c r="X341" s="137"/>
      <c r="Y341" s="137"/>
      <c r="Z341" s="137"/>
    </row>
    <row r="342">
      <c r="A342" s="292" t="s">
        <v>627</v>
      </c>
      <c r="B342" s="288" t="s">
        <v>1677</v>
      </c>
      <c r="C342" s="326" t="s">
        <v>1268</v>
      </c>
      <c r="D342" s="367">
        <f>ROUND((E342*'Pawn Weights'!$B$17)+(G342*'Pawn Weights'!$B$4)+(H342*'Pawn Weights'!$B$5)+(I342*'Pawn Weights'!$B$6)+(J342*'Pawn Weights'!$B$9)+(K342*'Pawn Weights'!$B$7)+(M342*'Pawn Weights'!$B$10)+(N342*'Pawn Weights'!$B$3)+(O342*'Pawn Weights'!$B$12)+(P342*'Pawn Weights'!$B$13)+(Q342*'Pawn Weights'!$B$14)+(F342*'Pawn Weights'!$B$18), 2)</f>
        <v>296.89</v>
      </c>
      <c r="E342" s="326">
        <v>83.4</v>
      </c>
      <c r="F342" s="326">
        <v>2.2</v>
      </c>
      <c r="G342" s="154"/>
      <c r="H342" s="326"/>
      <c r="I342" s="326">
        <v>21.0</v>
      </c>
      <c r="J342" s="326"/>
      <c r="K342" s="326">
        <v>14.0</v>
      </c>
      <c r="L342" s="326"/>
      <c r="M342" s="326"/>
      <c r="N342" s="326"/>
      <c r="O342" s="326">
        <v>1.0</v>
      </c>
      <c r="P342" s="326"/>
      <c r="Q342" s="326"/>
      <c r="R342" s="327" t="s">
        <v>674</v>
      </c>
      <c r="S342" s="327"/>
      <c r="T342" s="326"/>
      <c r="U342" s="306"/>
      <c r="V342" s="326"/>
      <c r="W342" s="326"/>
      <c r="X342" s="329"/>
    </row>
    <row r="343">
      <c r="A343" s="295" t="s">
        <v>627</v>
      </c>
      <c r="B343" s="317" t="s">
        <v>1298</v>
      </c>
      <c r="C343" s="330" t="s">
        <v>1299</v>
      </c>
      <c r="D343" s="367">
        <f>ROUND((E343*'Pawn Weights'!$B$17)+(G343*'Pawn Weights'!$B$4)+(H343*'Pawn Weights'!$B$5)+(I343*'Pawn Weights'!$B$6)+(J343*'Pawn Weights'!$B$9)+(K343*'Pawn Weights'!$B$7)+(M343*'Pawn Weights'!$B$10)+(N343*'Pawn Weights'!$B$3)+(O343*'Pawn Weights'!$B$12)+(P343*'Pawn Weights'!$B$13)+(Q343*'Pawn Weights'!$B$14)+(F343*'Pawn Weights'!$B$18)+(38.16*'Pawn Weights'!$B$8), 2)</f>
        <v>294.51</v>
      </c>
      <c r="E343" s="332">
        <v>84.3</v>
      </c>
      <c r="F343" s="332">
        <v>2.7</v>
      </c>
      <c r="G343" s="295"/>
      <c r="H343" s="330"/>
      <c r="I343" s="330"/>
      <c r="J343" s="330"/>
      <c r="K343" s="330"/>
      <c r="L343" s="330"/>
      <c r="M343" s="330"/>
      <c r="N343" s="330"/>
      <c r="O343" s="330"/>
      <c r="P343" s="330"/>
      <c r="Q343" s="330"/>
      <c r="R343" s="295"/>
      <c r="S343" s="295"/>
      <c r="T343" s="330"/>
      <c r="U343" s="328" t="s">
        <v>1050</v>
      </c>
      <c r="V343" s="330"/>
      <c r="W343" s="330"/>
      <c r="X343" s="137"/>
      <c r="Y343" s="137"/>
      <c r="Z343" s="137"/>
    </row>
    <row r="344">
      <c r="A344" s="281"/>
      <c r="B344" s="288" t="s">
        <v>1262</v>
      </c>
      <c r="C344" s="326" t="s">
        <v>1263</v>
      </c>
      <c r="D344" s="367">
        <f>ROUND((E344*'Pawn Weights'!$B$17)+(G344*'Pawn Weights'!$B$4)+(H344*'Pawn Weights'!$B$5)+(I344*'Pawn Weights'!$B$6)+(J344*'Pawn Weights'!$B$9)+(K344*'Pawn Weights'!$B$7)+(M344*'Pawn Weights'!$B$10)+(N344*'Pawn Weights'!$B$3)+(O344*'Pawn Weights'!$B$12)+(P344*'Pawn Weights'!$B$13)+(Q344*'Pawn Weights'!$B$14)+(F344*'Pawn Weights'!$B$18), 2)</f>
        <v>285.36</v>
      </c>
      <c r="E344" s="326">
        <v>81.2</v>
      </c>
      <c r="F344" s="326">
        <v>2.6</v>
      </c>
      <c r="G344" s="154"/>
      <c r="H344" s="326">
        <v>38.0</v>
      </c>
      <c r="I344" s="326"/>
      <c r="J344" s="326"/>
      <c r="K344" s="326">
        <v>19.0</v>
      </c>
      <c r="L344" s="326"/>
      <c r="M344" s="326"/>
      <c r="N344" s="326"/>
      <c r="O344" s="326"/>
      <c r="P344" s="326"/>
      <c r="Q344" s="326"/>
      <c r="R344" s="327"/>
      <c r="S344" s="327"/>
      <c r="T344" s="326"/>
      <c r="U344" s="328"/>
      <c r="V344" s="326"/>
      <c r="W344" s="326"/>
      <c r="X344" s="329"/>
    </row>
    <row r="345">
      <c r="A345" s="292" t="s">
        <v>627</v>
      </c>
      <c r="B345" s="288" t="s">
        <v>1300</v>
      </c>
      <c r="C345" s="326" t="s">
        <v>1268</v>
      </c>
      <c r="D345" s="367">
        <f>ROUND((E345*'Pawn Weights'!$B$17)+(G345*'Pawn Weights'!$B$4)+(H345*'Pawn Weights'!$B$5)+(I345*'Pawn Weights'!$B$6)+(J345*'Pawn Weights'!$B$9)+(K345*'Pawn Weights'!$B$7)+(M345*'Pawn Weights'!$B$10)+(N345*'Pawn Weights'!$B$3)+(O345*'Pawn Weights'!$B$12)+(P345*'Pawn Weights'!$B$13)+(Q345*'Pawn Weights'!$B$14)+(F345*'Pawn Weights'!$B$18), 2)</f>
        <v>284.43</v>
      </c>
      <c r="E345" s="326">
        <v>83.5</v>
      </c>
      <c r="F345" s="326">
        <v>2.4</v>
      </c>
      <c r="G345" s="154"/>
      <c r="H345" s="326">
        <v>50.0</v>
      </c>
      <c r="I345" s="326"/>
      <c r="J345" s="326"/>
      <c r="K345" s="326"/>
      <c r="L345" s="326"/>
      <c r="M345" s="326"/>
      <c r="N345" s="326"/>
      <c r="O345" s="326"/>
      <c r="P345" s="326"/>
      <c r="Q345" s="326"/>
      <c r="R345" s="327"/>
      <c r="S345" s="327"/>
      <c r="T345" s="326"/>
      <c r="U345" s="328"/>
      <c r="V345" s="326"/>
      <c r="W345" s="326"/>
      <c r="X345" s="329"/>
    </row>
    <row r="346">
      <c r="A346" s="292" t="s">
        <v>627</v>
      </c>
      <c r="B346" s="288" t="s">
        <v>1275</v>
      </c>
      <c r="C346" s="335" t="s">
        <v>1276</v>
      </c>
      <c r="D346" s="367">
        <f>ROUND((E346*'Pawn Weights'!$B$17)+(G346*'Pawn Weights'!$B$4)+(H346*'Pawn Weights'!$B$5)+(I346*'Pawn Weights'!$B$6)+(J346*'Pawn Weights'!$B$9)+(K346*'Pawn Weights'!$B$7)+(M346*'Pawn Weights'!$B$10)+(N346*'Pawn Weights'!$B$3)+(O346*'Pawn Weights'!$B$12)+(P346*'Pawn Weights'!$B$13)+(Q346*'Pawn Weights'!$B$14)+(F346*'Pawn Weights'!$B$18), 2)</f>
        <v>281.9</v>
      </c>
      <c r="E346" s="326">
        <v>84.4</v>
      </c>
      <c r="F346" s="326">
        <v>1.6</v>
      </c>
      <c r="G346" s="326">
        <v>16.0</v>
      </c>
      <c r="H346" s="326"/>
      <c r="I346" s="326"/>
      <c r="J346" s="326"/>
      <c r="K346" s="326">
        <v>16.0</v>
      </c>
      <c r="L346" s="326">
        <v>23.0</v>
      </c>
      <c r="M346" s="326"/>
      <c r="N346" s="326"/>
      <c r="O346" s="326"/>
      <c r="P346" s="326"/>
      <c r="Q346" s="326"/>
      <c r="R346" s="327"/>
      <c r="S346" s="327"/>
      <c r="T346" s="354"/>
      <c r="U346" s="328"/>
      <c r="V346" s="326"/>
      <c r="W346" s="326"/>
      <c r="X346" s="329"/>
    </row>
    <row r="347">
      <c r="A347" s="292"/>
      <c r="B347" s="288" t="s">
        <v>1277</v>
      </c>
      <c r="C347" s="326" t="s">
        <v>1278</v>
      </c>
      <c r="D347" s="367">
        <f>ROUND((E347*'Pawn Weights'!$B$17)+(G347*'Pawn Weights'!$B$4)+(H347*'Pawn Weights'!$B$5)+(I347*'Pawn Weights'!$B$6)+(J347*'Pawn Weights'!$B$9)+(K347*'Pawn Weights'!$B$7)+(M347*'Pawn Weights'!$B$10)+(N347*'Pawn Weights'!$B$3)+(O347*'Pawn Weights'!$B$12)+(P347*'Pawn Weights'!$B$13)+(Q347*'Pawn Weights'!$B$14)+(F347*'Pawn Weights'!$B$18), 2)</f>
        <v>281.02</v>
      </c>
      <c r="E347" s="326">
        <v>87.5</v>
      </c>
      <c r="F347" s="326">
        <v>1.6</v>
      </c>
      <c r="G347" s="154"/>
      <c r="H347" s="326"/>
      <c r="I347" s="326"/>
      <c r="J347" s="326"/>
      <c r="K347" s="326">
        <v>17.0</v>
      </c>
      <c r="L347" s="326">
        <v>28.0</v>
      </c>
      <c r="M347" s="326"/>
      <c r="N347" s="326"/>
      <c r="O347" s="326"/>
      <c r="P347" s="326"/>
      <c r="Q347" s="326"/>
      <c r="R347" s="327"/>
      <c r="S347" s="327"/>
      <c r="T347" s="326"/>
      <c r="U347" s="328"/>
      <c r="V347" s="326"/>
      <c r="W347" s="326"/>
      <c r="X347" s="329"/>
    </row>
    <row r="348">
      <c r="A348" s="292" t="s">
        <v>627</v>
      </c>
      <c r="B348" s="288" t="s">
        <v>1267</v>
      </c>
      <c r="C348" s="326" t="s">
        <v>1268</v>
      </c>
      <c r="D348" s="367">
        <f>ROUND((E348*'Pawn Weights'!$B$17)+(G348*'Pawn Weights'!$B$4)+(H348*'Pawn Weights'!$B$5)+(I348*'Pawn Weights'!$B$6)+(J348*'Pawn Weights'!$B$9)+(K348*'Pawn Weights'!$B$7)+(M348*'Pawn Weights'!$B$10)+(N348*'Pawn Weights'!$B$3)+(O348*'Pawn Weights'!$B$12)+(P348*'Pawn Weights'!$B$13)+(Q348*'Pawn Weights'!$B$14)+(F348*'Pawn Weights'!$B$18), 2)</f>
        <v>278.08</v>
      </c>
      <c r="E348" s="326">
        <v>83.4</v>
      </c>
      <c r="F348" s="326">
        <v>2.2</v>
      </c>
      <c r="G348" s="154">
        <v>26.0</v>
      </c>
      <c r="H348" s="326"/>
      <c r="I348" s="326"/>
      <c r="J348" s="326"/>
      <c r="K348" s="326"/>
      <c r="L348" s="326">
        <v>15.0</v>
      </c>
      <c r="M348" s="326"/>
      <c r="N348" s="326"/>
      <c r="O348" s="326"/>
      <c r="P348" s="326"/>
      <c r="Q348" s="326"/>
      <c r="R348" s="327"/>
      <c r="S348" s="327"/>
      <c r="T348" s="326"/>
      <c r="U348" s="328"/>
      <c r="V348" s="326"/>
      <c r="W348" s="326"/>
      <c r="X348" s="329"/>
    </row>
    <row r="349">
      <c r="A349" s="292"/>
      <c r="B349" s="288" t="s">
        <v>1279</v>
      </c>
      <c r="C349" s="326" t="s">
        <v>1280</v>
      </c>
      <c r="D349" s="367">
        <f>ROUND((E349*'Pawn Weights'!$B$17)+(G349*'Pawn Weights'!$B$4)+(H349*'Pawn Weights'!$B$5)+(I349*'Pawn Weights'!$B$6)+(J349*'Pawn Weights'!$B$9)+(K349*'Pawn Weights'!$B$7)+(M349*'Pawn Weights'!$B$10)+(N349*'Pawn Weights'!$B$3)+(O349*'Pawn Weights'!$B$12)+(P349*'Pawn Weights'!$B$13)+(Q349*'Pawn Weights'!$B$14)+(F349*'Pawn Weights'!$B$18), 2)</f>
        <v>257.67</v>
      </c>
      <c r="E349" s="326">
        <v>83.4</v>
      </c>
      <c r="F349" s="326">
        <v>1.6</v>
      </c>
      <c r="G349" s="154"/>
      <c r="H349" s="326"/>
      <c r="I349" s="326"/>
      <c r="J349" s="326"/>
      <c r="K349" s="326"/>
      <c r="L349" s="326">
        <v>22.0</v>
      </c>
      <c r="M349" s="326"/>
      <c r="N349" s="326"/>
      <c r="O349" s="326"/>
      <c r="P349" s="326"/>
      <c r="Q349" s="326"/>
      <c r="R349" s="327"/>
      <c r="S349" s="327"/>
      <c r="T349" s="326"/>
      <c r="U349" s="328"/>
      <c r="V349" s="326"/>
      <c r="W349" s="326"/>
      <c r="X349" s="329"/>
    </row>
    <row r="350">
      <c r="A350" s="345"/>
      <c r="B350" s="336"/>
      <c r="C350" s="336"/>
      <c r="D350" s="336"/>
      <c r="E350" s="336"/>
      <c r="F350" s="336"/>
      <c r="G350" s="336"/>
      <c r="H350" s="336"/>
      <c r="I350" s="336"/>
      <c r="J350" s="336"/>
      <c r="K350" s="336"/>
      <c r="L350" s="336"/>
      <c r="M350" s="336"/>
      <c r="N350" s="336"/>
      <c r="O350" s="336"/>
      <c r="P350" s="336"/>
      <c r="Q350" s="336"/>
      <c r="R350" s="337"/>
      <c r="S350" s="337"/>
      <c r="T350" s="336"/>
      <c r="U350" s="338"/>
      <c r="V350" s="336"/>
      <c r="W350" s="348"/>
      <c r="X350" s="348"/>
      <c r="Y350" s="340"/>
      <c r="Z350" s="340"/>
    </row>
    <row r="351">
      <c r="A351" s="403"/>
      <c r="B351" s="350" t="s">
        <v>1684</v>
      </c>
      <c r="C351" s="336"/>
      <c r="D351" s="336"/>
      <c r="E351" s="336"/>
      <c r="F351" s="336"/>
      <c r="G351" s="336"/>
      <c r="H351" s="336"/>
      <c r="I351" s="336"/>
      <c r="J351" s="336"/>
      <c r="K351" s="336"/>
      <c r="L351" s="336"/>
      <c r="M351" s="336"/>
      <c r="N351" s="336"/>
      <c r="O351" s="336"/>
      <c r="P351" s="336"/>
      <c r="Q351" s="336"/>
      <c r="R351" s="337"/>
      <c r="S351" s="337"/>
      <c r="T351" s="336"/>
      <c r="U351" s="338"/>
      <c r="V351" s="336"/>
      <c r="W351" s="339"/>
      <c r="X351" s="339"/>
      <c r="Y351" s="340"/>
      <c r="Z351" s="340"/>
    </row>
    <row r="352">
      <c r="A352" s="333"/>
      <c r="B352" s="325" t="s">
        <v>1685</v>
      </c>
      <c r="C352" s="354"/>
      <c r="D352" s="354"/>
      <c r="E352" s="354"/>
      <c r="F352" s="354"/>
      <c r="G352" s="354"/>
      <c r="H352" s="354"/>
      <c r="I352" s="354"/>
      <c r="J352" s="354"/>
      <c r="K352" s="354"/>
      <c r="L352" s="354"/>
      <c r="M352" s="354"/>
      <c r="N352" s="354"/>
      <c r="O352" s="354"/>
      <c r="P352" s="354"/>
      <c r="Q352" s="354"/>
      <c r="R352" s="355"/>
      <c r="S352" s="355"/>
      <c r="T352" s="354"/>
      <c r="U352" s="356"/>
      <c r="V352" s="354"/>
      <c r="W352" s="357"/>
      <c r="X352" s="357"/>
      <c r="Y352" s="304"/>
      <c r="Z352" s="304"/>
    </row>
    <row r="353">
      <c r="A353" s="333"/>
      <c r="B353" s="354"/>
      <c r="C353" s="354"/>
      <c r="D353" s="354"/>
      <c r="E353" s="354"/>
      <c r="F353" s="354"/>
      <c r="G353" s="354"/>
      <c r="H353" s="354"/>
      <c r="I353" s="354"/>
      <c r="J353" s="354"/>
      <c r="K353" s="354"/>
      <c r="L353" s="354"/>
      <c r="M353" s="354"/>
      <c r="N353" s="354"/>
      <c r="O353" s="354"/>
      <c r="P353" s="354"/>
      <c r="Q353" s="354"/>
      <c r="R353" s="355"/>
      <c r="S353" s="355"/>
      <c r="T353" s="354"/>
      <c r="U353" s="356"/>
      <c r="V353" s="354"/>
      <c r="W353" s="357"/>
      <c r="X353" s="357"/>
      <c r="Y353" s="304"/>
      <c r="Z353" s="304"/>
    </row>
    <row r="354">
      <c r="A354" s="345"/>
      <c r="B354" s="119" t="s">
        <v>1686</v>
      </c>
      <c r="C354" s="354"/>
      <c r="D354" s="354"/>
      <c r="E354" s="354"/>
      <c r="F354" s="354"/>
      <c r="G354" s="354"/>
      <c r="H354" s="354"/>
      <c r="I354" s="354"/>
      <c r="J354" s="354"/>
      <c r="K354" s="354"/>
      <c r="L354" s="354"/>
      <c r="M354" s="354"/>
      <c r="N354" s="354"/>
      <c r="O354" s="354"/>
      <c r="P354" s="354"/>
      <c r="Q354" s="354"/>
      <c r="R354" s="355"/>
      <c r="S354" s="355"/>
      <c r="T354" s="354"/>
      <c r="U354" s="356"/>
      <c r="V354" s="354"/>
      <c r="W354" s="281"/>
      <c r="X354" s="281"/>
      <c r="Y354" s="304"/>
      <c r="Z354" s="304"/>
    </row>
    <row r="355">
      <c r="A355" s="345"/>
      <c r="B355" s="119"/>
      <c r="C355" s="351"/>
      <c r="D355" s="351"/>
      <c r="E355" s="351"/>
      <c r="F355" s="351"/>
      <c r="G355" s="351"/>
      <c r="H355" s="351"/>
      <c r="I355" s="351"/>
      <c r="J355" s="351"/>
      <c r="K355" s="351"/>
      <c r="L355" s="351"/>
      <c r="M355" s="351"/>
      <c r="N355" s="351"/>
      <c r="O355" s="351"/>
      <c r="P355" s="351"/>
      <c r="Q355" s="351"/>
      <c r="R355" s="352"/>
      <c r="S355" s="352"/>
      <c r="T355" s="351"/>
      <c r="U355" s="353"/>
      <c r="V355" s="351"/>
      <c r="W355" s="348"/>
      <c r="X355" s="348"/>
      <c r="Y355" s="340"/>
      <c r="Z355" s="340"/>
    </row>
    <row r="356">
      <c r="A356" s="424" t="s">
        <v>1002</v>
      </c>
      <c r="B356" s="119" t="s">
        <v>1687</v>
      </c>
      <c r="C356" s="351"/>
      <c r="D356" s="351"/>
      <c r="E356" s="351"/>
      <c r="F356" s="351"/>
      <c r="G356" s="351"/>
      <c r="H356" s="351"/>
      <c r="I356" s="351"/>
      <c r="J356" s="351"/>
      <c r="K356" s="351"/>
      <c r="L356" s="351"/>
      <c r="M356" s="351"/>
      <c r="N356" s="351"/>
      <c r="O356" s="351"/>
      <c r="P356" s="351"/>
      <c r="Q356" s="351"/>
      <c r="R356" s="352"/>
      <c r="S356" s="352"/>
      <c r="T356" s="351"/>
      <c r="U356" s="353"/>
      <c r="V356" s="351"/>
      <c r="W356" s="348"/>
      <c r="X356" s="348"/>
      <c r="Y356" s="340"/>
      <c r="Z356" s="340"/>
    </row>
    <row r="357">
      <c r="A357" s="425" t="s">
        <v>1040</v>
      </c>
      <c r="B357" s="325" t="s">
        <v>1688</v>
      </c>
      <c r="C357" s="354"/>
      <c r="D357" s="354"/>
      <c r="E357" s="354"/>
      <c r="F357" s="354"/>
      <c r="G357" s="354"/>
      <c r="H357" s="354"/>
      <c r="I357" s="354"/>
      <c r="J357" s="354"/>
      <c r="K357" s="354"/>
      <c r="L357" s="354"/>
      <c r="M357" s="354"/>
      <c r="N357" s="354"/>
      <c r="O357" s="354"/>
      <c r="P357" s="354"/>
      <c r="Q357" s="354"/>
      <c r="R357" s="355"/>
      <c r="S357" s="355"/>
      <c r="T357" s="354"/>
      <c r="U357" s="356"/>
      <c r="V357" s="354"/>
      <c r="W357" s="281"/>
      <c r="X357" s="281"/>
      <c r="Y357" s="304"/>
      <c r="Z357" s="304"/>
    </row>
    <row r="360">
      <c r="A360" s="345"/>
      <c r="B360" s="354"/>
      <c r="C360" s="354"/>
      <c r="D360" s="354"/>
      <c r="E360" s="354"/>
      <c r="F360" s="354"/>
      <c r="G360" s="354"/>
      <c r="H360" s="354"/>
      <c r="I360" s="354"/>
      <c r="J360" s="354"/>
      <c r="K360" s="354"/>
      <c r="L360" s="354"/>
      <c r="M360" s="354"/>
      <c r="N360" s="354"/>
      <c r="O360" s="354"/>
      <c r="P360" s="354"/>
      <c r="Q360" s="354"/>
      <c r="R360" s="355"/>
      <c r="S360" s="355"/>
      <c r="T360" s="354"/>
      <c r="U360" s="356"/>
      <c r="V360" s="354"/>
      <c r="W360" s="281"/>
      <c r="X360" s="281"/>
      <c r="Y360" s="304"/>
      <c r="Z360" s="304"/>
    </row>
    <row r="361">
      <c r="A361" s="345"/>
      <c r="B361" s="281"/>
      <c r="C361" s="281"/>
      <c r="D361" s="281"/>
      <c r="E361" s="281"/>
      <c r="F361" s="281"/>
      <c r="G361" s="354"/>
      <c r="H361" s="281"/>
      <c r="I361" s="281"/>
      <c r="J361" s="281"/>
      <c r="K361" s="281"/>
      <c r="L361" s="281"/>
      <c r="M361" s="281"/>
      <c r="N361" s="281"/>
      <c r="O361" s="281"/>
      <c r="P361" s="281"/>
      <c r="Q361" s="281"/>
      <c r="R361" s="282"/>
      <c r="S361" s="282"/>
      <c r="T361" s="281"/>
      <c r="U361" s="281"/>
      <c r="V361" s="281"/>
      <c r="W361" s="281"/>
      <c r="X361" s="281"/>
      <c r="Y361" s="304"/>
      <c r="Z361" s="304"/>
    </row>
    <row r="362">
      <c r="A362" s="345"/>
      <c r="B362" s="281"/>
      <c r="C362" s="281"/>
      <c r="D362" s="281"/>
      <c r="E362" s="281"/>
      <c r="F362" s="281"/>
      <c r="G362" s="354"/>
      <c r="H362" s="281"/>
      <c r="I362" s="281"/>
      <c r="J362" s="281"/>
      <c r="K362" s="281"/>
      <c r="L362" s="281"/>
      <c r="M362" s="281"/>
      <c r="N362" s="281"/>
      <c r="O362" s="281"/>
      <c r="P362" s="281"/>
      <c r="Q362" s="281"/>
      <c r="R362" s="282"/>
      <c r="S362" s="282"/>
      <c r="T362" s="281"/>
      <c r="U362" s="281"/>
      <c r="V362" s="281"/>
      <c r="W362" s="281"/>
      <c r="X362" s="281"/>
      <c r="Y362" s="304"/>
      <c r="Z362" s="304"/>
    </row>
    <row r="363">
      <c r="A363" s="345"/>
      <c r="B363" s="281"/>
      <c r="C363" s="281"/>
      <c r="D363" s="281"/>
      <c r="E363" s="281"/>
      <c r="F363" s="281"/>
      <c r="G363" s="354"/>
      <c r="H363" s="281"/>
      <c r="I363" s="281"/>
      <c r="J363" s="281"/>
      <c r="K363" s="281"/>
      <c r="L363" s="281"/>
      <c r="M363" s="281"/>
      <c r="N363" s="281"/>
      <c r="O363" s="281"/>
      <c r="P363" s="281"/>
      <c r="Q363" s="281"/>
      <c r="R363" s="282"/>
      <c r="S363" s="282"/>
      <c r="T363" s="281"/>
      <c r="U363" s="281"/>
      <c r="V363" s="281"/>
      <c r="W363" s="281"/>
      <c r="X363" s="281"/>
      <c r="Y363" s="304"/>
      <c r="Z363" s="304"/>
    </row>
    <row r="364">
      <c r="A364" s="345"/>
      <c r="B364" s="281"/>
      <c r="C364" s="281"/>
      <c r="D364" s="281"/>
      <c r="E364" s="281"/>
      <c r="F364" s="281"/>
      <c r="G364" s="354"/>
      <c r="H364" s="281"/>
      <c r="I364" s="281"/>
      <c r="J364" s="281"/>
      <c r="K364" s="281"/>
      <c r="L364" s="281"/>
      <c r="M364" s="281"/>
      <c r="N364" s="281"/>
      <c r="O364" s="281"/>
      <c r="P364" s="281"/>
      <c r="Q364" s="281"/>
      <c r="R364" s="282"/>
      <c r="S364" s="282"/>
      <c r="T364" s="281"/>
      <c r="U364" s="281"/>
      <c r="V364" s="281"/>
      <c r="W364" s="281"/>
      <c r="X364" s="281"/>
      <c r="Y364" s="304"/>
      <c r="Z364" s="304"/>
    </row>
    <row r="365">
      <c r="A365" s="345"/>
      <c r="B365" s="281"/>
      <c r="C365" s="281"/>
      <c r="D365" s="281"/>
      <c r="E365" s="281"/>
      <c r="F365" s="281"/>
      <c r="G365" s="354"/>
      <c r="H365" s="281"/>
      <c r="I365" s="281"/>
      <c r="J365" s="281"/>
      <c r="K365" s="281"/>
      <c r="L365" s="281"/>
      <c r="M365" s="281"/>
      <c r="N365" s="281"/>
      <c r="O365" s="281"/>
      <c r="P365" s="281"/>
      <c r="Q365" s="281"/>
      <c r="R365" s="282"/>
      <c r="S365" s="282"/>
      <c r="T365" s="281"/>
      <c r="U365" s="281"/>
      <c r="V365" s="281"/>
      <c r="W365" s="281"/>
      <c r="X365" s="281"/>
      <c r="Y365" s="304"/>
      <c r="Z365" s="304"/>
    </row>
    <row r="366">
      <c r="A366" s="345"/>
      <c r="B366" s="281"/>
      <c r="C366" s="281"/>
      <c r="D366" s="281"/>
      <c r="E366" s="281"/>
      <c r="F366" s="281"/>
      <c r="G366" s="354"/>
      <c r="H366" s="281"/>
      <c r="I366" s="281"/>
      <c r="J366" s="281"/>
      <c r="K366" s="281"/>
      <c r="L366" s="281"/>
      <c r="M366" s="281"/>
      <c r="N366" s="281"/>
      <c r="O366" s="281"/>
      <c r="P366" s="281"/>
      <c r="Q366" s="281"/>
      <c r="R366" s="282"/>
      <c r="S366" s="282"/>
      <c r="T366" s="281"/>
      <c r="U366" s="281"/>
      <c r="V366" s="281"/>
      <c r="W366" s="281"/>
      <c r="X366" s="281"/>
      <c r="Y366" s="304"/>
      <c r="Z366" s="304"/>
    </row>
    <row r="367">
      <c r="A367" s="345"/>
      <c r="B367" s="281"/>
      <c r="C367" s="281"/>
      <c r="D367" s="281"/>
      <c r="E367" s="281"/>
      <c r="F367" s="281"/>
      <c r="G367" s="354"/>
      <c r="H367" s="281"/>
      <c r="I367" s="281"/>
      <c r="J367" s="281"/>
      <c r="K367" s="281"/>
      <c r="L367" s="281"/>
      <c r="M367" s="281"/>
      <c r="N367" s="281"/>
      <c r="O367" s="281"/>
      <c r="P367" s="281"/>
      <c r="Q367" s="281"/>
      <c r="R367" s="282"/>
      <c r="S367" s="282"/>
      <c r="T367" s="281"/>
      <c r="U367" s="281"/>
      <c r="V367" s="281"/>
      <c r="W367" s="281"/>
      <c r="X367" s="281"/>
      <c r="Y367" s="304"/>
      <c r="Z367" s="304"/>
    </row>
    <row r="368">
      <c r="A368" s="345"/>
      <c r="B368" s="281"/>
      <c r="C368" s="281"/>
      <c r="D368" s="281"/>
      <c r="E368" s="281"/>
      <c r="F368" s="281"/>
      <c r="G368" s="354"/>
      <c r="H368" s="281"/>
      <c r="I368" s="281"/>
      <c r="J368" s="281"/>
      <c r="K368" s="281"/>
      <c r="L368" s="281"/>
      <c r="M368" s="281"/>
      <c r="N368" s="281"/>
      <c r="O368" s="281"/>
      <c r="P368" s="281"/>
      <c r="Q368" s="281"/>
      <c r="R368" s="282"/>
      <c r="S368" s="282"/>
      <c r="T368" s="281"/>
      <c r="U368" s="281"/>
      <c r="V368" s="281"/>
      <c r="W368" s="281"/>
      <c r="X368" s="281"/>
      <c r="Y368" s="304"/>
      <c r="Z368" s="304"/>
    </row>
    <row r="369">
      <c r="A369" s="345"/>
      <c r="B369" s="281"/>
      <c r="C369" s="281"/>
      <c r="D369" s="281"/>
      <c r="E369" s="281"/>
      <c r="F369" s="281"/>
      <c r="G369" s="354"/>
      <c r="H369" s="281"/>
      <c r="I369" s="281"/>
      <c r="J369" s="281"/>
      <c r="K369" s="281"/>
      <c r="L369" s="281"/>
      <c r="M369" s="281"/>
      <c r="N369" s="281"/>
      <c r="O369" s="281"/>
      <c r="P369" s="281"/>
      <c r="Q369" s="281"/>
      <c r="R369" s="282"/>
      <c r="S369" s="282"/>
      <c r="T369" s="281"/>
      <c r="U369" s="281"/>
      <c r="V369" s="281"/>
      <c r="W369" s="281"/>
      <c r="X369" s="281"/>
      <c r="Y369" s="304"/>
      <c r="Z369" s="304"/>
    </row>
    <row r="370">
      <c r="A370" s="345"/>
      <c r="B370" s="281"/>
      <c r="C370" s="281"/>
      <c r="D370" s="281"/>
      <c r="E370" s="281"/>
      <c r="F370" s="281"/>
      <c r="G370" s="329"/>
      <c r="H370" s="281"/>
      <c r="I370" s="281"/>
      <c r="J370" s="281"/>
      <c r="K370" s="281"/>
      <c r="L370" s="281"/>
      <c r="M370" s="281"/>
      <c r="N370" s="281"/>
      <c r="O370" s="281"/>
      <c r="P370" s="281"/>
      <c r="Q370" s="281"/>
      <c r="R370" s="282"/>
      <c r="S370" s="282"/>
      <c r="T370" s="281"/>
      <c r="U370" s="281"/>
      <c r="V370" s="281"/>
      <c r="W370" s="281"/>
      <c r="X370" s="281"/>
      <c r="Y370" s="304"/>
      <c r="Z370" s="304"/>
    </row>
    <row r="371">
      <c r="A371" s="345"/>
      <c r="B371" s="281"/>
      <c r="C371" s="281"/>
      <c r="D371" s="281"/>
      <c r="E371" s="281"/>
      <c r="F371" s="281"/>
      <c r="G371" s="329"/>
      <c r="H371" s="281"/>
      <c r="I371" s="281"/>
      <c r="J371" s="281"/>
      <c r="K371" s="281"/>
      <c r="L371" s="281"/>
      <c r="M371" s="281"/>
      <c r="N371" s="281"/>
      <c r="O371" s="281"/>
      <c r="P371" s="281"/>
      <c r="Q371" s="281"/>
      <c r="R371" s="282"/>
      <c r="S371" s="282"/>
      <c r="T371" s="281"/>
      <c r="U371" s="281"/>
      <c r="V371" s="281"/>
      <c r="W371" s="281"/>
      <c r="X371" s="281"/>
      <c r="Y371" s="304"/>
      <c r="Z371" s="304"/>
    </row>
    <row r="372">
      <c r="A372" s="345"/>
      <c r="B372" s="281"/>
      <c r="C372" s="281"/>
      <c r="D372" s="281"/>
      <c r="E372" s="281"/>
      <c r="F372" s="281"/>
      <c r="G372" s="329"/>
      <c r="H372" s="281"/>
      <c r="I372" s="281"/>
      <c r="J372" s="281"/>
      <c r="K372" s="281"/>
      <c r="L372" s="281"/>
      <c r="M372" s="281"/>
      <c r="N372" s="281"/>
      <c r="O372" s="281"/>
      <c r="P372" s="281"/>
      <c r="Q372" s="281"/>
      <c r="R372" s="282"/>
      <c r="S372" s="282"/>
      <c r="T372" s="281"/>
      <c r="U372" s="281"/>
      <c r="V372" s="281"/>
      <c r="W372" s="281"/>
      <c r="X372" s="281"/>
      <c r="Y372" s="304"/>
      <c r="Z372" s="304"/>
    </row>
    <row r="373">
      <c r="A373" s="345"/>
      <c r="B373" s="281"/>
      <c r="C373" s="281"/>
      <c r="D373" s="281"/>
      <c r="E373" s="281"/>
      <c r="F373" s="281"/>
      <c r="G373" s="326"/>
      <c r="H373" s="281"/>
      <c r="I373" s="281"/>
      <c r="J373" s="281"/>
      <c r="K373" s="281"/>
      <c r="L373" s="281"/>
      <c r="M373" s="281"/>
      <c r="N373" s="281"/>
      <c r="O373" s="281"/>
      <c r="P373" s="281"/>
      <c r="Q373" s="281"/>
      <c r="R373" s="282"/>
      <c r="S373" s="282"/>
      <c r="T373" s="281"/>
      <c r="U373" s="281"/>
      <c r="V373" s="281"/>
      <c r="W373" s="281"/>
      <c r="X373" s="281"/>
      <c r="Y373" s="304"/>
      <c r="Z373" s="304"/>
    </row>
    <row r="374">
      <c r="A374" s="345"/>
      <c r="B374" s="281"/>
      <c r="C374" s="281"/>
      <c r="D374" s="281"/>
      <c r="E374" s="281"/>
      <c r="F374" s="281"/>
      <c r="G374" s="326"/>
      <c r="H374" s="281"/>
      <c r="I374" s="281"/>
      <c r="J374" s="281"/>
      <c r="K374" s="281"/>
      <c r="L374" s="281"/>
      <c r="M374" s="281"/>
      <c r="N374" s="281"/>
      <c r="O374" s="281"/>
      <c r="P374" s="281"/>
      <c r="Q374" s="281"/>
      <c r="R374" s="282"/>
      <c r="S374" s="282"/>
      <c r="T374" s="281"/>
      <c r="U374" s="281"/>
      <c r="V374" s="281"/>
      <c r="W374" s="281"/>
      <c r="X374" s="281"/>
      <c r="Y374" s="304"/>
      <c r="Z374" s="304"/>
    </row>
    <row r="375">
      <c r="A375" s="345"/>
      <c r="B375" s="281"/>
      <c r="C375" s="281"/>
      <c r="D375" s="281"/>
      <c r="E375" s="281"/>
      <c r="F375" s="281"/>
      <c r="G375" s="326"/>
      <c r="H375" s="281"/>
      <c r="I375" s="281"/>
      <c r="J375" s="281"/>
      <c r="K375" s="281"/>
      <c r="L375" s="281"/>
      <c r="M375" s="281"/>
      <c r="N375" s="281"/>
      <c r="O375" s="281"/>
      <c r="P375" s="281"/>
      <c r="Q375" s="281"/>
      <c r="R375" s="282"/>
      <c r="S375" s="282"/>
      <c r="T375" s="281"/>
      <c r="U375" s="281"/>
      <c r="V375" s="281"/>
      <c r="W375" s="281"/>
      <c r="X375" s="281"/>
      <c r="Y375" s="304"/>
      <c r="Z375" s="304"/>
    </row>
    <row r="376">
      <c r="A376" s="345"/>
      <c r="B376" s="281"/>
      <c r="C376" s="281"/>
      <c r="D376" s="281"/>
      <c r="E376" s="281"/>
      <c r="F376" s="281"/>
      <c r="G376" s="326"/>
      <c r="H376" s="281"/>
      <c r="I376" s="281"/>
      <c r="J376" s="281"/>
      <c r="K376" s="281"/>
      <c r="L376" s="281"/>
      <c r="M376" s="281"/>
      <c r="N376" s="281"/>
      <c r="O376" s="281"/>
      <c r="P376" s="281"/>
      <c r="Q376" s="281"/>
      <c r="R376" s="282"/>
      <c r="S376" s="282"/>
      <c r="T376" s="281"/>
      <c r="U376" s="281"/>
      <c r="V376" s="281"/>
      <c r="W376" s="281"/>
      <c r="X376" s="281"/>
      <c r="Y376" s="304"/>
      <c r="Z376" s="304"/>
    </row>
    <row r="377">
      <c r="A377" s="345"/>
      <c r="B377" s="281"/>
      <c r="C377" s="281"/>
      <c r="D377" s="281"/>
      <c r="E377" s="281"/>
      <c r="F377" s="281"/>
      <c r="G377" s="281"/>
      <c r="H377" s="281"/>
      <c r="I377" s="281"/>
      <c r="J377" s="281"/>
      <c r="K377" s="281"/>
      <c r="L377" s="281"/>
      <c r="M377" s="281"/>
      <c r="N377" s="281"/>
      <c r="O377" s="281"/>
      <c r="P377" s="281"/>
      <c r="Q377" s="281"/>
      <c r="R377" s="282"/>
      <c r="S377" s="282"/>
      <c r="T377" s="281"/>
      <c r="U377" s="281"/>
      <c r="V377" s="281"/>
      <c r="W377" s="281"/>
      <c r="X377" s="281"/>
      <c r="Y377" s="304"/>
      <c r="Z377" s="304"/>
    </row>
    <row r="378">
      <c r="A378" s="345"/>
      <c r="B378" s="281"/>
      <c r="C378" s="281"/>
      <c r="D378" s="281"/>
      <c r="E378" s="281"/>
      <c r="F378" s="281"/>
      <c r="G378" s="281"/>
      <c r="H378" s="281"/>
      <c r="I378" s="281"/>
      <c r="J378" s="281"/>
      <c r="K378" s="281"/>
      <c r="L378" s="281"/>
      <c r="M378" s="281"/>
      <c r="N378" s="281"/>
      <c r="O378" s="281"/>
      <c r="P378" s="281"/>
      <c r="Q378" s="281"/>
      <c r="R378" s="282"/>
      <c r="S378" s="282"/>
      <c r="T378" s="281"/>
      <c r="U378" s="281"/>
      <c r="V378" s="281"/>
      <c r="W378" s="281"/>
      <c r="X378" s="281"/>
      <c r="Y378" s="304"/>
      <c r="Z378" s="304"/>
    </row>
    <row r="379">
      <c r="A379" s="345"/>
      <c r="B379" s="281"/>
      <c r="C379" s="281"/>
      <c r="D379" s="281"/>
      <c r="E379" s="281"/>
      <c r="F379" s="281"/>
      <c r="G379" s="281"/>
      <c r="H379" s="281"/>
      <c r="I379" s="281"/>
      <c r="J379" s="281"/>
      <c r="K379" s="281"/>
      <c r="L379" s="281"/>
      <c r="M379" s="281"/>
      <c r="N379" s="281"/>
      <c r="O379" s="281"/>
      <c r="P379" s="281"/>
      <c r="Q379" s="281"/>
      <c r="R379" s="282"/>
      <c r="S379" s="282"/>
      <c r="T379" s="281"/>
      <c r="U379" s="281"/>
      <c r="V379" s="281"/>
      <c r="W379" s="281"/>
      <c r="X379" s="281"/>
      <c r="Y379" s="304"/>
      <c r="Z379" s="304"/>
    </row>
    <row r="380">
      <c r="A380" s="345"/>
      <c r="B380" s="281"/>
      <c r="C380" s="281"/>
      <c r="D380" s="281"/>
      <c r="E380" s="281"/>
      <c r="F380" s="281"/>
      <c r="G380" s="281"/>
      <c r="H380" s="281"/>
      <c r="I380" s="281"/>
      <c r="J380" s="281"/>
      <c r="K380" s="281"/>
      <c r="L380" s="281"/>
      <c r="M380" s="281"/>
      <c r="N380" s="281"/>
      <c r="O380" s="281"/>
      <c r="P380" s="281"/>
      <c r="Q380" s="281"/>
      <c r="R380" s="282"/>
      <c r="S380" s="282"/>
      <c r="T380" s="281"/>
      <c r="U380" s="281"/>
      <c r="V380" s="281"/>
      <c r="W380" s="281"/>
      <c r="X380" s="281"/>
      <c r="Y380" s="304"/>
      <c r="Z380" s="304"/>
    </row>
    <row r="381">
      <c r="A381" s="345"/>
      <c r="B381" s="281"/>
      <c r="C381" s="281"/>
      <c r="D381" s="281"/>
      <c r="E381" s="281"/>
      <c r="F381" s="281"/>
      <c r="G381" s="281"/>
      <c r="H381" s="281"/>
      <c r="I381" s="281"/>
      <c r="J381" s="281"/>
      <c r="K381" s="281"/>
      <c r="L381" s="281"/>
      <c r="M381" s="281"/>
      <c r="N381" s="281"/>
      <c r="O381" s="281"/>
      <c r="P381" s="281"/>
      <c r="Q381" s="281"/>
      <c r="R381" s="282"/>
      <c r="S381" s="282"/>
      <c r="T381" s="281"/>
      <c r="U381" s="281"/>
      <c r="V381" s="281"/>
      <c r="W381" s="281"/>
      <c r="X381" s="281"/>
      <c r="Y381" s="304"/>
      <c r="Z381" s="304"/>
    </row>
    <row r="382">
      <c r="A382" s="345"/>
      <c r="B382" s="281"/>
      <c r="C382" s="281"/>
      <c r="D382" s="281"/>
      <c r="E382" s="281"/>
      <c r="F382" s="281"/>
      <c r="G382" s="281"/>
      <c r="H382" s="281"/>
      <c r="I382" s="281"/>
      <c r="J382" s="281"/>
      <c r="K382" s="281"/>
      <c r="L382" s="281"/>
      <c r="M382" s="281"/>
      <c r="N382" s="281"/>
      <c r="O382" s="281"/>
      <c r="P382" s="281"/>
      <c r="Q382" s="281"/>
      <c r="R382" s="282"/>
      <c r="S382" s="282"/>
      <c r="T382" s="281"/>
      <c r="U382" s="281"/>
      <c r="V382" s="281"/>
      <c r="W382" s="281"/>
      <c r="X382" s="281"/>
      <c r="Y382" s="304"/>
      <c r="Z382" s="304"/>
    </row>
    <row r="383">
      <c r="A383" s="345"/>
      <c r="B383" s="281"/>
      <c r="C383" s="281"/>
      <c r="D383" s="281"/>
      <c r="E383" s="281"/>
      <c r="F383" s="281"/>
      <c r="G383" s="281"/>
      <c r="H383" s="281"/>
      <c r="I383" s="281"/>
      <c r="J383" s="281"/>
      <c r="K383" s="281"/>
      <c r="L383" s="281"/>
      <c r="M383" s="281"/>
      <c r="N383" s="281"/>
      <c r="O383" s="281"/>
      <c r="P383" s="281"/>
      <c r="Q383" s="281"/>
      <c r="R383" s="282"/>
      <c r="S383" s="282"/>
      <c r="T383" s="281"/>
      <c r="U383" s="281"/>
      <c r="V383" s="281"/>
      <c r="W383" s="281"/>
      <c r="X383" s="281"/>
      <c r="Y383" s="304"/>
      <c r="Z383" s="304"/>
    </row>
    <row r="384">
      <c r="A384" s="345"/>
      <c r="B384" s="281"/>
      <c r="C384" s="281"/>
      <c r="D384" s="281"/>
      <c r="E384" s="281"/>
      <c r="F384" s="281"/>
      <c r="G384" s="281"/>
      <c r="H384" s="281"/>
      <c r="I384" s="281"/>
      <c r="J384" s="281"/>
      <c r="K384" s="281"/>
      <c r="L384" s="281"/>
      <c r="M384" s="281"/>
      <c r="N384" s="281"/>
      <c r="O384" s="281"/>
      <c r="P384" s="281"/>
      <c r="Q384" s="281"/>
      <c r="R384" s="282"/>
      <c r="S384" s="282"/>
      <c r="T384" s="281"/>
      <c r="U384" s="281"/>
      <c r="V384" s="281"/>
      <c r="W384" s="281"/>
      <c r="X384" s="281"/>
      <c r="Y384" s="304"/>
      <c r="Z384" s="304"/>
    </row>
    <row r="385">
      <c r="A385" s="345"/>
      <c r="B385" s="281"/>
      <c r="C385" s="281"/>
      <c r="D385" s="281"/>
      <c r="E385" s="281"/>
      <c r="F385" s="281"/>
      <c r="G385" s="281"/>
      <c r="H385" s="281"/>
      <c r="I385" s="281"/>
      <c r="J385" s="281"/>
      <c r="K385" s="281"/>
      <c r="L385" s="281"/>
      <c r="M385" s="281"/>
      <c r="N385" s="281"/>
      <c r="O385" s="281"/>
      <c r="P385" s="281"/>
      <c r="Q385" s="281"/>
      <c r="R385" s="282"/>
      <c r="S385" s="282"/>
      <c r="T385" s="281"/>
      <c r="U385" s="281"/>
      <c r="V385" s="281"/>
      <c r="W385" s="281"/>
      <c r="X385" s="281"/>
      <c r="Y385" s="304"/>
      <c r="Z385" s="304"/>
    </row>
    <row r="386">
      <c r="A386" s="345"/>
      <c r="B386" s="281"/>
      <c r="C386" s="281"/>
      <c r="D386" s="281"/>
      <c r="E386" s="281"/>
      <c r="F386" s="281"/>
      <c r="G386" s="281"/>
      <c r="H386" s="281"/>
      <c r="I386" s="281"/>
      <c r="J386" s="281"/>
      <c r="K386" s="281"/>
      <c r="L386" s="281"/>
      <c r="M386" s="281"/>
      <c r="N386" s="281"/>
      <c r="O386" s="281"/>
      <c r="P386" s="281"/>
      <c r="Q386" s="281"/>
      <c r="R386" s="282"/>
      <c r="S386" s="282"/>
      <c r="T386" s="281"/>
      <c r="U386" s="281"/>
      <c r="V386" s="281"/>
      <c r="W386" s="281"/>
      <c r="X386" s="281"/>
      <c r="Y386" s="304"/>
      <c r="Z386" s="304"/>
    </row>
    <row r="387">
      <c r="A387" s="345"/>
      <c r="B387" s="281"/>
      <c r="C387" s="281"/>
      <c r="D387" s="281"/>
      <c r="E387" s="281"/>
      <c r="F387" s="281"/>
      <c r="G387" s="281"/>
      <c r="H387" s="281"/>
      <c r="I387" s="281"/>
      <c r="J387" s="281"/>
      <c r="K387" s="281"/>
      <c r="L387" s="281"/>
      <c r="M387" s="281"/>
      <c r="N387" s="281"/>
      <c r="O387" s="281"/>
      <c r="P387" s="281"/>
      <c r="Q387" s="281"/>
      <c r="R387" s="282"/>
      <c r="S387" s="282"/>
      <c r="T387" s="281"/>
      <c r="U387" s="281"/>
      <c r="V387" s="281"/>
      <c r="W387" s="281"/>
      <c r="X387" s="281"/>
      <c r="Y387" s="304"/>
      <c r="Z387" s="304"/>
    </row>
    <row r="388">
      <c r="A388" s="345"/>
      <c r="B388" s="281"/>
      <c r="C388" s="281"/>
      <c r="D388" s="281"/>
      <c r="E388" s="281"/>
      <c r="F388" s="281"/>
      <c r="G388" s="281"/>
      <c r="H388" s="281"/>
      <c r="I388" s="281"/>
      <c r="J388" s="281"/>
      <c r="K388" s="281"/>
      <c r="L388" s="281"/>
      <c r="M388" s="281"/>
      <c r="N388" s="281"/>
      <c r="O388" s="281"/>
      <c r="P388" s="281"/>
      <c r="Q388" s="281"/>
      <c r="R388" s="282"/>
      <c r="S388" s="282"/>
      <c r="T388" s="281"/>
      <c r="U388" s="281"/>
      <c r="V388" s="281"/>
      <c r="W388" s="281"/>
      <c r="X388" s="281"/>
      <c r="Y388" s="304"/>
      <c r="Z388" s="304"/>
    </row>
    <row r="389">
      <c r="A389" s="345"/>
      <c r="B389" s="281"/>
      <c r="C389" s="281"/>
      <c r="D389" s="281"/>
      <c r="E389" s="281"/>
      <c r="F389" s="281"/>
      <c r="G389" s="281"/>
      <c r="H389" s="281"/>
      <c r="I389" s="281"/>
      <c r="J389" s="281"/>
      <c r="K389" s="281"/>
      <c r="L389" s="281"/>
      <c r="M389" s="281"/>
      <c r="N389" s="281"/>
      <c r="O389" s="281"/>
      <c r="P389" s="281"/>
      <c r="Q389" s="281"/>
      <c r="R389" s="282"/>
      <c r="S389" s="282"/>
      <c r="T389" s="281"/>
      <c r="U389" s="281"/>
      <c r="V389" s="281"/>
      <c r="W389" s="281"/>
      <c r="X389" s="281"/>
      <c r="Y389" s="304"/>
      <c r="Z389" s="304"/>
    </row>
    <row r="390">
      <c r="A390" s="345"/>
      <c r="B390" s="281"/>
      <c r="C390" s="281"/>
      <c r="D390" s="281"/>
      <c r="E390" s="281"/>
      <c r="F390" s="281"/>
      <c r="G390" s="281"/>
      <c r="H390" s="281"/>
      <c r="I390" s="281"/>
      <c r="J390" s="281"/>
      <c r="K390" s="281"/>
      <c r="L390" s="281"/>
      <c r="M390" s="281"/>
      <c r="N390" s="281"/>
      <c r="O390" s="281"/>
      <c r="P390" s="281"/>
      <c r="Q390" s="281"/>
      <c r="R390" s="282"/>
      <c r="S390" s="282"/>
      <c r="T390" s="281"/>
      <c r="U390" s="281"/>
      <c r="V390" s="281"/>
      <c r="W390" s="281"/>
      <c r="X390" s="281"/>
      <c r="Y390" s="304"/>
      <c r="Z390" s="304"/>
    </row>
    <row r="391">
      <c r="A391" s="345"/>
      <c r="B391" s="281"/>
      <c r="C391" s="281"/>
      <c r="D391" s="281"/>
      <c r="E391" s="281"/>
      <c r="F391" s="281"/>
      <c r="G391" s="281"/>
      <c r="H391" s="281"/>
      <c r="I391" s="281"/>
      <c r="J391" s="281"/>
      <c r="K391" s="281"/>
      <c r="L391" s="281"/>
      <c r="M391" s="281"/>
      <c r="N391" s="281"/>
      <c r="O391" s="281"/>
      <c r="P391" s="281"/>
      <c r="Q391" s="281"/>
      <c r="R391" s="282"/>
      <c r="S391" s="282"/>
      <c r="T391" s="281"/>
      <c r="U391" s="281"/>
      <c r="V391" s="281"/>
      <c r="W391" s="281"/>
      <c r="X391" s="281"/>
      <c r="Y391" s="304"/>
      <c r="Z391" s="304"/>
    </row>
    <row r="392">
      <c r="A392" s="345"/>
      <c r="B392" s="281"/>
      <c r="C392" s="281"/>
      <c r="D392" s="281"/>
      <c r="E392" s="281"/>
      <c r="F392" s="281"/>
      <c r="G392" s="281"/>
      <c r="H392" s="281"/>
      <c r="I392" s="281"/>
      <c r="J392" s="281"/>
      <c r="K392" s="281"/>
      <c r="L392" s="281"/>
      <c r="M392" s="281"/>
      <c r="N392" s="281"/>
      <c r="O392" s="281"/>
      <c r="P392" s="281"/>
      <c r="Q392" s="281"/>
      <c r="R392" s="282"/>
      <c r="S392" s="282"/>
      <c r="T392" s="281"/>
      <c r="U392" s="281"/>
      <c r="V392" s="281"/>
      <c r="W392" s="281"/>
      <c r="X392" s="281"/>
      <c r="Y392" s="304"/>
      <c r="Z392" s="304"/>
    </row>
    <row r="393">
      <c r="A393" s="345"/>
      <c r="B393" s="281"/>
      <c r="C393" s="281"/>
      <c r="D393" s="281"/>
      <c r="E393" s="281"/>
      <c r="F393" s="281"/>
      <c r="G393" s="281"/>
      <c r="H393" s="281"/>
      <c r="I393" s="281"/>
      <c r="J393" s="281"/>
      <c r="K393" s="281"/>
      <c r="L393" s="281"/>
      <c r="M393" s="281"/>
      <c r="N393" s="281"/>
      <c r="O393" s="281"/>
      <c r="P393" s="281"/>
      <c r="Q393" s="281"/>
      <c r="R393" s="282"/>
      <c r="S393" s="282"/>
      <c r="T393" s="281"/>
      <c r="U393" s="281"/>
      <c r="V393" s="281"/>
      <c r="W393" s="281"/>
      <c r="X393" s="281"/>
      <c r="Y393" s="304"/>
      <c r="Z393" s="304"/>
    </row>
    <row r="394">
      <c r="A394" s="345"/>
      <c r="B394" s="281"/>
      <c r="C394" s="281"/>
      <c r="D394" s="281"/>
      <c r="E394" s="281"/>
      <c r="F394" s="281"/>
      <c r="G394" s="281"/>
      <c r="H394" s="281"/>
      <c r="I394" s="281"/>
      <c r="J394" s="281"/>
      <c r="K394" s="281"/>
      <c r="L394" s="281"/>
      <c r="M394" s="281"/>
      <c r="N394" s="281"/>
      <c r="O394" s="281"/>
      <c r="P394" s="281"/>
      <c r="Q394" s="281"/>
      <c r="R394" s="282"/>
      <c r="S394" s="282"/>
      <c r="T394" s="281"/>
      <c r="U394" s="281"/>
      <c r="V394" s="281"/>
      <c r="W394" s="281"/>
      <c r="X394" s="281"/>
      <c r="Y394" s="304"/>
      <c r="Z394" s="304"/>
    </row>
    <row r="395">
      <c r="A395" s="345"/>
      <c r="B395" s="281"/>
      <c r="C395" s="281"/>
      <c r="D395" s="281"/>
      <c r="E395" s="281"/>
      <c r="F395" s="281"/>
      <c r="G395" s="281"/>
      <c r="H395" s="281"/>
      <c r="I395" s="281"/>
      <c r="J395" s="281"/>
      <c r="K395" s="281"/>
      <c r="L395" s="281"/>
      <c r="M395" s="281"/>
      <c r="N395" s="281"/>
      <c r="O395" s="281"/>
      <c r="P395" s="281"/>
      <c r="Q395" s="281"/>
      <c r="R395" s="282"/>
      <c r="S395" s="282"/>
      <c r="T395" s="281"/>
      <c r="U395" s="281"/>
      <c r="V395" s="281"/>
      <c r="W395" s="281"/>
      <c r="X395" s="281"/>
      <c r="Y395" s="304"/>
      <c r="Z395" s="304"/>
    </row>
    <row r="396">
      <c r="A396" s="345"/>
      <c r="B396" s="281"/>
      <c r="C396" s="281"/>
      <c r="D396" s="281"/>
      <c r="E396" s="281"/>
      <c r="F396" s="281"/>
      <c r="G396" s="281"/>
      <c r="H396" s="281"/>
      <c r="I396" s="281"/>
      <c r="J396" s="281"/>
      <c r="K396" s="281"/>
      <c r="L396" s="281"/>
      <c r="M396" s="281"/>
      <c r="N396" s="281"/>
      <c r="O396" s="281"/>
      <c r="P396" s="281"/>
      <c r="Q396" s="281"/>
      <c r="R396" s="282"/>
      <c r="S396" s="282"/>
      <c r="T396" s="281"/>
      <c r="U396" s="281"/>
      <c r="V396" s="281"/>
      <c r="W396" s="281"/>
      <c r="X396" s="281"/>
      <c r="Y396" s="304"/>
      <c r="Z396" s="304"/>
    </row>
    <row r="397">
      <c r="A397" s="345"/>
      <c r="B397" s="281"/>
      <c r="C397" s="281"/>
      <c r="D397" s="281"/>
      <c r="E397" s="281"/>
      <c r="F397" s="281"/>
      <c r="G397" s="281"/>
      <c r="H397" s="281"/>
      <c r="I397" s="281"/>
      <c r="J397" s="281"/>
      <c r="K397" s="281"/>
      <c r="L397" s="281"/>
      <c r="M397" s="281"/>
      <c r="N397" s="281"/>
      <c r="O397" s="281"/>
      <c r="P397" s="281"/>
      <c r="Q397" s="281"/>
      <c r="R397" s="282"/>
      <c r="S397" s="282"/>
      <c r="T397" s="281"/>
      <c r="U397" s="281"/>
      <c r="V397" s="281"/>
      <c r="W397" s="281"/>
      <c r="X397" s="281"/>
      <c r="Y397" s="304"/>
      <c r="Z397" s="304"/>
    </row>
    <row r="398">
      <c r="A398" s="345"/>
      <c r="B398" s="281"/>
      <c r="C398" s="281"/>
      <c r="D398" s="281"/>
      <c r="E398" s="281"/>
      <c r="F398" s="281"/>
      <c r="G398" s="281"/>
      <c r="H398" s="281"/>
      <c r="I398" s="281"/>
      <c r="J398" s="281"/>
      <c r="K398" s="281"/>
      <c r="L398" s="281"/>
      <c r="M398" s="281"/>
      <c r="N398" s="281"/>
      <c r="O398" s="281"/>
      <c r="P398" s="281"/>
      <c r="Q398" s="281"/>
      <c r="R398" s="282"/>
      <c r="S398" s="282"/>
      <c r="T398" s="281"/>
      <c r="U398" s="281"/>
      <c r="V398" s="281"/>
      <c r="W398" s="281"/>
      <c r="X398" s="281"/>
      <c r="Y398" s="304"/>
      <c r="Z398" s="304"/>
    </row>
    <row r="399">
      <c r="A399" s="345"/>
      <c r="B399" s="281"/>
      <c r="C399" s="281"/>
      <c r="D399" s="281"/>
      <c r="E399" s="281"/>
      <c r="F399" s="281"/>
      <c r="G399" s="281"/>
      <c r="H399" s="281"/>
      <c r="I399" s="281"/>
      <c r="J399" s="281"/>
      <c r="K399" s="281"/>
      <c r="L399" s="281"/>
      <c r="M399" s="281"/>
      <c r="N399" s="281"/>
      <c r="O399" s="281"/>
      <c r="P399" s="281"/>
      <c r="Q399" s="281"/>
      <c r="R399" s="282"/>
      <c r="S399" s="282"/>
      <c r="T399" s="281"/>
      <c r="U399" s="281"/>
      <c r="V399" s="281"/>
      <c r="W399" s="281"/>
      <c r="X399" s="281"/>
      <c r="Y399" s="304"/>
      <c r="Z399" s="304"/>
    </row>
    <row r="400">
      <c r="A400" s="345"/>
      <c r="B400" s="281"/>
      <c r="C400" s="281"/>
      <c r="D400" s="281"/>
      <c r="E400" s="281"/>
      <c r="F400" s="281"/>
      <c r="G400" s="281"/>
      <c r="H400" s="281"/>
      <c r="I400" s="281"/>
      <c r="J400" s="281"/>
      <c r="K400" s="281"/>
      <c r="L400" s="281"/>
      <c r="M400" s="281"/>
      <c r="N400" s="281"/>
      <c r="O400" s="281"/>
      <c r="P400" s="281"/>
      <c r="Q400" s="281"/>
      <c r="R400" s="281"/>
      <c r="S400" s="281"/>
      <c r="T400" s="281"/>
      <c r="U400" s="281"/>
      <c r="V400" s="281"/>
      <c r="W400" s="281"/>
      <c r="X400" s="281"/>
      <c r="Y400" s="304"/>
      <c r="Z400" s="304"/>
    </row>
    <row r="401">
      <c r="A401" s="345"/>
      <c r="B401" s="281"/>
      <c r="C401" s="281"/>
      <c r="D401" s="281"/>
      <c r="E401" s="281"/>
      <c r="F401" s="281"/>
      <c r="G401" s="281"/>
      <c r="H401" s="281"/>
      <c r="I401" s="281"/>
      <c r="J401" s="281"/>
      <c r="K401" s="281"/>
      <c r="L401" s="281"/>
      <c r="M401" s="281"/>
      <c r="N401" s="281"/>
      <c r="O401" s="281"/>
      <c r="P401" s="281"/>
      <c r="Q401" s="281"/>
      <c r="R401" s="281"/>
      <c r="S401" s="281"/>
      <c r="T401" s="281"/>
      <c r="U401" s="281"/>
      <c r="V401" s="281"/>
      <c r="W401" s="281"/>
      <c r="X401" s="281"/>
      <c r="Y401" s="304"/>
      <c r="Z401" s="304"/>
    </row>
    <row r="402">
      <c r="A402" s="345"/>
      <c r="B402" s="281"/>
      <c r="C402" s="281"/>
      <c r="D402" s="281"/>
      <c r="E402" s="281"/>
      <c r="F402" s="281"/>
      <c r="G402" s="281"/>
      <c r="H402" s="281"/>
      <c r="I402" s="281"/>
      <c r="J402" s="281"/>
      <c r="K402" s="281"/>
      <c r="L402" s="281"/>
      <c r="M402" s="281"/>
      <c r="N402" s="281"/>
      <c r="O402" s="281"/>
      <c r="P402" s="281"/>
      <c r="Q402" s="281"/>
      <c r="R402" s="281"/>
      <c r="S402" s="281"/>
      <c r="T402" s="281"/>
      <c r="U402" s="281"/>
      <c r="V402" s="281"/>
      <c r="W402" s="281"/>
      <c r="X402" s="281"/>
      <c r="Y402" s="304"/>
      <c r="Z402" s="304"/>
    </row>
    <row r="403">
      <c r="A403" s="345"/>
      <c r="B403" s="281"/>
      <c r="C403" s="281"/>
      <c r="D403" s="281"/>
      <c r="E403" s="281"/>
      <c r="F403" s="281"/>
      <c r="G403" s="281"/>
      <c r="H403" s="281"/>
      <c r="I403" s="281"/>
      <c r="J403" s="281"/>
      <c r="K403" s="281"/>
      <c r="L403" s="281"/>
      <c r="M403" s="281"/>
      <c r="N403" s="281"/>
      <c r="O403" s="281"/>
      <c r="P403" s="281"/>
      <c r="Q403" s="281"/>
      <c r="R403" s="281"/>
      <c r="S403" s="281"/>
      <c r="T403" s="281"/>
      <c r="U403" s="281"/>
      <c r="V403" s="281"/>
      <c r="W403" s="281"/>
      <c r="X403" s="281"/>
      <c r="Y403" s="304"/>
      <c r="Z403" s="304"/>
    </row>
    <row r="404">
      <c r="A404" s="345"/>
      <c r="B404" s="281"/>
      <c r="C404" s="281"/>
      <c r="D404" s="281"/>
      <c r="E404" s="281"/>
      <c r="F404" s="281"/>
      <c r="G404" s="281"/>
      <c r="H404" s="281"/>
      <c r="I404" s="281"/>
      <c r="J404" s="281"/>
      <c r="K404" s="281"/>
      <c r="L404" s="281"/>
      <c r="M404" s="281"/>
      <c r="N404" s="281"/>
      <c r="O404" s="281"/>
      <c r="P404" s="281"/>
      <c r="Q404" s="281"/>
      <c r="R404" s="281"/>
      <c r="S404" s="281"/>
      <c r="T404" s="281"/>
      <c r="U404" s="281"/>
      <c r="V404" s="281"/>
      <c r="W404" s="281"/>
      <c r="X404" s="281"/>
      <c r="Y404" s="304"/>
      <c r="Z404" s="304"/>
    </row>
    <row r="405">
      <c r="A405" s="345"/>
      <c r="B405" s="281"/>
      <c r="C405" s="281"/>
      <c r="D405" s="281"/>
      <c r="E405" s="281"/>
      <c r="F405" s="281"/>
      <c r="G405" s="281"/>
      <c r="H405" s="281"/>
      <c r="I405" s="281"/>
      <c r="J405" s="281"/>
      <c r="K405" s="281"/>
      <c r="L405" s="281"/>
      <c r="M405" s="281"/>
      <c r="N405" s="281"/>
      <c r="O405" s="281"/>
      <c r="P405" s="281"/>
      <c r="Q405" s="281"/>
      <c r="R405" s="281"/>
      <c r="S405" s="281"/>
      <c r="T405" s="281"/>
      <c r="U405" s="281"/>
      <c r="V405" s="281"/>
      <c r="W405" s="281"/>
      <c r="X405" s="281"/>
      <c r="Y405" s="304"/>
      <c r="Z405" s="304"/>
    </row>
    <row r="406">
      <c r="A406" s="345"/>
      <c r="B406" s="281"/>
      <c r="C406" s="281"/>
      <c r="D406" s="281"/>
      <c r="E406" s="281"/>
      <c r="F406" s="281"/>
      <c r="G406" s="281"/>
      <c r="H406" s="281"/>
      <c r="I406" s="281"/>
      <c r="J406" s="281"/>
      <c r="K406" s="281"/>
      <c r="L406" s="281"/>
      <c r="M406" s="281"/>
      <c r="N406" s="281"/>
      <c r="O406" s="281"/>
      <c r="P406" s="281"/>
      <c r="Q406" s="281"/>
      <c r="R406" s="281"/>
      <c r="S406" s="281"/>
      <c r="T406" s="281"/>
      <c r="U406" s="281"/>
      <c r="V406" s="281"/>
      <c r="W406" s="281"/>
      <c r="X406" s="281"/>
      <c r="Y406" s="304"/>
      <c r="Z406" s="304"/>
    </row>
    <row r="407">
      <c r="A407" s="345"/>
      <c r="B407" s="281"/>
      <c r="C407" s="281"/>
      <c r="D407" s="281"/>
      <c r="E407" s="281"/>
      <c r="F407" s="281"/>
      <c r="G407" s="281"/>
      <c r="H407" s="281"/>
      <c r="I407" s="281"/>
      <c r="J407" s="281"/>
      <c r="K407" s="281"/>
      <c r="L407" s="281"/>
      <c r="M407" s="281"/>
      <c r="N407" s="281"/>
      <c r="O407" s="281"/>
      <c r="P407" s="281"/>
      <c r="Q407" s="281"/>
      <c r="R407" s="281"/>
      <c r="S407" s="281"/>
      <c r="T407" s="281"/>
      <c r="U407" s="281"/>
      <c r="V407" s="281"/>
      <c r="W407" s="281"/>
      <c r="X407" s="281"/>
      <c r="Y407" s="304"/>
      <c r="Z407" s="304"/>
    </row>
    <row r="408">
      <c r="A408" s="345"/>
      <c r="B408" s="281"/>
      <c r="C408" s="281"/>
      <c r="D408" s="281"/>
      <c r="E408" s="281"/>
      <c r="F408" s="281"/>
      <c r="G408" s="281"/>
      <c r="H408" s="281"/>
      <c r="I408" s="281"/>
      <c r="J408" s="281"/>
      <c r="K408" s="281"/>
      <c r="L408" s="281"/>
      <c r="M408" s="281"/>
      <c r="N408" s="281"/>
      <c r="O408" s="281"/>
      <c r="P408" s="281"/>
      <c r="Q408" s="281"/>
      <c r="R408" s="281"/>
      <c r="S408" s="281"/>
      <c r="T408" s="281"/>
      <c r="U408" s="281"/>
      <c r="V408" s="281"/>
      <c r="W408" s="281"/>
      <c r="X408" s="281"/>
      <c r="Y408" s="304"/>
      <c r="Z408" s="304"/>
    </row>
    <row r="409">
      <c r="A409" s="345"/>
      <c r="B409" s="281"/>
      <c r="C409" s="281"/>
      <c r="D409" s="281"/>
      <c r="E409" s="281"/>
      <c r="F409" s="281"/>
      <c r="G409" s="281"/>
      <c r="H409" s="281"/>
      <c r="I409" s="281"/>
      <c r="J409" s="281"/>
      <c r="K409" s="281"/>
      <c r="L409" s="281"/>
      <c r="M409" s="281"/>
      <c r="N409" s="281"/>
      <c r="O409" s="281"/>
      <c r="P409" s="281"/>
      <c r="Q409" s="281"/>
      <c r="R409" s="281"/>
      <c r="S409" s="281"/>
      <c r="T409" s="281"/>
      <c r="U409" s="281"/>
      <c r="V409" s="281"/>
      <c r="W409" s="281"/>
      <c r="X409" s="281"/>
      <c r="Y409" s="304"/>
      <c r="Z409" s="304"/>
    </row>
    <row r="410">
      <c r="A410" s="345"/>
      <c r="B410" s="281"/>
      <c r="C410" s="281"/>
      <c r="D410" s="281"/>
      <c r="E410" s="281"/>
      <c r="F410" s="281"/>
      <c r="G410" s="281"/>
      <c r="H410" s="281"/>
      <c r="I410" s="281"/>
      <c r="J410" s="281"/>
      <c r="K410" s="281"/>
      <c r="L410" s="281"/>
      <c r="M410" s="281"/>
      <c r="N410" s="281"/>
      <c r="O410" s="281"/>
      <c r="P410" s="281"/>
      <c r="Q410" s="281"/>
      <c r="R410" s="281"/>
      <c r="S410" s="281"/>
      <c r="T410" s="281"/>
      <c r="U410" s="281"/>
      <c r="V410" s="281"/>
      <c r="W410" s="281"/>
      <c r="X410" s="281"/>
      <c r="Y410" s="304"/>
      <c r="Z410" s="304"/>
    </row>
    <row r="411">
      <c r="A411" s="345"/>
      <c r="B411" s="281"/>
      <c r="C411" s="281"/>
      <c r="D411" s="281"/>
      <c r="E411" s="281"/>
      <c r="F411" s="281"/>
      <c r="G411" s="281"/>
      <c r="H411" s="281"/>
      <c r="I411" s="281"/>
      <c r="J411" s="281"/>
      <c r="K411" s="281"/>
      <c r="L411" s="281"/>
      <c r="M411" s="281"/>
      <c r="N411" s="281"/>
      <c r="O411" s="281"/>
      <c r="P411" s="281"/>
      <c r="Q411" s="281"/>
      <c r="R411" s="281"/>
      <c r="S411" s="281"/>
      <c r="T411" s="281"/>
      <c r="U411" s="281"/>
      <c r="V411" s="281"/>
      <c r="W411" s="281"/>
      <c r="X411" s="281"/>
      <c r="Y411" s="304"/>
      <c r="Z411" s="304"/>
    </row>
    <row r="412">
      <c r="A412" s="345"/>
      <c r="B412" s="281"/>
      <c r="C412" s="281"/>
      <c r="D412" s="281"/>
      <c r="E412" s="281"/>
      <c r="F412" s="281"/>
      <c r="G412" s="281"/>
      <c r="H412" s="281"/>
      <c r="I412" s="281"/>
      <c r="J412" s="281"/>
      <c r="K412" s="281"/>
      <c r="L412" s="281"/>
      <c r="M412" s="281"/>
      <c r="N412" s="281"/>
      <c r="O412" s="281"/>
      <c r="P412" s="281"/>
      <c r="Q412" s="281"/>
      <c r="R412" s="281"/>
      <c r="S412" s="281"/>
      <c r="T412" s="281"/>
      <c r="U412" s="281"/>
      <c r="V412" s="281"/>
      <c r="W412" s="281"/>
      <c r="X412" s="281"/>
      <c r="Y412" s="304"/>
      <c r="Z412" s="304"/>
    </row>
    <row r="413">
      <c r="A413" s="345"/>
      <c r="B413" s="281"/>
      <c r="C413" s="281"/>
      <c r="D413" s="281"/>
      <c r="E413" s="281"/>
      <c r="F413" s="281"/>
      <c r="G413" s="281"/>
      <c r="H413" s="281"/>
      <c r="I413" s="281"/>
      <c r="J413" s="281"/>
      <c r="K413" s="281"/>
      <c r="L413" s="281"/>
      <c r="M413" s="281"/>
      <c r="N413" s="281"/>
      <c r="O413" s="281"/>
      <c r="P413" s="281"/>
      <c r="Q413" s="281"/>
      <c r="R413" s="281"/>
      <c r="S413" s="281"/>
      <c r="T413" s="281"/>
      <c r="U413" s="281"/>
      <c r="V413" s="281"/>
      <c r="W413" s="281"/>
      <c r="X413" s="281"/>
      <c r="Y413" s="304"/>
      <c r="Z413" s="304"/>
    </row>
    <row r="414">
      <c r="A414" s="345"/>
      <c r="B414" s="281"/>
      <c r="C414" s="281"/>
      <c r="D414" s="281"/>
      <c r="E414" s="281"/>
      <c r="F414" s="281"/>
      <c r="G414" s="281"/>
      <c r="H414" s="281"/>
      <c r="I414" s="281"/>
      <c r="J414" s="281"/>
      <c r="K414" s="281"/>
      <c r="L414" s="281"/>
      <c r="M414" s="281"/>
      <c r="N414" s="281"/>
      <c r="O414" s="281"/>
      <c r="P414" s="281"/>
      <c r="Q414" s="281"/>
      <c r="R414" s="281"/>
      <c r="S414" s="281"/>
      <c r="T414" s="281"/>
      <c r="U414" s="281"/>
      <c r="V414" s="281"/>
      <c r="W414" s="281"/>
      <c r="X414" s="281"/>
      <c r="Y414" s="304"/>
      <c r="Z414" s="304"/>
    </row>
    <row r="415">
      <c r="A415" s="345"/>
      <c r="B415" s="281"/>
      <c r="C415" s="281"/>
      <c r="D415" s="281"/>
      <c r="E415" s="281"/>
      <c r="F415" s="281"/>
      <c r="G415" s="281"/>
      <c r="H415" s="281"/>
      <c r="I415" s="281"/>
      <c r="J415" s="281"/>
      <c r="K415" s="281"/>
      <c r="L415" s="281"/>
      <c r="M415" s="281"/>
      <c r="N415" s="281"/>
      <c r="O415" s="281"/>
      <c r="P415" s="281"/>
      <c r="Q415" s="281"/>
      <c r="R415" s="281"/>
      <c r="S415" s="281"/>
      <c r="T415" s="281"/>
      <c r="U415" s="281"/>
      <c r="V415" s="281"/>
      <c r="W415" s="281"/>
      <c r="X415" s="281"/>
      <c r="Y415" s="304"/>
      <c r="Z415" s="304"/>
    </row>
    <row r="416">
      <c r="A416" s="345"/>
      <c r="B416" s="281"/>
      <c r="C416" s="281"/>
      <c r="D416" s="281"/>
      <c r="E416" s="281"/>
      <c r="F416" s="281"/>
      <c r="G416" s="281"/>
      <c r="H416" s="281"/>
      <c r="I416" s="281"/>
      <c r="J416" s="281"/>
      <c r="K416" s="281"/>
      <c r="L416" s="281"/>
      <c r="M416" s="281"/>
      <c r="N416" s="281"/>
      <c r="O416" s="281"/>
      <c r="P416" s="281"/>
      <c r="Q416" s="281"/>
      <c r="R416" s="281"/>
      <c r="S416" s="281"/>
      <c r="T416" s="281"/>
      <c r="U416" s="281"/>
      <c r="V416" s="281"/>
      <c r="W416" s="281"/>
      <c r="X416" s="281"/>
      <c r="Y416" s="304"/>
      <c r="Z416" s="304"/>
    </row>
    <row r="417">
      <c r="A417" s="345"/>
      <c r="B417" s="281"/>
      <c r="C417" s="281"/>
      <c r="D417" s="281"/>
      <c r="E417" s="281"/>
      <c r="F417" s="281"/>
      <c r="G417" s="281"/>
      <c r="H417" s="281"/>
      <c r="I417" s="281"/>
      <c r="J417" s="281"/>
      <c r="K417" s="281"/>
      <c r="L417" s="281"/>
      <c r="M417" s="281"/>
      <c r="N417" s="281"/>
      <c r="O417" s="281"/>
      <c r="P417" s="281"/>
      <c r="Q417" s="281"/>
      <c r="R417" s="281"/>
      <c r="S417" s="281"/>
      <c r="T417" s="281"/>
      <c r="U417" s="281"/>
      <c r="V417" s="281"/>
      <c r="W417" s="281"/>
      <c r="X417" s="281"/>
      <c r="Y417" s="304"/>
      <c r="Z417" s="304"/>
    </row>
  </sheetData>
  <conditionalFormatting sqref="D1">
    <cfRule type="notContainsBlanks" dxfId="0" priority="1">
      <formula>LEN(TRIM(D1))&gt;0</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A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0.57"/>
    <col customWidth="1" min="21" max="21" width="14.86"/>
  </cols>
  <sheetData>
    <row r="1">
      <c r="A1" s="271"/>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24" t="s">
        <v>615</v>
      </c>
    </row>
    <row r="2" ht="20.25" customHeight="1">
      <c r="A2" s="278"/>
      <c r="B2" s="279" t="s">
        <v>1065</v>
      </c>
      <c r="C2" s="280"/>
      <c r="D2" s="280"/>
      <c r="E2" s="281"/>
      <c r="F2" s="281"/>
      <c r="G2" s="281"/>
      <c r="H2" s="281"/>
      <c r="I2" s="281"/>
      <c r="J2" s="281"/>
      <c r="K2" s="281"/>
      <c r="L2" s="281"/>
      <c r="M2" s="281"/>
      <c r="N2" s="280"/>
      <c r="O2" s="280"/>
      <c r="P2" s="280"/>
      <c r="Q2" s="280"/>
      <c r="R2" s="282"/>
      <c r="S2" s="281"/>
      <c r="T2" s="285"/>
    </row>
    <row r="3">
      <c r="A3" s="272"/>
      <c r="B3" s="284" t="s">
        <v>1484</v>
      </c>
      <c r="C3" s="280"/>
      <c r="D3" s="280"/>
      <c r="E3" s="281"/>
      <c r="F3" s="281"/>
      <c r="G3" s="281"/>
      <c r="H3" s="281"/>
      <c r="I3" s="281"/>
      <c r="J3" s="281"/>
      <c r="K3" s="281"/>
      <c r="L3" s="281"/>
      <c r="M3" s="281"/>
      <c r="N3" s="281"/>
      <c r="O3" s="281"/>
      <c r="P3" s="281"/>
      <c r="Q3" s="281"/>
      <c r="R3" s="282"/>
      <c r="S3" s="281"/>
      <c r="T3" s="285"/>
    </row>
    <row r="4">
      <c r="A4" s="286" t="s">
        <v>619</v>
      </c>
      <c r="B4" s="358" t="s">
        <v>1067</v>
      </c>
      <c r="C4" s="280"/>
      <c r="D4" s="280"/>
      <c r="E4" s="281"/>
      <c r="F4" s="281"/>
      <c r="G4" s="281"/>
      <c r="H4" s="281"/>
      <c r="I4" s="281"/>
      <c r="J4" s="281"/>
      <c r="K4" s="281"/>
      <c r="L4" s="281"/>
      <c r="M4" s="281"/>
      <c r="N4" s="281"/>
      <c r="O4" s="281"/>
      <c r="P4" s="281"/>
      <c r="Q4" s="281"/>
      <c r="R4" s="282"/>
      <c r="S4" s="281"/>
      <c r="T4" s="285"/>
    </row>
    <row r="5">
      <c r="A5" s="137" t="s">
        <v>627</v>
      </c>
      <c r="B5" s="296" t="s">
        <v>628</v>
      </c>
      <c r="C5" s="297" t="s">
        <v>629</v>
      </c>
      <c r="D5" s="289">
        <f>ROUND((F5*'Pawn Weights'!$E$22)+(G5*'Pawn Weights'!$E$23)+(H5*'Pawn Weights'!$E$24)+(I5*'Pawn Weights'!$E$25)+(J5*'Pawn Weights'!$E$26)+(K5*'Pawn Weights'!$E$27)+(L5*'Pawn Weights'!$E$28)+(M5*'Pawn Weights'!$E$29)+(N5*'Pawn Weights'!$E$30)+(O5*'Pawn Weights'!$E$31)+(P5*'Pawn Weights'!$E$32)+(Q5*'Pawn Weights'!$E$33), 2)</f>
        <v>176.6</v>
      </c>
      <c r="E5" s="359">
        <v>47.0</v>
      </c>
      <c r="F5" s="359">
        <v>62.0</v>
      </c>
      <c r="G5" s="137"/>
      <c r="H5" s="137"/>
      <c r="I5" s="359">
        <v>51.0</v>
      </c>
      <c r="J5" s="359">
        <v>26.0</v>
      </c>
      <c r="K5" s="137"/>
      <c r="L5" s="137"/>
      <c r="M5" s="137"/>
      <c r="N5" s="359">
        <v>1.0</v>
      </c>
      <c r="O5" s="137"/>
      <c r="P5" s="137"/>
      <c r="Q5" s="359">
        <v>1.0</v>
      </c>
      <c r="R5" s="359" t="s">
        <v>624</v>
      </c>
      <c r="S5" s="137"/>
      <c r="T5" s="361" t="s">
        <v>630</v>
      </c>
      <c r="U5" s="137"/>
      <c r="V5" s="137"/>
      <c r="W5" s="137"/>
      <c r="X5" s="137"/>
      <c r="Y5" s="137"/>
      <c r="Z5" s="137"/>
    </row>
    <row r="6">
      <c r="A6" s="25"/>
      <c r="B6" s="288" t="s">
        <v>631</v>
      </c>
      <c r="C6" s="280" t="s">
        <v>632</v>
      </c>
      <c r="D6" s="289">
        <f>ROUND((F6*'Pawn Weights'!$E$22)+(G6*'Pawn Weights'!$E$23)+(H6*'Pawn Weights'!$E$24)+(I6*'Pawn Weights'!$E$25)+(J6*'Pawn Weights'!$E$26)+(K6*'Pawn Weights'!$E$27)+(L6*'Pawn Weights'!$E$28)+(M6*'Pawn Weights'!$E$29)+(N6*'Pawn Weights'!$E$30)+(O6*'Pawn Weights'!$E$31)+(P6*'Pawn Weights'!$E$32)+(Q6*'Pawn Weights'!$E$33), 2)</f>
        <v>174.73</v>
      </c>
      <c r="E6" s="280">
        <v>46.0</v>
      </c>
      <c r="F6" s="280"/>
      <c r="G6" s="280">
        <v>39.0</v>
      </c>
      <c r="H6" s="280">
        <v>108.0</v>
      </c>
      <c r="I6" s="280">
        <v>38.0</v>
      </c>
      <c r="J6" s="280">
        <v>21.0</v>
      </c>
      <c r="K6" s="280"/>
      <c r="L6" s="280"/>
      <c r="M6" s="281"/>
      <c r="N6" s="280">
        <v>1.0</v>
      </c>
      <c r="O6" s="280"/>
      <c r="P6" s="280">
        <v>1.0</v>
      </c>
      <c r="Q6" s="280"/>
      <c r="R6" s="290" t="s">
        <v>633</v>
      </c>
      <c r="S6" s="281"/>
      <c r="T6" s="291" t="s">
        <v>634</v>
      </c>
    </row>
    <row r="7">
      <c r="A7" s="295" t="s">
        <v>635</v>
      </c>
      <c r="B7" s="296" t="s">
        <v>636</v>
      </c>
      <c r="C7" s="297" t="s">
        <v>637</v>
      </c>
      <c r="D7" s="289">
        <f>ROUND((F7*'Pawn Weights'!$E$22)+(G7*'Pawn Weights'!$E$23)+(H7*'Pawn Weights'!$E$24)+(I7*'Pawn Weights'!$E$25)+(J7*'Pawn Weights'!$E$26)+(K7*'Pawn Weights'!$E$27)+(L7*'Pawn Weights'!$E$28)+(M7*'Pawn Weights'!$E$29)+(N7*'Pawn Weights'!$E$30)+(O7*'Pawn Weights'!$E$31)+(P7*'Pawn Weights'!$E$32)+(Q7*'Pawn Weights'!$E$33)-10+9.6+3.68, 2)</f>
        <v>163.44</v>
      </c>
      <c r="E7" s="298">
        <v>68.0</v>
      </c>
      <c r="F7" s="298">
        <v>45.0</v>
      </c>
      <c r="G7" s="297"/>
      <c r="H7" s="297"/>
      <c r="I7" s="298">
        <v>41.0</v>
      </c>
      <c r="J7" s="298">
        <v>18.0</v>
      </c>
      <c r="K7" s="297"/>
      <c r="L7" s="297"/>
      <c r="M7" s="359">
        <v>84.0</v>
      </c>
      <c r="N7" s="298">
        <v>1.0</v>
      </c>
      <c r="O7" s="297"/>
      <c r="P7" s="298">
        <v>1.0</v>
      </c>
      <c r="Q7" s="297"/>
      <c r="R7" s="298" t="s">
        <v>624</v>
      </c>
      <c r="S7" s="137"/>
      <c r="T7" s="291" t="s">
        <v>1071</v>
      </c>
      <c r="U7" s="137"/>
      <c r="V7" s="137"/>
      <c r="W7" s="137"/>
      <c r="X7" s="137"/>
      <c r="Y7" s="137"/>
      <c r="Z7" s="137"/>
    </row>
    <row r="8">
      <c r="A8" s="25"/>
      <c r="B8" s="288" t="s">
        <v>638</v>
      </c>
      <c r="C8" s="280" t="s">
        <v>639</v>
      </c>
      <c r="D8" s="289">
        <f>ROUND((F8*'Pawn Weights'!$E$22)+(G8*'Pawn Weights'!$E$23)+(H8*'Pawn Weights'!$E$24)+(I8*'Pawn Weights'!$E$25)+(J8*'Pawn Weights'!$E$26)+(K8*'Pawn Weights'!$E$27)+(L8*'Pawn Weights'!$E$28)+(M8*'Pawn Weights'!$E$29)+(N8*'Pawn Weights'!$E$30)+(O8*'Pawn Weights'!$E$31)+(P8*'Pawn Weights'!$E$32)+(Q8*'Pawn Weights'!$E$33), 2)</f>
        <v>162.76</v>
      </c>
      <c r="E8" s="280">
        <v>29.0</v>
      </c>
      <c r="F8" s="280">
        <v>51.0</v>
      </c>
      <c r="G8" s="280"/>
      <c r="H8" s="280"/>
      <c r="I8" s="280">
        <v>42.0</v>
      </c>
      <c r="J8" s="280">
        <v>34.0</v>
      </c>
      <c r="K8" s="280"/>
      <c r="L8" s="280"/>
      <c r="M8" s="281"/>
      <c r="N8" s="280">
        <v>1.0</v>
      </c>
      <c r="O8" s="280"/>
      <c r="P8" s="280">
        <v>1.0</v>
      </c>
      <c r="Q8" s="280"/>
      <c r="R8" s="290" t="s">
        <v>633</v>
      </c>
      <c r="S8" s="281"/>
      <c r="T8" s="291"/>
    </row>
    <row r="9">
      <c r="A9" s="25" t="s">
        <v>640</v>
      </c>
      <c r="B9" s="288" t="s">
        <v>641</v>
      </c>
      <c r="C9" s="280" t="s">
        <v>642</v>
      </c>
      <c r="D9" s="289">
        <f>ROUND((F9*'Pawn Weights'!$E$22)+(G9*'Pawn Weights'!$E$23)+(H9*'Pawn Weights'!$E$24)+(I9*'Pawn Weights'!$E$25)+(J9*'Pawn Weights'!$E$26)+(K9*'Pawn Weights'!$E$27)+(L9*'Pawn Weights'!$E$28)+(M9*'Pawn Weights'!$E$29)+(N9*'Pawn Weights'!$E$30)+(O9*'Pawn Weights'!$E$31)+(P9*'Pawn Weights'!$E$32)+(Q9*'Pawn Weights'!$E$33)+4, 2)</f>
        <v>154.76</v>
      </c>
      <c r="E9" s="280">
        <v>54.0</v>
      </c>
      <c r="F9" s="280">
        <v>54.0</v>
      </c>
      <c r="G9" s="280">
        <v>41.0</v>
      </c>
      <c r="H9" s="280"/>
      <c r="I9" s="280"/>
      <c r="J9" s="280"/>
      <c r="K9" s="280"/>
      <c r="L9" s="280"/>
      <c r="M9" s="280">
        <v>105.0</v>
      </c>
      <c r="N9" s="280">
        <v>1.0</v>
      </c>
      <c r="O9" s="280">
        <v>1.0</v>
      </c>
      <c r="P9" s="280"/>
      <c r="Q9" s="280"/>
      <c r="R9" s="290" t="s">
        <v>643</v>
      </c>
      <c r="S9" s="281"/>
      <c r="T9" s="291"/>
    </row>
    <row r="10">
      <c r="A10" s="25" t="s">
        <v>644</v>
      </c>
      <c r="B10" s="288" t="s">
        <v>645</v>
      </c>
      <c r="C10" s="280" t="s">
        <v>646</v>
      </c>
      <c r="D10" s="289">
        <f>ROUND((F10*'Pawn Weights'!$E$22)+(G10*'Pawn Weights'!$E$23)+(H10*'Pawn Weights'!$E$24)+(I10*'Pawn Weights'!$E$25)+(J10*'Pawn Weights'!$E$26)+(K10*'Pawn Weights'!$E$27)+(L10*'Pawn Weights'!$E$28)+(M10*'Pawn Weights'!$E$29)+(N10*'Pawn Weights'!$E$30)+(O10*'Pawn Weights'!$E$31)+(P10*'Pawn Weights'!$E$32)+(Q10*'Pawn Weights'!$E$33)-10+9.6+3.68, 2)</f>
        <v>147.84</v>
      </c>
      <c r="E10" s="280">
        <v>61.0</v>
      </c>
      <c r="F10" s="280">
        <v>39.0</v>
      </c>
      <c r="G10" s="280"/>
      <c r="H10" s="280"/>
      <c r="I10" s="280">
        <v>35.0</v>
      </c>
      <c r="J10" s="280">
        <v>12.0</v>
      </c>
      <c r="K10" s="280"/>
      <c r="L10" s="280"/>
      <c r="M10" s="280">
        <v>84.0</v>
      </c>
      <c r="N10" s="280">
        <v>1.0</v>
      </c>
      <c r="O10" s="280"/>
      <c r="P10" s="280">
        <v>1.0</v>
      </c>
      <c r="Q10" s="280"/>
      <c r="R10" s="290" t="s">
        <v>624</v>
      </c>
      <c r="S10" s="281"/>
      <c r="T10" s="291" t="s">
        <v>1071</v>
      </c>
    </row>
    <row r="11">
      <c r="A11" s="25" t="s">
        <v>647</v>
      </c>
      <c r="B11" s="288" t="s">
        <v>648</v>
      </c>
      <c r="C11" s="280" t="s">
        <v>649</v>
      </c>
      <c r="D11" s="289">
        <f>ROUND((F11*'Pawn Weights'!$E$22)+(G11*'Pawn Weights'!$E$23)+(H11*'Pawn Weights'!$E$24)+(I11*'Pawn Weights'!$E$25)+(J11*'Pawn Weights'!$E$26)+(K11*'Pawn Weights'!$E$27)+(L11*'Pawn Weights'!$E$28)+(M11*'Pawn Weights'!$E$29)+(N11*'Pawn Weights'!$E$30)+(O11*'Pawn Weights'!$E$31)+(P11*'Pawn Weights'!$E$32)+(Q11*'Pawn Weights'!$E$33), 2)</f>
        <v>144.4</v>
      </c>
      <c r="E11" s="280">
        <v>45.0</v>
      </c>
      <c r="F11" s="280">
        <v>47.0</v>
      </c>
      <c r="G11" s="280"/>
      <c r="H11" s="280"/>
      <c r="I11" s="280">
        <v>36.0</v>
      </c>
      <c r="J11" s="280">
        <v>21.0</v>
      </c>
      <c r="K11" s="280"/>
      <c r="L11" s="280"/>
      <c r="M11" s="281"/>
      <c r="N11" s="280">
        <v>1.0</v>
      </c>
      <c r="O11" s="280"/>
      <c r="P11" s="280"/>
      <c r="Q11" s="280">
        <v>1.0</v>
      </c>
      <c r="R11" s="290" t="s">
        <v>643</v>
      </c>
      <c r="S11" s="281"/>
      <c r="T11" s="291"/>
    </row>
    <row r="12">
      <c r="A12" s="292"/>
      <c r="B12" s="288" t="s">
        <v>650</v>
      </c>
      <c r="C12" s="154" t="s">
        <v>639</v>
      </c>
      <c r="D12" s="289">
        <f>ROUND((F12*'Pawn Weights'!$E$22)+(G12*'Pawn Weights'!$E$23)+(H12*'Pawn Weights'!$E$24)+(I12*'Pawn Weights'!$E$25)+(J12*'Pawn Weights'!$E$26)+(K12*'Pawn Weights'!$E$27)+(L12*'Pawn Weights'!$E$28)+(M12*'Pawn Weights'!$E$29)+(N12*'Pawn Weights'!$E$30)+(O12*'Pawn Weights'!$E$31)+(P12*'Pawn Weights'!$E$32)+(Q12*'Pawn Weights'!$E$33), 2)</f>
        <v>142.28</v>
      </c>
      <c r="E12" s="280">
        <v>29.0</v>
      </c>
      <c r="F12" s="280"/>
      <c r="G12" s="280">
        <v>42.0</v>
      </c>
      <c r="H12" s="280">
        <v>100.0</v>
      </c>
      <c r="I12" s="280">
        <v>20.0</v>
      </c>
      <c r="J12" s="280"/>
      <c r="K12" s="280"/>
      <c r="L12" s="280"/>
      <c r="M12" s="281"/>
      <c r="N12" s="280">
        <v>1.0</v>
      </c>
      <c r="O12" s="280">
        <v>1.0</v>
      </c>
      <c r="P12" s="280"/>
      <c r="Q12" s="280"/>
      <c r="R12" s="290" t="s">
        <v>651</v>
      </c>
      <c r="S12" s="281"/>
      <c r="T12" s="291"/>
    </row>
    <row r="13">
      <c r="A13" s="292" t="s">
        <v>627</v>
      </c>
      <c r="B13" s="288" t="s">
        <v>652</v>
      </c>
      <c r="C13" s="154" t="s">
        <v>653</v>
      </c>
      <c r="D13" s="289">
        <f>ROUND((F13*'Pawn Weights'!$E$22)+(G13*'Pawn Weights'!$E$23)+(H13*'Pawn Weights'!$E$24)+(I13*'Pawn Weights'!$E$25)+(J13*'Pawn Weights'!$E$26)+(K13*'Pawn Weights'!$E$27)+(L13*'Pawn Weights'!$E$28)+(M13*'Pawn Weights'!$E$29)+(N13*'Pawn Weights'!$E$30)+(O13*'Pawn Weights'!$E$31)+(P13*'Pawn Weights'!$E$32)+(Q13*'Pawn Weights'!$E$33), 2)</f>
        <v>141.8</v>
      </c>
      <c r="E13" s="280">
        <v>28.0</v>
      </c>
      <c r="F13" s="280">
        <v>48.0</v>
      </c>
      <c r="G13" s="280"/>
      <c r="H13" s="280"/>
      <c r="I13" s="280">
        <v>38.0</v>
      </c>
      <c r="J13" s="280">
        <v>13.0</v>
      </c>
      <c r="K13" s="280"/>
      <c r="L13" s="280"/>
      <c r="M13" s="281"/>
      <c r="N13" s="280">
        <v>1.0</v>
      </c>
      <c r="O13" s="280"/>
      <c r="P13" s="280"/>
      <c r="Q13" s="280">
        <v>1.0</v>
      </c>
      <c r="R13" s="290" t="s">
        <v>624</v>
      </c>
      <c r="S13" s="281"/>
      <c r="T13" s="291"/>
    </row>
    <row r="14">
      <c r="A14" s="25" t="s">
        <v>654</v>
      </c>
      <c r="B14" s="288" t="s">
        <v>655</v>
      </c>
      <c r="C14" s="280" t="s">
        <v>656</v>
      </c>
      <c r="D14" s="289">
        <f>ROUND((F14*'Pawn Weights'!$E$22)+(G14*'Pawn Weights'!$E$23)+(H14*'Pawn Weights'!$E$24)+(I14*'Pawn Weights'!$E$25)+(J14*'Pawn Weights'!$E$26)+(K14*'Pawn Weights'!$E$27)+(L14*'Pawn Weights'!$E$28)+(M14*'Pawn Weights'!$E$29)+(N14*'Pawn Weights'!$E$30)+(O14*'Pawn Weights'!$E$31)+(P14*'Pawn Weights'!$E$32)+(Q14*'Pawn Weights'!$E$33)-10+9.6+2.72, 2)</f>
        <v>128.92</v>
      </c>
      <c r="E14" s="280">
        <v>45.0</v>
      </c>
      <c r="F14" s="280">
        <v>45.0</v>
      </c>
      <c r="G14" s="280"/>
      <c r="H14" s="280"/>
      <c r="I14" s="280">
        <v>24.0</v>
      </c>
      <c r="J14" s="280">
        <v>14.0</v>
      </c>
      <c r="K14" s="280"/>
      <c r="L14" s="280"/>
      <c r="M14" s="281"/>
      <c r="N14" s="280">
        <v>1.0</v>
      </c>
      <c r="O14" s="280"/>
      <c r="P14" s="280">
        <v>1.0</v>
      </c>
      <c r="Q14" s="280"/>
      <c r="R14" s="290" t="s">
        <v>626</v>
      </c>
      <c r="S14" s="281"/>
      <c r="T14" s="291"/>
    </row>
    <row r="15">
      <c r="A15" s="25" t="s">
        <v>1068</v>
      </c>
      <c r="B15" s="288" t="s">
        <v>1069</v>
      </c>
      <c r="C15" s="280" t="s">
        <v>1070</v>
      </c>
      <c r="D15" s="289">
        <f>ROUND((F15*'Pawn Weights'!$E$22)+(G15*'Pawn Weights'!$E$23)+(H15*'Pawn Weights'!$E$24)+(I15*'Pawn Weights'!$E$25)+(J15*'Pawn Weights'!$E$26)+(K15*'Pawn Weights'!$E$27)+(L15*'Pawn Weights'!$E$28)+(M15*'Pawn Weights'!$E$29)+(N15*'Pawn Weights'!$E$30)+(O15*'Pawn Weights'!$E$31)+(P15*'Pawn Weights'!$E$32)+(Q15*'Pawn Weights'!$E$33)-10+9.6+4, 2)</f>
        <v>126.64</v>
      </c>
      <c r="E15" s="280">
        <v>54.0</v>
      </c>
      <c r="F15" s="280">
        <v>35.0</v>
      </c>
      <c r="G15" s="280"/>
      <c r="H15" s="280"/>
      <c r="I15" s="280">
        <v>31.0</v>
      </c>
      <c r="J15" s="280">
        <v>14.0</v>
      </c>
      <c r="K15" s="280"/>
      <c r="L15" s="280"/>
      <c r="M15" s="281"/>
      <c r="N15" s="280">
        <v>1.0</v>
      </c>
      <c r="O15" s="280"/>
      <c r="P15" s="280">
        <v>1.0</v>
      </c>
      <c r="Q15" s="280"/>
      <c r="R15" s="290" t="s">
        <v>643</v>
      </c>
      <c r="S15" s="281"/>
      <c r="T15" s="291" t="s">
        <v>1071</v>
      </c>
    </row>
    <row r="16">
      <c r="A16" s="25"/>
      <c r="B16" s="288" t="s">
        <v>1397</v>
      </c>
      <c r="C16" s="280" t="s">
        <v>1195</v>
      </c>
      <c r="D16" s="289">
        <f>ROUND((F16*'Pawn Weights'!$E$22)+(G16*'Pawn Weights'!$E$23)+(H16*'Pawn Weights'!$E$24)+(I16*'Pawn Weights'!$E$25)+(J16*'Pawn Weights'!$E$26)+(K16*'Pawn Weights'!$E$27)+(L16*'Pawn Weights'!$E$28)+(M16*'Pawn Weights'!$E$29)+(N16*'Pawn Weights'!$E$30)+(O16*'Pawn Weights'!$E$31)+(P16*'Pawn Weights'!$E$32)+(Q16*'Pawn Weights'!$E$33), 2)</f>
        <v>106.88</v>
      </c>
      <c r="E16" s="280">
        <v>46.0</v>
      </c>
      <c r="F16" s="280">
        <v>46.0</v>
      </c>
      <c r="G16" s="280"/>
      <c r="H16" s="280"/>
      <c r="I16" s="280">
        <v>44.0</v>
      </c>
      <c r="J16" s="280">
        <v>30.0</v>
      </c>
      <c r="K16" s="280"/>
      <c r="L16" s="280"/>
      <c r="M16" s="281"/>
      <c r="N16" s="280"/>
      <c r="O16" s="280"/>
      <c r="P16" s="280"/>
      <c r="Q16" s="280"/>
      <c r="R16" s="290"/>
      <c r="S16" s="281"/>
      <c r="T16" s="291"/>
    </row>
    <row r="17">
      <c r="A17" s="295"/>
      <c r="B17" s="296" t="s">
        <v>1398</v>
      </c>
      <c r="C17" s="297" t="s">
        <v>1689</v>
      </c>
      <c r="D17" s="289">
        <f>ROUND((F17*'Pawn Weights'!$E$22)+(G17*'Pawn Weights'!$E$23)+(H17*'Pawn Weights'!$E$24)+(I17*'Pawn Weights'!$E$25)+(J17*'Pawn Weights'!$E$26)+(K17*'Pawn Weights'!$E$27)+(L17*'Pawn Weights'!$E$28)+(M17*'Pawn Weights'!$E$29)+(N17*'Pawn Weights'!$E$30)+(O17*'Pawn Weights'!$E$31)+(P17*'Pawn Weights'!$E$32)+(Q17*'Pawn Weights'!$E$33), 2)</f>
        <v>98.44</v>
      </c>
      <c r="E17" s="298">
        <v>51.0</v>
      </c>
      <c r="F17" s="298">
        <v>46.0</v>
      </c>
      <c r="G17" s="297"/>
      <c r="H17" s="297"/>
      <c r="I17" s="297"/>
      <c r="J17" s="298">
        <v>33.0</v>
      </c>
      <c r="K17" s="297"/>
      <c r="L17" s="297"/>
      <c r="M17" s="137"/>
      <c r="N17" s="297"/>
      <c r="O17" s="298">
        <v>1.0</v>
      </c>
      <c r="P17" s="298">
        <v>1.0</v>
      </c>
      <c r="Q17" s="298">
        <v>1.0</v>
      </c>
      <c r="R17" s="298" t="s">
        <v>1417</v>
      </c>
      <c r="S17" s="137"/>
      <c r="T17" s="295" t="s">
        <v>1400</v>
      </c>
      <c r="U17" s="137"/>
      <c r="V17" s="137"/>
      <c r="W17" s="137"/>
      <c r="X17" s="137"/>
      <c r="Y17" s="137"/>
      <c r="Z17" s="137"/>
    </row>
    <row r="18">
      <c r="A18" s="272" t="s">
        <v>657</v>
      </c>
      <c r="B18" s="281"/>
      <c r="C18" s="281"/>
      <c r="D18" s="360"/>
      <c r="E18" s="281"/>
      <c r="F18" s="281"/>
      <c r="G18" s="281"/>
      <c r="H18" s="281"/>
      <c r="I18" s="281"/>
      <c r="J18" s="281"/>
      <c r="K18" s="281"/>
      <c r="L18" s="281"/>
      <c r="M18" s="281"/>
      <c r="N18" s="281"/>
      <c r="O18" s="281"/>
      <c r="P18" s="281"/>
      <c r="Q18" s="281"/>
      <c r="R18" s="282"/>
      <c r="S18" s="281"/>
      <c r="T18" s="285"/>
    </row>
    <row r="19">
      <c r="A19" s="137" t="s">
        <v>627</v>
      </c>
      <c r="B19" s="341" t="s">
        <v>658</v>
      </c>
      <c r="C19" s="361" t="s">
        <v>659</v>
      </c>
      <c r="D19" s="289">
        <f>ROUND((F19*'Pawn Weights'!$E$22)+(G19*'Pawn Weights'!$E$23)+(H19*'Pawn Weights'!$E$24)+(I19*'Pawn Weights'!$E$25)+(J19*'Pawn Weights'!$E$26)+(K19*'Pawn Weights'!$E$27)+(L19*'Pawn Weights'!$E$28)+(M19*'Pawn Weights'!$E$29)+(N19*'Pawn Weights'!$E$30)+(O19*'Pawn Weights'!$E$31)+(P19*'Pawn Weights'!$E$32)+(Q19*'Pawn Weights'!$E$33)-10+9.6+1.818, 2)</f>
        <v>80.59</v>
      </c>
      <c r="E19" s="359">
        <v>42.0</v>
      </c>
      <c r="F19" s="137"/>
      <c r="G19" s="137"/>
      <c r="H19" s="359">
        <v>58.0</v>
      </c>
      <c r="I19" s="137"/>
      <c r="J19" s="137"/>
      <c r="K19" s="359">
        <v>29.0</v>
      </c>
      <c r="L19" s="137"/>
      <c r="M19" s="359">
        <v>150.0</v>
      </c>
      <c r="N19" s="137"/>
      <c r="O19" s="137"/>
      <c r="P19" s="359">
        <v>1.0</v>
      </c>
      <c r="Q19" s="137"/>
      <c r="R19" s="359" t="s">
        <v>660</v>
      </c>
      <c r="S19" s="137"/>
      <c r="T19" s="137" t="s">
        <v>661</v>
      </c>
      <c r="U19" s="137"/>
      <c r="V19" s="137"/>
      <c r="W19" s="137"/>
      <c r="X19" s="137"/>
      <c r="Y19" s="137"/>
      <c r="Z19" s="137"/>
    </row>
    <row r="20">
      <c r="A20" s="281"/>
      <c r="B20" s="288" t="s">
        <v>664</v>
      </c>
      <c r="C20" s="280" t="s">
        <v>665</v>
      </c>
      <c r="D20" s="289">
        <f>ROUND((F20*'Pawn Weights'!$E$22)+(G20*'Pawn Weights'!$E$23)+(H20*'Pawn Weights'!$E$24)+(I20*'Pawn Weights'!$E$25)+(J20*'Pawn Weights'!$E$26)+(K20*'Pawn Weights'!$E$27)+(L20*'Pawn Weights'!$E$28)+(M20*'Pawn Weights'!$E$29)+(N20*'Pawn Weights'!$E$30)+(O20*'Pawn Weights'!$E$31)+(P20*'Pawn Weights'!$E$32)+(Q20*'Pawn Weights'!$E$33), 2)</f>
        <v>71.84</v>
      </c>
      <c r="E20" s="280"/>
      <c r="F20" s="280"/>
      <c r="G20" s="280"/>
      <c r="H20" s="280">
        <v>72.0</v>
      </c>
      <c r="I20" s="280">
        <v>27.0</v>
      </c>
      <c r="J20" s="280">
        <v>21.0</v>
      </c>
      <c r="K20" s="280"/>
      <c r="L20" s="280"/>
      <c r="M20" s="280"/>
      <c r="N20" s="280"/>
      <c r="O20" s="280"/>
      <c r="P20" s="280"/>
      <c r="Q20" s="280"/>
      <c r="R20" s="290"/>
      <c r="S20" s="281"/>
      <c r="T20" s="222"/>
      <c r="U20" s="281"/>
      <c r="X20" s="281"/>
    </row>
    <row r="21">
      <c r="A21" s="281"/>
      <c r="B21" s="288" t="s">
        <v>666</v>
      </c>
      <c r="C21" s="280" t="s">
        <v>667</v>
      </c>
      <c r="D21" s="289">
        <f>ROUND((F21*'Pawn Weights'!$E$22)+(G21*'Pawn Weights'!$E$23)+(H21*'Pawn Weights'!$E$24)+(I21*'Pawn Weights'!$E$25)+(J21*'Pawn Weights'!$E$26)+(K21*'Pawn Weights'!$E$27)+(L21*'Pawn Weights'!$E$28)+(M21*'Pawn Weights'!$E$29)+(N21*'Pawn Weights'!$E$30)+(O21*'Pawn Weights'!$E$31)+(P21*'Pawn Weights'!$E$32)+(Q21*'Pawn Weights'!$E$33), 2)</f>
        <v>63.49</v>
      </c>
      <c r="E21" s="280">
        <v>37.0</v>
      </c>
      <c r="F21" s="280"/>
      <c r="G21" s="280"/>
      <c r="H21" s="280">
        <v>70.0</v>
      </c>
      <c r="I21" s="280"/>
      <c r="J21" s="280"/>
      <c r="K21" s="280"/>
      <c r="L21" s="280"/>
      <c r="M21" s="280">
        <v>175.0</v>
      </c>
      <c r="N21" s="280"/>
      <c r="O21" s="280"/>
      <c r="P21" s="280"/>
      <c r="Q21" s="280"/>
      <c r="R21" s="290"/>
      <c r="S21" s="281"/>
      <c r="T21" s="222"/>
      <c r="U21" s="281"/>
      <c r="X21" s="281"/>
    </row>
    <row r="22">
      <c r="A22" s="137" t="s">
        <v>671</v>
      </c>
      <c r="B22" s="296" t="s">
        <v>672</v>
      </c>
      <c r="C22" s="297" t="s">
        <v>673</v>
      </c>
      <c r="D22" s="289">
        <f>ROUND((F22*'Pawn Weights'!$E$22)+(G22*'Pawn Weights'!$E$23)+(H22*'Pawn Weights'!$E$24)+(I22*'Pawn Weights'!$E$25)+(J22*'Pawn Weights'!$E$26)+(K22*'Pawn Weights'!$E$27)+(L22*'Pawn Weights'!$E$28)+(M22*'Pawn Weights'!$E$29)+(N22*'Pawn Weights'!$E$30)+(O22*'Pawn Weights'!$E$31)+(P22*'Pawn Weights'!$E$32)+(Q22*'Pawn Weights'!$E$33), 2)</f>
        <v>60.28</v>
      </c>
      <c r="E22" s="298">
        <v>39.0</v>
      </c>
      <c r="F22" s="297"/>
      <c r="G22" s="297"/>
      <c r="H22" s="298">
        <v>58.0</v>
      </c>
      <c r="I22" s="298">
        <v>26.0</v>
      </c>
      <c r="J22" s="297"/>
      <c r="K22" s="297"/>
      <c r="L22" s="297"/>
      <c r="M22" s="295"/>
      <c r="N22" s="297"/>
      <c r="O22" s="297"/>
      <c r="P22" s="298">
        <v>1.0</v>
      </c>
      <c r="Q22" s="297"/>
      <c r="R22" s="298" t="s">
        <v>674</v>
      </c>
      <c r="S22" s="137"/>
      <c r="T22" s="361" t="s">
        <v>675</v>
      </c>
      <c r="U22" s="137"/>
      <c r="V22" s="137"/>
      <c r="W22" s="137"/>
      <c r="X22" s="137"/>
      <c r="Y22" s="137"/>
      <c r="Z22" s="137"/>
    </row>
    <row r="23">
      <c r="A23" s="137" t="s">
        <v>676</v>
      </c>
      <c r="B23" s="296" t="s">
        <v>677</v>
      </c>
      <c r="C23" s="297" t="s">
        <v>678</v>
      </c>
      <c r="D23" s="289">
        <f>ROUND((F23*'Pawn Weights'!$E$22)+(G23*'Pawn Weights'!$E$23)+(H23*'Pawn Weights'!$E$24)+(I23*'Pawn Weights'!$E$25)+(J23*'Pawn Weights'!$E$26)+(K23*'Pawn Weights'!$E$27)+(L23*'Pawn Weights'!$E$28)+(M23*'Pawn Weights'!$E$29)+(N23*'Pawn Weights'!$E$30)+(O23*'Pawn Weights'!$E$31)+(P23*'Pawn Weights'!$E$32)+(Q23*'Pawn Weights'!$E$33)+17.82, 2)</f>
        <v>59.09</v>
      </c>
      <c r="E23" s="298">
        <v>19.0</v>
      </c>
      <c r="F23" s="297"/>
      <c r="G23" s="298">
        <v>18.0</v>
      </c>
      <c r="H23" s="298">
        <v>64.0</v>
      </c>
      <c r="I23" s="297"/>
      <c r="J23" s="297"/>
      <c r="K23" s="297"/>
      <c r="L23" s="297"/>
      <c r="M23" s="295"/>
      <c r="N23" s="297"/>
      <c r="O23" s="297"/>
      <c r="P23" s="297"/>
      <c r="Q23" s="297"/>
      <c r="R23" s="295"/>
      <c r="S23" s="137"/>
      <c r="T23" s="362" t="s">
        <v>679</v>
      </c>
      <c r="U23" s="194"/>
      <c r="V23" s="194"/>
      <c r="W23" s="194"/>
      <c r="X23" s="137"/>
      <c r="Y23" s="137"/>
      <c r="Z23" s="137"/>
    </row>
    <row r="24">
      <c r="A24" s="281"/>
      <c r="B24" s="288" t="s">
        <v>680</v>
      </c>
      <c r="C24" s="280" t="s">
        <v>681</v>
      </c>
      <c r="D24" s="289">
        <f>ROUND((F24*'Pawn Weights'!$E$22)+(G24*'Pawn Weights'!$E$23)+(H24*'Pawn Weights'!$E$24)+(I24*'Pawn Weights'!$E$25)+(J24*'Pawn Weights'!$E$26)+(K24*'Pawn Weights'!$E$27)+(L24*'Pawn Weights'!$E$28)+(M24*'Pawn Weights'!$E$29)+(N24*'Pawn Weights'!$E$30)+(O24*'Pawn Weights'!$E$31)+(P24*'Pawn Weights'!$E$32)+(Q24*'Pawn Weights'!$E$33), 2)</f>
        <v>53.16</v>
      </c>
      <c r="E24" s="280">
        <v>24.0</v>
      </c>
      <c r="F24" s="280">
        <v>32.0</v>
      </c>
      <c r="G24" s="280"/>
      <c r="H24" s="280"/>
      <c r="I24" s="280">
        <v>23.0</v>
      </c>
      <c r="J24" s="280"/>
      <c r="K24" s="280"/>
      <c r="L24" s="280"/>
      <c r="M24" s="280"/>
      <c r="N24" s="280"/>
      <c r="O24" s="280"/>
      <c r="P24" s="280"/>
      <c r="Q24" s="280"/>
      <c r="R24" s="290"/>
      <c r="S24" s="281"/>
      <c r="T24" s="222"/>
      <c r="U24" s="281"/>
      <c r="X24" s="281"/>
    </row>
    <row r="25">
      <c r="A25" s="292" t="s">
        <v>991</v>
      </c>
      <c r="B25" s="288" t="s">
        <v>1075</v>
      </c>
      <c r="C25" s="280" t="s">
        <v>673</v>
      </c>
      <c r="D25" s="289">
        <f>ROUND((F25*'Pawn Weights'!$E$22)+(G25*'Pawn Weights'!$E$23)+(H25*'Pawn Weights'!$E$24)+(I25*'Pawn Weights'!$E$25)+(J25*'Pawn Weights'!$E$26)+(K25*'Pawn Weights'!$E$27)+(L25*'Pawn Weights'!$E$28)+(M25*'Pawn Weights'!$E$29)+(N25*'Pawn Weights'!$E$30)+(O25*'Pawn Weights'!$E$31)+(P25*'Pawn Weights'!$E$32)+(Q25*'Pawn Weights'!$E$33), 2)</f>
        <v>52.97</v>
      </c>
      <c r="E25" s="280">
        <v>35.0</v>
      </c>
      <c r="F25" s="280"/>
      <c r="G25" s="280"/>
      <c r="H25" s="280">
        <v>50.0</v>
      </c>
      <c r="I25" s="280">
        <v>22.0</v>
      </c>
      <c r="J25" s="280"/>
      <c r="K25" s="280"/>
      <c r="L25" s="280"/>
      <c r="M25" s="280"/>
      <c r="N25" s="280"/>
      <c r="O25" s="280"/>
      <c r="P25" s="280">
        <v>1.0</v>
      </c>
      <c r="Q25" s="280"/>
      <c r="R25" s="290" t="s">
        <v>1076</v>
      </c>
      <c r="S25" s="281"/>
      <c r="T25" s="294" t="s">
        <v>675</v>
      </c>
      <c r="U25" s="281"/>
      <c r="X25" s="281"/>
    </row>
    <row r="26">
      <c r="A26" s="281"/>
      <c r="B26" s="288" t="s">
        <v>682</v>
      </c>
      <c r="C26" s="280" t="s">
        <v>683</v>
      </c>
      <c r="D26" s="289">
        <f>ROUND((F26*'Pawn Weights'!$E$22)+(G26*'Pawn Weights'!$E$23)+(H26*'Pawn Weights'!$E$24)+(I26*'Pawn Weights'!$E$25)+(J26*'Pawn Weights'!$E$26)+(K26*'Pawn Weights'!$E$27)+(L26*'Pawn Weights'!$E$28)+(M26*'Pawn Weights'!$E$29)+(N26*'Pawn Weights'!$E$30)+(O26*'Pawn Weights'!$E$31)+(P26*'Pawn Weights'!$E$32)+(Q26*'Pawn Weights'!$E$33), 2)</f>
        <v>50.25</v>
      </c>
      <c r="E26" s="280">
        <v>24.0</v>
      </c>
      <c r="F26" s="280"/>
      <c r="G26" s="280"/>
      <c r="H26" s="280">
        <v>64.0</v>
      </c>
      <c r="I26" s="280">
        <v>23.0</v>
      </c>
      <c r="J26" s="280"/>
      <c r="K26" s="280"/>
      <c r="L26" s="280"/>
      <c r="M26" s="281"/>
      <c r="N26" s="280"/>
      <c r="O26" s="280"/>
      <c r="P26" s="280"/>
      <c r="Q26" s="280"/>
      <c r="R26" s="290"/>
      <c r="S26" s="281"/>
      <c r="T26" s="294"/>
      <c r="U26" s="281"/>
      <c r="X26" s="281"/>
    </row>
    <row r="27">
      <c r="A27" s="281"/>
      <c r="B27" s="288" t="s">
        <v>684</v>
      </c>
      <c r="C27" s="280" t="s">
        <v>685</v>
      </c>
      <c r="D27" s="289">
        <f>ROUND((F27*'Pawn Weights'!$E$22)+(G27*'Pawn Weights'!$E$23)+(H27*'Pawn Weights'!$E$24)+(I27*'Pawn Weights'!$E$25)+(J27*'Pawn Weights'!$E$26)+(K27*'Pawn Weights'!$E$27)+(L27*'Pawn Weights'!$E$28)+(M27*'Pawn Weights'!$E$29)+(N27*'Pawn Weights'!$E$30)+(O27*'Pawn Weights'!$E$31)+(P27*'Pawn Weights'!$E$32)+(Q27*'Pawn Weights'!$E$33), 2)</f>
        <v>50.09</v>
      </c>
      <c r="E27" s="280">
        <v>26.0</v>
      </c>
      <c r="F27" s="280"/>
      <c r="G27" s="280">
        <v>27.0</v>
      </c>
      <c r="H27" s="280">
        <v>70.0</v>
      </c>
      <c r="I27" s="280"/>
      <c r="J27" s="280"/>
      <c r="K27" s="280"/>
      <c r="L27" s="280"/>
      <c r="M27" s="281"/>
      <c r="N27" s="280"/>
      <c r="O27" s="280"/>
      <c r="P27" s="280"/>
      <c r="Q27" s="280"/>
      <c r="R27" s="290"/>
      <c r="S27" s="281"/>
      <c r="T27" s="222"/>
      <c r="U27" s="281"/>
      <c r="X27" s="281"/>
    </row>
    <row r="28">
      <c r="A28" s="281"/>
      <c r="B28" s="288" t="s">
        <v>686</v>
      </c>
      <c r="C28" s="280" t="s">
        <v>687</v>
      </c>
      <c r="D28" s="289">
        <f>ROUND((F28*'Pawn Weights'!$E$22)+(G28*'Pawn Weights'!$E$23)+(H28*'Pawn Weights'!$E$24)+(I28*'Pawn Weights'!$E$25)+(J28*'Pawn Weights'!$E$26)+(K28*'Pawn Weights'!$E$27)+(L28*'Pawn Weights'!$E$28)+(M28*'Pawn Weights'!$E$29)+(N28*'Pawn Weights'!$E$30)+(O28*'Pawn Weights'!$E$31)+(P28*'Pawn Weights'!$E$32)+(Q28*'Pawn Weights'!$E$33), 2)</f>
        <v>44.87</v>
      </c>
      <c r="E28" s="280">
        <v>18.0</v>
      </c>
      <c r="F28" s="280"/>
      <c r="G28" s="280">
        <v>20.0</v>
      </c>
      <c r="H28" s="280">
        <v>42.0</v>
      </c>
      <c r="I28" s="280"/>
      <c r="J28" s="280">
        <v>18.0</v>
      </c>
      <c r="K28" s="280"/>
      <c r="L28" s="280"/>
      <c r="M28" s="280"/>
      <c r="N28" s="280"/>
      <c r="O28" s="280"/>
      <c r="P28" s="280"/>
      <c r="Q28" s="280"/>
      <c r="R28" s="290"/>
      <c r="S28" s="281"/>
      <c r="T28" s="294"/>
      <c r="U28" s="281"/>
      <c r="X28" s="281"/>
    </row>
    <row r="29">
      <c r="A29" s="281"/>
      <c r="B29" s="288" t="s">
        <v>1077</v>
      </c>
      <c r="C29" s="280" t="s">
        <v>1078</v>
      </c>
      <c r="D29" s="289">
        <f>ROUND((F29*'Pawn Weights'!$E$22)+(G29*'Pawn Weights'!$E$23)+(H29*'Pawn Weights'!$E$24)+(I29*'Pawn Weights'!$E$25)+(J29*'Pawn Weights'!$E$26)+(K29*'Pawn Weights'!$E$27)+(L29*'Pawn Weights'!$E$28)+(M29*'Pawn Weights'!$E$29)+(N29*'Pawn Weights'!$E$30)+(O29*'Pawn Weights'!$E$31)+(P29*'Pawn Weights'!$E$32)+(Q29*'Pawn Weights'!$E$33), 2)</f>
        <v>44.19</v>
      </c>
      <c r="E29" s="280">
        <v>21.0</v>
      </c>
      <c r="F29" s="280"/>
      <c r="G29" s="280">
        <v>20.0</v>
      </c>
      <c r="H29" s="280">
        <v>42.0</v>
      </c>
      <c r="I29" s="280"/>
      <c r="J29" s="280">
        <v>17.0</v>
      </c>
      <c r="K29" s="280"/>
      <c r="L29" s="280"/>
      <c r="M29" s="280"/>
      <c r="N29" s="280"/>
      <c r="O29" s="280"/>
      <c r="P29" s="280"/>
      <c r="Q29" s="280"/>
      <c r="R29" s="290"/>
      <c r="S29" s="281"/>
      <c r="T29" s="222"/>
      <c r="U29" s="281"/>
      <c r="V29" s="281"/>
      <c r="W29" s="281"/>
      <c r="X29" s="281"/>
    </row>
    <row r="30">
      <c r="A30" s="137"/>
      <c r="B30" s="296" t="s">
        <v>690</v>
      </c>
      <c r="C30" s="297" t="s">
        <v>1690</v>
      </c>
      <c r="D30" s="289">
        <f>ROUND((F30*'Pawn Weights'!$E$22)+(G30*'Pawn Weights'!$E$23)+(H30*'Pawn Weights'!$E$24)+(I30*'Pawn Weights'!$E$25)+(J30*'Pawn Weights'!$E$26)+(K30*'Pawn Weights'!$E$27)+(L30*'Pawn Weights'!$E$28)+(M30*'Pawn Weights'!$E$29)+(N30*'Pawn Weights'!$E$30)+(O30*'Pawn Weights'!$E$31)+(P30*'Pawn Weights'!$E$32)+(Q30*'Pawn Weights'!$E$33), 2)</f>
        <v>41.63</v>
      </c>
      <c r="E30" s="297"/>
      <c r="F30" s="297"/>
      <c r="G30" s="297"/>
      <c r="H30" s="297"/>
      <c r="I30" s="297"/>
      <c r="J30" s="298">
        <v>22.0</v>
      </c>
      <c r="K30" s="297"/>
      <c r="L30" s="298">
        <v>21.0</v>
      </c>
      <c r="M30" s="295"/>
      <c r="N30" s="297"/>
      <c r="O30" s="297"/>
      <c r="P30" s="297"/>
      <c r="Q30" s="297"/>
      <c r="R30" s="295"/>
      <c r="S30" s="137"/>
      <c r="T30" s="137"/>
      <c r="U30" s="137"/>
      <c r="V30" s="137"/>
      <c r="W30" s="137"/>
      <c r="X30" s="137"/>
      <c r="Y30" s="137"/>
      <c r="Z30" s="137"/>
    </row>
    <row r="31">
      <c r="A31" s="137" t="s">
        <v>676</v>
      </c>
      <c r="B31" s="296" t="s">
        <v>688</v>
      </c>
      <c r="C31" s="297" t="s">
        <v>678</v>
      </c>
      <c r="D31" s="289">
        <f>ROUND((F31*'Pawn Weights'!$E$22)+(G31*'Pawn Weights'!$E$23)+(H31*'Pawn Weights'!$E$24)+(I31*'Pawn Weights'!$E$25)+(J31*'Pawn Weights'!$E$26)+(K31*'Pawn Weights'!$E$27)+(L31*'Pawn Weights'!$E$28)+(M31*'Pawn Weights'!$E$29)+(N31*'Pawn Weights'!$E$30)+(O31*'Pawn Weights'!$E$31)+(P31*'Pawn Weights'!$E$32)+(Q31*'Pawn Weights'!$E$33), 2)</f>
        <v>41.27</v>
      </c>
      <c r="E31" s="298">
        <v>19.0</v>
      </c>
      <c r="F31" s="297"/>
      <c r="G31" s="298">
        <v>18.0</v>
      </c>
      <c r="H31" s="298">
        <v>64.0</v>
      </c>
      <c r="I31" s="297"/>
      <c r="J31" s="297"/>
      <c r="K31" s="297"/>
      <c r="L31" s="297"/>
      <c r="M31" s="295"/>
      <c r="N31" s="297"/>
      <c r="O31" s="297"/>
      <c r="P31" s="297"/>
      <c r="Q31" s="297"/>
      <c r="R31" s="295"/>
      <c r="S31" s="137"/>
      <c r="T31" s="361" t="s">
        <v>689</v>
      </c>
      <c r="U31" s="137"/>
      <c r="V31" s="137"/>
      <c r="W31" s="137"/>
      <c r="X31" s="137"/>
      <c r="Y31" s="137"/>
      <c r="Z31" s="137"/>
    </row>
    <row r="32">
      <c r="A32" s="272" t="s">
        <v>692</v>
      </c>
      <c r="B32" s="281"/>
      <c r="C32" s="281"/>
      <c r="D32" s="360"/>
      <c r="E32" s="281"/>
      <c r="F32" s="281"/>
      <c r="G32" s="281"/>
      <c r="H32" s="281"/>
      <c r="I32" s="281"/>
      <c r="J32" s="281"/>
      <c r="K32" s="281"/>
      <c r="L32" s="281"/>
      <c r="M32" s="281"/>
      <c r="N32" s="281"/>
      <c r="O32" s="281"/>
      <c r="P32" s="281"/>
      <c r="Q32" s="281"/>
      <c r="R32" s="282"/>
      <c r="S32" s="281"/>
      <c r="T32" s="285"/>
      <c r="U32" s="281"/>
      <c r="V32" s="281"/>
      <c r="W32" s="281"/>
    </row>
    <row r="33">
      <c r="A33" s="301" t="s">
        <v>640</v>
      </c>
      <c r="B33" s="288" t="s">
        <v>700</v>
      </c>
      <c r="C33" s="280" t="s">
        <v>701</v>
      </c>
      <c r="D33" s="289">
        <f>ROUND((F33*'Pawn Weights'!$E$22)+(G33*'Pawn Weights'!$E$23)+(H33*'Pawn Weights'!$E$24)+(I33*'Pawn Weights'!$E$25)+(J33*'Pawn Weights'!$E$26)+(K33*'Pawn Weights'!$E$27)+(L33*'Pawn Weights'!$E$28)+(M33*'Pawn Weights'!$E$29)+(N33*'Pawn Weights'!$E$30)+(O33*'Pawn Weights'!$E$31)+(P33*'Pawn Weights'!$E$32)+(Q33*'Pawn Weights'!$E$33), 2)</f>
        <v>101.87</v>
      </c>
      <c r="E33" s="280">
        <v>34.0</v>
      </c>
      <c r="F33" s="280">
        <v>39.0</v>
      </c>
      <c r="G33" s="280">
        <v>39.0</v>
      </c>
      <c r="H33" s="280"/>
      <c r="I33" s="280"/>
      <c r="J33" s="280"/>
      <c r="K33" s="280"/>
      <c r="L33" s="280"/>
      <c r="M33" s="280">
        <v>91.0</v>
      </c>
      <c r="N33" s="280"/>
      <c r="O33" s="280"/>
      <c r="P33" s="280">
        <v>1.0</v>
      </c>
      <c r="Q33" s="280">
        <v>1.0</v>
      </c>
      <c r="R33" s="290" t="s">
        <v>702</v>
      </c>
      <c r="S33" s="281"/>
      <c r="T33" s="291"/>
      <c r="U33" s="281"/>
      <c r="V33" s="281"/>
      <c r="W33" s="281"/>
    </row>
    <row r="34">
      <c r="A34" s="295" t="s">
        <v>635</v>
      </c>
      <c r="B34" s="296" t="s">
        <v>703</v>
      </c>
      <c r="C34" s="297" t="s">
        <v>637</v>
      </c>
      <c r="D34" s="289">
        <f>ROUND((F34*'Pawn Weights'!$E$22)+(G34*'Pawn Weights'!$E$23)+(H34*'Pawn Weights'!$E$24)+(I34*'Pawn Weights'!$E$25)+(J34*'Pawn Weights'!$E$26)+(K34*'Pawn Weights'!$E$27)+(L34*'Pawn Weights'!$E$28)+(M34*'Pawn Weights'!$E$29)+(N34*'Pawn Weights'!$E$30)+(O34*'Pawn Weights'!$E$31)+(P34*'Pawn Weights'!$E$32)+(Q34*'Pawn Weights'!$E$33)-10+9.6+2.76, 2)</f>
        <v>92.56</v>
      </c>
      <c r="E34" s="298">
        <v>64.0</v>
      </c>
      <c r="F34" s="298">
        <v>38.0</v>
      </c>
      <c r="G34" s="297"/>
      <c r="H34" s="297"/>
      <c r="I34" s="298">
        <v>35.0</v>
      </c>
      <c r="J34" s="297"/>
      <c r="K34" s="297"/>
      <c r="L34" s="297"/>
      <c r="M34" s="295"/>
      <c r="N34" s="297"/>
      <c r="O34" s="298">
        <v>1.0</v>
      </c>
      <c r="P34" s="298">
        <v>1.0</v>
      </c>
      <c r="Q34" s="297"/>
      <c r="R34" s="298" t="s">
        <v>702</v>
      </c>
      <c r="S34" s="137"/>
      <c r="T34" s="297" t="s">
        <v>704</v>
      </c>
      <c r="U34" s="137"/>
      <c r="V34" s="137"/>
      <c r="W34" s="137"/>
      <c r="X34" s="137"/>
      <c r="Y34" s="137"/>
      <c r="Z34" s="137"/>
    </row>
    <row r="35">
      <c r="A35" s="301"/>
      <c r="B35" s="288" t="s">
        <v>705</v>
      </c>
      <c r="C35" s="280" t="s">
        <v>706</v>
      </c>
      <c r="D35" s="289">
        <f>ROUND((F35*'Pawn Weights'!$E$22)+(G35*'Pawn Weights'!$E$23)+(H35*'Pawn Weights'!$E$24)+(I35*'Pawn Weights'!$E$25)+(J35*'Pawn Weights'!$E$26)+(K35*'Pawn Weights'!$E$27)+(L35*'Pawn Weights'!$E$28)+(M35*'Pawn Weights'!$E$29)+(N35*'Pawn Weights'!$E$30)+(O35*'Pawn Weights'!$E$31)+(P35*'Pawn Weights'!$E$32)+(Q35*'Pawn Weights'!$E$33), 2)</f>
        <v>92.08</v>
      </c>
      <c r="E35" s="280">
        <v>34.0</v>
      </c>
      <c r="F35" s="280">
        <v>47.0</v>
      </c>
      <c r="G35" s="280"/>
      <c r="H35" s="280"/>
      <c r="I35" s="280">
        <v>32.0</v>
      </c>
      <c r="J35" s="280">
        <v>23.0</v>
      </c>
      <c r="K35" s="280"/>
      <c r="L35" s="280"/>
      <c r="M35" s="281"/>
      <c r="N35" s="280"/>
      <c r="O35" s="280"/>
      <c r="P35" s="280"/>
      <c r="Q35" s="280"/>
      <c r="R35" s="290"/>
      <c r="S35" s="281"/>
      <c r="T35" s="291"/>
      <c r="U35" s="281"/>
      <c r="V35" s="281"/>
      <c r="W35" s="281"/>
    </row>
    <row r="36">
      <c r="A36" s="301"/>
      <c r="B36" s="288" t="s">
        <v>707</v>
      </c>
      <c r="C36" s="280" t="s">
        <v>1691</v>
      </c>
      <c r="D36" s="289">
        <f>ROUND((F36*'Pawn Weights'!$E$22)+(G36*'Pawn Weights'!$E$23)+(H36*'Pawn Weights'!$E$24)+(I36*'Pawn Weights'!$E$25)+(J36*'Pawn Weights'!$E$26)+(K36*'Pawn Weights'!$E$27)+(L36*'Pawn Weights'!$E$28)+(M36*'Pawn Weights'!$E$29)+(N36*'Pawn Weights'!$E$30)+(O36*'Pawn Weights'!$E$31)+(P36*'Pawn Weights'!$E$32)+(Q36*'Pawn Weights'!$E$33)-20+19.2+3, 2)</f>
        <v>90.28</v>
      </c>
      <c r="E36" s="280"/>
      <c r="F36" s="280">
        <v>39.0</v>
      </c>
      <c r="G36" s="280"/>
      <c r="H36" s="280"/>
      <c r="I36" s="280">
        <v>22.0</v>
      </c>
      <c r="J36" s="280">
        <v>13.0</v>
      </c>
      <c r="K36" s="280"/>
      <c r="L36" s="280"/>
      <c r="M36" s="281"/>
      <c r="N36" s="280"/>
      <c r="O36" s="280"/>
      <c r="P36" s="280">
        <v>2.0</v>
      </c>
      <c r="Q36" s="280"/>
      <c r="R36" s="290" t="s">
        <v>698</v>
      </c>
      <c r="S36" s="281"/>
      <c r="T36" s="291"/>
      <c r="U36" s="281"/>
      <c r="V36" s="281"/>
      <c r="W36" s="281"/>
    </row>
    <row r="37">
      <c r="A37" s="301"/>
      <c r="B37" s="288" t="s">
        <v>709</v>
      </c>
      <c r="C37" s="280" t="s">
        <v>710</v>
      </c>
      <c r="D37" s="289">
        <f>ROUND((F37*'Pawn Weights'!$E$22)+(G37*'Pawn Weights'!$E$23)+(H37*'Pawn Weights'!$E$24)+(I37*'Pawn Weights'!$E$25)+(J37*'Pawn Weights'!$E$26)+(K37*'Pawn Weights'!$E$27)+(L37*'Pawn Weights'!$E$28)+(M37*'Pawn Weights'!$E$29)+(N37*'Pawn Weights'!$E$30)+(O37*'Pawn Weights'!$E$31)+(P37*'Pawn Weights'!$E$32)+(Q37*'Pawn Weights'!$E$33)+1.354, 2)</f>
        <v>88.39</v>
      </c>
      <c r="E37" s="280">
        <v>28.0</v>
      </c>
      <c r="F37" s="280"/>
      <c r="G37" s="280">
        <v>33.0</v>
      </c>
      <c r="H37" s="280">
        <v>60.0</v>
      </c>
      <c r="I37" s="280">
        <v>16.0</v>
      </c>
      <c r="J37" s="280"/>
      <c r="K37" s="280"/>
      <c r="L37" s="280">
        <v>10.0</v>
      </c>
      <c r="M37" s="281"/>
      <c r="N37" s="280"/>
      <c r="O37" s="280">
        <v>1.0</v>
      </c>
      <c r="P37" s="280"/>
      <c r="Q37" s="280"/>
      <c r="R37" s="290" t="s">
        <v>711</v>
      </c>
      <c r="S37" s="281"/>
      <c r="T37" s="291" t="s">
        <v>1079</v>
      </c>
      <c r="U37" s="281"/>
      <c r="V37" s="281"/>
      <c r="W37" s="281"/>
    </row>
    <row r="38">
      <c r="A38" s="301"/>
      <c r="B38" s="288" t="s">
        <v>715</v>
      </c>
      <c r="C38" s="280" t="s">
        <v>716</v>
      </c>
      <c r="D38" s="289">
        <f>ROUND((F38*'Pawn Weights'!$E$22)+(G38*'Pawn Weights'!$E$23)+(H38*'Pawn Weights'!$E$24)+(I38*'Pawn Weights'!$E$25)+(J38*'Pawn Weights'!$E$26)+(K38*'Pawn Weights'!$E$27)+(L38*'Pawn Weights'!$E$28)+(M38*'Pawn Weights'!$E$29)+(N38*'Pawn Weights'!$E$30)+(O38*'Pawn Weights'!$E$31)+(P38*'Pawn Weights'!$E$32)+(Q38*'Pawn Weights'!$E$33), 2)</f>
        <v>88.04</v>
      </c>
      <c r="E38" s="280">
        <v>34.0</v>
      </c>
      <c r="F38" s="280"/>
      <c r="G38" s="280"/>
      <c r="H38" s="280">
        <v>94.0</v>
      </c>
      <c r="I38" s="280">
        <v>33.0</v>
      </c>
      <c r="J38" s="280">
        <v>22.0</v>
      </c>
      <c r="K38" s="280"/>
      <c r="L38" s="280"/>
      <c r="M38" s="281"/>
      <c r="N38" s="280"/>
      <c r="O38" s="280"/>
      <c r="P38" s="280"/>
      <c r="Q38" s="280"/>
      <c r="R38" s="290"/>
      <c r="S38" s="281"/>
      <c r="T38" s="291"/>
      <c r="U38" s="281"/>
      <c r="V38" s="281"/>
      <c r="W38" s="281"/>
    </row>
    <row r="39">
      <c r="A39" s="301" t="s">
        <v>647</v>
      </c>
      <c r="B39" s="288" t="s">
        <v>719</v>
      </c>
      <c r="C39" s="280" t="s">
        <v>720</v>
      </c>
      <c r="D39" s="289">
        <f>ROUND((F39*'Pawn Weights'!$E$22)+(G39*'Pawn Weights'!$E$23)+(H39*'Pawn Weights'!$E$24)+(I39*'Pawn Weights'!$E$25)+(J39*'Pawn Weights'!$E$26)+(K39*'Pawn Weights'!$E$27)+(L39*'Pawn Weights'!$E$28)+(M39*'Pawn Weights'!$E$29)+(N39*'Pawn Weights'!$E$30)+(O39*'Pawn Weights'!$E$31)+(P39*'Pawn Weights'!$E$32)+(Q39*'Pawn Weights'!$E$33), 2)</f>
        <v>86.64</v>
      </c>
      <c r="E39" s="280">
        <v>38.0</v>
      </c>
      <c r="F39" s="280">
        <v>36.0</v>
      </c>
      <c r="G39" s="280"/>
      <c r="H39" s="280"/>
      <c r="I39" s="280">
        <v>20.0</v>
      </c>
      <c r="J39" s="280">
        <v>18.0</v>
      </c>
      <c r="K39" s="280"/>
      <c r="L39" s="280"/>
      <c r="M39" s="281"/>
      <c r="N39" s="280"/>
      <c r="O39" s="280"/>
      <c r="P39" s="280">
        <v>1.0</v>
      </c>
      <c r="Q39" s="280">
        <v>1.0</v>
      </c>
      <c r="R39" s="290" t="s">
        <v>698</v>
      </c>
      <c r="S39" s="281"/>
      <c r="T39" s="291"/>
      <c r="U39" s="281"/>
      <c r="V39" s="281"/>
      <c r="W39" s="281"/>
      <c r="X39" s="281"/>
    </row>
    <row r="40">
      <c r="A40" s="295"/>
      <c r="B40" s="296" t="s">
        <v>717</v>
      </c>
      <c r="C40" s="297" t="s">
        <v>718</v>
      </c>
      <c r="D40" s="289">
        <f>ROUND((F40*'Pawn Weights'!$E$22)+(G40*'Pawn Weights'!$E$23)+(H40*'Pawn Weights'!$E$24)+(I40*'Pawn Weights'!$E$25)+(J40*'Pawn Weights'!$E$26)+(K40*'Pawn Weights'!$E$27)+(L40*'Pawn Weights'!$E$28)+(M40*'Pawn Weights'!$E$29)+(N40*'Pawn Weights'!$E$30)+(O40*'Pawn Weights'!$E$31)+(P40*'Pawn Weights'!$E$32)+(Q40*'Pawn Weights'!$E$33), 2)</f>
        <v>85.51</v>
      </c>
      <c r="E40" s="298">
        <v>33.0</v>
      </c>
      <c r="F40" s="298">
        <v>42.0</v>
      </c>
      <c r="G40" s="297"/>
      <c r="H40" s="297"/>
      <c r="I40" s="297"/>
      <c r="J40" s="298">
        <v>23.0</v>
      </c>
      <c r="K40" s="297"/>
      <c r="L40" s="297"/>
      <c r="M40" s="359">
        <v>154.0</v>
      </c>
      <c r="N40" s="297"/>
      <c r="O40" s="297"/>
      <c r="P40" s="297"/>
      <c r="Q40" s="297"/>
      <c r="R40" s="295"/>
      <c r="S40" s="137"/>
      <c r="T40" s="295"/>
      <c r="U40" s="137"/>
      <c r="V40" s="137"/>
      <c r="W40" s="137"/>
      <c r="X40" s="137"/>
      <c r="Y40" s="137"/>
      <c r="Z40" s="137"/>
    </row>
    <row r="41">
      <c r="A41" s="301"/>
      <c r="B41" s="288" t="s">
        <v>721</v>
      </c>
      <c r="C41" s="280" t="s">
        <v>710</v>
      </c>
      <c r="D41" s="289">
        <f>ROUND((F41*'Pawn Weights'!$E$22)+(G41*'Pawn Weights'!$E$23)+(H41*'Pawn Weights'!$E$24)+(I41*'Pawn Weights'!$E$25)+(J41*'Pawn Weights'!$E$26)+(K41*'Pawn Weights'!$E$27)+(L41*'Pawn Weights'!$E$28)+(M41*'Pawn Weights'!$E$29)+(N41*'Pawn Weights'!$E$30)+(O41*'Pawn Weights'!$E$31)+(P41*'Pawn Weights'!$E$32)+(Q41*'Pawn Weights'!$E$33), 2)</f>
        <v>84.68</v>
      </c>
      <c r="E41" s="280">
        <v>21.0</v>
      </c>
      <c r="F41" s="280">
        <v>38.0</v>
      </c>
      <c r="G41" s="280"/>
      <c r="H41" s="280"/>
      <c r="I41" s="280">
        <v>29.0</v>
      </c>
      <c r="J41" s="280"/>
      <c r="K41" s="280"/>
      <c r="L41" s="280"/>
      <c r="M41" s="281"/>
      <c r="N41" s="280"/>
      <c r="O41" s="280">
        <v>1.0</v>
      </c>
      <c r="P41" s="280"/>
      <c r="Q41" s="280">
        <v>1.0</v>
      </c>
      <c r="R41" s="290" t="s">
        <v>702</v>
      </c>
      <c r="S41" s="281"/>
      <c r="T41" s="291"/>
      <c r="U41" s="281"/>
      <c r="V41" s="281"/>
      <c r="W41" s="281"/>
    </row>
    <row r="42">
      <c r="A42" s="301"/>
      <c r="B42" s="288" t="s">
        <v>722</v>
      </c>
      <c r="C42" s="280" t="s">
        <v>723</v>
      </c>
      <c r="D42" s="289">
        <f>ROUND((F42*'Pawn Weights'!$E$22)+(G42*'Pawn Weights'!$E$23)+(H42*'Pawn Weights'!$E$24)+(I42*'Pawn Weights'!$E$25)+(J42*'Pawn Weights'!$E$26)+(K42*'Pawn Weights'!$E$27)+(L42*'Pawn Weights'!$E$28)+(M42*'Pawn Weights'!$E$29)+(N42*'Pawn Weights'!$E$30)+(O42*'Pawn Weights'!$E$31)+(P42*'Pawn Weights'!$E$32)+(Q42*'Pawn Weights'!$E$33), 2)</f>
        <v>84.19</v>
      </c>
      <c r="E42" s="280">
        <v>37.0</v>
      </c>
      <c r="F42" s="280"/>
      <c r="G42" s="280">
        <v>38.0</v>
      </c>
      <c r="H42" s="280">
        <v>76.0</v>
      </c>
      <c r="I42" s="280">
        <v>26.0</v>
      </c>
      <c r="J42" s="280"/>
      <c r="K42" s="280"/>
      <c r="L42" s="280"/>
      <c r="M42" s="281"/>
      <c r="N42" s="280"/>
      <c r="O42" s="280"/>
      <c r="P42" s="280"/>
      <c r="Q42" s="280"/>
      <c r="R42" s="290"/>
      <c r="S42" s="281"/>
      <c r="T42" s="291"/>
      <c r="U42" s="281"/>
      <c r="V42" s="281"/>
      <c r="W42" s="281"/>
      <c r="X42" s="281"/>
    </row>
    <row r="43">
      <c r="A43" s="301" t="s">
        <v>644</v>
      </c>
      <c r="B43" s="288" t="s">
        <v>1080</v>
      </c>
      <c r="C43" s="280" t="s">
        <v>646</v>
      </c>
      <c r="D43" s="289">
        <f>ROUND((F43*'Pawn Weights'!$E$22)+(G43*'Pawn Weights'!$E$23)+(H43*'Pawn Weights'!$E$24)+(I43*'Pawn Weights'!$E$25)+(J43*'Pawn Weights'!$E$26)+(K43*'Pawn Weights'!$E$27)+(L43*'Pawn Weights'!$E$28)+(M43*'Pawn Weights'!$E$29)+(N43*'Pawn Weights'!$E$30)+(O43*'Pawn Weights'!$E$31)+(P43*'Pawn Weights'!$E$32)+(Q43*'Pawn Weights'!$E$33)-10+9.6+2.76, 2)</f>
        <v>82.96</v>
      </c>
      <c r="E43" s="280">
        <v>57.0</v>
      </c>
      <c r="F43" s="280">
        <v>33.0</v>
      </c>
      <c r="G43" s="280"/>
      <c r="H43" s="280"/>
      <c r="I43" s="280">
        <v>30.0</v>
      </c>
      <c r="J43" s="280"/>
      <c r="K43" s="280"/>
      <c r="L43" s="280"/>
      <c r="M43" s="281"/>
      <c r="N43" s="280"/>
      <c r="O43" s="280">
        <v>1.0</v>
      </c>
      <c r="P43" s="280">
        <v>1.0</v>
      </c>
      <c r="Q43" s="280"/>
      <c r="R43" s="290" t="s">
        <v>702</v>
      </c>
      <c r="S43" s="281"/>
      <c r="T43" s="291" t="s">
        <v>704</v>
      </c>
      <c r="U43" s="281"/>
      <c r="V43" s="281"/>
      <c r="W43" s="281"/>
    </row>
    <row r="44">
      <c r="A44" s="301" t="s">
        <v>627</v>
      </c>
      <c r="B44" s="288" t="s">
        <v>713</v>
      </c>
      <c r="C44" s="280" t="s">
        <v>714</v>
      </c>
      <c r="D44" s="289">
        <f>ROUND((F44*'Pawn Weights'!$E$22)+(G44*'Pawn Weights'!$E$23)+(H44*'Pawn Weights'!$E$24)+(I44*'Pawn Weights'!$E$25)+(J44*'Pawn Weights'!$E$26)+(K44*'Pawn Weights'!$E$27)+(L44*'Pawn Weights'!$E$28)+(M44*'Pawn Weights'!$E$29)+(N44*'Pawn Weights'!$E$30)+(O44*'Pawn Weights'!$E$31)+(P44*'Pawn Weights'!$E$32)+(Q44*'Pawn Weights'!$E$33), 2)</f>
        <v>78.82</v>
      </c>
      <c r="E44" s="280">
        <v>29.0</v>
      </c>
      <c r="F44" s="280">
        <v>47.0</v>
      </c>
      <c r="G44" s="280"/>
      <c r="H44" s="280"/>
      <c r="I44" s="280"/>
      <c r="J44" s="280">
        <v>19.0</v>
      </c>
      <c r="K44" s="280">
        <v>35.0</v>
      </c>
      <c r="L44" s="280"/>
      <c r="M44" s="281"/>
      <c r="N44" s="280"/>
      <c r="O44" s="280"/>
      <c r="P44" s="280"/>
      <c r="Q44" s="280"/>
      <c r="R44" s="290"/>
      <c r="S44" s="281"/>
      <c r="T44" s="291"/>
      <c r="U44" s="281"/>
      <c r="V44" s="281"/>
      <c r="W44" s="281"/>
    </row>
    <row r="45">
      <c r="A45" s="301" t="s">
        <v>1068</v>
      </c>
      <c r="B45" s="288" t="s">
        <v>1081</v>
      </c>
      <c r="C45" s="280" t="s">
        <v>997</v>
      </c>
      <c r="D45" s="289">
        <f>ROUND((F45*'Pawn Weights'!$E$22)+(G45*'Pawn Weights'!$E$23)+(H45*'Pawn Weights'!$E$24)+(I45*'Pawn Weights'!$E$25)+(J45*'Pawn Weights'!$E$26)+(K45*'Pawn Weights'!$E$27)+(L45*'Pawn Weights'!$E$28)+(M45*'Pawn Weights'!$E$29)+(N45*'Pawn Weights'!$E$30)+(O45*'Pawn Weights'!$E$31)+(P45*'Pawn Weights'!$E$32)+(Q45*'Pawn Weights'!$E$33)-10+9.6+3, 2)</f>
        <v>76.44</v>
      </c>
      <c r="E45" s="280">
        <v>51.0</v>
      </c>
      <c r="F45" s="280">
        <v>29.0</v>
      </c>
      <c r="G45" s="280"/>
      <c r="H45" s="280"/>
      <c r="I45" s="280">
        <v>27.0</v>
      </c>
      <c r="J45" s="280"/>
      <c r="K45" s="280"/>
      <c r="L45" s="280"/>
      <c r="M45" s="281"/>
      <c r="N45" s="280"/>
      <c r="O45" s="280">
        <v>1.0</v>
      </c>
      <c r="P45" s="280">
        <v>1.0</v>
      </c>
      <c r="Q45" s="280"/>
      <c r="R45" s="290" t="s">
        <v>698</v>
      </c>
      <c r="S45" s="281"/>
      <c r="T45" s="291" t="s">
        <v>704</v>
      </c>
      <c r="U45" s="281"/>
      <c r="V45" s="281"/>
      <c r="W45" s="281"/>
    </row>
    <row r="46">
      <c r="A46" s="301"/>
      <c r="B46" s="288" t="s">
        <v>1199</v>
      </c>
      <c r="C46" s="280" t="s">
        <v>842</v>
      </c>
      <c r="D46" s="289">
        <f>ROUND((F46*'Pawn Weights'!$E$22)+(G46*'Pawn Weights'!$E$23)+(H46*'Pawn Weights'!$E$24)+(I46*'Pawn Weights'!$E$25)+(J46*'Pawn Weights'!$E$26)+(K46*'Pawn Weights'!$E$27)+(L46*'Pawn Weights'!$E$28)+(M46*'Pawn Weights'!$E$29)+(N46*'Pawn Weights'!$E$30)+(O46*'Pawn Weights'!$E$31)+(P46*'Pawn Weights'!$E$32)+(Q46*'Pawn Weights'!$E$33), 2)</f>
        <v>74.66</v>
      </c>
      <c r="E46" s="280">
        <v>55.0</v>
      </c>
      <c r="F46" s="280"/>
      <c r="G46" s="280">
        <v>28.0</v>
      </c>
      <c r="H46" s="280">
        <v>76.0</v>
      </c>
      <c r="I46" s="280">
        <v>23.0</v>
      </c>
      <c r="J46" s="280"/>
      <c r="K46" s="280"/>
      <c r="L46" s="280"/>
      <c r="M46" s="281"/>
      <c r="N46" s="280"/>
      <c r="O46" s="280"/>
      <c r="P46" s="280"/>
      <c r="Q46" s="280"/>
      <c r="R46" s="290"/>
      <c r="S46" s="281"/>
      <c r="T46" s="291"/>
      <c r="U46" s="281"/>
      <c r="V46" s="281"/>
      <c r="W46" s="281"/>
    </row>
    <row r="47">
      <c r="A47" s="301" t="s">
        <v>627</v>
      </c>
      <c r="B47" s="288" t="s">
        <v>1190</v>
      </c>
      <c r="C47" s="280" t="s">
        <v>1191</v>
      </c>
      <c r="D47" s="289">
        <f>ROUND((F47*'Pawn Weights'!$E$22)+(G47*'Pawn Weights'!$E$23)+(H47*'Pawn Weights'!$E$24)+(I47*'Pawn Weights'!$E$25)+(J47*'Pawn Weights'!$E$26)+(K47*'Pawn Weights'!$E$27)+(L47*'Pawn Weights'!$E$28)+(M47*'Pawn Weights'!$E$29)+(N47*'Pawn Weights'!$E$30)+(O47*'Pawn Weights'!$E$31)+(P47*'Pawn Weights'!$E$32)+(Q47*'Pawn Weights'!$E$33), 2)</f>
        <v>73.79</v>
      </c>
      <c r="E47" s="280">
        <v>34.0</v>
      </c>
      <c r="F47" s="280"/>
      <c r="G47" s="280">
        <v>29.0</v>
      </c>
      <c r="H47" s="280">
        <v>74.0</v>
      </c>
      <c r="I47" s="280"/>
      <c r="J47" s="280"/>
      <c r="K47" s="280">
        <v>38.0</v>
      </c>
      <c r="L47" s="280"/>
      <c r="M47" s="281"/>
      <c r="N47" s="280"/>
      <c r="O47" s="280"/>
      <c r="P47" s="280"/>
      <c r="Q47" s="280"/>
      <c r="R47" s="290"/>
      <c r="S47" s="281"/>
      <c r="T47" s="291"/>
      <c r="U47" s="281"/>
      <c r="V47" s="281"/>
      <c r="W47" s="281"/>
    </row>
    <row r="48">
      <c r="A48" s="301" t="s">
        <v>627</v>
      </c>
      <c r="B48" s="288" t="s">
        <v>1322</v>
      </c>
      <c r="C48" s="280" t="s">
        <v>1191</v>
      </c>
      <c r="D48" s="289">
        <f>ROUND((F48*'Pawn Weights'!$E$22)+(G48*'Pawn Weights'!$E$23)+(H48*'Pawn Weights'!$E$24)+(I48*'Pawn Weights'!$E$25)+(J48*'Pawn Weights'!$E$26)+(K48*'Pawn Weights'!$E$27)+(L48*'Pawn Weights'!$E$28)+(M48*'Pawn Weights'!$E$29)+(N48*'Pawn Weights'!$E$30)+(O48*'Pawn Weights'!$E$31)+(P48*'Pawn Weights'!$E$32)+(Q48*'Pawn Weights'!$E$33), 2)</f>
        <v>71.89</v>
      </c>
      <c r="E48" s="280">
        <v>19.0</v>
      </c>
      <c r="F48" s="280"/>
      <c r="G48" s="280">
        <v>27.0</v>
      </c>
      <c r="H48" s="280">
        <v>74.0</v>
      </c>
      <c r="I48" s="280"/>
      <c r="J48" s="280"/>
      <c r="K48" s="280">
        <v>37.0</v>
      </c>
      <c r="L48" s="280"/>
      <c r="M48" s="281"/>
      <c r="N48" s="280"/>
      <c r="O48" s="280"/>
      <c r="P48" s="280"/>
      <c r="Q48" s="280"/>
      <c r="R48" s="290"/>
      <c r="S48" s="281"/>
      <c r="T48" s="291"/>
      <c r="U48" s="281"/>
      <c r="V48" s="281"/>
      <c r="W48" s="281"/>
    </row>
    <row r="49">
      <c r="A49" s="272" t="s">
        <v>724</v>
      </c>
      <c r="B49" s="281"/>
      <c r="C49" s="281"/>
      <c r="D49" s="360"/>
      <c r="E49" s="281"/>
      <c r="F49" s="281"/>
      <c r="G49" s="281"/>
      <c r="H49" s="281"/>
      <c r="I49" s="281"/>
      <c r="J49" s="281"/>
      <c r="K49" s="281"/>
      <c r="L49" s="281"/>
      <c r="M49" s="281"/>
      <c r="N49" s="281"/>
      <c r="O49" s="281"/>
      <c r="P49" s="281"/>
      <c r="Q49" s="281"/>
      <c r="R49" s="282"/>
      <c r="S49" s="281"/>
      <c r="T49" s="285"/>
      <c r="U49" s="281"/>
      <c r="V49" s="281"/>
      <c r="W49" s="281"/>
    </row>
    <row r="50">
      <c r="A50" s="281"/>
      <c r="B50" s="302" t="s">
        <v>726</v>
      </c>
      <c r="C50" s="280" t="s">
        <v>727</v>
      </c>
      <c r="D50" s="289">
        <f>ROUND((F50*'Pawn Weights'!$E$22)+(G50*'Pawn Weights'!$E$23)+(H50*'Pawn Weights'!$E$24)+(I50*'Pawn Weights'!$E$25)+(J50*'Pawn Weights'!$E$26)+(K50*'Pawn Weights'!$E$27)+(L50*'Pawn Weights'!$E$28)+(M50*'Pawn Weights'!$E$29)+(N50*'Pawn Weights'!$E$30)+(O50*'Pawn Weights'!$E$31)+(P50*'Pawn Weights'!$E$32)+(Q50*'Pawn Weights'!$E$33), 2)</f>
        <v>66.36</v>
      </c>
      <c r="E50" s="280">
        <v>24.0</v>
      </c>
      <c r="F50" s="280"/>
      <c r="G50" s="280"/>
      <c r="H50" s="280">
        <v>72.0</v>
      </c>
      <c r="I50" s="280">
        <v>24.0</v>
      </c>
      <c r="J50" s="280">
        <v>17.0</v>
      </c>
      <c r="K50" s="280"/>
      <c r="L50" s="280"/>
      <c r="M50" s="280"/>
      <c r="N50" s="280"/>
      <c r="O50" s="280"/>
      <c r="P50" s="280"/>
      <c r="Q50" s="280"/>
      <c r="R50" s="290"/>
      <c r="S50" s="281"/>
      <c r="T50" s="222"/>
      <c r="U50" s="281"/>
      <c r="V50" s="281"/>
      <c r="W50" s="281"/>
      <c r="X50" s="281"/>
    </row>
    <row r="51">
      <c r="A51" s="137"/>
      <c r="B51" s="296" t="s">
        <v>728</v>
      </c>
      <c r="C51" s="297" t="s">
        <v>1082</v>
      </c>
      <c r="D51" s="289">
        <f>ROUND((F51*'Pawn Weights'!$E$22)+(G51*'Pawn Weights'!$E$23)+(H51*'Pawn Weights'!$E$24)+(I51*'Pawn Weights'!$E$25)+(J51*'Pawn Weights'!$E$26)+(K51*'Pawn Weights'!$E$27)+(L51*'Pawn Weights'!$E$28)+(M51*'Pawn Weights'!$E$29)+(N51*'Pawn Weights'!$E$30)+(O51*'Pawn Weights'!$E$31)+(P51*'Pawn Weights'!$E$32)+(Q51*'Pawn Weights'!$E$33), 2)</f>
        <v>59.58</v>
      </c>
      <c r="E51" s="298">
        <v>34.0</v>
      </c>
      <c r="F51" s="297"/>
      <c r="G51" s="297"/>
      <c r="H51" s="298">
        <v>46.0</v>
      </c>
      <c r="I51" s="298">
        <v>20.0</v>
      </c>
      <c r="J51" s="297"/>
      <c r="K51" s="297"/>
      <c r="L51" s="297"/>
      <c r="M51" s="298">
        <v>112.0</v>
      </c>
      <c r="N51" s="297"/>
      <c r="O51" s="297"/>
      <c r="P51" s="297"/>
      <c r="Q51" s="297"/>
      <c r="R51" s="295"/>
      <c r="S51" s="137"/>
      <c r="T51" s="361" t="s">
        <v>704</v>
      </c>
      <c r="U51" s="137"/>
      <c r="V51" s="137"/>
      <c r="W51" s="137"/>
      <c r="X51" s="137"/>
      <c r="Y51" s="137"/>
      <c r="Z51" s="137"/>
    </row>
    <row r="52">
      <c r="A52" s="292" t="s">
        <v>627</v>
      </c>
      <c r="B52" s="288" t="s">
        <v>729</v>
      </c>
      <c r="C52" s="280" t="s">
        <v>730</v>
      </c>
      <c r="D52" s="289">
        <f>ROUND((F52*'Pawn Weights'!$E$22)+(G52*'Pawn Weights'!$E$23)+(H52*'Pawn Weights'!$E$24)+(I52*'Pawn Weights'!$E$25)+(J52*'Pawn Weights'!$E$26)+(K52*'Pawn Weights'!$E$27)+(L52*'Pawn Weights'!$E$28)+(M52*'Pawn Weights'!$E$29)+(N52*'Pawn Weights'!$E$30)+(O52*'Pawn Weights'!$E$31)+(P52*'Pawn Weights'!$E$32)+(Q52*'Pawn Weights'!$E$33)+1.36, 2)</f>
        <v>56.15</v>
      </c>
      <c r="E52" s="280"/>
      <c r="F52" s="280"/>
      <c r="G52" s="280"/>
      <c r="H52" s="280">
        <v>52.0</v>
      </c>
      <c r="I52" s="280">
        <v>23.0</v>
      </c>
      <c r="J52" s="280"/>
      <c r="K52" s="280"/>
      <c r="L52" s="280"/>
      <c r="M52" s="281"/>
      <c r="N52" s="280"/>
      <c r="O52" s="280">
        <v>1.0</v>
      </c>
      <c r="P52" s="280"/>
      <c r="Q52" s="280"/>
      <c r="R52" s="290" t="s">
        <v>731</v>
      </c>
      <c r="S52" s="281"/>
      <c r="T52" s="291" t="s">
        <v>1083</v>
      </c>
      <c r="U52" s="281"/>
      <c r="V52" s="281"/>
      <c r="W52" s="281"/>
      <c r="X52" s="281"/>
    </row>
    <row r="53">
      <c r="A53" s="303" t="s">
        <v>627</v>
      </c>
      <c r="B53" s="302" t="s">
        <v>734</v>
      </c>
      <c r="C53" s="154" t="s">
        <v>735</v>
      </c>
      <c r="D53" s="289">
        <f>ROUND((F53*'Pawn Weights'!$E$22)+(G53*'Pawn Weights'!$E$23)+(H53*'Pawn Weights'!$E$24)+(I53*'Pawn Weights'!$E$25)+(J53*'Pawn Weights'!$E$26)+(K53*'Pawn Weights'!$E$27)+(L53*'Pawn Weights'!$E$28)+(M53*'Pawn Weights'!$E$29)+(N53*'Pawn Weights'!$E$30)+(O53*'Pawn Weights'!$E$31)+(P53*'Pawn Weights'!$E$32)+(Q53*'Pawn Weights'!$E$33), 2)</f>
        <v>55.08</v>
      </c>
      <c r="E53" s="280">
        <v>25.0</v>
      </c>
      <c r="F53" s="280">
        <v>23.0</v>
      </c>
      <c r="G53" s="280"/>
      <c r="H53" s="280"/>
      <c r="I53" s="280">
        <v>24.0</v>
      </c>
      <c r="J53" s="280"/>
      <c r="K53" s="280"/>
      <c r="L53" s="280"/>
      <c r="M53" s="281"/>
      <c r="N53" s="280"/>
      <c r="O53" s="280"/>
      <c r="P53" s="280"/>
      <c r="Q53" s="280">
        <v>1.0</v>
      </c>
      <c r="R53" s="290" t="s">
        <v>736</v>
      </c>
      <c r="S53" s="281"/>
      <c r="T53" s="291" t="s">
        <v>737</v>
      </c>
      <c r="U53" s="281"/>
      <c r="V53" s="281"/>
      <c r="W53" s="281"/>
      <c r="X53" s="304"/>
      <c r="Y53" s="304"/>
      <c r="Z53" s="304"/>
    </row>
    <row r="54">
      <c r="A54" s="281"/>
      <c r="B54" s="302" t="s">
        <v>738</v>
      </c>
      <c r="C54" s="280" t="s">
        <v>739</v>
      </c>
      <c r="D54" s="289">
        <f>ROUND((F54*'Pawn Weights'!$E$22)+(G54*'Pawn Weights'!$E$23)+(H54*'Pawn Weights'!$E$24)+(I54*'Pawn Weights'!$E$25)+(J54*'Pawn Weights'!$E$26)+(K54*'Pawn Weights'!$E$27)+(L54*'Pawn Weights'!$E$28)+(M54*'Pawn Weights'!$E$29)+(N54*'Pawn Weights'!$E$30)+(O54*'Pawn Weights'!$E$31)+(P54*'Pawn Weights'!$E$32)+(Q54*'Pawn Weights'!$E$33), 2)</f>
        <v>54.87</v>
      </c>
      <c r="E54" s="280"/>
      <c r="F54" s="280"/>
      <c r="G54" s="280"/>
      <c r="H54" s="280">
        <v>60.0</v>
      </c>
      <c r="I54" s="280">
        <v>30.0</v>
      </c>
      <c r="J54" s="280"/>
      <c r="K54" s="280"/>
      <c r="L54" s="280"/>
      <c r="M54" s="280"/>
      <c r="N54" s="280"/>
      <c r="O54" s="280"/>
      <c r="P54" s="280"/>
      <c r="Q54" s="280"/>
      <c r="R54" s="290"/>
      <c r="S54" s="281"/>
      <c r="T54" s="222"/>
      <c r="U54" s="281"/>
      <c r="V54" s="281"/>
      <c r="W54" s="281"/>
      <c r="X54" s="281"/>
    </row>
    <row r="55" ht="1.5" customHeight="1">
      <c r="A55" s="281"/>
      <c r="B55" s="302" t="s">
        <v>740</v>
      </c>
      <c r="C55" s="280" t="s">
        <v>741</v>
      </c>
      <c r="D55" s="289">
        <f>ROUND((F55*'Pawn Weights'!$E$22)+(G55*'Pawn Weights'!$E$23)+(H55*'Pawn Weights'!$E$24)+(I55*'Pawn Weights'!$E$25)+(J55*'Pawn Weights'!$E$26)+(K55*'Pawn Weights'!$E$27)+(L55*'Pawn Weights'!$E$28)+(M55*'Pawn Weights'!$E$29)+(N55*'Pawn Weights'!$E$30)+(O55*'Pawn Weights'!$E$31)+(P55*'Pawn Weights'!$E$32)+(Q55*'Pawn Weights'!$E$33), 2)</f>
        <v>49.86</v>
      </c>
      <c r="E55" s="280">
        <v>28.0</v>
      </c>
      <c r="F55" s="280"/>
      <c r="G55" s="280">
        <v>28.0</v>
      </c>
      <c r="H55" s="280">
        <v>68.0</v>
      </c>
      <c r="I55" s="280"/>
      <c r="J55" s="280"/>
      <c r="K55" s="280"/>
      <c r="L55" s="280"/>
      <c r="M55" s="280"/>
      <c r="N55" s="280"/>
      <c r="O55" s="280"/>
      <c r="P55" s="280"/>
      <c r="Q55" s="280"/>
      <c r="R55" s="290"/>
      <c r="S55" s="281"/>
      <c r="T55" s="222"/>
      <c r="U55" s="281"/>
      <c r="V55" s="281"/>
      <c r="W55" s="281"/>
      <c r="X55" s="281"/>
    </row>
    <row r="56">
      <c r="A56" s="281"/>
      <c r="B56" s="302" t="s">
        <v>1084</v>
      </c>
      <c r="C56" s="280" t="s">
        <v>900</v>
      </c>
      <c r="D56" s="289">
        <f>ROUND((F56*'Pawn Weights'!$E$22)+(G56*'Pawn Weights'!$E$23)+(H56*'Pawn Weights'!$E$24)+(I56*'Pawn Weights'!$E$25)+(J56*'Pawn Weights'!$E$26)+(K56*'Pawn Weights'!$E$27)+(L56*'Pawn Weights'!$E$28)+(M56*'Pawn Weights'!$E$29)+(N56*'Pawn Weights'!$E$30)+(O56*'Pawn Weights'!$E$31)+(P56*'Pawn Weights'!$E$32)+(Q56*'Pawn Weights'!$E$33), 2)</f>
        <v>48.57</v>
      </c>
      <c r="E56" s="280">
        <v>22.0</v>
      </c>
      <c r="F56" s="280">
        <v>33.0</v>
      </c>
      <c r="G56" s="280">
        <v>23.0</v>
      </c>
      <c r="H56" s="280"/>
      <c r="I56" s="280"/>
      <c r="J56" s="280"/>
      <c r="K56" s="280"/>
      <c r="L56" s="280"/>
      <c r="M56" s="280"/>
      <c r="N56" s="280"/>
      <c r="O56" s="280"/>
      <c r="P56" s="280"/>
      <c r="Q56" s="280"/>
      <c r="R56" s="290"/>
      <c r="S56" s="281"/>
      <c r="T56" s="222"/>
      <c r="U56" s="281"/>
      <c r="V56" s="281"/>
      <c r="W56" s="281"/>
      <c r="X56" s="281"/>
    </row>
    <row r="57">
      <c r="A57" s="272" t="s">
        <v>742</v>
      </c>
      <c r="B57" s="281"/>
      <c r="C57" s="281"/>
      <c r="D57" s="360"/>
      <c r="E57" s="281"/>
      <c r="F57" s="281"/>
      <c r="G57" s="281"/>
      <c r="H57" s="281"/>
      <c r="I57" s="281"/>
      <c r="J57" s="281"/>
      <c r="K57" s="281"/>
      <c r="L57" s="281"/>
      <c r="M57" s="281"/>
      <c r="N57" s="281"/>
      <c r="O57" s="281"/>
      <c r="P57" s="281"/>
      <c r="Q57" s="281"/>
      <c r="R57" s="282"/>
      <c r="S57" s="281"/>
      <c r="T57" s="222"/>
      <c r="U57" s="281"/>
      <c r="V57" s="281"/>
      <c r="W57" s="281"/>
    </row>
    <row r="58">
      <c r="A58" s="137" t="s">
        <v>627</v>
      </c>
      <c r="B58" s="381" t="s">
        <v>746</v>
      </c>
      <c r="C58" s="361" t="s">
        <v>747</v>
      </c>
      <c r="D58" s="289">
        <f>ROUND((F58*'Pawn Weights'!$E$22)+(G58*'Pawn Weights'!$E$23)+(H58*'Pawn Weights'!$E$24)+(I58*'Pawn Weights'!$E$25)+(J58*'Pawn Weights'!$E$26)+(K58*'Pawn Weights'!$E$27)+(L58*'Pawn Weights'!$E$28)+(M58*'Pawn Weights'!$E$29)+(N58*'Pawn Weights'!$E$30)+(O58*'Pawn Weights'!$E$31)+(P58*'Pawn Weights'!$E$32)+(Q58*'Pawn Weights'!$E$33)+3.68, 2)</f>
        <v>183.08</v>
      </c>
      <c r="E58" s="359">
        <v>55.0</v>
      </c>
      <c r="F58" s="359">
        <v>61.0</v>
      </c>
      <c r="G58" s="361"/>
      <c r="H58" s="361"/>
      <c r="I58" s="359">
        <v>41.0</v>
      </c>
      <c r="J58" s="361"/>
      <c r="K58" s="361"/>
      <c r="L58" s="361"/>
      <c r="M58" s="359">
        <v>280.0</v>
      </c>
      <c r="N58" s="361"/>
      <c r="O58" s="359">
        <v>3.0</v>
      </c>
      <c r="P58" s="361"/>
      <c r="Q58" s="361"/>
      <c r="R58" s="359" t="s">
        <v>624</v>
      </c>
      <c r="S58" s="137"/>
      <c r="T58" s="361" t="s">
        <v>748</v>
      </c>
      <c r="U58" s="137"/>
      <c r="V58" s="137"/>
      <c r="W58" s="137"/>
      <c r="X58" s="137"/>
      <c r="Y58" s="137"/>
      <c r="Z58" s="137"/>
    </row>
    <row r="59">
      <c r="A59" s="137"/>
      <c r="B59" s="381" t="s">
        <v>749</v>
      </c>
      <c r="C59" s="361" t="s">
        <v>750</v>
      </c>
      <c r="D59" s="289">
        <f>ROUND((F59*'Pawn Weights'!$E$22)+(G59*'Pawn Weights'!$E$23)+(H59*'Pawn Weights'!$E$24)+(I59*'Pawn Weights'!$E$25)+(J59*'Pawn Weights'!$E$26)+(K59*'Pawn Weights'!$E$27)+(L59*'Pawn Weights'!$E$28)+(M59*'Pawn Weights'!$E$29)+(N59*'Pawn Weights'!$E$30)+(O59*'Pawn Weights'!$E$31)+(P59*'Pawn Weights'!$E$32)+(Q59*'Pawn Weights'!$E$33)-10+9.6+3.636, 2)</f>
        <v>157.13</v>
      </c>
      <c r="E59" s="359">
        <v>45.0</v>
      </c>
      <c r="F59" s="361"/>
      <c r="G59" s="359">
        <v>42.0</v>
      </c>
      <c r="H59" s="359">
        <v>120.0</v>
      </c>
      <c r="I59" s="361"/>
      <c r="J59" s="359">
        <v>30.0</v>
      </c>
      <c r="K59" s="359">
        <v>38.0</v>
      </c>
      <c r="L59" s="361"/>
      <c r="M59" s="137"/>
      <c r="N59" s="361"/>
      <c r="O59" s="359">
        <v>2.0</v>
      </c>
      <c r="P59" s="359">
        <v>1.0</v>
      </c>
      <c r="Q59" s="361"/>
      <c r="R59" s="359" t="s">
        <v>745</v>
      </c>
      <c r="S59" s="137"/>
      <c r="T59" s="406" t="s">
        <v>748</v>
      </c>
      <c r="U59" s="137"/>
      <c r="V59" s="137"/>
      <c r="W59" s="137"/>
      <c r="X59" s="137"/>
      <c r="Y59" s="137"/>
      <c r="Z59" s="137"/>
    </row>
    <row r="60">
      <c r="A60" s="137" t="s">
        <v>635</v>
      </c>
      <c r="B60" s="381" t="s">
        <v>754</v>
      </c>
      <c r="C60" s="361" t="s">
        <v>637</v>
      </c>
      <c r="D60" s="289">
        <f>ROUND((F60*'Pawn Weights'!$E$22)+(G60*'Pawn Weights'!$E$23)+(H60*'Pawn Weights'!$E$24)+(I60*'Pawn Weights'!$E$25)+(J60*'Pawn Weights'!$E$26)+(K60*'Pawn Weights'!$E$27)+(L60*'Pawn Weights'!$E$28)+(M60*'Pawn Weights'!$E$29)+(N60*'Pawn Weights'!$E$30)+(O60*'Pawn Weights'!$E$31)+(P60*'Pawn Weights'!$E$32)+(Q60*'Pawn Weights'!$E$33)-10+9.6+3.68, 2)</f>
        <v>147.12</v>
      </c>
      <c r="E60" s="359">
        <v>76.0</v>
      </c>
      <c r="F60" s="359">
        <v>45.0</v>
      </c>
      <c r="G60" s="361"/>
      <c r="H60" s="361"/>
      <c r="I60" s="359">
        <v>45.0</v>
      </c>
      <c r="J60" s="359">
        <v>18.0</v>
      </c>
      <c r="K60" s="361"/>
      <c r="L60" s="361"/>
      <c r="M60" s="359">
        <v>84.0</v>
      </c>
      <c r="N60" s="361"/>
      <c r="O60" s="359">
        <v>2.0</v>
      </c>
      <c r="P60" s="359">
        <v>1.0</v>
      </c>
      <c r="Q60" s="361"/>
      <c r="R60" s="359" t="s">
        <v>624</v>
      </c>
      <c r="S60" s="137"/>
      <c r="T60" s="361" t="s">
        <v>755</v>
      </c>
      <c r="U60" s="137"/>
      <c r="V60" s="137"/>
      <c r="W60" s="137"/>
      <c r="X60" s="137"/>
      <c r="Y60" s="137"/>
      <c r="Z60" s="137"/>
    </row>
    <row r="61">
      <c r="A61" s="292"/>
      <c r="B61" s="305" t="s">
        <v>758</v>
      </c>
      <c r="C61" s="280" t="s">
        <v>642</v>
      </c>
      <c r="D61" s="289">
        <f>ROUND((F61*'Pawn Weights'!$E$22)+(G61*'Pawn Weights'!$E$23)+(H61*'Pawn Weights'!$E$24)+(I61*'Pawn Weights'!$E$25)+(J61*'Pawn Weights'!$E$26)+(K61*'Pawn Weights'!$E$27)+(L61*'Pawn Weights'!$E$28)+(M61*'Pawn Weights'!$E$29)+(N61*'Pawn Weights'!$E$30)+(O61*'Pawn Weights'!$E$31)+(P61*'Pawn Weights'!$E$32)+(Q61*'Pawn Weights'!$E$33), 2)</f>
        <v>140.22</v>
      </c>
      <c r="E61" s="280">
        <v>64.0</v>
      </c>
      <c r="F61" s="280"/>
      <c r="G61" s="280"/>
      <c r="H61" s="280">
        <v>106.0</v>
      </c>
      <c r="I61" s="280">
        <v>46.0</v>
      </c>
      <c r="J61" s="280">
        <v>29.0</v>
      </c>
      <c r="K61" s="280"/>
      <c r="L61" s="280"/>
      <c r="M61" s="281"/>
      <c r="N61" s="280"/>
      <c r="O61" s="280">
        <v>1.0</v>
      </c>
      <c r="P61" s="280">
        <v>1.0</v>
      </c>
      <c r="Q61" s="280">
        <v>1.0</v>
      </c>
      <c r="R61" s="290" t="s">
        <v>745</v>
      </c>
      <c r="S61" s="281"/>
      <c r="T61" s="291"/>
      <c r="U61" s="281"/>
      <c r="V61" s="281"/>
      <c r="W61" s="281"/>
    </row>
    <row r="62">
      <c r="A62" s="292" t="s">
        <v>640</v>
      </c>
      <c r="B62" s="305" t="s">
        <v>757</v>
      </c>
      <c r="C62" s="280" t="s">
        <v>632</v>
      </c>
      <c r="D62" s="289">
        <f>ROUND((F62*'Pawn Weights'!$E$22)+(G62*'Pawn Weights'!$E$23)+(H62*'Pawn Weights'!$E$24)+(I62*'Pawn Weights'!$E$25)+(J62*'Pawn Weights'!$E$26)+(K62*'Pawn Weights'!$E$27)+(L62*'Pawn Weights'!$E$28)+(M62*'Pawn Weights'!$E$29)+(N62*'Pawn Weights'!$E$30)+(O62*'Pawn Weights'!$E$31)+(P62*'Pawn Weights'!$E$32)+(Q62*'Pawn Weights'!$E$33), 2)</f>
        <v>139.7</v>
      </c>
      <c r="E62" s="280">
        <v>54.0</v>
      </c>
      <c r="F62" s="280">
        <v>53.0</v>
      </c>
      <c r="G62" s="280">
        <v>34.0</v>
      </c>
      <c r="H62" s="280"/>
      <c r="I62" s="280"/>
      <c r="J62" s="280">
        <v>16.0</v>
      </c>
      <c r="K62" s="280"/>
      <c r="L62" s="280"/>
      <c r="M62" s="280">
        <v>126.0</v>
      </c>
      <c r="N62" s="280"/>
      <c r="O62" s="280">
        <v>1.0</v>
      </c>
      <c r="P62" s="280"/>
      <c r="Q62" s="280">
        <v>2.0</v>
      </c>
      <c r="R62" s="290" t="s">
        <v>624</v>
      </c>
      <c r="S62" s="281"/>
      <c r="T62" s="291"/>
      <c r="U62" s="281"/>
      <c r="V62" s="281"/>
      <c r="W62" s="281"/>
    </row>
    <row r="63">
      <c r="A63" s="295" t="s">
        <v>627</v>
      </c>
      <c r="B63" s="308" t="s">
        <v>753</v>
      </c>
      <c r="C63" s="297" t="s">
        <v>750</v>
      </c>
      <c r="D63" s="289">
        <f>ROUND((F63*'Pawn Weights'!$E$22)+(G63*'Pawn Weights'!$E$23)+(H63*'Pawn Weights'!$E$24)+(I63*'Pawn Weights'!$E$25)+(J63*'Pawn Weights'!$E$26)+(K63*'Pawn Weights'!$E$27)+(L63*'Pawn Weights'!$E$28)+(M63*'Pawn Weights'!$E$29)+(N63*'Pawn Weights'!$E$30)+(O63*'Pawn Weights'!$E$31)+(P63*'Pawn Weights'!$E$32)+(Q63*'Pawn Weights'!$E$33)+3.636, 2)</f>
        <v>134.45</v>
      </c>
      <c r="E63" s="298">
        <v>43.0</v>
      </c>
      <c r="F63" s="297"/>
      <c r="G63" s="298">
        <v>44.0</v>
      </c>
      <c r="H63" s="298">
        <v>104.0</v>
      </c>
      <c r="I63" s="297"/>
      <c r="J63" s="297"/>
      <c r="K63" s="298">
        <v>44.0</v>
      </c>
      <c r="L63" s="297"/>
      <c r="M63" s="295"/>
      <c r="N63" s="297"/>
      <c r="O63" s="298">
        <v>3.0</v>
      </c>
      <c r="P63" s="297"/>
      <c r="Q63" s="297"/>
      <c r="R63" s="298" t="s">
        <v>745</v>
      </c>
      <c r="S63" s="137"/>
      <c r="T63" s="363" t="s">
        <v>748</v>
      </c>
      <c r="U63" s="137"/>
      <c r="V63" s="137"/>
      <c r="W63" s="137"/>
      <c r="X63" s="137"/>
      <c r="Y63" s="137"/>
      <c r="Z63" s="137"/>
    </row>
    <row r="64">
      <c r="A64" s="292" t="s">
        <v>644</v>
      </c>
      <c r="B64" s="305" t="s">
        <v>759</v>
      </c>
      <c r="C64" s="280" t="s">
        <v>646</v>
      </c>
      <c r="D64" s="289">
        <f>ROUND((F64*'Pawn Weights'!$E$22)+(G64*'Pawn Weights'!$E$23)+(H64*'Pawn Weights'!$E$24)+(I64*'Pawn Weights'!$E$25)+(J64*'Pawn Weights'!$E$26)+(K64*'Pawn Weights'!$E$27)+(L64*'Pawn Weights'!$E$28)+(M64*'Pawn Weights'!$E$29)+(N64*'Pawn Weights'!$E$30)+(O64*'Pawn Weights'!$E$31)+(P64*'Pawn Weights'!$E$32)+(Q64*'Pawn Weights'!$E$33)-10+9.6+2.72, 2)</f>
        <v>130.56</v>
      </c>
      <c r="E64" s="280">
        <v>67.0</v>
      </c>
      <c r="F64" s="280">
        <v>39.0</v>
      </c>
      <c r="G64" s="280"/>
      <c r="H64" s="280"/>
      <c r="I64" s="280">
        <v>39.0</v>
      </c>
      <c r="J64" s="280">
        <v>12.0</v>
      </c>
      <c r="K64" s="280"/>
      <c r="L64" s="280"/>
      <c r="M64" s="280">
        <v>84.0</v>
      </c>
      <c r="N64" s="280"/>
      <c r="O64" s="280">
        <v>2.0</v>
      </c>
      <c r="P64" s="280">
        <v>1.0</v>
      </c>
      <c r="Q64" s="280"/>
      <c r="R64" s="290" t="s">
        <v>624</v>
      </c>
      <c r="S64" s="281"/>
      <c r="T64" s="291" t="s">
        <v>755</v>
      </c>
      <c r="U64" s="281"/>
      <c r="V64" s="281"/>
      <c r="W64" s="281"/>
    </row>
    <row r="65">
      <c r="A65" s="292" t="s">
        <v>627</v>
      </c>
      <c r="B65" s="305" t="s">
        <v>760</v>
      </c>
      <c r="C65" s="280" t="s">
        <v>761</v>
      </c>
      <c r="D65" s="289">
        <f>ROUND((F65*'Pawn Weights'!$E$22)+(G65*'Pawn Weights'!$E$23)+(H65*'Pawn Weights'!$E$24)+(I65*'Pawn Weights'!$E$25)+(J65*'Pawn Weights'!$E$26)+(K65*'Pawn Weights'!$E$27)+(L65*'Pawn Weights'!$E$28)+(M65*'Pawn Weights'!$E$29)+(N65*'Pawn Weights'!$E$30)+(O65*'Pawn Weights'!$E$31)+(P65*'Pawn Weights'!$E$32)+(Q65*'Pawn Weights'!$E$33), 2)</f>
        <v>124.72</v>
      </c>
      <c r="E65" s="280">
        <v>56.0</v>
      </c>
      <c r="F65" s="280">
        <v>40.0</v>
      </c>
      <c r="G65" s="280"/>
      <c r="H65" s="280"/>
      <c r="I65" s="280">
        <v>41.0</v>
      </c>
      <c r="J65" s="280">
        <v>25.0</v>
      </c>
      <c r="K65" s="280"/>
      <c r="L65" s="280"/>
      <c r="M65" s="281"/>
      <c r="N65" s="280"/>
      <c r="O65" s="280"/>
      <c r="P65" s="280">
        <v>2.0</v>
      </c>
      <c r="Q65" s="280">
        <v>1.0</v>
      </c>
      <c r="R65" s="290" t="s">
        <v>624</v>
      </c>
      <c r="S65" s="281"/>
      <c r="T65" s="291" t="s">
        <v>762</v>
      </c>
      <c r="U65" s="281"/>
      <c r="V65" s="281"/>
      <c r="W65" s="281"/>
    </row>
    <row r="66">
      <c r="A66" s="292"/>
      <c r="B66" s="305" t="s">
        <v>763</v>
      </c>
      <c r="C66" s="280" t="s">
        <v>701</v>
      </c>
      <c r="D66" s="289">
        <f>ROUND((F66*'Pawn Weights'!$E$22)+(G66*'Pawn Weights'!$E$23)+(H66*'Pawn Weights'!$E$24)+(I66*'Pawn Weights'!$E$25)+(J66*'Pawn Weights'!$E$26)+(K66*'Pawn Weights'!$E$27)+(L66*'Pawn Weights'!$E$28)+(M66*'Pawn Weights'!$E$29)+(N66*'Pawn Weights'!$E$30)+(O66*'Pawn Weights'!$E$31)+(P66*'Pawn Weights'!$E$32)+(Q66*'Pawn Weights'!$E$33), 2)</f>
        <v>123.88</v>
      </c>
      <c r="E66" s="280">
        <v>45.0</v>
      </c>
      <c r="F66" s="280">
        <v>63.0</v>
      </c>
      <c r="G66" s="280"/>
      <c r="H66" s="280"/>
      <c r="I66" s="280">
        <v>44.0</v>
      </c>
      <c r="J66" s="280">
        <v>30.0</v>
      </c>
      <c r="K66" s="280"/>
      <c r="L66" s="280"/>
      <c r="M66" s="281"/>
      <c r="N66" s="280"/>
      <c r="O66" s="280"/>
      <c r="P66" s="280"/>
      <c r="Q66" s="280"/>
      <c r="R66" s="290"/>
      <c r="S66" s="281"/>
      <c r="T66" s="291"/>
      <c r="U66" s="281"/>
      <c r="V66" s="281"/>
      <c r="W66" s="281"/>
    </row>
    <row r="67">
      <c r="A67" s="281"/>
      <c r="B67" s="305" t="s">
        <v>764</v>
      </c>
      <c r="C67" s="307" t="s">
        <v>765</v>
      </c>
      <c r="D67" s="289">
        <f>ROUND((F67*'Pawn Weights'!$E$22)+(G67*'Pawn Weights'!$E$23)+(H67*'Pawn Weights'!$E$24)+(I67*'Pawn Weights'!$E$25)+(J67*'Pawn Weights'!$E$26)+(K67*'Pawn Weights'!$E$27)+(L67*'Pawn Weights'!$E$28)+(M67*'Pawn Weights'!$E$29)+(N67*'Pawn Weights'!$E$30)+(O67*'Pawn Weights'!$E$31)+(P67*'Pawn Weights'!$E$32)+(Q67*'Pawn Weights'!$E$33), 2)</f>
        <v>123.29</v>
      </c>
      <c r="E67" s="280">
        <v>24.0</v>
      </c>
      <c r="F67" s="280"/>
      <c r="G67" s="280"/>
      <c r="H67" s="280">
        <v>92.0</v>
      </c>
      <c r="I67" s="280">
        <v>36.0</v>
      </c>
      <c r="J67" s="280">
        <v>27.0</v>
      </c>
      <c r="K67" s="280"/>
      <c r="L67" s="280"/>
      <c r="M67" s="281"/>
      <c r="N67" s="280"/>
      <c r="O67" s="280"/>
      <c r="P67" s="280">
        <v>2.0</v>
      </c>
      <c r="Q67" s="280">
        <v>1.0</v>
      </c>
      <c r="R67" s="290" t="s">
        <v>1085</v>
      </c>
      <c r="S67" s="281"/>
      <c r="T67" s="291"/>
      <c r="U67" s="281"/>
      <c r="V67" s="281"/>
      <c r="W67" s="281"/>
    </row>
    <row r="68">
      <c r="A68" s="292" t="s">
        <v>647</v>
      </c>
      <c r="B68" s="305" t="s">
        <v>766</v>
      </c>
      <c r="C68" s="280" t="s">
        <v>741</v>
      </c>
      <c r="D68" s="289">
        <f>ROUND((F68*'Pawn Weights'!$E$22)+(G68*'Pawn Weights'!$E$23)+(H68*'Pawn Weights'!$E$24)+(I68*'Pawn Weights'!$E$25)+(J68*'Pawn Weights'!$E$26)+(K68*'Pawn Weights'!$E$27)+(L68*'Pawn Weights'!$E$28)+(M68*'Pawn Weights'!$E$29)+(N68*'Pawn Weights'!$E$30)+(O68*'Pawn Weights'!$E$31)+(P68*'Pawn Weights'!$E$32)+(Q68*'Pawn Weights'!$E$33), 2)</f>
        <v>120.56</v>
      </c>
      <c r="E68" s="280">
        <v>48.0</v>
      </c>
      <c r="F68" s="280">
        <v>50.0</v>
      </c>
      <c r="G68" s="280"/>
      <c r="H68" s="280"/>
      <c r="I68" s="280">
        <v>33.0</v>
      </c>
      <c r="J68" s="280">
        <v>15.0</v>
      </c>
      <c r="K68" s="280"/>
      <c r="L68" s="280"/>
      <c r="M68" s="281"/>
      <c r="N68" s="280"/>
      <c r="O68" s="280">
        <v>1.0</v>
      </c>
      <c r="P68" s="280">
        <v>1.0</v>
      </c>
      <c r="Q68" s="280">
        <v>1.0</v>
      </c>
      <c r="R68" s="290" t="s">
        <v>643</v>
      </c>
      <c r="S68" s="281"/>
      <c r="T68" s="291"/>
      <c r="U68" s="281"/>
      <c r="V68" s="281"/>
      <c r="W68" s="281"/>
    </row>
    <row r="69">
      <c r="A69" s="292"/>
      <c r="B69" s="305" t="s">
        <v>767</v>
      </c>
      <c r="C69" s="280" t="s">
        <v>665</v>
      </c>
      <c r="D69" s="289">
        <f>ROUND((F69*'Pawn Weights'!$E$22)+(G69*'Pawn Weights'!$E$23)+(H69*'Pawn Weights'!$E$24)+(I69*'Pawn Weights'!$E$25)+(J69*'Pawn Weights'!$E$26)+(K69*'Pawn Weights'!$E$27)+(L69*'Pawn Weights'!$E$28)+(M69*'Pawn Weights'!$E$29)+(N69*'Pawn Weights'!$E$30)+(O69*'Pawn Weights'!$E$31)+(P69*'Pawn Weights'!$E$32)+(Q69*'Pawn Weights'!$E$33), 2)</f>
        <v>117.26</v>
      </c>
      <c r="E69" s="280">
        <v>52.0</v>
      </c>
      <c r="F69" s="280"/>
      <c r="G69" s="280">
        <v>36.0</v>
      </c>
      <c r="H69" s="280">
        <v>86.0</v>
      </c>
      <c r="I69" s="280"/>
      <c r="J69" s="280">
        <v>35.0</v>
      </c>
      <c r="K69" s="280"/>
      <c r="L69" s="280"/>
      <c r="M69" s="281"/>
      <c r="N69" s="280"/>
      <c r="O69" s="280">
        <v>1.0</v>
      </c>
      <c r="P69" s="280">
        <v>1.0</v>
      </c>
      <c r="Q69" s="280">
        <v>1.0</v>
      </c>
      <c r="R69" s="290" t="s">
        <v>745</v>
      </c>
      <c r="S69" s="281"/>
      <c r="T69" s="291"/>
      <c r="U69" s="281"/>
      <c r="V69" s="281"/>
      <c r="W69" s="281"/>
    </row>
    <row r="70">
      <c r="A70" s="292" t="s">
        <v>627</v>
      </c>
      <c r="B70" s="305" t="s">
        <v>770</v>
      </c>
      <c r="C70" s="280" t="s">
        <v>771</v>
      </c>
      <c r="D70" s="289">
        <f>ROUND((F70*'Pawn Weights'!$E$22)+(G70*'Pawn Weights'!$E$23)+(H70*'Pawn Weights'!$E$24)+(I70*'Pawn Weights'!$E$25)+(J70*'Pawn Weights'!$E$26)+(K70*'Pawn Weights'!$E$27)+(L70*'Pawn Weights'!$E$28)+(M70*'Pawn Weights'!$E$29)+(N70*'Pawn Weights'!$E$30)+(O70*'Pawn Weights'!$E$31)+(P70*'Pawn Weights'!$E$32)+(Q70*'Pawn Weights'!$E$33), 2)</f>
        <v>114.68</v>
      </c>
      <c r="E70" s="280">
        <v>55.0</v>
      </c>
      <c r="F70" s="280">
        <v>35.0</v>
      </c>
      <c r="G70" s="280"/>
      <c r="H70" s="280"/>
      <c r="I70" s="280">
        <v>37.0</v>
      </c>
      <c r="J70" s="280">
        <v>23.0</v>
      </c>
      <c r="K70" s="280"/>
      <c r="L70" s="280"/>
      <c r="M70" s="281"/>
      <c r="N70" s="280"/>
      <c r="O70" s="280"/>
      <c r="P70" s="280">
        <v>2.0</v>
      </c>
      <c r="Q70" s="280">
        <v>1.0</v>
      </c>
      <c r="R70" s="290" t="s">
        <v>624</v>
      </c>
      <c r="S70" s="281"/>
      <c r="T70" s="291" t="s">
        <v>762</v>
      </c>
      <c r="U70" s="281"/>
      <c r="V70" s="281"/>
      <c r="W70" s="281"/>
    </row>
    <row r="71">
      <c r="A71" s="295"/>
      <c r="B71" s="308" t="s">
        <v>772</v>
      </c>
      <c r="C71" s="297" t="s">
        <v>773</v>
      </c>
      <c r="D71" s="289">
        <f>ROUND((F71*'Pawn Weights'!$E$22)+(G71*'Pawn Weights'!$E$23)+(H71*'Pawn Weights'!$E$24)+(I71*'Pawn Weights'!$E$25)+(J71*'Pawn Weights'!$E$26)+(K71*'Pawn Weights'!$E$27)+(L71*'Pawn Weights'!$E$28)+(M71*'Pawn Weights'!$E$29)+(N71*'Pawn Weights'!$E$30)+(O71*'Pawn Weights'!$E$31)+(P71*'Pawn Weights'!$E$32)+(Q71*'Pawn Weights'!$E$33), 2)</f>
        <v>113.84</v>
      </c>
      <c r="E71" s="298">
        <v>42.0</v>
      </c>
      <c r="F71" s="298">
        <v>44.0</v>
      </c>
      <c r="G71" s="297"/>
      <c r="H71" s="297"/>
      <c r="I71" s="298">
        <v>30.0</v>
      </c>
      <c r="J71" s="298">
        <v>18.0</v>
      </c>
      <c r="K71" s="297"/>
      <c r="L71" s="297"/>
      <c r="M71" s="137"/>
      <c r="N71" s="297"/>
      <c r="O71" s="298">
        <v>1.0</v>
      </c>
      <c r="P71" s="298">
        <v>1.0</v>
      </c>
      <c r="Q71" s="298">
        <v>1.0</v>
      </c>
      <c r="R71" s="298" t="s">
        <v>643</v>
      </c>
      <c r="S71" s="137"/>
      <c r="T71" s="295"/>
      <c r="U71" s="137"/>
      <c r="V71" s="137"/>
      <c r="W71" s="137"/>
      <c r="X71" s="137"/>
      <c r="Y71" s="137"/>
      <c r="Z71" s="137"/>
    </row>
    <row r="72">
      <c r="A72" s="292"/>
      <c r="B72" s="305" t="s">
        <v>776</v>
      </c>
      <c r="C72" s="280" t="s">
        <v>739</v>
      </c>
      <c r="D72" s="289">
        <f>ROUND((F72*'Pawn Weights'!$E$22)+(G72*'Pawn Weights'!$E$23)+(H72*'Pawn Weights'!$E$24)+(I72*'Pawn Weights'!$E$25)+(J72*'Pawn Weights'!$E$26)+(K72*'Pawn Weights'!$E$27)+(L72*'Pawn Weights'!$E$28)+(M72*'Pawn Weights'!$E$29)+(N72*'Pawn Weights'!$E$30)+(O72*'Pawn Weights'!$E$31)+(P72*'Pawn Weights'!$E$32)+(Q72*'Pawn Weights'!$E$33)-20+19.2+3.68, 2)</f>
        <v>113.79</v>
      </c>
      <c r="E72" s="280"/>
      <c r="F72" s="280"/>
      <c r="G72" s="280"/>
      <c r="H72" s="280">
        <v>96.0</v>
      </c>
      <c r="I72" s="280">
        <v>25.0</v>
      </c>
      <c r="J72" s="280">
        <v>21.0</v>
      </c>
      <c r="K72" s="280"/>
      <c r="L72" s="280"/>
      <c r="M72" s="281"/>
      <c r="N72" s="280"/>
      <c r="O72" s="280">
        <v>1.0</v>
      </c>
      <c r="P72" s="280">
        <v>2.0</v>
      </c>
      <c r="Q72" s="280"/>
      <c r="R72" s="290" t="s">
        <v>624</v>
      </c>
      <c r="S72" s="281"/>
      <c r="T72" s="291"/>
      <c r="U72" s="281"/>
      <c r="V72" s="281"/>
      <c r="W72" s="281"/>
    </row>
    <row r="73">
      <c r="A73" s="281"/>
      <c r="B73" s="305" t="s">
        <v>1086</v>
      </c>
      <c r="C73" s="307" t="s">
        <v>649</v>
      </c>
      <c r="D73" s="289">
        <f>ROUND((F73*'Pawn Weights'!$E$22)+(G73*'Pawn Weights'!$E$23)+(H73*'Pawn Weights'!$E$24)+(I73*'Pawn Weights'!$E$25)+(J73*'Pawn Weights'!$E$26)+(K73*'Pawn Weights'!$E$27)+(L73*'Pawn Weights'!$E$28)+(M73*'Pawn Weights'!$E$29)+(N73*'Pawn Weights'!$E$30)+(O73*'Pawn Weights'!$E$31)+(P73*'Pawn Weights'!$E$32)+(Q73*'Pawn Weights'!$E$33), 2)</f>
        <v>110.51</v>
      </c>
      <c r="E73" s="280">
        <v>42.0</v>
      </c>
      <c r="F73" s="280">
        <v>61.0</v>
      </c>
      <c r="G73" s="280">
        <v>43.0</v>
      </c>
      <c r="H73" s="280"/>
      <c r="I73" s="280"/>
      <c r="J73" s="280">
        <v>30.0</v>
      </c>
      <c r="K73" s="280"/>
      <c r="L73" s="280"/>
      <c r="M73" s="281"/>
      <c r="N73" s="280"/>
      <c r="O73" s="280"/>
      <c r="P73" s="280"/>
      <c r="Q73" s="280"/>
      <c r="R73" s="290"/>
      <c r="S73" s="281"/>
      <c r="T73" s="291"/>
      <c r="U73" s="281"/>
      <c r="V73" s="281"/>
      <c r="W73" s="281"/>
    </row>
    <row r="74">
      <c r="A74" s="292" t="s">
        <v>1068</v>
      </c>
      <c r="B74" s="305" t="s">
        <v>1087</v>
      </c>
      <c r="C74" s="280" t="s">
        <v>997</v>
      </c>
      <c r="D74" s="289">
        <f>ROUND((F74*'Pawn Weights'!$E$22)+(G74*'Pawn Weights'!$E$23)+(H74*'Pawn Weights'!$E$24)+(I74*'Pawn Weights'!$E$25)+(J74*'Pawn Weights'!$E$26)+(K74*'Pawn Weights'!$E$27)+(L74*'Pawn Weights'!$E$28)+(M74*'Pawn Weights'!$E$29)+(N74*'Pawn Weights'!$E$30)+(O74*'Pawn Weights'!$E$31)+(P74*'Pawn Weights'!$E$32)+(Q74*'Pawn Weights'!$E$33)-10+9.6+3.68, 2)</f>
        <v>110</v>
      </c>
      <c r="E74" s="280">
        <v>60.0</v>
      </c>
      <c r="F74" s="280">
        <v>35.0</v>
      </c>
      <c r="G74" s="280"/>
      <c r="H74" s="280"/>
      <c r="I74" s="280">
        <v>35.0</v>
      </c>
      <c r="J74" s="280">
        <v>14.0</v>
      </c>
      <c r="K74" s="280"/>
      <c r="L74" s="280"/>
      <c r="M74" s="281"/>
      <c r="N74" s="280"/>
      <c r="O74" s="280">
        <v>2.0</v>
      </c>
      <c r="P74" s="280">
        <v>1.0</v>
      </c>
      <c r="Q74" s="280"/>
      <c r="R74" s="290" t="s">
        <v>624</v>
      </c>
      <c r="S74" s="281"/>
      <c r="T74" s="291" t="s">
        <v>755</v>
      </c>
      <c r="U74" s="281"/>
      <c r="V74" s="281"/>
      <c r="W74" s="281"/>
    </row>
    <row r="75">
      <c r="A75" s="295"/>
      <c r="B75" s="308" t="s">
        <v>777</v>
      </c>
      <c r="C75" s="297" t="s">
        <v>775</v>
      </c>
      <c r="D75" s="289">
        <f>ROUND((F75*'Pawn Weights'!$E$22)+(G75*'Pawn Weights'!$E$23)+(H75*'Pawn Weights'!$E$24)+(I75*'Pawn Weights'!$E$25)+(J75*'Pawn Weights'!$E$26)+(K75*'Pawn Weights'!$E$27)+(L75*'Pawn Weights'!$E$28)+(M75*'Pawn Weights'!$E$29)+(N75*'Pawn Weights'!$E$30)+(O75*'Pawn Weights'!$E$31)+(P75*'Pawn Weights'!$E$32)+(Q75*'Pawn Weights'!$E$33), 2)</f>
        <v>109.27</v>
      </c>
      <c r="E75" s="298">
        <v>51.0</v>
      </c>
      <c r="F75" s="297"/>
      <c r="G75" s="298">
        <v>44.0</v>
      </c>
      <c r="H75" s="298">
        <v>102.0</v>
      </c>
      <c r="I75" s="297"/>
      <c r="J75" s="298">
        <v>34.0</v>
      </c>
      <c r="K75" s="297"/>
      <c r="L75" s="297"/>
      <c r="M75" s="137"/>
      <c r="N75" s="297"/>
      <c r="O75" s="298">
        <v>1.0</v>
      </c>
      <c r="P75" s="297"/>
      <c r="Q75" s="297"/>
      <c r="R75" s="298" t="s">
        <v>674</v>
      </c>
      <c r="S75" s="137"/>
      <c r="T75" s="295"/>
      <c r="U75" s="137"/>
      <c r="V75" s="137"/>
      <c r="W75" s="137"/>
      <c r="X75" s="137"/>
      <c r="Y75" s="137"/>
      <c r="Z75" s="137"/>
    </row>
    <row r="76" ht="6.75" customHeight="1">
      <c r="A76" s="292"/>
      <c r="B76" s="305" t="s">
        <v>1401</v>
      </c>
      <c r="C76" s="280" t="s">
        <v>642</v>
      </c>
      <c r="D76" s="289">
        <f>ROUND((F76*'Pawn Weights'!$E$22)+(G76*'Pawn Weights'!$E$23)+(H76*'Pawn Weights'!$E$24)+(I76*'Pawn Weights'!$E$25)+(J76*'Pawn Weights'!$E$26)+(K76*'Pawn Weights'!$E$27)+(L76*'Pawn Weights'!$E$28)+(M76*'Pawn Weights'!$E$29)+(N76*'Pawn Weights'!$E$30)+(O76*'Pawn Weights'!$E$31)+(P76*'Pawn Weights'!$E$32)+(Q76*'Pawn Weights'!$E$33), 2)</f>
        <v>108.94</v>
      </c>
      <c r="E76" s="280">
        <v>66.0</v>
      </c>
      <c r="F76" s="280"/>
      <c r="G76" s="280">
        <v>49.0</v>
      </c>
      <c r="H76" s="280">
        <v>108.0</v>
      </c>
      <c r="I76" s="280">
        <v>29.0</v>
      </c>
      <c r="J76" s="280"/>
      <c r="K76" s="280"/>
      <c r="L76" s="280"/>
      <c r="M76" s="281"/>
      <c r="N76" s="280"/>
      <c r="O76" s="280"/>
      <c r="P76" s="280"/>
      <c r="Q76" s="280"/>
      <c r="R76" s="290"/>
      <c r="S76" s="281"/>
      <c r="T76" s="291"/>
      <c r="U76" s="281"/>
      <c r="V76" s="281"/>
      <c r="W76" s="281"/>
    </row>
    <row r="77">
      <c r="A77" s="301"/>
      <c r="B77" s="305" t="s">
        <v>1333</v>
      </c>
      <c r="C77" s="280" t="s">
        <v>710</v>
      </c>
      <c r="D77" s="289">
        <f>ROUND((F77*'Pawn Weights'!$E$22)+(G77*'Pawn Weights'!$E$23)+(H77*'Pawn Weights'!$E$24)+(I77*'Pawn Weights'!$E$25)+(J77*'Pawn Weights'!$E$26)+(K77*'Pawn Weights'!$E$27)+(L77*'Pawn Weights'!$E$28)+(M77*'Pawn Weights'!$E$29)+(N77*'Pawn Weights'!$E$30)+(O77*'Pawn Weights'!$E$31)+(P77*'Pawn Weights'!$E$32)+(Q77*'Pawn Weights'!$E$33), 2)</f>
        <v>107.25</v>
      </c>
      <c r="E77" s="280">
        <v>19.0</v>
      </c>
      <c r="F77" s="280"/>
      <c r="G77" s="280">
        <v>36.0</v>
      </c>
      <c r="H77" s="280">
        <v>88.0</v>
      </c>
      <c r="I77" s="280">
        <v>14.0</v>
      </c>
      <c r="J77" s="280"/>
      <c r="K77" s="280"/>
      <c r="L77" s="280"/>
      <c r="M77" s="281"/>
      <c r="N77" s="280"/>
      <c r="O77" s="280">
        <v>1.0</v>
      </c>
      <c r="P77" s="280">
        <v>1.0</v>
      </c>
      <c r="Q77" s="280">
        <v>1.0</v>
      </c>
      <c r="R77" s="290" t="s">
        <v>622</v>
      </c>
      <c r="S77" s="281"/>
      <c r="T77" s="291"/>
      <c r="U77" s="281"/>
      <c r="V77" s="281"/>
      <c r="W77" s="281"/>
    </row>
    <row r="78">
      <c r="A78" s="295"/>
      <c r="B78" s="308" t="s">
        <v>1404</v>
      </c>
      <c r="C78" s="297" t="s">
        <v>1399</v>
      </c>
      <c r="D78" s="289">
        <f>ROUND((F78*'Pawn Weights'!$E$22)+(G78*'Pawn Weights'!$E$23)+(H78*'Pawn Weights'!$E$24)+(I78*'Pawn Weights'!$E$25)+(J78*'Pawn Weights'!$E$26)+(K78*'Pawn Weights'!$E$27)+(L78*'Pawn Weights'!$E$28)+(M78*'Pawn Weights'!$E$29)+(N78*'Pawn Weights'!$E$30)+(O78*'Pawn Weights'!$E$31)+(P78*'Pawn Weights'!$E$32)+(Q78*'Pawn Weights'!$E$33), 2)</f>
        <v>103.62</v>
      </c>
      <c r="E78" s="298">
        <v>36.0</v>
      </c>
      <c r="F78" s="298">
        <v>46.0</v>
      </c>
      <c r="G78" s="298">
        <v>45.0</v>
      </c>
      <c r="H78" s="297"/>
      <c r="I78" s="297"/>
      <c r="J78" s="297"/>
      <c r="K78" s="297"/>
      <c r="L78" s="297"/>
      <c r="M78" s="359">
        <v>150.0</v>
      </c>
      <c r="N78" s="297"/>
      <c r="O78" s="297"/>
      <c r="P78" s="297"/>
      <c r="Q78" s="297"/>
      <c r="R78" s="295"/>
      <c r="S78" s="137"/>
      <c r="T78" s="295"/>
      <c r="U78" s="137"/>
      <c r="V78" s="137"/>
      <c r="W78" s="137"/>
      <c r="X78" s="137"/>
      <c r="Y78" s="137"/>
      <c r="Z78" s="137"/>
    </row>
    <row r="79">
      <c r="A79" s="292" t="s">
        <v>627</v>
      </c>
      <c r="B79" s="305" t="s">
        <v>1418</v>
      </c>
      <c r="C79" s="280" t="s">
        <v>1419</v>
      </c>
      <c r="D79" s="289">
        <f>ROUND((F79*'Pawn Weights'!$E$22)+(G79*'Pawn Weights'!$E$23)+(H79*'Pawn Weights'!$E$24)+(I79*'Pawn Weights'!$E$25)+(J79*'Pawn Weights'!$E$26)+(K79*'Pawn Weights'!$E$27)+(L79*'Pawn Weights'!$E$28)+(M79*'Pawn Weights'!$E$29)+(N79*'Pawn Weights'!$E$30)+(O79*'Pawn Weights'!$E$31)+(P79*'Pawn Weights'!$E$32)+(Q79*'Pawn Weights'!$E$33), 2)</f>
        <v>103.12</v>
      </c>
      <c r="E79" s="280">
        <v>46.0</v>
      </c>
      <c r="F79" s="280">
        <v>31.0</v>
      </c>
      <c r="G79" s="280"/>
      <c r="H79" s="280"/>
      <c r="I79" s="280">
        <v>31.0</v>
      </c>
      <c r="J79" s="280">
        <v>20.0</v>
      </c>
      <c r="K79" s="280"/>
      <c r="L79" s="280"/>
      <c r="M79" s="281"/>
      <c r="N79" s="280"/>
      <c r="O79" s="280"/>
      <c r="P79" s="280">
        <v>2.0</v>
      </c>
      <c r="Q79" s="280">
        <v>1.0</v>
      </c>
      <c r="R79" s="290" t="s">
        <v>624</v>
      </c>
      <c r="S79" s="281"/>
      <c r="T79" s="291"/>
      <c r="U79" s="281"/>
      <c r="V79" s="281"/>
      <c r="W79" s="281"/>
    </row>
    <row r="80">
      <c r="A80" s="295"/>
      <c r="B80" s="308" t="s">
        <v>774</v>
      </c>
      <c r="C80" s="297" t="s">
        <v>775</v>
      </c>
      <c r="D80" s="289">
        <f>ROUND((F80*'Pawn Weights'!$E$22)+(G80*'Pawn Weights'!$E$23)+(H80*'Pawn Weights'!$E$24)+(I80*'Pawn Weights'!$E$25)+(J80*'Pawn Weights'!$E$26)+(K80*'Pawn Weights'!$E$27)+(L80*'Pawn Weights'!$E$28)+(M80*'Pawn Weights'!$E$29)+(N80*'Pawn Weights'!$E$30)+(O80*'Pawn Weights'!$E$31)+(P80*'Pawn Weights'!$E$32)+(Q80*'Pawn Weights'!$E$33)-10+9.6+1.818, 2)</f>
        <v>103.1</v>
      </c>
      <c r="E80" s="298">
        <v>39.0</v>
      </c>
      <c r="F80" s="297"/>
      <c r="G80" s="298">
        <v>47.0</v>
      </c>
      <c r="H80" s="298">
        <v>102.0</v>
      </c>
      <c r="I80" s="297"/>
      <c r="J80" s="297"/>
      <c r="K80" s="298">
        <v>25.0</v>
      </c>
      <c r="L80" s="297"/>
      <c r="M80" s="137"/>
      <c r="N80" s="297"/>
      <c r="O80" s="297"/>
      <c r="P80" s="298">
        <v>1.0</v>
      </c>
      <c r="Q80" s="297"/>
      <c r="R80" s="298" t="s">
        <v>660</v>
      </c>
      <c r="S80" s="137"/>
      <c r="T80" s="295"/>
      <c r="U80" s="137"/>
      <c r="V80" s="137"/>
      <c r="W80" s="137"/>
      <c r="X80" s="137"/>
      <c r="Y80" s="137"/>
      <c r="Z80" s="137"/>
    </row>
    <row r="81">
      <c r="A81" s="292" t="s">
        <v>654</v>
      </c>
      <c r="B81" s="305" t="s">
        <v>1420</v>
      </c>
      <c r="C81" s="280" t="s">
        <v>1163</v>
      </c>
      <c r="D81" s="289">
        <f>ROUND((F81*'Pawn Weights'!$E$22)+(G81*'Pawn Weights'!$E$23)+(H81*'Pawn Weights'!$E$24)+(I81*'Pawn Weights'!$E$25)+(J81*'Pawn Weights'!$E$26)+(K81*'Pawn Weights'!$E$27)+(L81*'Pawn Weights'!$E$28)+(M81*'Pawn Weights'!$E$29)+(N81*'Pawn Weights'!$E$30)+(O81*'Pawn Weights'!$E$31)+(P81*'Pawn Weights'!$E$32)+(Q81*'Pawn Weights'!$E$33), 2)</f>
        <v>97.92</v>
      </c>
      <c r="E81" s="280">
        <v>39.0</v>
      </c>
      <c r="F81" s="280">
        <v>44.0</v>
      </c>
      <c r="G81" s="280"/>
      <c r="H81" s="280"/>
      <c r="I81" s="280">
        <v>26.0</v>
      </c>
      <c r="J81" s="280"/>
      <c r="K81" s="280"/>
      <c r="L81" s="280"/>
      <c r="M81" s="281"/>
      <c r="N81" s="280"/>
      <c r="O81" s="280"/>
      <c r="P81" s="280">
        <v>1.0</v>
      </c>
      <c r="Q81" s="280">
        <v>2.0</v>
      </c>
      <c r="R81" s="290" t="s">
        <v>624</v>
      </c>
      <c r="S81" s="281"/>
      <c r="T81" s="291" t="s">
        <v>1421</v>
      </c>
      <c r="U81" s="281"/>
      <c r="V81" s="281"/>
      <c r="W81" s="281"/>
    </row>
    <row r="82">
      <c r="A82" s="301" t="s">
        <v>627</v>
      </c>
      <c r="B82" s="305" t="s">
        <v>1422</v>
      </c>
      <c r="C82" s="280" t="s">
        <v>1423</v>
      </c>
      <c r="D82" s="289">
        <f>ROUND((F82*'Pawn Weights'!$E$22)+(G82*'Pawn Weights'!$E$23)+(H82*'Pawn Weights'!$E$24)+(I82*'Pawn Weights'!$E$25)+(J82*'Pawn Weights'!$E$26)+(K82*'Pawn Weights'!$E$27)+(L82*'Pawn Weights'!$E$28)+(M82*'Pawn Weights'!$E$29)+(N82*'Pawn Weights'!$E$30)+(O82*'Pawn Weights'!$E$31)+(P82*'Pawn Weights'!$E$32)+(Q82*'Pawn Weights'!$E$33), 2)</f>
        <v>94.52</v>
      </c>
      <c r="E82" s="280">
        <v>12.0</v>
      </c>
      <c r="F82" s="280">
        <v>32.0</v>
      </c>
      <c r="G82" s="280">
        <v>40.0</v>
      </c>
      <c r="H82" s="280"/>
      <c r="I82" s="280"/>
      <c r="J82" s="280">
        <v>8.0</v>
      </c>
      <c r="K82" s="280"/>
      <c r="L82" s="280"/>
      <c r="M82" s="281"/>
      <c r="N82" s="280"/>
      <c r="O82" s="280">
        <v>1.0</v>
      </c>
      <c r="P82" s="280">
        <v>1.0</v>
      </c>
      <c r="Q82" s="280">
        <v>1.0</v>
      </c>
      <c r="R82" s="290" t="s">
        <v>622</v>
      </c>
      <c r="S82" s="281"/>
      <c r="T82" s="291"/>
      <c r="U82" s="281"/>
      <c r="V82" s="281"/>
      <c r="W82" s="281"/>
    </row>
    <row r="83">
      <c r="A83" s="292"/>
      <c r="B83" s="305" t="s">
        <v>1424</v>
      </c>
      <c r="C83" s="280" t="s">
        <v>857</v>
      </c>
      <c r="D83" s="289">
        <f>ROUND((F83*'Pawn Weights'!$E$22)+(G83*'Pawn Weights'!$E$23)+(H83*'Pawn Weights'!$E$24)+(I83*'Pawn Weights'!$E$25)+(J83*'Pawn Weights'!$E$26)+(K83*'Pawn Weights'!$E$27)+(L83*'Pawn Weights'!$E$28)+(M83*'Pawn Weights'!$E$29)+(N83*'Pawn Weights'!$E$30)+(O83*'Pawn Weights'!$E$31)+(P83*'Pawn Weights'!$E$32)+(Q83*'Pawn Weights'!$E$33), 2)</f>
        <v>91.99</v>
      </c>
      <c r="E83" s="280">
        <v>27.0</v>
      </c>
      <c r="F83" s="280"/>
      <c r="G83" s="280">
        <v>58.0</v>
      </c>
      <c r="H83" s="280">
        <v>116.0</v>
      </c>
      <c r="I83" s="280"/>
      <c r="J83" s="280"/>
      <c r="K83" s="280"/>
      <c r="L83" s="280"/>
      <c r="M83" s="281"/>
      <c r="N83" s="280"/>
      <c r="O83" s="280"/>
      <c r="P83" s="280"/>
      <c r="Q83" s="280"/>
      <c r="R83" s="290"/>
      <c r="S83" s="281"/>
      <c r="T83" s="291"/>
      <c r="U83" s="281"/>
      <c r="V83" s="281"/>
      <c r="W83" s="281"/>
    </row>
    <row r="84">
      <c r="A84" s="295"/>
      <c r="B84" s="308" t="s">
        <v>778</v>
      </c>
      <c r="C84" s="297" t="s">
        <v>775</v>
      </c>
      <c r="D84" s="289">
        <f>ROUND((F84*'Pawn Weights'!$E$22)+(G84*'Pawn Weights'!$E$23)+(H84*'Pawn Weights'!$E$24)+(I84*'Pawn Weights'!$E$25)+(J84*'Pawn Weights'!$E$26)+(K84*'Pawn Weights'!$E$27)+(L84*'Pawn Weights'!$E$28)+(M84*'Pawn Weights'!$E$29)+(N84*'Pawn Weights'!$E$30)+(O84*'Pawn Weights'!$E$31)+(P84*'Pawn Weights'!$E$32)+(Q84*'Pawn Weights'!$E$33), 2)</f>
        <v>89.54</v>
      </c>
      <c r="E84" s="298">
        <v>65.0</v>
      </c>
      <c r="F84" s="298">
        <v>52.0</v>
      </c>
      <c r="G84" s="297"/>
      <c r="H84" s="297"/>
      <c r="I84" s="297"/>
      <c r="J84" s="297"/>
      <c r="K84" s="298">
        <v>51.0</v>
      </c>
      <c r="L84" s="297"/>
      <c r="M84" s="137"/>
      <c r="N84" s="297"/>
      <c r="O84" s="298">
        <v>1.0</v>
      </c>
      <c r="P84" s="297"/>
      <c r="Q84" s="297"/>
      <c r="R84" s="298" t="s">
        <v>674</v>
      </c>
      <c r="S84" s="137"/>
      <c r="T84" s="295"/>
      <c r="U84" s="137"/>
      <c r="V84" s="137"/>
      <c r="W84" s="137"/>
      <c r="X84" s="137"/>
      <c r="Y84" s="137"/>
      <c r="Z84" s="137"/>
    </row>
    <row r="85">
      <c r="A85" s="272" t="s">
        <v>779</v>
      </c>
      <c r="B85" s="281"/>
      <c r="C85" s="281"/>
      <c r="D85" s="360"/>
      <c r="E85" s="281"/>
      <c r="F85" s="281"/>
      <c r="G85" s="281"/>
      <c r="H85" s="281"/>
      <c r="I85" s="281"/>
      <c r="J85" s="281"/>
      <c r="K85" s="281"/>
      <c r="L85" s="281"/>
      <c r="M85" s="281"/>
      <c r="N85" s="281"/>
      <c r="O85" s="281"/>
      <c r="P85" s="281"/>
      <c r="Q85" s="281"/>
      <c r="R85" s="282"/>
      <c r="S85" s="281"/>
      <c r="T85" s="285"/>
      <c r="U85" s="281"/>
      <c r="V85" s="281"/>
      <c r="W85" s="281"/>
    </row>
    <row r="86">
      <c r="A86" s="281"/>
      <c r="B86" s="288" t="s">
        <v>782</v>
      </c>
      <c r="C86" s="280" t="s">
        <v>706</v>
      </c>
      <c r="D86" s="289">
        <f>ROUND((F86*'Pawn Weights'!$E$22)+(G86*'Pawn Weights'!$E$23)+(H86*'Pawn Weights'!$E$24)+(I86*'Pawn Weights'!$E$25)+(J86*'Pawn Weights'!$E$26)+(K86*'Pawn Weights'!$E$27)+(L86*'Pawn Weights'!$E$28)+(M86*'Pawn Weights'!$E$29)+(N86*'Pawn Weights'!$E$30)+(O86*'Pawn Weights'!$E$31)+(P86*'Pawn Weights'!$E$32)+(Q86*'Pawn Weights'!$E$33), 2)</f>
        <v>70.28</v>
      </c>
      <c r="E86" s="280">
        <v>28.0</v>
      </c>
      <c r="F86" s="280"/>
      <c r="G86" s="280"/>
      <c r="H86" s="280">
        <v>58.0</v>
      </c>
      <c r="I86" s="280">
        <v>28.0</v>
      </c>
      <c r="J86" s="280">
        <v>12.0</v>
      </c>
      <c r="K86" s="280"/>
      <c r="L86" s="280"/>
      <c r="M86" s="280"/>
      <c r="N86" s="280"/>
      <c r="O86" s="280"/>
      <c r="P86" s="280">
        <v>1.0</v>
      </c>
      <c r="Q86" s="280"/>
      <c r="R86" s="290" t="s">
        <v>674</v>
      </c>
      <c r="S86" s="281"/>
      <c r="T86" s="222"/>
      <c r="U86" s="281"/>
      <c r="V86" s="281"/>
      <c r="W86" s="281"/>
      <c r="X86" s="281"/>
    </row>
    <row r="87">
      <c r="A87" s="281"/>
      <c r="B87" s="288" t="s">
        <v>783</v>
      </c>
      <c r="C87" s="280" t="s">
        <v>683</v>
      </c>
      <c r="D87" s="289">
        <f>ROUND((F87*'Pawn Weights'!$E$22)+(G87*'Pawn Weights'!$E$23)+(H87*'Pawn Weights'!$E$24)+(I87*'Pawn Weights'!$E$25)+(J87*'Pawn Weights'!$E$26)+(K87*'Pawn Weights'!$E$27)+(L87*'Pawn Weights'!$E$28)+(M87*'Pawn Weights'!$E$29)+(N87*'Pawn Weights'!$E$30)+(O87*'Pawn Weights'!$E$31)+(P87*'Pawn Weights'!$E$32)+(Q87*'Pawn Weights'!$E$33), 2)</f>
        <v>68.64</v>
      </c>
      <c r="E87" s="280">
        <v>12.0</v>
      </c>
      <c r="F87" s="280">
        <v>25.0</v>
      </c>
      <c r="G87" s="280"/>
      <c r="H87" s="280"/>
      <c r="I87" s="280">
        <v>24.0</v>
      </c>
      <c r="J87" s="280">
        <v>17.0</v>
      </c>
      <c r="K87" s="280"/>
      <c r="L87" s="280"/>
      <c r="M87" s="280"/>
      <c r="N87" s="280"/>
      <c r="O87" s="280"/>
      <c r="P87" s="280"/>
      <c r="Q87" s="280">
        <v>1.0</v>
      </c>
      <c r="R87" s="290" t="s">
        <v>784</v>
      </c>
      <c r="S87" s="281"/>
      <c r="T87" s="222"/>
      <c r="U87" s="281"/>
      <c r="V87" s="281"/>
      <c r="W87" s="281"/>
      <c r="X87" s="281"/>
    </row>
    <row r="88">
      <c r="A88" s="281"/>
      <c r="B88" s="288" t="s">
        <v>785</v>
      </c>
      <c r="C88" s="280" t="s">
        <v>727</v>
      </c>
      <c r="D88" s="289">
        <f>ROUND((F88*'Pawn Weights'!$E$22)+(G88*'Pawn Weights'!$E$23)+(H88*'Pawn Weights'!$E$24)+(I88*'Pawn Weights'!$E$25)+(J88*'Pawn Weights'!$E$26)+(K88*'Pawn Weights'!$E$27)+(L88*'Pawn Weights'!$E$28)+(M88*'Pawn Weights'!$E$29)+(N88*'Pawn Weights'!$E$30)+(O88*'Pawn Weights'!$E$31)+(P88*'Pawn Weights'!$E$32)+(Q88*'Pawn Weights'!$E$33)-10+9.6+1.334, 2)</f>
        <v>64.41</v>
      </c>
      <c r="E88" s="280">
        <v>28.0</v>
      </c>
      <c r="F88" s="280"/>
      <c r="G88" s="280">
        <v>28.0</v>
      </c>
      <c r="H88" s="280">
        <v>58.0</v>
      </c>
      <c r="I88" s="280"/>
      <c r="J88" s="280">
        <v>12.0</v>
      </c>
      <c r="K88" s="280"/>
      <c r="L88" s="280"/>
      <c r="M88" s="280"/>
      <c r="N88" s="280"/>
      <c r="O88" s="280"/>
      <c r="P88" s="280">
        <v>1.0</v>
      </c>
      <c r="Q88" s="280"/>
      <c r="R88" s="290" t="s">
        <v>1088</v>
      </c>
      <c r="S88" s="281"/>
      <c r="T88" s="222"/>
      <c r="U88" s="281"/>
      <c r="V88" s="281"/>
      <c r="W88" s="281"/>
      <c r="X88" s="281"/>
    </row>
    <row r="89">
      <c r="A89" s="281"/>
      <c r="B89" s="288" t="s">
        <v>786</v>
      </c>
      <c r="C89" s="280" t="s">
        <v>706</v>
      </c>
      <c r="D89" s="289">
        <f>ROUND((F89*'Pawn Weights'!$E$22)+(G89*'Pawn Weights'!$E$23)+(H89*'Pawn Weights'!$E$24)+(I89*'Pawn Weights'!$E$25)+(J89*'Pawn Weights'!$E$26)+(K89*'Pawn Weights'!$E$27)+(L89*'Pawn Weights'!$E$28)+(M89*'Pawn Weights'!$E$29)+(N89*'Pawn Weights'!$E$30)+(O89*'Pawn Weights'!$E$31)+(P89*'Pawn Weights'!$E$32)+(Q89*'Pawn Weights'!$E$33), 2)</f>
        <v>62.48</v>
      </c>
      <c r="E89" s="280">
        <v>28.0</v>
      </c>
      <c r="F89" s="280">
        <v>35.0</v>
      </c>
      <c r="G89" s="280"/>
      <c r="H89" s="280"/>
      <c r="I89" s="280">
        <v>19.0</v>
      </c>
      <c r="J89" s="280"/>
      <c r="K89" s="280"/>
      <c r="L89" s="280"/>
      <c r="M89" s="280"/>
      <c r="N89" s="280"/>
      <c r="O89" s="280"/>
      <c r="P89" s="280">
        <v>1.0</v>
      </c>
      <c r="Q89" s="280"/>
      <c r="R89" s="290" t="s">
        <v>674</v>
      </c>
      <c r="S89" s="281"/>
      <c r="T89" s="222"/>
      <c r="U89" s="281"/>
      <c r="V89" s="281"/>
      <c r="W89" s="281"/>
      <c r="X89" s="281"/>
    </row>
    <row r="90">
      <c r="A90" s="281"/>
      <c r="B90" s="288" t="s">
        <v>789</v>
      </c>
      <c r="C90" s="280" t="s">
        <v>790</v>
      </c>
      <c r="D90" s="289">
        <f>ROUND((F90*'Pawn Weights'!$E$22)+(G90*'Pawn Weights'!$E$23)+(H90*'Pawn Weights'!$E$24)+(I90*'Pawn Weights'!$E$25)+(J90*'Pawn Weights'!$E$26)+(K90*'Pawn Weights'!$E$27)+(L90*'Pawn Weights'!$E$28)+(M90*'Pawn Weights'!$E$29)+(N90*'Pawn Weights'!$E$30)+(O90*'Pawn Weights'!$E$31)+(P90*'Pawn Weights'!$E$32)+(Q90*'Pawn Weights'!$E$33), 2)</f>
        <v>62.08</v>
      </c>
      <c r="E90" s="280">
        <v>16.0</v>
      </c>
      <c r="F90" s="280">
        <v>20.0</v>
      </c>
      <c r="G90" s="280"/>
      <c r="H90" s="280"/>
      <c r="I90" s="280">
        <v>24.0</v>
      </c>
      <c r="J90" s="280"/>
      <c r="K90" s="280"/>
      <c r="L90" s="280"/>
      <c r="M90" s="280"/>
      <c r="N90" s="280"/>
      <c r="O90" s="280">
        <v>1.0</v>
      </c>
      <c r="P90" s="280"/>
      <c r="Q90" s="280">
        <v>1.0</v>
      </c>
      <c r="R90" s="290" t="s">
        <v>698</v>
      </c>
      <c r="S90" s="281"/>
      <c r="T90" s="222"/>
      <c r="U90" s="281"/>
      <c r="V90" s="281"/>
      <c r="W90" s="281"/>
      <c r="X90" s="281"/>
    </row>
    <row r="91">
      <c r="A91" s="137" t="s">
        <v>671</v>
      </c>
      <c r="B91" s="296" t="s">
        <v>791</v>
      </c>
      <c r="C91" s="297" t="s">
        <v>792</v>
      </c>
      <c r="D91" s="367">
        <f>ROUND((F91*'Pawn Weights'!$E$22)+(G91*'Pawn Weights'!$E$23)+(H91*'Pawn Weights'!$E$24)+(I91*'Pawn Weights'!$E$25)+(J91*'Pawn Weights'!$E$26)+(K91*'Pawn Weights'!$E$27)+(L91*'Pawn Weights'!$E$28)+(M91*'Pawn Weights'!$E$29)+(N91*'Pawn Weights'!$E$30)+(O91*'Pawn Weights'!$E$31)+(P91*'Pawn Weights'!$E$32)+(Q91*'Pawn Weights'!$E$33)-10+9.6+2, 2)</f>
        <v>61.68</v>
      </c>
      <c r="E91" s="298">
        <v>40.0</v>
      </c>
      <c r="F91" s="298">
        <v>28.0</v>
      </c>
      <c r="G91" s="297"/>
      <c r="H91" s="297"/>
      <c r="I91" s="298">
        <v>24.0</v>
      </c>
      <c r="J91" s="297"/>
      <c r="K91" s="297"/>
      <c r="L91" s="297"/>
      <c r="M91" s="297"/>
      <c r="N91" s="297"/>
      <c r="O91" s="297"/>
      <c r="P91" s="298">
        <v>1.0</v>
      </c>
      <c r="Q91" s="297"/>
      <c r="R91" s="298" t="s">
        <v>784</v>
      </c>
      <c r="S91" s="137"/>
      <c r="T91" s="294" t="s">
        <v>793</v>
      </c>
      <c r="U91" s="137"/>
      <c r="V91" s="137"/>
      <c r="W91" s="137"/>
      <c r="X91" s="137"/>
      <c r="Y91" s="137"/>
      <c r="Z91" s="137"/>
    </row>
    <row r="92">
      <c r="A92" s="137"/>
      <c r="B92" s="296" t="s">
        <v>795</v>
      </c>
      <c r="C92" s="297" t="s">
        <v>691</v>
      </c>
      <c r="D92" s="289">
        <f>ROUND((F92*'Pawn Weights'!$E$22)+(G92*'Pawn Weights'!$E$23)+(H92*'Pawn Weights'!$E$24)+(I92*'Pawn Weights'!$E$25)+(J92*'Pawn Weights'!$E$26)+(K92*'Pawn Weights'!$E$27)+(L92*'Pawn Weights'!$E$28)+(M92*'Pawn Weights'!$E$29)+(N92*'Pawn Weights'!$E$30)+(O92*'Pawn Weights'!$E$31)+(P92*'Pawn Weights'!$E$32)+(Q92*'Pawn Weights'!$E$33), 2)</f>
        <v>60.79</v>
      </c>
      <c r="E92" s="298">
        <v>22.0</v>
      </c>
      <c r="F92" s="297"/>
      <c r="G92" s="298">
        <v>17.0</v>
      </c>
      <c r="H92" s="298">
        <v>50.0</v>
      </c>
      <c r="I92" s="298">
        <v>18.0</v>
      </c>
      <c r="J92" s="297"/>
      <c r="K92" s="297"/>
      <c r="L92" s="297"/>
      <c r="M92" s="297"/>
      <c r="N92" s="297"/>
      <c r="O92" s="297"/>
      <c r="P92" s="298">
        <v>1.0</v>
      </c>
      <c r="Q92" s="297"/>
      <c r="R92" s="298" t="s">
        <v>736</v>
      </c>
      <c r="S92" s="137"/>
      <c r="T92" s="137"/>
      <c r="U92" s="137"/>
      <c r="V92" s="137"/>
      <c r="W92" s="137"/>
      <c r="X92" s="137"/>
      <c r="Y92" s="137"/>
      <c r="Z92" s="137"/>
    </row>
    <row r="93">
      <c r="A93" s="137"/>
      <c r="B93" s="296" t="s">
        <v>794</v>
      </c>
      <c r="C93" s="297" t="s">
        <v>691</v>
      </c>
      <c r="D93" s="289">
        <f>ROUND((F93*'Pawn Weights'!$E$22)+(G93*'Pawn Weights'!$E$23)+(H93*'Pawn Weights'!$E$24)+(I93*'Pawn Weights'!$E$25)+(J93*'Pawn Weights'!$E$26)+(K93*'Pawn Weights'!$E$27)+(L93*'Pawn Weights'!$E$28)+(M93*'Pawn Weights'!$E$29)+(N93*'Pawn Weights'!$E$30)+(O93*'Pawn Weights'!$E$31)+(P93*'Pawn Weights'!$E$32)+(Q93*'Pawn Weights'!$E$33), 2)</f>
        <v>59.15</v>
      </c>
      <c r="E93" s="298">
        <v>32.0</v>
      </c>
      <c r="F93" s="298">
        <v>32.0</v>
      </c>
      <c r="G93" s="297"/>
      <c r="H93" s="297"/>
      <c r="I93" s="297"/>
      <c r="J93" s="297"/>
      <c r="K93" s="297"/>
      <c r="L93" s="297"/>
      <c r="M93" s="298">
        <v>150.0</v>
      </c>
      <c r="N93" s="297"/>
      <c r="O93" s="297"/>
      <c r="P93" s="297"/>
      <c r="Q93" s="297"/>
      <c r="R93" s="298"/>
      <c r="S93" s="137"/>
      <c r="T93" s="137"/>
      <c r="U93" s="137"/>
      <c r="V93" s="137"/>
      <c r="W93" s="137"/>
      <c r="X93" s="137"/>
      <c r="Y93" s="137"/>
      <c r="Z93" s="137"/>
    </row>
    <row r="94">
      <c r="A94" s="292" t="s">
        <v>991</v>
      </c>
      <c r="B94" s="288" t="s">
        <v>1089</v>
      </c>
      <c r="C94" s="307" t="s">
        <v>1090</v>
      </c>
      <c r="D94" s="289">
        <f>ROUND((F94*'Pawn Weights'!$E$22)+(G94*'Pawn Weights'!$E$23)+(H94*'Pawn Weights'!$E$24)+(I94*'Pawn Weights'!$E$25)+(J94*'Pawn Weights'!$E$26)+(K94*'Pawn Weights'!$E$27)+(L94*'Pawn Weights'!$E$28)+(M94*'Pawn Weights'!$E$29)+(N94*'Pawn Weights'!$E$30)+(O94*'Pawn Weights'!$E$31)+(P94*'Pawn Weights'!$E$32)+(Q94*'Pawn Weights'!$E$33)-10+9.6+2, 2)</f>
        <v>55.92</v>
      </c>
      <c r="E94" s="280">
        <v>36.0</v>
      </c>
      <c r="F94" s="280">
        <v>25.0</v>
      </c>
      <c r="G94" s="280"/>
      <c r="H94" s="280"/>
      <c r="I94" s="280">
        <v>21.0</v>
      </c>
      <c r="J94" s="280"/>
      <c r="K94" s="280"/>
      <c r="L94" s="280"/>
      <c r="M94" s="280"/>
      <c r="N94" s="280"/>
      <c r="O94" s="280"/>
      <c r="P94" s="280">
        <v>1.0</v>
      </c>
      <c r="Q94" s="280"/>
      <c r="R94" s="290" t="s">
        <v>784</v>
      </c>
      <c r="S94" s="281"/>
      <c r="T94" s="294" t="s">
        <v>793</v>
      </c>
      <c r="U94" s="281"/>
      <c r="V94" s="281"/>
      <c r="W94" s="281"/>
      <c r="X94" s="281"/>
    </row>
    <row r="95">
      <c r="A95" s="295"/>
      <c r="B95" s="296" t="s">
        <v>799</v>
      </c>
      <c r="C95" s="297" t="s">
        <v>691</v>
      </c>
      <c r="D95" s="289">
        <f>ROUND((F95*'Pawn Weights'!$E$22)+(G95*'Pawn Weights'!$E$23)+(H95*'Pawn Weights'!$E$24)+(I95*'Pawn Weights'!$E$25)+(J95*'Pawn Weights'!$E$26)+(K95*'Pawn Weights'!$E$27)+(L95*'Pawn Weights'!$E$28)+(M95*'Pawn Weights'!$E$29)+(N95*'Pawn Weights'!$E$30)+(O95*'Pawn Weights'!$E$31)+(P95*'Pawn Weights'!$E$32)+(Q95*'Pawn Weights'!$E$33)-10+9.6+2, 2)</f>
        <v>55.52</v>
      </c>
      <c r="E95" s="298">
        <v>21.0</v>
      </c>
      <c r="F95" s="297"/>
      <c r="G95" s="298">
        <v>18.0</v>
      </c>
      <c r="H95" s="298">
        <v>50.0</v>
      </c>
      <c r="I95" s="297"/>
      <c r="J95" s="297"/>
      <c r="K95" s="297"/>
      <c r="L95" s="297"/>
      <c r="M95" s="298">
        <v>105.0</v>
      </c>
      <c r="N95" s="297"/>
      <c r="O95" s="297"/>
      <c r="P95" s="297"/>
      <c r="Q95" s="297"/>
      <c r="R95" s="295"/>
      <c r="S95" s="137"/>
      <c r="T95" s="295"/>
      <c r="U95" s="137"/>
      <c r="V95" s="137"/>
      <c r="W95" s="137"/>
      <c r="X95" s="137"/>
      <c r="Y95" s="137"/>
      <c r="Z95" s="137"/>
    </row>
    <row r="96">
      <c r="A96" s="281"/>
      <c r="B96" s="288" t="s">
        <v>1091</v>
      </c>
      <c r="C96" s="280" t="s">
        <v>665</v>
      </c>
      <c r="D96" s="289">
        <f>ROUND((F96*'Pawn Weights'!$E$22)+(G96*'Pawn Weights'!$E$23)+(H96*'Pawn Weights'!$E$24)+(I96*'Pawn Weights'!$E$25)+(J96*'Pawn Weights'!$E$26)+(K96*'Pawn Weights'!$E$27)+(L96*'Pawn Weights'!$E$28)+(M96*'Pawn Weights'!$E$29)+(N96*'Pawn Weights'!$E$30)+(O96*'Pawn Weights'!$E$31)+(P96*'Pawn Weights'!$E$32)+(Q96*'Pawn Weights'!$E$33), 2)</f>
        <v>56.03</v>
      </c>
      <c r="E96" s="280">
        <v>28.0</v>
      </c>
      <c r="F96" s="280"/>
      <c r="G96" s="280">
        <v>18.0</v>
      </c>
      <c r="H96" s="280">
        <v>58.0</v>
      </c>
      <c r="I96" s="280">
        <v>19.0</v>
      </c>
      <c r="J96" s="280"/>
      <c r="K96" s="280"/>
      <c r="L96" s="280"/>
      <c r="M96" s="280"/>
      <c r="N96" s="280"/>
      <c r="O96" s="280"/>
      <c r="P96" s="280"/>
      <c r="Q96" s="280"/>
      <c r="R96" s="290"/>
      <c r="S96" s="281"/>
      <c r="T96" s="294"/>
      <c r="U96" s="281"/>
      <c r="V96" s="281"/>
      <c r="W96" s="281"/>
      <c r="X96" s="281"/>
    </row>
    <row r="97">
      <c r="A97" s="281"/>
      <c r="B97" s="288" t="s">
        <v>1092</v>
      </c>
      <c r="C97" s="280" t="s">
        <v>957</v>
      </c>
      <c r="D97" s="289">
        <f>ROUND((F97*'Pawn Weights'!$E$22)+(G97*'Pawn Weights'!$E$23)+(H97*'Pawn Weights'!$E$24)+(I97*'Pawn Weights'!$E$25)+(J97*'Pawn Weights'!$E$26)+(K97*'Pawn Weights'!$E$27)+(L97*'Pawn Weights'!$E$28)+(M97*'Pawn Weights'!$E$29)+(N97*'Pawn Weights'!$E$30)+(O97*'Pawn Weights'!$E$31)+(P97*'Pawn Weights'!$E$32)+(Q97*'Pawn Weights'!$E$33), 2)</f>
        <v>54.81</v>
      </c>
      <c r="E97" s="280">
        <v>18.0</v>
      </c>
      <c r="F97" s="280"/>
      <c r="G97" s="280"/>
      <c r="H97" s="280">
        <v>50.0</v>
      </c>
      <c r="I97" s="280">
        <v>24.0</v>
      </c>
      <c r="J97" s="280"/>
      <c r="K97" s="280"/>
      <c r="L97" s="280"/>
      <c r="M97" s="280"/>
      <c r="N97" s="280"/>
      <c r="O97" s="280"/>
      <c r="P97" s="280">
        <v>1.0</v>
      </c>
      <c r="Q97" s="280"/>
      <c r="R97" s="290" t="s">
        <v>674</v>
      </c>
      <c r="S97" s="281"/>
      <c r="T97" s="294"/>
      <c r="U97" s="281"/>
      <c r="V97" s="281"/>
      <c r="W97" s="281"/>
      <c r="X97" s="281"/>
    </row>
    <row r="98">
      <c r="A98" s="292" t="s">
        <v>627</v>
      </c>
      <c r="B98" s="288" t="s">
        <v>787</v>
      </c>
      <c r="C98" s="280" t="s">
        <v>788</v>
      </c>
      <c r="D98" s="289">
        <f>ROUND((F98*'Pawn Weights'!$E$22)+(G98*'Pawn Weights'!$E$23)+(H98*'Pawn Weights'!$E$24)+(I98*'Pawn Weights'!$E$25)+(J98*'Pawn Weights'!$E$26)+(K98*'Pawn Weights'!$E$27)+(L98*'Pawn Weights'!$E$28)+(M98*'Pawn Weights'!$E$29)+(N98*'Pawn Weights'!$E$30)+(O98*'Pawn Weights'!$E$31)+(P98*'Pawn Weights'!$E$32)+(Q98*'Pawn Weights'!$E$33), 2)</f>
        <v>54.25</v>
      </c>
      <c r="E98" s="280">
        <v>15.0</v>
      </c>
      <c r="F98" s="280"/>
      <c r="G98" s="280">
        <v>21.0</v>
      </c>
      <c r="H98" s="280">
        <v>56.0</v>
      </c>
      <c r="I98" s="280"/>
      <c r="J98" s="280"/>
      <c r="K98" s="280">
        <v>27.0</v>
      </c>
      <c r="L98" s="280"/>
      <c r="M98" s="280"/>
      <c r="N98" s="280"/>
      <c r="O98" s="280"/>
      <c r="P98" s="280"/>
      <c r="Q98" s="280"/>
      <c r="R98" s="290"/>
      <c r="S98" s="281"/>
      <c r="T98" s="294"/>
      <c r="U98" s="281"/>
      <c r="V98" s="281"/>
      <c r="W98" s="281"/>
      <c r="X98" s="281"/>
    </row>
    <row r="99">
      <c r="A99" s="292" t="s">
        <v>627</v>
      </c>
      <c r="B99" s="288" t="s">
        <v>796</v>
      </c>
      <c r="C99" s="280" t="s">
        <v>788</v>
      </c>
      <c r="D99" s="289">
        <f>ROUND((F99*'Pawn Weights'!$E$22)+(G99*'Pawn Weights'!$E$23)+(H99*'Pawn Weights'!$E$24)+(I99*'Pawn Weights'!$E$25)+(J99*'Pawn Weights'!$E$26)+(K99*'Pawn Weights'!$E$27)+(L99*'Pawn Weights'!$E$28)+(M99*'Pawn Weights'!$E$29)+(N99*'Pawn Weights'!$E$30)+(O99*'Pawn Weights'!$E$31)+(P99*'Pawn Weights'!$E$32)+(Q99*'Pawn Weights'!$E$33), 2)</f>
        <v>50.85</v>
      </c>
      <c r="E99" s="280">
        <v>34.0</v>
      </c>
      <c r="F99" s="280"/>
      <c r="G99" s="280">
        <v>20.0</v>
      </c>
      <c r="H99" s="280">
        <v>50.0</v>
      </c>
      <c r="I99" s="280"/>
      <c r="J99" s="280"/>
      <c r="K99" s="280">
        <v>27.0</v>
      </c>
      <c r="L99" s="280"/>
      <c r="M99" s="280"/>
      <c r="N99" s="280"/>
      <c r="O99" s="280"/>
      <c r="P99" s="280"/>
      <c r="Q99" s="280"/>
      <c r="R99" s="290"/>
      <c r="S99" s="281"/>
      <c r="T99" s="222"/>
      <c r="U99" s="281"/>
      <c r="V99" s="281"/>
      <c r="W99" s="281"/>
      <c r="X99" s="281"/>
    </row>
    <row r="100">
      <c r="A100" s="281"/>
      <c r="B100" s="288" t="s">
        <v>1207</v>
      </c>
      <c r="C100" s="307" t="s">
        <v>871</v>
      </c>
      <c r="D100" s="289">
        <f>ROUND((F100*'Pawn Weights'!$E$22)+(G100*'Pawn Weights'!$E$23)+(H100*'Pawn Weights'!$E$24)+(I100*'Pawn Weights'!$E$25)+(J100*'Pawn Weights'!$E$26)+(K100*'Pawn Weights'!$E$27)+(L100*'Pawn Weights'!$E$28)+(M100*'Pawn Weights'!$E$29)+(N100*'Pawn Weights'!$E$30)+(O100*'Pawn Weights'!$E$31)+(P100*'Pawn Weights'!$E$32)+(Q100*'Pawn Weights'!$E$33), 2)</f>
        <v>49.88</v>
      </c>
      <c r="E100" s="280">
        <v>24.0</v>
      </c>
      <c r="F100" s="280"/>
      <c r="G100" s="280">
        <v>24.0</v>
      </c>
      <c r="H100" s="280">
        <v>52.0</v>
      </c>
      <c r="I100" s="280"/>
      <c r="J100" s="280"/>
      <c r="K100" s="280"/>
      <c r="L100" s="280"/>
      <c r="M100" s="280"/>
      <c r="N100" s="280"/>
      <c r="O100" s="280"/>
      <c r="P100" s="280"/>
      <c r="Q100" s="280">
        <v>1.0</v>
      </c>
      <c r="R100" s="290" t="s">
        <v>660</v>
      </c>
      <c r="S100" s="281"/>
      <c r="T100" s="294"/>
      <c r="U100" s="281"/>
      <c r="V100" s="281"/>
      <c r="W100" s="281"/>
      <c r="X100" s="281"/>
    </row>
    <row r="101">
      <c r="A101" s="292" t="s">
        <v>627</v>
      </c>
      <c r="B101" s="288" t="s">
        <v>797</v>
      </c>
      <c r="C101" s="280" t="s">
        <v>798</v>
      </c>
      <c r="D101" s="289">
        <f>ROUND((F101*'Pawn Weights'!$E$22)+(G101*'Pawn Weights'!$E$23)+(H101*'Pawn Weights'!$E$24)+(I101*'Pawn Weights'!$E$25)+(J101*'Pawn Weights'!$E$26)+(K101*'Pawn Weights'!$E$27)+(L101*'Pawn Weights'!$E$28)+(M101*'Pawn Weights'!$E$29)+(N101*'Pawn Weights'!$E$30)+(O101*'Pawn Weights'!$E$31)+(P101*'Pawn Weights'!$E$32)+(Q101*'Pawn Weights'!$E$33), 2)</f>
        <v>49.58</v>
      </c>
      <c r="E101" s="280">
        <v>32.0</v>
      </c>
      <c r="F101" s="280">
        <v>35.0</v>
      </c>
      <c r="G101" s="280"/>
      <c r="H101" s="280"/>
      <c r="I101" s="280"/>
      <c r="J101" s="280"/>
      <c r="K101" s="280">
        <v>27.0</v>
      </c>
      <c r="L101" s="280"/>
      <c r="M101" s="280"/>
      <c r="N101" s="280"/>
      <c r="O101" s="280"/>
      <c r="P101" s="280"/>
      <c r="Q101" s="280"/>
      <c r="R101" s="290"/>
      <c r="S101" s="281"/>
      <c r="T101" s="294"/>
      <c r="U101" s="281"/>
      <c r="V101" s="281"/>
      <c r="W101" s="281"/>
      <c r="X101" s="281"/>
    </row>
    <row r="102">
      <c r="A102" s="281"/>
      <c r="B102" s="288" t="s">
        <v>1337</v>
      </c>
      <c r="C102" s="307" t="s">
        <v>1338</v>
      </c>
      <c r="D102" s="289">
        <f>ROUND((F102*'Pawn Weights'!$E$22)+(G102*'Pawn Weights'!$E$23)+(H102*'Pawn Weights'!$E$24)+(I102*'Pawn Weights'!$E$25)+(J102*'Pawn Weights'!$E$26)+(K102*'Pawn Weights'!$E$27)+(L102*'Pawn Weights'!$E$28)+(M102*'Pawn Weights'!$E$29)+(N102*'Pawn Weights'!$E$30)+(O102*'Pawn Weights'!$E$31)+(P102*'Pawn Weights'!$E$32)+(Q102*'Pawn Weights'!$E$33), 2)</f>
        <v>48.97</v>
      </c>
      <c r="E102" s="280"/>
      <c r="F102" s="280"/>
      <c r="G102" s="280">
        <v>17.0</v>
      </c>
      <c r="H102" s="280">
        <v>48.0</v>
      </c>
      <c r="I102" s="280">
        <v>17.0</v>
      </c>
      <c r="J102" s="280"/>
      <c r="K102" s="280"/>
      <c r="L102" s="280"/>
      <c r="M102" s="280"/>
      <c r="N102" s="280"/>
      <c r="O102" s="280"/>
      <c r="P102" s="280"/>
      <c r="Q102" s="280"/>
      <c r="R102" s="290"/>
      <c r="S102" s="281"/>
      <c r="T102" s="294"/>
      <c r="U102" s="281"/>
      <c r="V102" s="281"/>
      <c r="W102" s="281"/>
      <c r="X102" s="281"/>
    </row>
    <row r="103">
      <c r="A103" s="281"/>
      <c r="B103" s="288" t="s">
        <v>1425</v>
      </c>
      <c r="C103" s="307" t="s">
        <v>706</v>
      </c>
      <c r="D103" s="289">
        <f>ROUND((F103*'Pawn Weights'!$E$22)+(G103*'Pawn Weights'!$E$23)+(H103*'Pawn Weights'!$E$24)+(I103*'Pawn Weights'!$E$25)+(J103*'Pawn Weights'!$E$26)+(K103*'Pawn Weights'!$E$27)+(L103*'Pawn Weights'!$E$28)+(M103*'Pawn Weights'!$E$29)+(N103*'Pawn Weights'!$E$30)+(O103*'Pawn Weights'!$E$31)+(P103*'Pawn Weights'!$E$32)+(Q103*'Pawn Weights'!$E$33), 2)</f>
        <v>48.74</v>
      </c>
      <c r="E103" s="280">
        <v>24.0</v>
      </c>
      <c r="F103" s="280"/>
      <c r="G103" s="280">
        <v>25.0</v>
      </c>
      <c r="H103" s="280">
        <v>48.0</v>
      </c>
      <c r="I103" s="280"/>
      <c r="J103" s="280"/>
      <c r="K103" s="280"/>
      <c r="L103" s="280"/>
      <c r="M103" s="280"/>
      <c r="N103" s="280"/>
      <c r="O103" s="280"/>
      <c r="P103" s="280"/>
      <c r="Q103" s="280">
        <v>1.0</v>
      </c>
      <c r="R103" s="290" t="s">
        <v>736</v>
      </c>
      <c r="S103" s="281"/>
      <c r="T103" s="294"/>
      <c r="U103" s="281"/>
      <c r="V103" s="281"/>
      <c r="W103" s="281"/>
      <c r="X103" s="281"/>
    </row>
    <row r="104">
      <c r="A104" s="272" t="s">
        <v>800</v>
      </c>
      <c r="B104" s="281"/>
      <c r="C104" s="281"/>
      <c r="D104" s="360"/>
      <c r="E104" s="281"/>
      <c r="F104" s="281"/>
      <c r="G104" s="281"/>
      <c r="H104" s="281"/>
      <c r="I104" s="281"/>
      <c r="J104" s="281"/>
      <c r="K104" s="281"/>
      <c r="L104" s="281"/>
      <c r="M104" s="281"/>
      <c r="N104" s="281"/>
      <c r="O104" s="281"/>
      <c r="P104" s="281"/>
      <c r="Q104" s="281"/>
      <c r="R104" s="282"/>
      <c r="S104" s="281"/>
      <c r="T104" s="285"/>
      <c r="U104" s="281"/>
      <c r="V104" s="281"/>
      <c r="W104" s="281"/>
    </row>
    <row r="105">
      <c r="A105" s="137" t="s">
        <v>627</v>
      </c>
      <c r="B105" s="341" t="s">
        <v>801</v>
      </c>
      <c r="C105" s="361" t="s">
        <v>802</v>
      </c>
      <c r="D105" s="289">
        <f>ROUND((F105*'Pawn Weights'!$E$22)+(G105*'Pawn Weights'!$E$23)+(H105*'Pawn Weights'!$E$24)+(I105*'Pawn Weights'!$E$25)+(J105*'Pawn Weights'!$E$26)+(K105*'Pawn Weights'!$E$27)+(L105*'Pawn Weights'!$E$28)+(M105*'Pawn Weights'!$E$29)+(N105*'Pawn Weights'!$E$30)+(O105*'Pawn Weights'!$E$31)+(P105*'Pawn Weights'!$E$32)+(Q105*'Pawn Weights'!$E$33)+2.76, 2)</f>
        <v>139.45</v>
      </c>
      <c r="E105" s="359">
        <v>33.0</v>
      </c>
      <c r="F105" s="361"/>
      <c r="G105" s="359">
        <v>30.0</v>
      </c>
      <c r="H105" s="359">
        <v>90.0</v>
      </c>
      <c r="I105" s="359">
        <v>30.0</v>
      </c>
      <c r="J105" s="361"/>
      <c r="K105" s="361"/>
      <c r="L105" s="361"/>
      <c r="M105" s="359">
        <v>154.0</v>
      </c>
      <c r="N105" s="361"/>
      <c r="O105" s="359">
        <v>2.0</v>
      </c>
      <c r="P105" s="361"/>
      <c r="Q105" s="361"/>
      <c r="R105" s="359" t="s">
        <v>702</v>
      </c>
      <c r="S105" s="137"/>
      <c r="T105" s="137"/>
      <c r="U105" s="137"/>
      <c r="V105" s="137"/>
      <c r="W105" s="137"/>
      <c r="X105" s="137"/>
      <c r="Y105" s="137"/>
      <c r="Z105" s="137"/>
    </row>
    <row r="106">
      <c r="A106" s="137" t="s">
        <v>627</v>
      </c>
      <c r="B106" s="341" t="s">
        <v>805</v>
      </c>
      <c r="C106" s="361" t="s">
        <v>806</v>
      </c>
      <c r="D106" s="367">
        <f>ROUND((F106*'Pawn Weights'!$E$22)+(G106*'Pawn Weights'!$E$23)+(H106*'Pawn Weights'!$E$24)+(I106*'Pawn Weights'!$E$25)+(J106*'Pawn Weights'!$E$26)+(K106*'Pawn Weights'!$E$27)+(L106*'Pawn Weights'!$E$28)+(M106*'Pawn Weights'!$E$29)+(N106*'Pawn Weights'!$E$30)+(O106*'Pawn Weights'!$E$31)+(P106*'Pawn Weights'!$E$32)+(Q106*'Pawn Weights'!$E$33)-10+9.6+3, 2)</f>
        <v>102.68</v>
      </c>
      <c r="E106" s="359">
        <v>45.0</v>
      </c>
      <c r="F106" s="359">
        <v>45.0</v>
      </c>
      <c r="G106" s="361"/>
      <c r="H106" s="361"/>
      <c r="I106" s="361"/>
      <c r="J106" s="359">
        <v>23.0</v>
      </c>
      <c r="K106" s="359">
        <v>36.0</v>
      </c>
      <c r="L106" s="361"/>
      <c r="M106" s="137"/>
      <c r="N106" s="361"/>
      <c r="O106" s="359">
        <v>1.0</v>
      </c>
      <c r="P106" s="359">
        <v>1.0</v>
      </c>
      <c r="Q106" s="361"/>
      <c r="R106" s="359" t="s">
        <v>698</v>
      </c>
      <c r="S106" s="137"/>
      <c r="T106" s="137"/>
      <c r="U106" s="137"/>
      <c r="V106" s="137"/>
      <c r="W106" s="137"/>
      <c r="X106" s="137"/>
      <c r="Y106" s="137"/>
      <c r="Z106" s="137"/>
    </row>
    <row r="107">
      <c r="A107" s="25"/>
      <c r="B107" s="288" t="s">
        <v>811</v>
      </c>
      <c r="C107" s="280" t="s">
        <v>723</v>
      </c>
      <c r="D107" s="289">
        <f>ROUND((F107*'Pawn Weights'!$E$22)+(G107*'Pawn Weights'!$E$23)+(H107*'Pawn Weights'!$E$24)+(I107*'Pawn Weights'!$E$25)+(J107*'Pawn Weights'!$E$26)+(K107*'Pawn Weights'!$E$27)+(L107*'Pawn Weights'!$E$28)+(M107*'Pawn Weights'!$E$29)+(N107*'Pawn Weights'!$E$30)+(O107*'Pawn Weights'!$E$31)+(P107*'Pawn Weights'!$E$32)+(Q107*'Pawn Weights'!$E$33), 2)</f>
        <v>101.88</v>
      </c>
      <c r="E107" s="280">
        <v>37.0</v>
      </c>
      <c r="F107" s="280">
        <v>40.0</v>
      </c>
      <c r="G107" s="280"/>
      <c r="H107" s="280"/>
      <c r="I107" s="280"/>
      <c r="J107" s="280">
        <v>15.0</v>
      </c>
      <c r="K107" s="280"/>
      <c r="L107" s="280"/>
      <c r="M107" s="280">
        <v>175.0</v>
      </c>
      <c r="N107" s="280"/>
      <c r="O107" s="280">
        <v>2.0</v>
      </c>
      <c r="P107" s="280"/>
      <c r="Q107" s="280"/>
      <c r="R107" s="290" t="s">
        <v>1093</v>
      </c>
      <c r="S107" s="281"/>
      <c r="T107" s="291"/>
      <c r="U107" s="281"/>
      <c r="V107" s="281"/>
      <c r="W107" s="281"/>
    </row>
    <row r="108">
      <c r="A108" s="295" t="s">
        <v>627</v>
      </c>
      <c r="B108" s="296" t="s">
        <v>808</v>
      </c>
      <c r="C108" s="297" t="s">
        <v>802</v>
      </c>
      <c r="D108" s="289">
        <f>ROUND((F108*'Pawn Weights'!$E$22)+(G108*'Pawn Weights'!$E$23)+(H108*'Pawn Weights'!$E$24)+(I108*'Pawn Weights'!$E$25)+(J108*'Pawn Weights'!$E$26)+(K108*'Pawn Weights'!$E$27)+(L108*'Pawn Weights'!$E$28)+(M108*'Pawn Weights'!$E$29)+(N108*'Pawn Weights'!$E$30)+(O108*'Pawn Weights'!$E$31)+(P108*'Pawn Weights'!$E$32)+(Q108*'Pawn Weights'!$E$33)-20+19.2+2.727, 2)</f>
        <v>95.14</v>
      </c>
      <c r="E108" s="298">
        <v>33.0</v>
      </c>
      <c r="F108" s="297"/>
      <c r="G108" s="298">
        <v>30.0</v>
      </c>
      <c r="H108" s="298">
        <v>76.0</v>
      </c>
      <c r="I108" s="297"/>
      <c r="J108" s="297"/>
      <c r="K108" s="298">
        <v>34.0</v>
      </c>
      <c r="L108" s="297"/>
      <c r="M108" s="295"/>
      <c r="N108" s="297"/>
      <c r="O108" s="297"/>
      <c r="P108" s="298">
        <v>2.0</v>
      </c>
      <c r="Q108" s="297"/>
      <c r="R108" s="298" t="s">
        <v>809</v>
      </c>
      <c r="S108" s="137"/>
      <c r="T108" s="295"/>
      <c r="U108" s="137"/>
      <c r="V108" s="137"/>
      <c r="W108" s="137"/>
      <c r="X108" s="137"/>
      <c r="Y108" s="137"/>
      <c r="Z108" s="137"/>
    </row>
    <row r="109">
      <c r="A109" s="25" t="s">
        <v>640</v>
      </c>
      <c r="B109" s="288" t="s">
        <v>813</v>
      </c>
      <c r="C109" s="280" t="s">
        <v>814</v>
      </c>
      <c r="D109" s="289">
        <f>ROUND((F109*'Pawn Weights'!$E$22)+(G109*'Pawn Weights'!$E$23)+(H109*'Pawn Weights'!$E$24)+(I109*'Pawn Weights'!$E$25)+(J109*'Pawn Weights'!$E$26)+(K109*'Pawn Weights'!$E$27)+(L109*'Pawn Weights'!$E$28)+(M109*'Pawn Weights'!$E$29)+(N109*'Pawn Weights'!$E$30)+(O109*'Pawn Weights'!$E$31)+(P109*'Pawn Weights'!$E$32)+(Q109*'Pawn Weights'!$E$33)+1.84, 2)</f>
        <v>89.62</v>
      </c>
      <c r="E109" s="280">
        <v>49.0</v>
      </c>
      <c r="F109" s="280">
        <v>41.0</v>
      </c>
      <c r="G109" s="280">
        <v>30.0</v>
      </c>
      <c r="H109" s="280"/>
      <c r="I109" s="280"/>
      <c r="J109" s="280"/>
      <c r="K109" s="280"/>
      <c r="L109" s="280"/>
      <c r="M109" s="280">
        <v>91.0</v>
      </c>
      <c r="N109" s="280"/>
      <c r="O109" s="280">
        <v>1.0</v>
      </c>
      <c r="P109" s="280"/>
      <c r="Q109" s="280"/>
      <c r="R109" s="290" t="s">
        <v>736</v>
      </c>
      <c r="S109" s="281"/>
      <c r="T109" s="291"/>
      <c r="U109" s="281"/>
      <c r="V109" s="281"/>
      <c r="W109" s="281"/>
    </row>
    <row r="110">
      <c r="A110" s="295"/>
      <c r="B110" s="296" t="s">
        <v>817</v>
      </c>
      <c r="C110" s="297" t="s">
        <v>818</v>
      </c>
      <c r="D110" s="289">
        <f>ROUND((F110*'Pawn Weights'!$E$22)+(G110*'Pawn Weights'!$E$23)+(H110*'Pawn Weights'!$E$24)+(I110*'Pawn Weights'!$E$25)+(J110*'Pawn Weights'!$E$26)+(K110*'Pawn Weights'!$E$27)+(L110*'Pawn Weights'!$E$28)+(M110*'Pawn Weights'!$E$29)+(N110*'Pawn Weights'!$E$30)+(O110*'Pawn Weights'!$E$31)+(P110*'Pawn Weights'!$E$32)+(Q110*'Pawn Weights'!$E$33)-10+9.6+1.354, 2)</f>
        <v>84.14</v>
      </c>
      <c r="E110" s="298">
        <v>30.0</v>
      </c>
      <c r="F110" s="297"/>
      <c r="G110" s="298">
        <v>34.0</v>
      </c>
      <c r="H110" s="298">
        <v>78.0</v>
      </c>
      <c r="I110" s="298">
        <v>16.0</v>
      </c>
      <c r="J110" s="297"/>
      <c r="K110" s="297"/>
      <c r="L110" s="297"/>
      <c r="M110" s="295"/>
      <c r="N110" s="297"/>
      <c r="O110" s="297"/>
      <c r="P110" s="298">
        <v>1.0</v>
      </c>
      <c r="Q110" s="297"/>
      <c r="R110" s="298" t="s">
        <v>711</v>
      </c>
      <c r="S110" s="137"/>
      <c r="T110" s="295"/>
      <c r="U110" s="137"/>
      <c r="V110" s="137"/>
      <c r="W110" s="137"/>
      <c r="X110" s="137"/>
      <c r="Y110" s="137"/>
      <c r="Z110" s="137"/>
    </row>
    <row r="111">
      <c r="A111" s="25"/>
      <c r="B111" s="288" t="s">
        <v>822</v>
      </c>
      <c r="C111" s="280" t="s">
        <v>823</v>
      </c>
      <c r="D111" s="289">
        <f>ROUND((F111*'Pawn Weights'!$E$22)+(G111*'Pawn Weights'!$E$23)+(H111*'Pawn Weights'!$E$24)+(I111*'Pawn Weights'!$E$25)+(J111*'Pawn Weights'!$E$26)+(K111*'Pawn Weights'!$E$27)+(L111*'Pawn Weights'!$E$28)+(M111*'Pawn Weights'!$E$29)+(N111*'Pawn Weights'!$E$30)+(O111*'Pawn Weights'!$E$31)+(P111*'Pawn Weights'!$E$32)+(Q111*'Pawn Weights'!$E$33), 2)</f>
        <v>77.16</v>
      </c>
      <c r="E111" s="280">
        <v>34.0</v>
      </c>
      <c r="F111" s="280">
        <v>36.0</v>
      </c>
      <c r="G111" s="280"/>
      <c r="H111" s="280"/>
      <c r="I111" s="280">
        <v>23.0</v>
      </c>
      <c r="J111" s="280"/>
      <c r="K111" s="280"/>
      <c r="L111" s="280"/>
      <c r="M111" s="281"/>
      <c r="N111" s="280"/>
      <c r="O111" s="280"/>
      <c r="P111" s="280">
        <v>1.0</v>
      </c>
      <c r="Q111" s="280">
        <v>1.0</v>
      </c>
      <c r="R111" s="290" t="s">
        <v>698</v>
      </c>
      <c r="S111" s="281"/>
      <c r="T111" s="291"/>
      <c r="U111" s="281"/>
      <c r="V111" s="281"/>
      <c r="W111" s="281"/>
    </row>
    <row r="112" ht="16.5" customHeight="1">
      <c r="A112" s="301"/>
      <c r="B112" s="288" t="s">
        <v>824</v>
      </c>
      <c r="C112" s="280" t="s">
        <v>825</v>
      </c>
      <c r="D112" s="289">
        <f>ROUND((F112*'Pawn Weights'!$E$22)+(G112*'Pawn Weights'!$E$23)+(H112*'Pawn Weights'!$E$24)+(I112*'Pawn Weights'!$E$25)+(J112*'Pawn Weights'!$E$26)+(K112*'Pawn Weights'!$E$27)+(L112*'Pawn Weights'!$E$28)+(M112*'Pawn Weights'!$E$29)+(N112*'Pawn Weights'!$E$30)+(O112*'Pawn Weights'!$E$31)+(P112*'Pawn Weights'!$E$32)+(Q112*'Pawn Weights'!$E$33), 2)</f>
        <v>76.64</v>
      </c>
      <c r="E112" s="280">
        <v>31.0</v>
      </c>
      <c r="F112" s="280"/>
      <c r="G112" s="280"/>
      <c r="H112" s="280">
        <v>72.0</v>
      </c>
      <c r="I112" s="280">
        <v>26.0</v>
      </c>
      <c r="J112" s="280"/>
      <c r="K112" s="280"/>
      <c r="L112" s="280"/>
      <c r="M112" s="281"/>
      <c r="N112" s="280"/>
      <c r="O112" s="280"/>
      <c r="P112" s="280"/>
      <c r="Q112" s="280">
        <v>2.0</v>
      </c>
      <c r="R112" s="290" t="s">
        <v>702</v>
      </c>
      <c r="S112" s="281"/>
      <c r="T112" s="291"/>
      <c r="U112" s="281"/>
      <c r="V112" s="281"/>
      <c r="W112" s="281"/>
    </row>
    <row r="113">
      <c r="A113" s="295" t="s">
        <v>635</v>
      </c>
      <c r="B113" s="296" t="s">
        <v>826</v>
      </c>
      <c r="C113" s="297" t="s">
        <v>637</v>
      </c>
      <c r="D113" s="289">
        <f>ROUND((F113*'Pawn Weights'!$E$22)+(G113*'Pawn Weights'!$E$23)+(H113*'Pawn Weights'!$E$24)+(I113*'Pawn Weights'!$E$25)+(J113*'Pawn Weights'!$E$26)+(K113*'Pawn Weights'!$E$27)+(L113*'Pawn Weights'!$E$28)+(M113*'Pawn Weights'!$E$29)+(N113*'Pawn Weights'!$E$30)+(O113*'Pawn Weights'!$E$31)+(P113*'Pawn Weights'!$E$32)+(Q113*'Pawn Weights'!$E$33), 2)</f>
        <v>76.04</v>
      </c>
      <c r="E113" s="298">
        <v>59.0</v>
      </c>
      <c r="F113" s="298">
        <v>42.0</v>
      </c>
      <c r="G113" s="297"/>
      <c r="H113" s="297"/>
      <c r="I113" s="298">
        <v>37.0</v>
      </c>
      <c r="J113" s="297"/>
      <c r="K113" s="297"/>
      <c r="L113" s="297"/>
      <c r="M113" s="137"/>
      <c r="N113" s="297"/>
      <c r="O113" s="297"/>
      <c r="P113" s="297"/>
      <c r="Q113" s="297"/>
      <c r="R113" s="295"/>
      <c r="S113" s="137"/>
      <c r="T113" s="297" t="s">
        <v>827</v>
      </c>
      <c r="U113" s="137"/>
      <c r="V113" s="137"/>
      <c r="W113" s="137"/>
      <c r="X113" s="137"/>
      <c r="Y113" s="137"/>
      <c r="Z113" s="137"/>
    </row>
    <row r="114">
      <c r="B114" s="288" t="s">
        <v>1094</v>
      </c>
      <c r="C114" s="280" t="s">
        <v>1025</v>
      </c>
      <c r="D114" s="289">
        <f>ROUND((F114*'Pawn Weights'!$E$22)+(G114*'Pawn Weights'!$E$23)+(H114*'Pawn Weights'!$E$24)+(I114*'Pawn Weights'!$E$25)+(J114*'Pawn Weights'!$E$26)+(K114*'Pawn Weights'!$E$27)+(L114*'Pawn Weights'!$E$28)+(M114*'Pawn Weights'!$E$29)+(N114*'Pawn Weights'!$E$30)+(O114*'Pawn Weights'!$E$31)+(P114*'Pawn Weights'!$E$32)+(Q114*'Pawn Weights'!$E$33), 2)</f>
        <v>75.2</v>
      </c>
      <c r="E114" s="280">
        <v>37.0</v>
      </c>
      <c r="F114" s="280"/>
      <c r="G114" s="280">
        <v>33.0</v>
      </c>
      <c r="H114" s="280">
        <v>66.0</v>
      </c>
      <c r="I114" s="280"/>
      <c r="J114" s="280"/>
      <c r="K114" s="280"/>
      <c r="L114" s="280">
        <v>18.0</v>
      </c>
      <c r="M114" s="281"/>
      <c r="N114" s="280"/>
      <c r="O114" s="280"/>
      <c r="P114" s="280"/>
      <c r="Q114" s="280"/>
      <c r="R114" s="290"/>
      <c r="S114" s="281"/>
      <c r="T114" s="291" t="s">
        <v>1079</v>
      </c>
      <c r="U114" s="281"/>
      <c r="V114" s="281"/>
      <c r="W114" s="281"/>
    </row>
    <row r="115">
      <c r="A115" s="137"/>
      <c r="B115" s="296" t="s">
        <v>1095</v>
      </c>
      <c r="C115" s="297" t="s">
        <v>889</v>
      </c>
      <c r="D115" s="289">
        <f>ROUND((F115*'Pawn Weights'!$E$22)+(G115*'Pawn Weights'!$E$23)+(H115*'Pawn Weights'!$E$24)+(I115*'Pawn Weights'!$E$25)+(J115*'Pawn Weights'!$E$26)+(K115*'Pawn Weights'!$E$27)+(L115*'Pawn Weights'!$E$28)+(M115*'Pawn Weights'!$E$29)+(N115*'Pawn Weights'!$E$30)+(O115*'Pawn Weights'!$E$31)+(P115*'Pawn Weights'!$E$32)+(Q115*'Pawn Weights'!$E$33)-10+9.6+2.727, 2)</f>
        <v>75.15</v>
      </c>
      <c r="E115" s="298">
        <v>27.0</v>
      </c>
      <c r="F115" s="297"/>
      <c r="G115" s="298">
        <v>20.0</v>
      </c>
      <c r="H115" s="298">
        <v>58.0</v>
      </c>
      <c r="I115" s="297"/>
      <c r="J115" s="298">
        <v>19.0</v>
      </c>
      <c r="K115" s="297"/>
      <c r="L115" s="297"/>
      <c r="M115" s="137"/>
      <c r="N115" s="297"/>
      <c r="O115" s="298">
        <v>1.0</v>
      </c>
      <c r="P115" s="298">
        <v>1.0</v>
      </c>
      <c r="Q115" s="297"/>
      <c r="R115" s="298" t="s">
        <v>809</v>
      </c>
      <c r="S115" s="137"/>
      <c r="T115" s="295"/>
      <c r="U115" s="137"/>
      <c r="V115" s="137"/>
      <c r="W115" s="137"/>
      <c r="X115" s="137"/>
      <c r="Y115" s="137"/>
      <c r="Z115" s="137"/>
    </row>
    <row r="116">
      <c r="A116" s="137"/>
      <c r="B116" s="296" t="s">
        <v>1096</v>
      </c>
      <c r="C116" s="297" t="s">
        <v>889</v>
      </c>
      <c r="D116" s="289">
        <f>ROUND((F116*'Pawn Weights'!$E$22)+(G116*'Pawn Weights'!$E$23)+(H116*'Pawn Weights'!$E$24)+(I116*'Pawn Weights'!$E$25)+(J116*'Pawn Weights'!$E$26)+(K116*'Pawn Weights'!$E$27)+(L116*'Pawn Weights'!$E$28)+(M116*'Pawn Weights'!$E$29)+(N116*'Pawn Weights'!$E$30)+(O116*'Pawn Weights'!$E$31)+(P116*'Pawn Weights'!$E$32)+(Q116*'Pawn Weights'!$E$33)-10+9.6+3, 2)</f>
        <v>73.6</v>
      </c>
      <c r="E116" s="298">
        <v>37.0</v>
      </c>
      <c r="F116" s="298">
        <v>34.0</v>
      </c>
      <c r="G116" s="297"/>
      <c r="H116" s="297"/>
      <c r="I116" s="297"/>
      <c r="J116" s="298">
        <v>25.0</v>
      </c>
      <c r="K116" s="297"/>
      <c r="L116" s="297"/>
      <c r="M116" s="137"/>
      <c r="N116" s="297"/>
      <c r="O116" s="298">
        <v>1.0</v>
      </c>
      <c r="P116" s="298">
        <v>1.0</v>
      </c>
      <c r="Q116" s="297"/>
      <c r="R116" s="298" t="s">
        <v>698</v>
      </c>
      <c r="S116" s="137"/>
      <c r="T116" s="295"/>
      <c r="U116" s="137"/>
      <c r="V116" s="137"/>
      <c r="W116" s="137"/>
      <c r="X116" s="137"/>
      <c r="Y116" s="137"/>
      <c r="Z116" s="137"/>
    </row>
    <row r="117">
      <c r="A117" s="25"/>
      <c r="B117" s="288" t="s">
        <v>815</v>
      </c>
      <c r="C117" s="280" t="s">
        <v>816</v>
      </c>
      <c r="D117" s="289">
        <f>ROUND((F117*'Pawn Weights'!$E$22)+(G117*'Pawn Weights'!$E$23)+(H117*'Pawn Weights'!$E$24)+(I117*'Pawn Weights'!$E$25)+(J117*'Pawn Weights'!$E$26)+(K117*'Pawn Weights'!$E$27)+(L117*'Pawn Weights'!$E$28)+(M117*'Pawn Weights'!$E$29)+(N117*'Pawn Weights'!$E$30)+(O117*'Pawn Weights'!$E$31)+(P117*'Pawn Weights'!$E$32)+(Q117*'Pawn Weights'!$E$33), 2)</f>
        <v>72.8</v>
      </c>
      <c r="E117" s="280">
        <v>38.0</v>
      </c>
      <c r="F117" s="280"/>
      <c r="G117" s="280">
        <v>27.0</v>
      </c>
      <c r="H117" s="280">
        <v>76.0</v>
      </c>
      <c r="I117" s="280"/>
      <c r="J117" s="280"/>
      <c r="K117" s="280">
        <v>37.0</v>
      </c>
      <c r="L117" s="280"/>
      <c r="M117" s="280"/>
      <c r="N117" s="280"/>
      <c r="O117" s="280"/>
      <c r="P117" s="280"/>
      <c r="Q117" s="280"/>
      <c r="R117" s="290"/>
      <c r="S117" s="281"/>
      <c r="T117" s="291"/>
      <c r="U117" s="281"/>
      <c r="V117" s="281"/>
      <c r="W117" s="281"/>
    </row>
    <row r="118">
      <c r="A118" s="25" t="s">
        <v>627</v>
      </c>
      <c r="B118" s="311" t="s">
        <v>1097</v>
      </c>
      <c r="C118" s="280" t="s">
        <v>904</v>
      </c>
      <c r="D118" s="289">
        <f>ROUND((F118*'Pawn Weights'!$E$22)+(G118*'Pawn Weights'!$E$23)+(H118*'Pawn Weights'!$E$24)+(I118*'Pawn Weights'!$E$25)+(J118*'Pawn Weights'!$E$26)+(K118*'Pawn Weights'!$E$27)+(L118*'Pawn Weights'!$E$28)+(M118*'Pawn Weights'!$E$29)+(N118*'Pawn Weights'!$E$30)+(O118*'Pawn Weights'!$E$31)+(P118*'Pawn Weights'!$E$32)+(Q118*'Pawn Weights'!$E$33)-10+9.6+2.727, 2)</f>
        <v>72.33</v>
      </c>
      <c r="E118" s="280"/>
      <c r="F118" s="280"/>
      <c r="G118" s="280"/>
      <c r="H118" s="280">
        <v>36.0</v>
      </c>
      <c r="I118" s="280">
        <v>24.0</v>
      </c>
      <c r="J118" s="280">
        <v>17.0</v>
      </c>
      <c r="K118" s="280"/>
      <c r="L118" s="280"/>
      <c r="M118" s="281"/>
      <c r="N118" s="280"/>
      <c r="O118" s="280">
        <v>1.0</v>
      </c>
      <c r="P118" s="280">
        <v>1.0</v>
      </c>
      <c r="Q118" s="280"/>
      <c r="R118" s="290" t="s">
        <v>809</v>
      </c>
      <c r="S118" s="281"/>
      <c r="T118" s="291"/>
      <c r="U118" s="281"/>
      <c r="V118" s="281"/>
      <c r="W118" s="281"/>
    </row>
    <row r="119">
      <c r="A119" s="25" t="s">
        <v>647</v>
      </c>
      <c r="B119" s="288" t="s">
        <v>1098</v>
      </c>
      <c r="C119" s="280" t="s">
        <v>957</v>
      </c>
      <c r="D119" s="289">
        <f>ROUND((F119*'Pawn Weights'!$E$22)+(G119*'Pawn Weights'!$E$23)+(H119*'Pawn Weights'!$E$24)+(I119*'Pawn Weights'!$E$25)+(J119*'Pawn Weights'!$E$26)+(K119*'Pawn Weights'!$E$27)+(L119*'Pawn Weights'!$E$28)+(M119*'Pawn Weights'!$E$29)+(N119*'Pawn Weights'!$E$30)+(O119*'Pawn Weights'!$E$31)+(P119*'Pawn Weights'!$E$32)+(Q119*'Pawn Weights'!$E$33), 2)</f>
        <v>71.6</v>
      </c>
      <c r="E119" s="280">
        <v>46.0</v>
      </c>
      <c r="F119" s="280">
        <v>44.0</v>
      </c>
      <c r="G119" s="280"/>
      <c r="H119" s="280"/>
      <c r="I119" s="280">
        <v>30.0</v>
      </c>
      <c r="J119" s="280"/>
      <c r="K119" s="280"/>
      <c r="L119" s="280"/>
      <c r="M119" s="281"/>
      <c r="N119" s="280"/>
      <c r="O119" s="280"/>
      <c r="P119" s="280"/>
      <c r="Q119" s="280"/>
      <c r="R119" s="290"/>
      <c r="S119" s="281"/>
      <c r="T119" s="291"/>
      <c r="U119" s="281"/>
      <c r="V119" s="281"/>
      <c r="W119" s="281"/>
    </row>
    <row r="120">
      <c r="A120" s="25"/>
      <c r="B120" s="288" t="s">
        <v>819</v>
      </c>
      <c r="C120" s="280" t="s">
        <v>716</v>
      </c>
      <c r="D120" s="289">
        <f>ROUND((F120*'Pawn Weights'!$E$22)+(G120*'Pawn Weights'!$E$23)+(H120*'Pawn Weights'!$E$24)+(I120*'Pawn Weights'!$E$25)+(J120*'Pawn Weights'!$E$26)+(K120*'Pawn Weights'!$E$27)+(L120*'Pawn Weights'!$E$28)+(M120*'Pawn Weights'!$E$29)+(N120*'Pawn Weights'!$E$30)+(O120*'Pawn Weights'!$E$31)+(P120*'Pawn Weights'!$E$32)+(Q120*'Pawn Weights'!$E$33), 2)</f>
        <v>71.45</v>
      </c>
      <c r="E120" s="280">
        <v>24.0</v>
      </c>
      <c r="F120" s="280"/>
      <c r="G120" s="280">
        <v>25.0</v>
      </c>
      <c r="H120" s="280">
        <v>76.0</v>
      </c>
      <c r="I120" s="280"/>
      <c r="J120" s="280"/>
      <c r="K120" s="280">
        <v>37.0</v>
      </c>
      <c r="L120" s="280"/>
      <c r="M120" s="281"/>
      <c r="N120" s="280"/>
      <c r="O120" s="280"/>
      <c r="P120" s="280"/>
      <c r="Q120" s="280"/>
      <c r="R120" s="290"/>
      <c r="S120" s="281"/>
      <c r="T120" s="291"/>
      <c r="U120" s="281"/>
      <c r="V120" s="281"/>
      <c r="W120" s="281"/>
    </row>
    <row r="121">
      <c r="A121" s="25"/>
      <c r="B121" s="288" t="s">
        <v>820</v>
      </c>
      <c r="C121" s="280" t="s">
        <v>821</v>
      </c>
      <c r="D121" s="289">
        <f>ROUND((F121*'Pawn Weights'!$E$22)+(G121*'Pawn Weights'!$E$23)+(H121*'Pawn Weights'!$E$24)+(I121*'Pawn Weights'!$E$25)+(J121*'Pawn Weights'!$E$26)+(K121*'Pawn Weights'!$E$27)+(L121*'Pawn Weights'!$E$28)+(M121*'Pawn Weights'!$E$29)+(N121*'Pawn Weights'!$E$30)+(O121*'Pawn Weights'!$E$31)+(P121*'Pawn Weights'!$E$32)+(Q121*'Pawn Weights'!$E$33), 2)</f>
        <v>70.76</v>
      </c>
      <c r="E121" s="280">
        <v>45.0</v>
      </c>
      <c r="F121" s="280">
        <v>38.0</v>
      </c>
      <c r="G121" s="280"/>
      <c r="H121" s="280"/>
      <c r="I121" s="280"/>
      <c r="J121" s="280">
        <v>18.0</v>
      </c>
      <c r="K121" s="280">
        <v>38.0</v>
      </c>
      <c r="L121" s="280"/>
      <c r="M121" s="280"/>
      <c r="N121" s="280"/>
      <c r="O121" s="280"/>
      <c r="P121" s="280"/>
      <c r="Q121" s="280"/>
      <c r="R121" s="290"/>
      <c r="S121" s="281"/>
      <c r="T121" s="291"/>
      <c r="U121" s="281"/>
      <c r="V121" s="281"/>
      <c r="W121" s="281"/>
    </row>
    <row r="122">
      <c r="A122" s="25" t="s">
        <v>644</v>
      </c>
      <c r="B122" s="288" t="s">
        <v>1406</v>
      </c>
      <c r="C122" s="280" t="s">
        <v>646</v>
      </c>
      <c r="D122" s="289">
        <f>ROUND((F122*'Pawn Weights'!$E$22)+(G122*'Pawn Weights'!$E$23)+(H122*'Pawn Weights'!$E$24)+(I122*'Pawn Weights'!$E$25)+(J122*'Pawn Weights'!$E$26)+(K122*'Pawn Weights'!$E$27)+(L122*'Pawn Weights'!$E$28)+(M122*'Pawn Weights'!$E$29)+(N122*'Pawn Weights'!$E$30)+(O122*'Pawn Weights'!$E$31)+(P122*'Pawn Weights'!$E$32)+(Q122*'Pawn Weights'!$E$33), 2)</f>
        <v>66.44</v>
      </c>
      <c r="E122" s="280">
        <v>52.0</v>
      </c>
      <c r="F122" s="280">
        <v>37.0</v>
      </c>
      <c r="G122" s="280"/>
      <c r="H122" s="280"/>
      <c r="I122" s="280">
        <v>32.0</v>
      </c>
      <c r="J122" s="280"/>
      <c r="K122" s="280"/>
      <c r="L122" s="280"/>
      <c r="M122" s="281"/>
      <c r="N122" s="280"/>
      <c r="O122" s="280"/>
      <c r="P122" s="280"/>
      <c r="Q122" s="280"/>
      <c r="R122" s="290"/>
      <c r="S122" s="281"/>
      <c r="T122" s="291" t="s">
        <v>827</v>
      </c>
      <c r="U122" s="281"/>
      <c r="V122" s="281"/>
      <c r="W122" s="281"/>
    </row>
    <row r="123">
      <c r="A123" s="295"/>
      <c r="B123" s="296" t="s">
        <v>1405</v>
      </c>
      <c r="C123" s="297" t="s">
        <v>889</v>
      </c>
      <c r="D123" s="289">
        <f>ROUND((F123*'Pawn Weights'!$E$22)+(G123*'Pawn Weights'!$E$23)+(H123*'Pawn Weights'!$E$24)+(I123*'Pawn Weights'!$E$25)+(J123*'Pawn Weights'!$E$26)+(K123*'Pawn Weights'!$E$27)+(L123*'Pawn Weights'!$E$28)+(M123*'Pawn Weights'!$E$29)+(N123*'Pawn Weights'!$E$30)+(O123*'Pawn Weights'!$E$31)+(P123*'Pawn Weights'!$E$32)+(Q123*'Pawn Weights'!$E$33), 2)</f>
        <v>64.72</v>
      </c>
      <c r="E123" s="298">
        <v>28.0</v>
      </c>
      <c r="F123" s="297"/>
      <c r="G123" s="298">
        <v>30.0</v>
      </c>
      <c r="H123" s="298">
        <v>68.0</v>
      </c>
      <c r="I123" s="297"/>
      <c r="J123" s="297"/>
      <c r="K123" s="298">
        <v>25.0</v>
      </c>
      <c r="L123" s="297"/>
      <c r="M123" s="295"/>
      <c r="N123" s="297"/>
      <c r="O123" s="297"/>
      <c r="P123" s="297"/>
      <c r="Q123" s="297"/>
      <c r="R123" s="295"/>
      <c r="S123" s="137"/>
      <c r="T123" s="295"/>
      <c r="U123" s="137"/>
      <c r="V123" s="137"/>
      <c r="W123" s="137"/>
      <c r="X123" s="137"/>
      <c r="Y123" s="137"/>
      <c r="Z123" s="137"/>
    </row>
    <row r="124">
      <c r="A124" s="25" t="s">
        <v>1068</v>
      </c>
      <c r="B124" s="288" t="s">
        <v>1426</v>
      </c>
      <c r="C124" s="280" t="s">
        <v>997</v>
      </c>
      <c r="D124" s="289">
        <f>ROUND((F124*'Pawn Weights'!$E$22)+(G124*'Pawn Weights'!$E$23)+(H124*'Pawn Weights'!$E$24)+(I124*'Pawn Weights'!$E$25)+(J124*'Pawn Weights'!$E$26)+(K124*'Pawn Weights'!$E$27)+(L124*'Pawn Weights'!$E$28)+(M124*'Pawn Weights'!$E$29)+(N124*'Pawn Weights'!$E$30)+(O124*'Pawn Weights'!$E$31)+(P124*'Pawn Weights'!$E$32)+(Q124*'Pawn Weights'!$E$33), 2)</f>
        <v>59.68</v>
      </c>
      <c r="E124" s="280">
        <v>46.0</v>
      </c>
      <c r="F124" s="280">
        <v>33.0</v>
      </c>
      <c r="G124" s="280"/>
      <c r="H124" s="280"/>
      <c r="I124" s="280">
        <v>29.0</v>
      </c>
      <c r="J124" s="280"/>
      <c r="K124" s="280"/>
      <c r="L124" s="280"/>
      <c r="M124" s="281"/>
      <c r="N124" s="280"/>
      <c r="O124" s="280"/>
      <c r="P124" s="280"/>
      <c r="Q124" s="280"/>
      <c r="R124" s="290"/>
      <c r="S124" s="281"/>
      <c r="T124" s="291" t="s">
        <v>827</v>
      </c>
      <c r="U124" s="281"/>
      <c r="V124" s="281"/>
      <c r="W124" s="281"/>
    </row>
    <row r="125">
      <c r="A125" s="272" t="s">
        <v>828</v>
      </c>
      <c r="B125" s="281"/>
      <c r="C125" s="281"/>
      <c r="D125" s="360"/>
      <c r="E125" s="281"/>
      <c r="F125" s="281"/>
      <c r="G125" s="281"/>
      <c r="H125" s="281"/>
      <c r="I125" s="281"/>
      <c r="J125" s="281"/>
      <c r="K125" s="281"/>
      <c r="L125" s="281"/>
      <c r="M125" s="281"/>
      <c r="N125" s="281"/>
      <c r="O125" s="281"/>
      <c r="P125" s="281"/>
      <c r="Q125" s="281"/>
      <c r="R125" s="282"/>
      <c r="S125" s="281"/>
      <c r="T125" s="285"/>
      <c r="U125" s="281"/>
      <c r="V125" s="281"/>
      <c r="W125" s="281"/>
    </row>
    <row r="126">
      <c r="A126" s="292"/>
      <c r="B126" s="288" t="s">
        <v>830</v>
      </c>
      <c r="C126" s="280" t="s">
        <v>649</v>
      </c>
      <c r="D126" s="289">
        <f>ROUND((F126*'Pawn Weights'!$E$22)+(G126*'Pawn Weights'!$E$23)+(H126*'Pawn Weights'!$E$24)+(I126*'Pawn Weights'!$E$25)+(J126*'Pawn Weights'!$E$26)+(K126*'Pawn Weights'!$E$27)+(L126*'Pawn Weights'!$E$28)+(M126*'Pawn Weights'!$E$29)+(N126*'Pawn Weights'!$E$30)+(O126*'Pawn Weights'!$E$31)+(P126*'Pawn Weights'!$E$32)+(Q126*'Pawn Weights'!$E$33), 2)</f>
        <v>105.02</v>
      </c>
      <c r="E126" s="280">
        <v>25.0</v>
      </c>
      <c r="F126" s="280"/>
      <c r="G126" s="280">
        <v>29.0</v>
      </c>
      <c r="H126" s="280">
        <v>74.0</v>
      </c>
      <c r="I126" s="280"/>
      <c r="J126" s="280"/>
      <c r="K126" s="280"/>
      <c r="L126" s="280">
        <v>25.0</v>
      </c>
      <c r="M126" s="281"/>
      <c r="N126" s="280"/>
      <c r="O126" s="280">
        <v>1.0</v>
      </c>
      <c r="P126" s="280"/>
      <c r="Q126" s="280">
        <v>1.0</v>
      </c>
      <c r="R126" s="290" t="s">
        <v>695</v>
      </c>
      <c r="S126" s="281"/>
      <c r="T126" s="291" t="s">
        <v>1079</v>
      </c>
      <c r="U126" s="281"/>
      <c r="V126" s="281"/>
      <c r="W126" s="281"/>
    </row>
    <row r="127">
      <c r="A127" s="292"/>
      <c r="B127" s="288" t="s">
        <v>833</v>
      </c>
      <c r="C127" s="280" t="s">
        <v>816</v>
      </c>
      <c r="D127" s="289">
        <f>ROUND((F127*'Pawn Weights'!$E$22)+(G127*'Pawn Weights'!$E$23)+(H127*'Pawn Weights'!$E$24)+(I127*'Pawn Weights'!$E$25)+(J127*'Pawn Weights'!$E$26)+(K127*'Pawn Weights'!$E$27)+(L127*'Pawn Weights'!$E$28)+(M127*'Pawn Weights'!$E$29)+(N127*'Pawn Weights'!$E$30)+(O127*'Pawn Weights'!$E$31)+(P127*'Pawn Weights'!$E$32)+(Q127*'Pawn Weights'!$E$33), 2)</f>
        <v>93.91</v>
      </c>
      <c r="E127" s="280"/>
      <c r="F127" s="280"/>
      <c r="G127" s="280">
        <v>38.0</v>
      </c>
      <c r="H127" s="280">
        <v>76.0</v>
      </c>
      <c r="I127" s="280">
        <v>24.0</v>
      </c>
      <c r="J127" s="280">
        <v>17.0</v>
      </c>
      <c r="K127" s="280"/>
      <c r="L127" s="280"/>
      <c r="M127" s="281"/>
      <c r="N127" s="280"/>
      <c r="O127" s="280"/>
      <c r="P127" s="280"/>
      <c r="Q127" s="280"/>
      <c r="R127" s="290"/>
      <c r="S127" s="281"/>
      <c r="T127" s="291"/>
      <c r="U127" s="281"/>
      <c r="V127" s="281"/>
      <c r="W127" s="281"/>
    </row>
    <row r="128">
      <c r="A128" s="292" t="s">
        <v>627</v>
      </c>
      <c r="B128" s="288" t="s">
        <v>836</v>
      </c>
      <c r="C128" s="280" t="s">
        <v>837</v>
      </c>
      <c r="D128" s="289">
        <f>ROUND((F128*'Pawn Weights'!$E$22)+(G128*'Pawn Weights'!$E$23)+(H128*'Pawn Weights'!$E$24)+(I128*'Pawn Weights'!$E$25)+(J128*'Pawn Weights'!$E$26)+(K128*'Pawn Weights'!$E$27)+(L128*'Pawn Weights'!$E$28)+(M128*'Pawn Weights'!$E$29)+(N128*'Pawn Weights'!$E$30)+(O128*'Pawn Weights'!$E$31)+(P128*'Pawn Weights'!$E$32)+(Q128*'Pawn Weights'!$E$33), 2)</f>
        <v>92.6</v>
      </c>
      <c r="E128" s="280">
        <v>21.0</v>
      </c>
      <c r="F128" s="280">
        <v>41.0</v>
      </c>
      <c r="G128" s="280"/>
      <c r="H128" s="280"/>
      <c r="I128" s="280">
        <v>24.0</v>
      </c>
      <c r="J128" s="280">
        <v>14.0</v>
      </c>
      <c r="K128" s="280"/>
      <c r="L128" s="280"/>
      <c r="M128" s="281"/>
      <c r="N128" s="280"/>
      <c r="O128" s="280"/>
      <c r="P128" s="280">
        <v>1.0</v>
      </c>
      <c r="Q128" s="280">
        <v>1.0</v>
      </c>
      <c r="R128" s="290" t="s">
        <v>702</v>
      </c>
      <c r="S128" s="281"/>
      <c r="T128" s="291"/>
      <c r="U128" s="281"/>
      <c r="V128" s="281"/>
      <c r="W128" s="281"/>
    </row>
    <row r="129">
      <c r="A129" s="292"/>
      <c r="B129" s="288" t="s">
        <v>834</v>
      </c>
      <c r="C129" s="280" t="s">
        <v>835</v>
      </c>
      <c r="D129" s="289">
        <f>ROUND((F129*'Pawn Weights'!$E$22)+(G129*'Pawn Weights'!$E$23)+(H129*'Pawn Weights'!$E$24)+(I129*'Pawn Weights'!$E$25)+(J129*'Pawn Weights'!$E$26)+(K129*'Pawn Weights'!$E$27)+(L129*'Pawn Weights'!$E$28)+(M129*'Pawn Weights'!$E$29)+(N129*'Pawn Weights'!$E$30)+(O129*'Pawn Weights'!$E$31)+(P129*'Pawn Weights'!$E$32)+(Q129*'Pawn Weights'!$E$33), 2)</f>
        <v>91.66</v>
      </c>
      <c r="E129" s="280">
        <v>37.0</v>
      </c>
      <c r="F129" s="280"/>
      <c r="G129" s="280">
        <v>29.0</v>
      </c>
      <c r="H129" s="280">
        <v>76.0</v>
      </c>
      <c r="I129" s="280">
        <v>19.0</v>
      </c>
      <c r="J129" s="280"/>
      <c r="K129" s="280"/>
      <c r="L129" s="280"/>
      <c r="M129" s="281"/>
      <c r="N129" s="280"/>
      <c r="O129" s="280">
        <v>1.0</v>
      </c>
      <c r="P129" s="280">
        <v>1.0</v>
      </c>
      <c r="Q129" s="280"/>
      <c r="R129" s="290" t="s">
        <v>812</v>
      </c>
      <c r="S129" s="281"/>
      <c r="T129" s="291"/>
      <c r="U129" s="281"/>
      <c r="V129" s="281"/>
      <c r="W129" s="281"/>
    </row>
    <row r="130">
      <c r="A130" s="295"/>
      <c r="B130" s="296" t="s">
        <v>831</v>
      </c>
      <c r="C130" s="297" t="s">
        <v>718</v>
      </c>
      <c r="D130" s="289">
        <f>ROUND((F130*'Pawn Weights'!$E$22)+(G130*'Pawn Weights'!$E$23)+(H130*'Pawn Weights'!$E$24)+(I130*'Pawn Weights'!$E$25)+(J130*'Pawn Weights'!$E$26)+(K130*'Pawn Weights'!$E$27)+(L130*'Pawn Weights'!$E$28)+(M130*'Pawn Weights'!$E$29)+(N130*'Pawn Weights'!$E$30)+(O130*'Pawn Weights'!$E$31)+(P130*'Pawn Weights'!$E$32)+(Q130*'Pawn Weights'!$E$33), 2)</f>
        <v>91.39</v>
      </c>
      <c r="E130" s="298">
        <v>37.0</v>
      </c>
      <c r="F130" s="298">
        <v>34.0</v>
      </c>
      <c r="G130" s="297"/>
      <c r="H130" s="297"/>
      <c r="I130" s="297"/>
      <c r="J130" s="298">
        <v>14.0</v>
      </c>
      <c r="K130" s="297"/>
      <c r="L130" s="297"/>
      <c r="M130" s="359">
        <v>154.0</v>
      </c>
      <c r="N130" s="297"/>
      <c r="O130" s="298">
        <v>1.0</v>
      </c>
      <c r="P130" s="297"/>
      <c r="Q130" s="298">
        <v>1.0</v>
      </c>
      <c r="R130" s="298" t="s">
        <v>832</v>
      </c>
      <c r="S130" s="137"/>
      <c r="T130" s="295"/>
      <c r="U130" s="137"/>
      <c r="V130" s="137"/>
      <c r="W130" s="137"/>
      <c r="X130" s="137"/>
      <c r="Y130" s="137"/>
      <c r="Z130" s="137"/>
    </row>
    <row r="131">
      <c r="A131" s="295"/>
      <c r="B131" s="296" t="s">
        <v>843</v>
      </c>
      <c r="C131" s="297" t="s">
        <v>844</v>
      </c>
      <c r="D131" s="289">
        <f>ROUND((F131*'Pawn Weights'!$E$22)+(G131*'Pawn Weights'!$E$23)+(H131*'Pawn Weights'!$E$24)+(I131*'Pawn Weights'!$E$25)+(J131*'Pawn Weights'!$E$26)+(K131*'Pawn Weights'!$E$27)+(L131*'Pawn Weights'!$E$28)+(M131*'Pawn Weights'!$E$29)+(N131*'Pawn Weights'!$E$30)+(O131*'Pawn Weights'!$E$31)+(P131*'Pawn Weights'!$E$32)+(Q131*'Pawn Weights'!$E$33), 2)</f>
        <v>84.11</v>
      </c>
      <c r="E131" s="298">
        <v>33.0</v>
      </c>
      <c r="F131" s="297"/>
      <c r="G131" s="298">
        <v>34.0</v>
      </c>
      <c r="H131" s="298">
        <v>78.0</v>
      </c>
      <c r="I131" s="297"/>
      <c r="J131" s="298">
        <v>23.0</v>
      </c>
      <c r="K131" s="297"/>
      <c r="L131" s="297"/>
      <c r="M131" s="137"/>
      <c r="N131" s="297"/>
      <c r="O131" s="297"/>
      <c r="P131" s="298">
        <v>1.0</v>
      </c>
      <c r="Q131" s="297"/>
      <c r="R131" s="298" t="s">
        <v>711</v>
      </c>
      <c r="S131" s="137"/>
      <c r="T131" s="295"/>
      <c r="U131" s="137"/>
      <c r="V131" s="137"/>
      <c r="W131" s="137"/>
      <c r="X131" s="137"/>
      <c r="Y131" s="137"/>
      <c r="Z131" s="137"/>
    </row>
    <row r="132">
      <c r="A132" s="292" t="s">
        <v>627</v>
      </c>
      <c r="B132" s="288" t="s">
        <v>845</v>
      </c>
      <c r="C132" s="280" t="s">
        <v>846</v>
      </c>
      <c r="D132" s="289">
        <f>ROUND((F132*'Pawn Weights'!$E$22)+(G132*'Pawn Weights'!$E$23)+(H132*'Pawn Weights'!$E$24)+(I132*'Pawn Weights'!$E$25)+(J132*'Pawn Weights'!$E$26)+(K132*'Pawn Weights'!$E$27)+(L132*'Pawn Weights'!$E$28)+(M132*'Pawn Weights'!$E$29)+(N132*'Pawn Weights'!$E$30)+(O132*'Pawn Weights'!$E$31)+(P132*'Pawn Weights'!$E$32)+(Q132*'Pawn Weights'!$E$33), 2)</f>
        <v>83.9</v>
      </c>
      <c r="E132" s="280">
        <v>14.0</v>
      </c>
      <c r="F132" s="280"/>
      <c r="G132" s="280">
        <v>32.0</v>
      </c>
      <c r="H132" s="280">
        <v>66.0</v>
      </c>
      <c r="I132" s="280"/>
      <c r="J132" s="280">
        <v>18.0</v>
      </c>
      <c r="K132" s="280"/>
      <c r="L132" s="280"/>
      <c r="M132" s="281"/>
      <c r="N132" s="280"/>
      <c r="O132" s="280"/>
      <c r="P132" s="280"/>
      <c r="Q132" s="280">
        <v>2.0</v>
      </c>
      <c r="R132" s="290" t="s">
        <v>695</v>
      </c>
      <c r="S132" s="281"/>
      <c r="T132" s="291"/>
      <c r="U132" s="281"/>
      <c r="V132" s="281"/>
      <c r="W132" s="281"/>
    </row>
    <row r="133">
      <c r="A133" s="281"/>
      <c r="B133" s="288" t="s">
        <v>847</v>
      </c>
      <c r="C133" s="280" t="s">
        <v>825</v>
      </c>
      <c r="D133" s="289">
        <f>ROUND((F133*'Pawn Weights'!$E$22)+(G133*'Pawn Weights'!$E$23)+(H133*'Pawn Weights'!$E$24)+(I133*'Pawn Weights'!$E$25)+(J133*'Pawn Weights'!$E$26)+(K133*'Pawn Weights'!$E$27)+(L133*'Pawn Weights'!$E$28)+(M133*'Pawn Weights'!$E$29)+(N133*'Pawn Weights'!$E$30)+(O133*'Pawn Weights'!$E$31)+(P133*'Pawn Weights'!$E$32)+(Q133*'Pawn Weights'!$E$33), 2)</f>
        <v>79.76</v>
      </c>
      <c r="E133" s="280">
        <v>30.0</v>
      </c>
      <c r="F133" s="280">
        <v>34.0</v>
      </c>
      <c r="G133" s="280"/>
      <c r="H133" s="280"/>
      <c r="I133" s="280">
        <v>28.0</v>
      </c>
      <c r="J133" s="280"/>
      <c r="K133" s="280"/>
      <c r="L133" s="280"/>
      <c r="M133" s="281"/>
      <c r="N133" s="280"/>
      <c r="O133" s="280">
        <v>1.0</v>
      </c>
      <c r="P133" s="280"/>
      <c r="Q133" s="280">
        <v>1.0</v>
      </c>
      <c r="R133" s="290" t="s">
        <v>702</v>
      </c>
      <c r="S133" s="281"/>
      <c r="T133" s="291"/>
      <c r="U133" s="281"/>
      <c r="V133" s="281"/>
      <c r="W133" s="281"/>
    </row>
    <row r="134">
      <c r="A134" s="292" t="s">
        <v>627</v>
      </c>
      <c r="B134" s="288" t="s">
        <v>1099</v>
      </c>
      <c r="C134" s="280" t="s">
        <v>846</v>
      </c>
      <c r="D134" s="289">
        <f>ROUND((F134*'Pawn Weights'!$E$22)+(G134*'Pawn Weights'!$E$23)+(H134*'Pawn Weights'!$E$24)+(I134*'Pawn Weights'!$E$25)+(J134*'Pawn Weights'!$E$26)+(K134*'Pawn Weights'!$E$27)+(L134*'Pawn Weights'!$E$28)+(M134*'Pawn Weights'!$E$29)+(N134*'Pawn Weights'!$E$30)+(O134*'Pawn Weights'!$E$31)+(P134*'Pawn Weights'!$E$32)+(Q134*'Pawn Weights'!$E$33), 2)</f>
        <v>77.15</v>
      </c>
      <c r="E134" s="280">
        <v>20.0</v>
      </c>
      <c r="F134" s="280"/>
      <c r="G134" s="280">
        <v>17.0</v>
      </c>
      <c r="H134" s="280">
        <v>66.0</v>
      </c>
      <c r="I134" s="280">
        <v>17.0</v>
      </c>
      <c r="J134" s="280"/>
      <c r="K134" s="280"/>
      <c r="L134" s="280"/>
      <c r="M134" s="281"/>
      <c r="N134" s="280"/>
      <c r="O134" s="280"/>
      <c r="P134" s="280">
        <v>1.0</v>
      </c>
      <c r="Q134" s="280">
        <v>1.0</v>
      </c>
      <c r="R134" s="290" t="s">
        <v>695</v>
      </c>
      <c r="S134" s="281"/>
      <c r="T134" s="291"/>
      <c r="U134" s="281"/>
      <c r="V134" s="281"/>
      <c r="W134" s="281"/>
    </row>
    <row r="135">
      <c r="A135" s="295" t="s">
        <v>671</v>
      </c>
      <c r="B135" s="296" t="s">
        <v>848</v>
      </c>
      <c r="C135" s="297" t="s">
        <v>849</v>
      </c>
      <c r="D135" s="289">
        <f>ROUND((F135*'Pawn Weights'!$E$22)+(G135*'Pawn Weights'!$E$23)+(H135*'Pawn Weights'!$E$24)+(I135*'Pawn Weights'!$E$25)+(J135*'Pawn Weights'!$E$26)+(K135*'Pawn Weights'!$E$27)+(L135*'Pawn Weights'!$E$28)+(M135*'Pawn Weights'!$E$29)+(N135*'Pawn Weights'!$E$30)+(O135*'Pawn Weights'!$E$31)+(P135*'Pawn Weights'!$E$32)+(Q135*'Pawn Weights'!$E$33), 2)</f>
        <v>76.8</v>
      </c>
      <c r="E135" s="298">
        <v>56.0</v>
      </c>
      <c r="F135" s="298">
        <v>40.0</v>
      </c>
      <c r="G135" s="297"/>
      <c r="H135" s="297"/>
      <c r="I135" s="298">
        <v>40.0</v>
      </c>
      <c r="J135" s="297"/>
      <c r="K135" s="297"/>
      <c r="L135" s="297"/>
      <c r="M135" s="137"/>
      <c r="N135" s="297"/>
      <c r="O135" s="297"/>
      <c r="P135" s="297"/>
      <c r="Q135" s="297"/>
      <c r="R135" s="295"/>
      <c r="S135" s="137"/>
      <c r="T135" s="297" t="s">
        <v>850</v>
      </c>
      <c r="U135" s="137"/>
      <c r="V135" s="137"/>
      <c r="W135" s="137"/>
      <c r="X135" s="137"/>
      <c r="Y135" s="137"/>
      <c r="Z135" s="137"/>
    </row>
    <row r="136">
      <c r="A136" s="281"/>
      <c r="B136" s="288" t="s">
        <v>1100</v>
      </c>
      <c r="C136" s="280" t="s">
        <v>823</v>
      </c>
      <c r="D136" s="289">
        <f>ROUND((F136*'Pawn Weights'!$E$22)+(G136*'Pawn Weights'!$E$23)+(H136*'Pawn Weights'!$E$24)+(I136*'Pawn Weights'!$E$25)+(J136*'Pawn Weights'!$E$26)+(K136*'Pawn Weights'!$E$27)+(L136*'Pawn Weights'!$E$28)+(M136*'Pawn Weights'!$E$29)+(N136*'Pawn Weights'!$E$30)+(O136*'Pawn Weights'!$E$31)+(P136*'Pawn Weights'!$E$32)+(Q136*'Pawn Weights'!$E$33), 2)</f>
        <v>75.72</v>
      </c>
      <c r="E136" s="280">
        <v>27.0</v>
      </c>
      <c r="F136" s="280"/>
      <c r="G136" s="280"/>
      <c r="H136" s="280">
        <v>72.0</v>
      </c>
      <c r="I136" s="280">
        <v>25.0</v>
      </c>
      <c r="J136" s="280"/>
      <c r="K136" s="280"/>
      <c r="L136" s="280"/>
      <c r="M136" s="281"/>
      <c r="N136" s="280"/>
      <c r="O136" s="280"/>
      <c r="P136" s="280">
        <v>1.0</v>
      </c>
      <c r="Q136" s="280">
        <v>1.0</v>
      </c>
      <c r="R136" s="290" t="s">
        <v>702</v>
      </c>
      <c r="S136" s="281"/>
      <c r="T136" s="291"/>
      <c r="U136" s="281"/>
      <c r="V136" s="281"/>
      <c r="W136" s="281"/>
    </row>
    <row r="137">
      <c r="A137" s="292"/>
      <c r="B137" s="288" t="s">
        <v>840</v>
      </c>
      <c r="C137" s="280" t="s">
        <v>723</v>
      </c>
      <c r="D137" s="289">
        <f>ROUND((F137*'Pawn Weights'!$E$22)+(G137*'Pawn Weights'!$E$23)+(H137*'Pawn Weights'!$E$24)+(I137*'Pawn Weights'!$E$25)+(J137*'Pawn Weights'!$E$26)+(K137*'Pawn Weights'!$E$27)+(L137*'Pawn Weights'!$E$28)+(M137*'Pawn Weights'!$E$29)+(N137*'Pawn Weights'!$E$30)+(O137*'Pawn Weights'!$E$31)+(P137*'Pawn Weights'!$E$32)+(Q137*'Pawn Weights'!$E$33), 2)</f>
        <v>72.8</v>
      </c>
      <c r="E137" s="280">
        <v>38.0</v>
      </c>
      <c r="F137" s="280"/>
      <c r="G137" s="280">
        <v>27.0</v>
      </c>
      <c r="H137" s="280">
        <v>76.0</v>
      </c>
      <c r="I137" s="280"/>
      <c r="J137" s="280"/>
      <c r="K137" s="280">
        <v>37.0</v>
      </c>
      <c r="L137" s="280"/>
      <c r="M137" s="281"/>
      <c r="N137" s="280"/>
      <c r="O137" s="280"/>
      <c r="P137" s="280"/>
      <c r="Q137" s="280"/>
      <c r="R137" s="290"/>
      <c r="S137" s="281"/>
      <c r="T137" s="291"/>
      <c r="U137" s="281"/>
      <c r="V137" s="281"/>
      <c r="W137" s="281"/>
    </row>
    <row r="138">
      <c r="A138" s="292"/>
      <c r="B138" s="288" t="s">
        <v>841</v>
      </c>
      <c r="C138" s="280" t="s">
        <v>842</v>
      </c>
      <c r="D138" s="289">
        <f>ROUND((F138*'Pawn Weights'!$E$22)+(G138*'Pawn Weights'!$E$23)+(H138*'Pawn Weights'!$E$24)+(I138*'Pawn Weights'!$E$25)+(J138*'Pawn Weights'!$E$26)+(K138*'Pawn Weights'!$E$27)+(L138*'Pawn Weights'!$E$28)+(M138*'Pawn Weights'!$E$29)+(N138*'Pawn Weights'!$E$30)+(O138*'Pawn Weights'!$E$31)+(P138*'Pawn Weights'!$E$32)+(Q138*'Pawn Weights'!$E$33), 2)</f>
        <v>72.26</v>
      </c>
      <c r="E138" s="280">
        <v>25.0</v>
      </c>
      <c r="F138" s="280"/>
      <c r="G138" s="280">
        <v>27.0</v>
      </c>
      <c r="H138" s="280">
        <v>76.0</v>
      </c>
      <c r="I138" s="280"/>
      <c r="J138" s="280"/>
      <c r="K138" s="280">
        <v>36.0</v>
      </c>
      <c r="L138" s="280"/>
      <c r="M138" s="281"/>
      <c r="N138" s="280"/>
      <c r="O138" s="280"/>
      <c r="P138" s="280"/>
      <c r="Q138" s="280"/>
      <c r="R138" s="290"/>
      <c r="S138" s="281"/>
      <c r="T138" s="291"/>
      <c r="U138" s="281"/>
      <c r="V138" s="281"/>
      <c r="W138" s="281"/>
    </row>
    <row r="139">
      <c r="A139" s="281"/>
      <c r="B139" s="288" t="s">
        <v>1408</v>
      </c>
      <c r="C139" s="280" t="s">
        <v>842</v>
      </c>
      <c r="D139" s="289">
        <f>ROUND((F139*'Pawn Weights'!$E$22)+(G139*'Pawn Weights'!$E$23)+(H139*'Pawn Weights'!$E$24)+(I139*'Pawn Weights'!$E$25)+(J139*'Pawn Weights'!$E$26)+(K139*'Pawn Weights'!$E$27)+(L139*'Pawn Weights'!$E$28)+(M139*'Pawn Weights'!$E$29)+(N139*'Pawn Weights'!$E$30)+(O139*'Pawn Weights'!$E$31)+(P139*'Pawn Weights'!$E$32)+(Q139*'Pawn Weights'!$E$33), 2)</f>
        <v>68.52</v>
      </c>
      <c r="E139" s="280">
        <v>37.0</v>
      </c>
      <c r="F139" s="280">
        <v>48.0</v>
      </c>
      <c r="G139" s="280"/>
      <c r="H139" s="280"/>
      <c r="I139" s="280"/>
      <c r="J139" s="280"/>
      <c r="K139" s="280">
        <v>38.0</v>
      </c>
      <c r="L139" s="280"/>
      <c r="M139" s="281"/>
      <c r="N139" s="280"/>
      <c r="O139" s="280"/>
      <c r="P139" s="280"/>
      <c r="Q139" s="280"/>
      <c r="R139" s="290"/>
      <c r="S139" s="281"/>
      <c r="T139" s="291"/>
      <c r="U139" s="281"/>
      <c r="V139" s="281"/>
      <c r="W139" s="281"/>
    </row>
    <row r="140">
      <c r="A140" s="292" t="s">
        <v>991</v>
      </c>
      <c r="B140" s="288" t="s">
        <v>1101</v>
      </c>
      <c r="C140" s="280" t="s">
        <v>1102</v>
      </c>
      <c r="D140" s="289">
        <f>ROUND((F140*'Pawn Weights'!$E$22)+(G140*'Pawn Weights'!$E$23)+(H140*'Pawn Weights'!$E$24)+(I140*'Pawn Weights'!$E$25)+(J140*'Pawn Weights'!$E$26)+(K140*'Pawn Weights'!$E$27)+(L140*'Pawn Weights'!$E$28)+(M140*'Pawn Weights'!$E$29)+(N140*'Pawn Weights'!$E$30)+(O140*'Pawn Weights'!$E$31)+(P140*'Pawn Weights'!$E$32)+(Q140*'Pawn Weights'!$E$33), 2)</f>
        <v>67.2</v>
      </c>
      <c r="E140" s="280">
        <v>49.0</v>
      </c>
      <c r="F140" s="280">
        <v>35.0</v>
      </c>
      <c r="G140" s="280"/>
      <c r="H140" s="280"/>
      <c r="I140" s="280">
        <v>35.0</v>
      </c>
      <c r="J140" s="280"/>
      <c r="K140" s="280"/>
      <c r="L140" s="280"/>
      <c r="M140" s="281"/>
      <c r="N140" s="280"/>
      <c r="O140" s="280"/>
      <c r="P140" s="280"/>
      <c r="Q140" s="280"/>
      <c r="R140" s="290"/>
      <c r="S140" s="281"/>
      <c r="T140" s="291" t="s">
        <v>850</v>
      </c>
      <c r="U140" s="281"/>
      <c r="V140" s="281"/>
      <c r="W140" s="281"/>
    </row>
    <row r="141">
      <c r="A141" s="292"/>
      <c r="B141" s="288" t="s">
        <v>1409</v>
      </c>
      <c r="C141" s="280" t="s">
        <v>821</v>
      </c>
      <c r="D141" s="289">
        <f>ROUND((F141*'Pawn Weights'!$E$22)+(G141*'Pawn Weights'!$E$23)+(H141*'Pawn Weights'!$E$24)+(I141*'Pawn Weights'!$E$25)+(J141*'Pawn Weights'!$E$26)+(K141*'Pawn Weights'!$E$27)+(L141*'Pawn Weights'!$E$28)+(M141*'Pawn Weights'!$E$29)+(N141*'Pawn Weights'!$E$30)+(O141*'Pawn Weights'!$E$31)+(P141*'Pawn Weights'!$E$32)+(Q141*'Pawn Weights'!$E$33), 2)</f>
        <v>66.28</v>
      </c>
      <c r="E141" s="280">
        <v>33.0</v>
      </c>
      <c r="F141" s="280">
        <v>49.0</v>
      </c>
      <c r="G141" s="280"/>
      <c r="H141" s="280"/>
      <c r="I141" s="280"/>
      <c r="J141" s="280"/>
      <c r="K141" s="280">
        <v>32.0</v>
      </c>
      <c r="L141" s="280"/>
      <c r="M141" s="281"/>
      <c r="N141" s="280"/>
      <c r="O141" s="280"/>
      <c r="P141" s="280"/>
      <c r="Q141" s="280"/>
      <c r="R141" s="290"/>
      <c r="S141" s="281"/>
      <c r="T141" s="291"/>
      <c r="U141" s="281"/>
      <c r="V141" s="281"/>
      <c r="W141" s="281"/>
    </row>
    <row r="142">
      <c r="A142" s="295"/>
      <c r="B142" s="296" t="s">
        <v>851</v>
      </c>
      <c r="C142" s="297" t="s">
        <v>844</v>
      </c>
      <c r="D142" s="289">
        <f>ROUND((F142*'Pawn Weights'!$E$22)+(G142*'Pawn Weights'!$E$23)+(H142*'Pawn Weights'!$E$24)+(I142*'Pawn Weights'!$E$25)+(J142*'Pawn Weights'!$E$26)+(K142*'Pawn Weights'!$E$27)+(L142*'Pawn Weights'!$E$28)+(M142*'Pawn Weights'!$E$29)+(N142*'Pawn Weights'!$E$30)+(O142*'Pawn Weights'!$E$31)+(P142*'Pawn Weights'!$E$32)+(Q142*'Pawn Weights'!$E$33), 2)</f>
        <v>66.2</v>
      </c>
      <c r="E142" s="298">
        <v>55.0</v>
      </c>
      <c r="F142" s="298">
        <v>40.0</v>
      </c>
      <c r="G142" s="297"/>
      <c r="H142" s="297"/>
      <c r="I142" s="297"/>
      <c r="J142" s="297"/>
      <c r="K142" s="298">
        <v>30.0</v>
      </c>
      <c r="L142" s="297"/>
      <c r="M142" s="137"/>
      <c r="N142" s="297"/>
      <c r="O142" s="297"/>
      <c r="P142" s="297"/>
      <c r="Q142" s="298">
        <v>1.0</v>
      </c>
      <c r="R142" s="298" t="s">
        <v>784</v>
      </c>
      <c r="S142" s="137"/>
      <c r="T142" s="297"/>
      <c r="U142" s="137"/>
      <c r="V142" s="137"/>
      <c r="W142" s="137"/>
      <c r="X142" s="137"/>
      <c r="Y142" s="137"/>
      <c r="Z142" s="137"/>
    </row>
    <row r="143">
      <c r="A143" s="272" t="s">
        <v>852</v>
      </c>
      <c r="B143" s="281"/>
      <c r="C143" s="281"/>
      <c r="D143" s="360"/>
      <c r="E143" s="281"/>
      <c r="F143" s="281"/>
      <c r="G143" s="281"/>
      <c r="H143" s="281"/>
      <c r="I143" s="281"/>
      <c r="J143" s="281"/>
      <c r="K143" s="281"/>
      <c r="L143" s="281"/>
      <c r="M143" s="281"/>
      <c r="N143" s="281"/>
      <c r="O143" s="281"/>
      <c r="P143" s="281"/>
      <c r="Q143" s="281"/>
      <c r="R143" s="282"/>
      <c r="S143" s="281"/>
      <c r="T143" s="285"/>
      <c r="U143" s="281"/>
      <c r="V143" s="281"/>
      <c r="W143" s="281"/>
    </row>
    <row r="144">
      <c r="A144" s="301"/>
      <c r="B144" s="288" t="s">
        <v>856</v>
      </c>
      <c r="C144" s="280" t="s">
        <v>857</v>
      </c>
      <c r="D144" s="289">
        <f>ROUND((F144*'Pawn Weights'!$E$22)+(G144*'Pawn Weights'!$E$23)+(H144*'Pawn Weights'!$E$24)+(I144*'Pawn Weights'!$E$25)+(J144*'Pawn Weights'!$E$26)+(K144*'Pawn Weights'!$E$27)+(L144*'Pawn Weights'!$E$28)+(M144*'Pawn Weights'!$E$29)+(N144*'Pawn Weights'!$E$30)+(O144*'Pawn Weights'!$E$31)+(P144*'Pawn Weights'!$E$32)+(Q144*'Pawn Weights'!$E$33), 2)</f>
        <v>146.55</v>
      </c>
      <c r="E144" s="280">
        <v>51.0</v>
      </c>
      <c r="F144" s="280">
        <v>51.0</v>
      </c>
      <c r="G144" s="280"/>
      <c r="H144" s="280"/>
      <c r="I144" s="280">
        <v>35.0</v>
      </c>
      <c r="J144" s="280"/>
      <c r="K144" s="280"/>
      <c r="L144" s="280"/>
      <c r="M144" s="280">
        <v>350.0</v>
      </c>
      <c r="N144" s="280"/>
      <c r="O144" s="280"/>
      <c r="P144" s="280"/>
      <c r="Q144" s="280"/>
      <c r="R144" s="290"/>
      <c r="S144" s="281"/>
      <c r="T144" s="294"/>
      <c r="U144" s="281"/>
      <c r="V144" s="281"/>
      <c r="W144" s="281"/>
      <c r="X144" s="281"/>
    </row>
    <row r="145">
      <c r="A145" s="295" t="s">
        <v>635</v>
      </c>
      <c r="B145" s="296" t="s">
        <v>860</v>
      </c>
      <c r="C145" s="297" t="s">
        <v>637</v>
      </c>
      <c r="D145" s="289">
        <f>ROUND((F145*'Pawn Weights'!$E$22)+(G145*'Pawn Weights'!$E$23)+(H145*'Pawn Weights'!$E$24)+(I145*'Pawn Weights'!$E$25)+(J145*'Pawn Weights'!$E$26)+(K145*'Pawn Weights'!$E$27)+(L145*'Pawn Weights'!$E$28)+(M145*'Pawn Weights'!$E$29)+(N145*'Pawn Weights'!$E$30)+(O145*'Pawn Weights'!$E$31)+(P145*'Pawn Weights'!$E$32)+(Q145*'Pawn Weights'!$E$33), 2)</f>
        <v>133.2</v>
      </c>
      <c r="E145" s="298">
        <v>77.0</v>
      </c>
      <c r="F145" s="298">
        <v>57.0</v>
      </c>
      <c r="G145" s="297"/>
      <c r="H145" s="297"/>
      <c r="I145" s="298">
        <v>53.0</v>
      </c>
      <c r="J145" s="298">
        <v>18.0</v>
      </c>
      <c r="K145" s="297"/>
      <c r="L145" s="297"/>
      <c r="M145" s="298">
        <v>84.0</v>
      </c>
      <c r="N145" s="297"/>
      <c r="O145" s="297"/>
      <c r="P145" s="297"/>
      <c r="Q145" s="297"/>
      <c r="R145" s="295"/>
      <c r="S145" s="137"/>
      <c r="T145" s="297" t="s">
        <v>861</v>
      </c>
      <c r="U145" s="137"/>
      <c r="V145" s="137"/>
      <c r="W145" s="137"/>
      <c r="X145" s="137"/>
      <c r="Y145" s="137"/>
      <c r="Z145" s="137"/>
    </row>
    <row r="146">
      <c r="A146" s="301" t="s">
        <v>640</v>
      </c>
      <c r="B146" s="288" t="s">
        <v>862</v>
      </c>
      <c r="C146" s="280" t="s">
        <v>639</v>
      </c>
      <c r="D146" s="289">
        <f>ROUND((F146*'Pawn Weights'!$E$22)+(G146*'Pawn Weights'!$E$23)+(H146*'Pawn Weights'!$E$24)+(I146*'Pawn Weights'!$E$25)+(J146*'Pawn Weights'!$E$26)+(K146*'Pawn Weights'!$E$27)+(L146*'Pawn Weights'!$E$28)+(M146*'Pawn Weights'!$E$29)+(N146*'Pawn Weights'!$E$30)+(O146*'Pawn Weights'!$E$31)+(P146*'Pawn Weights'!$E$32)+(Q146*'Pawn Weights'!$E$33), 2)</f>
        <v>128.28</v>
      </c>
      <c r="E146" s="280">
        <v>55.0</v>
      </c>
      <c r="F146" s="280">
        <v>62.0</v>
      </c>
      <c r="G146" s="280">
        <v>41.0</v>
      </c>
      <c r="H146" s="280"/>
      <c r="I146" s="280"/>
      <c r="J146" s="280">
        <v>14.0</v>
      </c>
      <c r="K146" s="280"/>
      <c r="L146" s="280"/>
      <c r="M146" s="280">
        <v>105.0</v>
      </c>
      <c r="N146" s="280"/>
      <c r="O146" s="280"/>
      <c r="P146" s="280"/>
      <c r="Q146" s="280">
        <v>1.0</v>
      </c>
      <c r="R146" s="290" t="s">
        <v>784</v>
      </c>
      <c r="S146" s="281"/>
      <c r="T146" s="294"/>
      <c r="U146" s="281"/>
      <c r="V146" s="281"/>
      <c r="W146" s="281"/>
      <c r="X146" s="281"/>
    </row>
    <row r="147">
      <c r="A147" s="301"/>
      <c r="B147" s="288" t="s">
        <v>863</v>
      </c>
      <c r="C147" s="280" t="s">
        <v>642</v>
      </c>
      <c r="D147" s="289">
        <f>ROUND((F147*'Pawn Weights'!$E$22)+(G147*'Pawn Weights'!$E$23)+(H147*'Pawn Weights'!$E$24)+(I147*'Pawn Weights'!$E$25)+(J147*'Pawn Weights'!$E$26)+(K147*'Pawn Weights'!$E$27)+(L147*'Pawn Weights'!$E$28)+(M147*'Pawn Weights'!$E$29)+(N147*'Pawn Weights'!$E$30)+(O147*'Pawn Weights'!$E$31)+(P147*'Pawn Weights'!$E$32)+(Q147*'Pawn Weights'!$E$33), 2)</f>
        <v>125.24</v>
      </c>
      <c r="E147" s="280">
        <v>61.0</v>
      </c>
      <c r="F147" s="280">
        <v>70.0</v>
      </c>
      <c r="G147" s="280"/>
      <c r="H147" s="280"/>
      <c r="I147" s="280">
        <v>46.0</v>
      </c>
      <c r="J147" s="280">
        <v>19.0</v>
      </c>
      <c r="K147" s="280"/>
      <c r="L147" s="280"/>
      <c r="M147" s="280"/>
      <c r="N147" s="280"/>
      <c r="O147" s="280"/>
      <c r="P147" s="280"/>
      <c r="Q147" s="280"/>
      <c r="R147" s="290"/>
      <c r="S147" s="281"/>
      <c r="T147" s="294"/>
      <c r="U147" s="281"/>
      <c r="V147" s="281"/>
      <c r="W147" s="281"/>
      <c r="X147" s="281"/>
    </row>
    <row r="148">
      <c r="A148" s="301"/>
      <c r="B148" s="288" t="s">
        <v>866</v>
      </c>
      <c r="C148" s="280" t="s">
        <v>814</v>
      </c>
      <c r="D148" s="289">
        <f>ROUND((F148*'Pawn Weights'!$E$22)+(G148*'Pawn Weights'!$E$23)+(H148*'Pawn Weights'!$E$24)+(I148*'Pawn Weights'!$E$25)+(J148*'Pawn Weights'!$E$26)+(K148*'Pawn Weights'!$E$27)+(L148*'Pawn Weights'!$E$28)+(M148*'Pawn Weights'!$E$29)+(N148*'Pawn Weights'!$E$30)+(O148*'Pawn Weights'!$E$31)+(P148*'Pawn Weights'!$E$32)+(Q148*'Pawn Weights'!$E$33), 2)</f>
        <v>122.28</v>
      </c>
      <c r="E148" s="280">
        <v>28.0</v>
      </c>
      <c r="F148" s="280"/>
      <c r="G148" s="280">
        <v>42.0</v>
      </c>
      <c r="H148" s="280">
        <v>100.0</v>
      </c>
      <c r="I148" s="280">
        <v>20.0</v>
      </c>
      <c r="J148" s="280"/>
      <c r="K148" s="280"/>
      <c r="L148" s="280"/>
      <c r="M148" s="280"/>
      <c r="N148" s="280"/>
      <c r="O148" s="280">
        <v>1.0</v>
      </c>
      <c r="P148" s="280">
        <v>1.0</v>
      </c>
      <c r="Q148" s="280">
        <v>1.0</v>
      </c>
      <c r="R148" s="290" t="s">
        <v>624</v>
      </c>
      <c r="S148" s="281"/>
      <c r="T148" s="294"/>
      <c r="U148" s="281"/>
      <c r="V148" s="281"/>
      <c r="W148" s="281"/>
      <c r="X148" s="281"/>
    </row>
    <row r="149">
      <c r="A149" s="301" t="s">
        <v>644</v>
      </c>
      <c r="B149" s="288" t="s">
        <v>867</v>
      </c>
      <c r="C149" s="280" t="s">
        <v>646</v>
      </c>
      <c r="D149" s="289">
        <f>ROUND((F149*'Pawn Weights'!$E$22)+(G149*'Pawn Weights'!$E$23)+(H149*'Pawn Weights'!$E$24)+(I149*'Pawn Weights'!$E$25)+(J149*'Pawn Weights'!$E$26)+(K149*'Pawn Weights'!$E$27)+(L149*'Pawn Weights'!$E$28)+(M149*'Pawn Weights'!$E$29)+(N149*'Pawn Weights'!$E$30)+(O149*'Pawn Weights'!$E$31)+(P149*'Pawn Weights'!$E$32)+(Q149*'Pawn Weights'!$E$33), 2)</f>
        <v>117.6</v>
      </c>
      <c r="E149" s="280">
        <v>70.0</v>
      </c>
      <c r="F149" s="280">
        <v>51.0</v>
      </c>
      <c r="G149" s="280"/>
      <c r="H149" s="280"/>
      <c r="I149" s="280">
        <v>47.0</v>
      </c>
      <c r="J149" s="280">
        <v>12.0</v>
      </c>
      <c r="K149" s="280"/>
      <c r="L149" s="280"/>
      <c r="M149" s="280">
        <v>84.0</v>
      </c>
      <c r="N149" s="280"/>
      <c r="O149" s="280"/>
      <c r="P149" s="280"/>
      <c r="Q149" s="280"/>
      <c r="R149" s="290"/>
      <c r="S149" s="281"/>
      <c r="T149" s="294"/>
      <c r="U149" s="281"/>
      <c r="V149" s="281"/>
      <c r="W149" s="281"/>
      <c r="X149" s="281"/>
    </row>
    <row r="150">
      <c r="A150" s="295"/>
      <c r="B150" s="296" t="s">
        <v>869</v>
      </c>
      <c r="C150" s="297" t="s">
        <v>865</v>
      </c>
      <c r="D150" s="289">
        <f>ROUND((F150*'Pawn Weights'!$E$22)+(G150*'Pawn Weights'!$E$23)+(H150*'Pawn Weights'!$E$24)+(I150*'Pawn Weights'!$E$25)+(J150*'Pawn Weights'!$E$26)+(K150*'Pawn Weights'!$E$27)+(L150*'Pawn Weights'!$E$28)+(M150*'Pawn Weights'!$E$29)+(N150*'Pawn Weights'!$E$30)+(O150*'Pawn Weights'!$E$31)+(P150*'Pawn Weights'!$E$32)+(Q150*'Pawn Weights'!$E$33), 2)</f>
        <v>116.78</v>
      </c>
      <c r="E150" s="298">
        <v>45.0</v>
      </c>
      <c r="F150" s="297"/>
      <c r="G150" s="298">
        <v>43.0</v>
      </c>
      <c r="H150" s="298">
        <v>104.0</v>
      </c>
      <c r="I150" s="297"/>
      <c r="J150" s="298">
        <v>30.0</v>
      </c>
      <c r="K150" s="297"/>
      <c r="L150" s="297"/>
      <c r="M150" s="297"/>
      <c r="N150" s="297"/>
      <c r="O150" s="297"/>
      <c r="P150" s="298">
        <v>1.0</v>
      </c>
      <c r="Q150" s="298">
        <v>1.0</v>
      </c>
      <c r="R150" s="298" t="s">
        <v>832</v>
      </c>
      <c r="S150" s="137"/>
      <c r="T150" s="295"/>
      <c r="U150" s="137"/>
      <c r="V150" s="137"/>
      <c r="W150" s="137"/>
      <c r="X150" s="137"/>
      <c r="Y150" s="137"/>
      <c r="Z150" s="137"/>
    </row>
    <row r="151">
      <c r="A151" s="295"/>
      <c r="B151" s="296" t="s">
        <v>864</v>
      </c>
      <c r="C151" s="297" t="s">
        <v>865</v>
      </c>
      <c r="D151" s="289">
        <f>ROUND((F151*'Pawn Weights'!$E$22)+(G151*'Pawn Weights'!$E$23)+(H151*'Pawn Weights'!$E$24)+(I151*'Pawn Weights'!$E$25)+(J151*'Pawn Weights'!$E$26)+(K151*'Pawn Weights'!$E$27)+(L151*'Pawn Weights'!$E$28)+(M151*'Pawn Weights'!$E$29)+(N151*'Pawn Weights'!$E$30)+(O151*'Pawn Weights'!$E$31)+(P151*'Pawn Weights'!$E$32)+(Q151*'Pawn Weights'!$E$33), 2)</f>
        <v>112.22</v>
      </c>
      <c r="E151" s="298">
        <v>48.0</v>
      </c>
      <c r="F151" s="298">
        <v>52.0</v>
      </c>
      <c r="G151" s="297"/>
      <c r="H151" s="297"/>
      <c r="I151" s="297"/>
      <c r="J151" s="298">
        <v>25.0</v>
      </c>
      <c r="K151" s="298">
        <v>43.0</v>
      </c>
      <c r="L151" s="297"/>
      <c r="M151" s="297"/>
      <c r="N151" s="297"/>
      <c r="O151" s="297"/>
      <c r="P151" s="298">
        <v>1.0</v>
      </c>
      <c r="Q151" s="298">
        <v>1.0</v>
      </c>
      <c r="R151" s="298" t="s">
        <v>698</v>
      </c>
      <c r="S151" s="137"/>
      <c r="T151" s="295"/>
      <c r="U151" s="137"/>
      <c r="V151" s="137"/>
      <c r="W151" s="137"/>
      <c r="X151" s="137"/>
      <c r="Y151" s="137"/>
      <c r="Z151" s="137"/>
    </row>
    <row r="152">
      <c r="A152" s="301"/>
      <c r="B152" s="288" t="s">
        <v>868</v>
      </c>
      <c r="C152" s="280" t="s">
        <v>814</v>
      </c>
      <c r="D152" s="289">
        <f>ROUND((F152*'Pawn Weights'!$E$22)+(G152*'Pawn Weights'!$E$23)+(H152*'Pawn Weights'!$E$24)+(I152*'Pawn Weights'!$E$25)+(J152*'Pawn Weights'!$E$26)+(K152*'Pawn Weights'!$E$27)+(L152*'Pawn Weights'!$E$28)+(M152*'Pawn Weights'!$E$29)+(N152*'Pawn Weights'!$E$30)+(O152*'Pawn Weights'!$E$31)+(P152*'Pawn Weights'!$E$32)+(Q152*'Pawn Weights'!$E$33), 2)</f>
        <v>111.88</v>
      </c>
      <c r="E152" s="280">
        <v>61.0</v>
      </c>
      <c r="F152" s="280"/>
      <c r="G152" s="280">
        <v>50.0</v>
      </c>
      <c r="H152" s="280">
        <v>102.0</v>
      </c>
      <c r="I152" s="280"/>
      <c r="J152" s="280"/>
      <c r="K152" s="280"/>
      <c r="L152" s="280"/>
      <c r="M152" s="280">
        <v>175.0</v>
      </c>
      <c r="N152" s="280"/>
      <c r="O152" s="280"/>
      <c r="P152" s="280"/>
      <c r="Q152" s="280"/>
      <c r="R152" s="290"/>
      <c r="S152" s="281"/>
      <c r="T152" s="294"/>
      <c r="U152" s="281"/>
      <c r="V152" s="281"/>
      <c r="W152" s="281"/>
      <c r="X152" s="281"/>
    </row>
    <row r="153">
      <c r="A153" s="301" t="s">
        <v>647</v>
      </c>
      <c r="B153" s="288" t="s">
        <v>872</v>
      </c>
      <c r="C153" s="280" t="s">
        <v>873</v>
      </c>
      <c r="D153" s="289">
        <f>ROUND((F153*'Pawn Weights'!$E$22)+(G153*'Pawn Weights'!$E$23)+(H153*'Pawn Weights'!$E$24)+(I153*'Pawn Weights'!$E$25)+(J153*'Pawn Weights'!$E$26)+(K153*'Pawn Weights'!$E$27)+(L153*'Pawn Weights'!$E$28)+(M153*'Pawn Weights'!$E$29)+(N153*'Pawn Weights'!$E$30)+(O153*'Pawn Weights'!$E$31)+(P153*'Pawn Weights'!$E$32)+(Q153*'Pawn Weights'!$E$33)+1.84, 2)</f>
        <v>108.24</v>
      </c>
      <c r="E153" s="280">
        <v>57.0</v>
      </c>
      <c r="F153" s="280">
        <v>52.0</v>
      </c>
      <c r="G153" s="280"/>
      <c r="H153" s="280"/>
      <c r="I153" s="280">
        <v>32.0</v>
      </c>
      <c r="J153" s="280">
        <v>22.0</v>
      </c>
      <c r="K153" s="280"/>
      <c r="L153" s="280"/>
      <c r="M153" s="280"/>
      <c r="N153" s="280"/>
      <c r="O153" s="280">
        <v>1.0</v>
      </c>
      <c r="P153" s="280"/>
      <c r="Q153" s="280"/>
      <c r="R153" s="290" t="s">
        <v>736</v>
      </c>
      <c r="S153" s="281"/>
      <c r="T153" s="294"/>
      <c r="U153" s="281"/>
      <c r="V153" s="281"/>
      <c r="W153" s="281"/>
      <c r="X153" s="281"/>
    </row>
    <row r="154">
      <c r="A154" s="301"/>
      <c r="B154" s="288" t="s">
        <v>870</v>
      </c>
      <c r="C154" s="280" t="s">
        <v>871</v>
      </c>
      <c r="D154" s="289">
        <f>ROUND((F154*'Pawn Weights'!$E$22)+(G154*'Pawn Weights'!$E$23)+(H154*'Pawn Weights'!$E$24)+(I154*'Pawn Weights'!$E$25)+(J154*'Pawn Weights'!$E$26)+(K154*'Pawn Weights'!$E$27)+(L154*'Pawn Weights'!$E$28)+(M154*'Pawn Weights'!$E$29)+(N154*'Pawn Weights'!$E$30)+(O154*'Pawn Weights'!$E$31)+(P154*'Pawn Weights'!$E$32)+(Q154*'Pawn Weights'!$E$33), 2)</f>
        <v>107.52</v>
      </c>
      <c r="E154" s="280">
        <v>46.0</v>
      </c>
      <c r="F154" s="280">
        <v>49.0</v>
      </c>
      <c r="G154" s="280"/>
      <c r="H154" s="280"/>
      <c r="I154" s="280">
        <v>31.0</v>
      </c>
      <c r="J154" s="280"/>
      <c r="K154" s="280"/>
      <c r="L154" s="280"/>
      <c r="M154" s="280"/>
      <c r="N154" s="280"/>
      <c r="O154" s="280">
        <v>1.0</v>
      </c>
      <c r="P154" s="280">
        <v>1.0</v>
      </c>
      <c r="Q154" s="280">
        <v>1.0</v>
      </c>
      <c r="R154" s="290" t="s">
        <v>643</v>
      </c>
      <c r="S154" s="281"/>
      <c r="T154" s="294"/>
      <c r="U154" s="281"/>
      <c r="V154" s="281"/>
      <c r="W154" s="281"/>
      <c r="X154" s="281"/>
    </row>
    <row r="155">
      <c r="A155" s="295"/>
      <c r="B155" s="296" t="s">
        <v>875</v>
      </c>
      <c r="C155" s="297" t="s">
        <v>865</v>
      </c>
      <c r="D155" s="289">
        <f>ROUND((F155*'Pawn Weights'!$E$22)+(G155*'Pawn Weights'!$E$23)+(H155*'Pawn Weights'!$E$24)+(I155*'Pawn Weights'!$E$25)+(J155*'Pawn Weights'!$E$26)+(K155*'Pawn Weights'!$E$27)+(L155*'Pawn Weights'!$E$28)+(M155*'Pawn Weights'!$E$29)+(N155*'Pawn Weights'!$E$30)+(O155*'Pawn Weights'!$E$31)+(P155*'Pawn Weights'!$E$32)+(Q155*'Pawn Weights'!$E$33), 2)</f>
        <v>107.26</v>
      </c>
      <c r="E155" s="298">
        <v>36.0</v>
      </c>
      <c r="F155" s="297"/>
      <c r="G155" s="298">
        <v>44.0</v>
      </c>
      <c r="H155" s="298">
        <v>104.0</v>
      </c>
      <c r="I155" s="297"/>
      <c r="J155" s="298">
        <v>15.0</v>
      </c>
      <c r="K155" s="297"/>
      <c r="L155" s="297"/>
      <c r="M155" s="297"/>
      <c r="N155" s="297"/>
      <c r="O155" s="297"/>
      <c r="P155" s="298">
        <v>1.0</v>
      </c>
      <c r="Q155" s="298">
        <v>1.0</v>
      </c>
      <c r="R155" s="298" t="s">
        <v>695</v>
      </c>
      <c r="S155" s="137"/>
      <c r="T155" s="295"/>
      <c r="U155" s="137"/>
      <c r="V155" s="137"/>
      <c r="W155" s="137"/>
      <c r="X155" s="137"/>
      <c r="Y155" s="137"/>
      <c r="Z155" s="137"/>
    </row>
    <row r="156">
      <c r="A156" s="301"/>
      <c r="B156" s="288" t="s">
        <v>874</v>
      </c>
      <c r="C156" s="280" t="s">
        <v>741</v>
      </c>
      <c r="D156" s="289">
        <f>ROUND((F156*'Pawn Weights'!$E$22)+(G156*'Pawn Weights'!$E$23)+(H156*'Pawn Weights'!$E$24)+(I156*'Pawn Weights'!$E$25)+(J156*'Pawn Weights'!$E$26)+(K156*'Pawn Weights'!$E$27)+(L156*'Pawn Weights'!$E$28)+(M156*'Pawn Weights'!$E$29)+(N156*'Pawn Weights'!$E$30)+(O156*'Pawn Weights'!$E$31)+(P156*'Pawn Weights'!$E$32)+(Q156*'Pawn Weights'!$E$33), 2)</f>
        <v>106.32</v>
      </c>
      <c r="E156" s="280">
        <v>31.0</v>
      </c>
      <c r="F156" s="280"/>
      <c r="G156" s="280">
        <v>45.0</v>
      </c>
      <c r="H156" s="280">
        <v>92.0</v>
      </c>
      <c r="I156" s="280">
        <v>37.0</v>
      </c>
      <c r="J156" s="280"/>
      <c r="K156" s="280"/>
      <c r="L156" s="280"/>
      <c r="M156" s="280"/>
      <c r="N156" s="280"/>
      <c r="O156" s="280"/>
      <c r="P156" s="280"/>
      <c r="Q156" s="280"/>
      <c r="R156" s="290"/>
      <c r="S156" s="281"/>
      <c r="T156" s="294"/>
      <c r="U156" s="281"/>
      <c r="V156" s="281"/>
      <c r="W156" s="281"/>
      <c r="X156" s="281"/>
    </row>
    <row r="157">
      <c r="A157" s="295"/>
      <c r="B157" s="296" t="s">
        <v>878</v>
      </c>
      <c r="C157" s="297" t="s">
        <v>879</v>
      </c>
      <c r="D157" s="289">
        <f>ROUND((F157*'Pawn Weights'!$E$22)+(G157*'Pawn Weights'!$E$23)+(H157*'Pawn Weights'!$E$24)+(I157*'Pawn Weights'!$E$25)+(J157*'Pawn Weights'!$E$26)+(K157*'Pawn Weights'!$E$27)+(L157*'Pawn Weights'!$E$28)+(M157*'Pawn Weights'!$E$29)+(N157*'Pawn Weights'!$E$30)+(O157*'Pawn Weights'!$E$31)+(P157*'Pawn Weights'!$E$32)+(Q157*'Pawn Weights'!$E$33), 2)</f>
        <v>101.84</v>
      </c>
      <c r="E157" s="298">
        <v>43.0</v>
      </c>
      <c r="F157" s="298">
        <v>46.0</v>
      </c>
      <c r="G157" s="297"/>
      <c r="H157" s="297"/>
      <c r="I157" s="297"/>
      <c r="J157" s="298">
        <v>38.0</v>
      </c>
      <c r="K157" s="297"/>
      <c r="L157" s="297"/>
      <c r="M157" s="295"/>
      <c r="N157" s="297"/>
      <c r="O157" s="298">
        <v>1.0</v>
      </c>
      <c r="P157" s="298">
        <v>1.0</v>
      </c>
      <c r="Q157" s="298">
        <v>1.0</v>
      </c>
      <c r="R157" s="298" t="s">
        <v>643</v>
      </c>
      <c r="S157" s="137"/>
      <c r="T157" s="295"/>
      <c r="U157" s="137"/>
      <c r="V157" s="137"/>
      <c r="W157" s="137"/>
      <c r="X157" s="137"/>
      <c r="Y157" s="137"/>
      <c r="Z157" s="137"/>
    </row>
    <row r="158">
      <c r="A158" s="295"/>
      <c r="B158" s="296" t="s">
        <v>876</v>
      </c>
      <c r="C158" s="297" t="s">
        <v>865</v>
      </c>
      <c r="D158" s="289">
        <f>ROUND((F158*'Pawn Weights'!$E$22)+(G158*'Pawn Weights'!$E$23)+(H158*'Pawn Weights'!$E$24)+(I158*'Pawn Weights'!$E$25)+(J158*'Pawn Weights'!$E$26)+(K158*'Pawn Weights'!$E$27)+(L158*'Pawn Weights'!$E$28)+(M158*'Pawn Weights'!$E$29)+(N158*'Pawn Weights'!$E$30)+(O158*'Pawn Weights'!$E$31)+(P158*'Pawn Weights'!$E$32)+(Q158*'Pawn Weights'!$E$33), 2)</f>
        <v>101.03</v>
      </c>
      <c r="E158" s="298">
        <v>52.0</v>
      </c>
      <c r="F158" s="298">
        <v>39.0</v>
      </c>
      <c r="G158" s="298">
        <v>45.0</v>
      </c>
      <c r="H158" s="297"/>
      <c r="I158" s="297"/>
      <c r="J158" s="298">
        <v>17.0</v>
      </c>
      <c r="K158" s="297"/>
      <c r="L158" s="297"/>
      <c r="M158" s="295"/>
      <c r="N158" s="297"/>
      <c r="O158" s="298">
        <v>1.0</v>
      </c>
      <c r="P158" s="298">
        <v>1.0</v>
      </c>
      <c r="Q158" s="297"/>
      <c r="R158" s="298" t="s">
        <v>812</v>
      </c>
      <c r="S158" s="137"/>
      <c r="T158" s="295"/>
      <c r="U158" s="137"/>
      <c r="V158" s="137"/>
      <c r="W158" s="137"/>
      <c r="X158" s="137"/>
      <c r="Y158" s="137"/>
      <c r="Z158" s="137"/>
    </row>
    <row r="159">
      <c r="A159" s="301"/>
      <c r="B159" s="288" t="s">
        <v>877</v>
      </c>
      <c r="C159" s="280" t="s">
        <v>708</v>
      </c>
      <c r="D159" s="289">
        <f>ROUND((F159*'Pawn Weights'!$E$22)+(G159*'Pawn Weights'!$E$23)+(H159*'Pawn Weights'!$E$24)+(I159*'Pawn Weights'!$E$25)+(J159*'Pawn Weights'!$E$26)+(K159*'Pawn Weights'!$E$27)+(L159*'Pawn Weights'!$E$28)+(M159*'Pawn Weights'!$E$29)+(N159*'Pawn Weights'!$E$30)+(O159*'Pawn Weights'!$E$31)+(P159*'Pawn Weights'!$E$32)+(Q159*'Pawn Weights'!$E$33), 2)</f>
        <v>100.47</v>
      </c>
      <c r="E159" s="280"/>
      <c r="F159" s="280"/>
      <c r="G159" s="280">
        <v>37.0</v>
      </c>
      <c r="H159" s="280">
        <v>76.0</v>
      </c>
      <c r="I159" s="280"/>
      <c r="J159" s="280">
        <v>16.0</v>
      </c>
      <c r="K159" s="280"/>
      <c r="L159" s="280"/>
      <c r="M159" s="280"/>
      <c r="N159" s="280"/>
      <c r="O159" s="280">
        <v>3.0</v>
      </c>
      <c r="P159" s="280"/>
      <c r="Q159" s="280"/>
      <c r="R159" s="290" t="s">
        <v>622</v>
      </c>
      <c r="S159" s="290"/>
      <c r="T159" s="285"/>
      <c r="U159" s="310"/>
      <c r="V159" s="281"/>
      <c r="W159" s="281"/>
      <c r="X159" s="281"/>
      <c r="Y159" s="281"/>
    </row>
    <row r="160">
      <c r="A160" s="301"/>
      <c r="B160" s="288" t="s">
        <v>880</v>
      </c>
      <c r="C160" s="280" t="s">
        <v>881</v>
      </c>
      <c r="D160" s="289">
        <f>ROUND((F160*'Pawn Weights'!$E$22)+(G160*'Pawn Weights'!$E$23)+(H160*'Pawn Weights'!$E$24)+(I160*'Pawn Weights'!$E$25)+(J160*'Pawn Weights'!$E$26)+(K160*'Pawn Weights'!$E$27)+(L160*'Pawn Weights'!$E$28)+(M160*'Pawn Weights'!$E$29)+(N160*'Pawn Weights'!$E$30)+(O160*'Pawn Weights'!$E$31)+(P160*'Pawn Weights'!$E$32)+(Q160*'Pawn Weights'!$E$33), 2)</f>
        <v>99.79</v>
      </c>
      <c r="E160" s="280">
        <v>28.0</v>
      </c>
      <c r="F160" s="280"/>
      <c r="G160" s="280">
        <v>32.0</v>
      </c>
      <c r="H160" s="280">
        <v>64.0</v>
      </c>
      <c r="I160" s="280"/>
      <c r="J160" s="280">
        <v>28.0</v>
      </c>
      <c r="K160" s="280"/>
      <c r="L160" s="280"/>
      <c r="M160" s="280"/>
      <c r="N160" s="280"/>
      <c r="O160" s="280">
        <v>2.0</v>
      </c>
      <c r="P160" s="280"/>
      <c r="Q160" s="280">
        <v>1.0</v>
      </c>
      <c r="R160" s="290" t="s">
        <v>882</v>
      </c>
      <c r="S160" s="281"/>
      <c r="T160" s="294"/>
      <c r="U160" s="281"/>
      <c r="V160" s="281"/>
      <c r="W160" s="281"/>
      <c r="X160" s="281"/>
    </row>
    <row r="161">
      <c r="A161" s="301" t="s">
        <v>627</v>
      </c>
      <c r="B161" s="311" t="s">
        <v>1235</v>
      </c>
      <c r="C161" s="280" t="s">
        <v>904</v>
      </c>
      <c r="D161" s="289">
        <f>ROUND((F161*'Pawn Weights'!$E$22)+(G161*'Pawn Weights'!$E$23)+(H161*'Pawn Weights'!$E$24)+(I161*'Pawn Weights'!$E$25)+(J161*'Pawn Weights'!$E$26)+(K161*'Pawn Weights'!$E$27)+(L161*'Pawn Weights'!$E$28)+(M161*'Pawn Weights'!$E$29)+(N161*'Pawn Weights'!$E$30)+(O161*'Pawn Weights'!$E$31)+(P161*'Pawn Weights'!$E$32)+(Q161*'Pawn Weights'!$E$33)-20+19.2+3.636, 2)</f>
        <v>96.47</v>
      </c>
      <c r="E161" s="280"/>
      <c r="F161" s="280"/>
      <c r="G161" s="280"/>
      <c r="H161" s="280">
        <v>52.0</v>
      </c>
      <c r="I161" s="280">
        <v>25.0</v>
      </c>
      <c r="J161" s="280">
        <v>25.0</v>
      </c>
      <c r="K161" s="280"/>
      <c r="L161" s="280"/>
      <c r="M161" s="280"/>
      <c r="N161" s="280"/>
      <c r="O161" s="280">
        <v>1.0</v>
      </c>
      <c r="P161" s="280">
        <v>2.0</v>
      </c>
      <c r="Q161" s="280"/>
      <c r="R161" s="290" t="s">
        <v>745</v>
      </c>
      <c r="S161" s="281"/>
      <c r="T161" s="294"/>
      <c r="U161" s="281"/>
      <c r="V161" s="281"/>
      <c r="W161" s="281"/>
      <c r="X161" s="281"/>
    </row>
    <row r="162">
      <c r="A162" s="301" t="s">
        <v>1068</v>
      </c>
      <c r="B162" s="288" t="s">
        <v>1410</v>
      </c>
      <c r="C162" s="280" t="s">
        <v>997</v>
      </c>
      <c r="D162" s="289">
        <f>ROUND((F162*'Pawn Weights'!$E$22)+(G162*'Pawn Weights'!$E$23)+(H162*'Pawn Weights'!$E$24)+(I162*'Pawn Weights'!$E$25)+(J162*'Pawn Weights'!$E$26)+(K162*'Pawn Weights'!$E$27)+(L162*'Pawn Weights'!$E$28)+(M162*'Pawn Weights'!$E$29)+(N162*'Pawn Weights'!$E$30)+(O162*'Pawn Weights'!$E$31)+(P162*'Pawn Weights'!$E$32)+(Q162*'Pawn Weights'!$E$33), 2)</f>
        <v>96.08</v>
      </c>
      <c r="E162" s="280">
        <v>63.0</v>
      </c>
      <c r="F162" s="280">
        <v>47.0</v>
      </c>
      <c r="G162" s="280"/>
      <c r="H162" s="280"/>
      <c r="I162" s="280">
        <v>43.0</v>
      </c>
      <c r="J162" s="280">
        <v>14.0</v>
      </c>
      <c r="K162" s="280"/>
      <c r="L162" s="280"/>
      <c r="M162" s="280"/>
      <c r="N162" s="280"/>
      <c r="O162" s="280"/>
      <c r="P162" s="280"/>
      <c r="Q162" s="280"/>
      <c r="R162" s="290"/>
      <c r="S162" s="281"/>
      <c r="T162" s="294" t="s">
        <v>861</v>
      </c>
      <c r="U162" s="281"/>
      <c r="V162" s="281"/>
      <c r="W162" s="281"/>
      <c r="X162" s="281"/>
    </row>
    <row r="163">
      <c r="A163" s="309"/>
      <c r="B163" s="288" t="s">
        <v>1238</v>
      </c>
      <c r="C163" s="280" t="s">
        <v>1239</v>
      </c>
      <c r="D163" s="289">
        <f>ROUND((F163*'Pawn Weights'!$E$22)+(G163*'Pawn Weights'!$E$23)+(H163*'Pawn Weights'!$E$24)+(I163*'Pawn Weights'!$E$25)+(J163*'Pawn Weights'!$E$26)+(K163*'Pawn Weights'!$E$27)+(L163*'Pawn Weights'!$E$28)+(M163*'Pawn Weights'!$E$29)+(N163*'Pawn Weights'!$E$30)+(O163*'Pawn Weights'!$E$31)+(P163*'Pawn Weights'!$E$32)+(Q163*'Pawn Weights'!$E$33), 2)</f>
        <v>95.49</v>
      </c>
      <c r="E163" s="280">
        <v>30.0</v>
      </c>
      <c r="F163" s="280"/>
      <c r="G163" s="280"/>
      <c r="H163" s="280">
        <v>64.0</v>
      </c>
      <c r="I163" s="280">
        <v>27.0</v>
      </c>
      <c r="J163" s="280">
        <v>17.0</v>
      </c>
      <c r="K163" s="280"/>
      <c r="L163" s="280"/>
      <c r="M163" s="281"/>
      <c r="N163" s="280"/>
      <c r="O163" s="280">
        <v>2.0</v>
      </c>
      <c r="P163" s="280"/>
      <c r="Q163" s="280">
        <v>1.0</v>
      </c>
      <c r="R163" s="290" t="s">
        <v>626</v>
      </c>
      <c r="S163" s="281"/>
      <c r="T163" s="291"/>
      <c r="U163" s="281"/>
      <c r="V163" s="281"/>
      <c r="W163" s="281"/>
    </row>
    <row r="164">
      <c r="A164" s="137"/>
      <c r="B164" s="296" t="s">
        <v>1234</v>
      </c>
      <c r="C164" s="297" t="s">
        <v>879</v>
      </c>
      <c r="D164" s="289">
        <f>ROUND((F164*'Pawn Weights'!$E$22)+(G164*'Pawn Weights'!$E$23)+(H164*'Pawn Weights'!$E$24)+(I164*'Pawn Weights'!$E$25)+(J164*'Pawn Weights'!$E$26)+(K164*'Pawn Weights'!$E$27)+(L164*'Pawn Weights'!$E$28)+(M164*'Pawn Weights'!$E$29)+(N164*'Pawn Weights'!$E$30)+(O164*'Pawn Weights'!$E$31)+(P164*'Pawn Weights'!$E$32)+(Q164*'Pawn Weights'!$E$33), 2)</f>
        <v>88.48</v>
      </c>
      <c r="E164" s="298">
        <v>46.0</v>
      </c>
      <c r="F164" s="297"/>
      <c r="G164" s="298">
        <v>45.0</v>
      </c>
      <c r="H164" s="298">
        <v>92.0</v>
      </c>
      <c r="I164" s="297"/>
      <c r="J164" s="297"/>
      <c r="K164" s="298">
        <v>30.0</v>
      </c>
      <c r="L164" s="297"/>
      <c r="M164" s="137"/>
      <c r="N164" s="297"/>
      <c r="O164" s="297"/>
      <c r="P164" s="297"/>
      <c r="Q164" s="297"/>
      <c r="R164" s="295"/>
      <c r="S164" s="137"/>
      <c r="T164" s="295"/>
      <c r="U164" s="137"/>
      <c r="V164" s="137"/>
      <c r="W164" s="137"/>
      <c r="X164" s="137"/>
      <c r="Y164" s="137"/>
      <c r="Z164" s="137"/>
    </row>
    <row r="165">
      <c r="A165" s="272" t="s">
        <v>883</v>
      </c>
      <c r="B165" s="281"/>
      <c r="C165" s="281"/>
      <c r="D165" s="360"/>
      <c r="E165" s="281"/>
      <c r="F165" s="281"/>
      <c r="G165" s="281"/>
      <c r="H165" s="281"/>
      <c r="I165" s="281"/>
      <c r="J165" s="281"/>
      <c r="K165" s="281"/>
      <c r="L165" s="281"/>
      <c r="M165" s="281"/>
      <c r="N165" s="281"/>
      <c r="O165" s="281"/>
      <c r="P165" s="281"/>
      <c r="Q165" s="281"/>
      <c r="R165" s="282"/>
      <c r="S165" s="281"/>
      <c r="T165" s="285"/>
      <c r="U165" s="281"/>
      <c r="V165" s="281"/>
      <c r="W165" s="281"/>
    </row>
    <row r="166">
      <c r="A166" s="301"/>
      <c r="B166" s="288" t="s">
        <v>885</v>
      </c>
      <c r="C166" s="280" t="s">
        <v>816</v>
      </c>
      <c r="D166" s="289">
        <f>ROUND((F166*'Pawn Weights'!$E$22)+(G166*'Pawn Weights'!$E$23)+(H166*'Pawn Weights'!$E$24)+(I166*'Pawn Weights'!$E$25)+(J166*'Pawn Weights'!$E$26)+(K166*'Pawn Weights'!$E$27)+(L166*'Pawn Weights'!$E$28)+(M166*'Pawn Weights'!$E$29)+(N166*'Pawn Weights'!$E$30)+(O166*'Pawn Weights'!$E$31)+(P166*'Pawn Weights'!$E$32)+(Q166*'Pawn Weights'!$E$33)-20+19.2+3, 2)</f>
        <v>100.04</v>
      </c>
      <c r="E166" s="280">
        <v>40.0</v>
      </c>
      <c r="F166" s="280">
        <v>38.0</v>
      </c>
      <c r="G166" s="280"/>
      <c r="H166" s="280"/>
      <c r="I166" s="280">
        <v>30.0</v>
      </c>
      <c r="J166" s="280">
        <v>18.0</v>
      </c>
      <c r="K166" s="280"/>
      <c r="L166" s="280"/>
      <c r="M166" s="281"/>
      <c r="N166" s="280"/>
      <c r="O166" s="280"/>
      <c r="P166" s="280">
        <v>2.0</v>
      </c>
      <c r="Q166" s="280"/>
      <c r="R166" s="290" t="s">
        <v>698</v>
      </c>
      <c r="S166" s="281"/>
      <c r="T166" s="291"/>
      <c r="U166" s="281"/>
      <c r="V166" s="281"/>
      <c r="W166" s="281"/>
    </row>
    <row r="167">
      <c r="A167" s="301"/>
      <c r="B167" s="288" t="s">
        <v>886</v>
      </c>
      <c r="C167" s="280" t="s">
        <v>701</v>
      </c>
      <c r="D167" s="289">
        <f>ROUND((F167*'Pawn Weights'!$E$22)+(G167*'Pawn Weights'!$E$23)+(H167*'Pawn Weights'!$E$24)+(I167*'Pawn Weights'!$E$25)+(J167*'Pawn Weights'!$E$26)+(K167*'Pawn Weights'!$E$27)+(L167*'Pawn Weights'!$E$28)+(M167*'Pawn Weights'!$E$29)+(N167*'Pawn Weights'!$E$30)+(O167*'Pawn Weights'!$E$31)+(P167*'Pawn Weights'!$E$32)+(Q167*'Pawn Weights'!$E$33)-10+9.6+2.76, 2)</f>
        <v>92.85</v>
      </c>
      <c r="E167" s="280">
        <v>38.0</v>
      </c>
      <c r="F167" s="280"/>
      <c r="G167" s="280">
        <v>30.0</v>
      </c>
      <c r="H167" s="280">
        <v>76.0</v>
      </c>
      <c r="I167" s="280">
        <v>17.0</v>
      </c>
      <c r="J167" s="280"/>
      <c r="K167" s="280"/>
      <c r="L167" s="280"/>
      <c r="M167" s="281"/>
      <c r="N167" s="280"/>
      <c r="O167" s="280">
        <v>1.0</v>
      </c>
      <c r="P167" s="280">
        <v>1.0</v>
      </c>
      <c r="Q167" s="280"/>
      <c r="R167" s="290" t="s">
        <v>702</v>
      </c>
      <c r="S167" s="281"/>
      <c r="T167" s="291"/>
      <c r="U167" s="281"/>
      <c r="V167" s="281"/>
      <c r="W167" s="281"/>
    </row>
    <row r="168">
      <c r="A168" s="301"/>
      <c r="B168" s="288" t="s">
        <v>887</v>
      </c>
      <c r="C168" s="280" t="s">
        <v>727</v>
      </c>
      <c r="D168" s="289">
        <f>ROUND((F168*'Pawn Weights'!$E$22)+(G168*'Pawn Weights'!$E$23)+(H168*'Pawn Weights'!$E$24)+(I168*'Pawn Weights'!$E$25)+(J168*'Pawn Weights'!$E$26)+(K168*'Pawn Weights'!$E$27)+(L168*'Pawn Weights'!$E$28)+(M168*'Pawn Weights'!$E$29)+(N168*'Pawn Weights'!$E$30)+(O168*'Pawn Weights'!$E$31)+(P168*'Pawn Weights'!$E$32)+(Q168*'Pawn Weights'!$E$33), 2)</f>
        <v>88.3</v>
      </c>
      <c r="E168" s="280"/>
      <c r="F168" s="280"/>
      <c r="G168" s="280">
        <v>27.0</v>
      </c>
      <c r="H168" s="280">
        <v>76.0</v>
      </c>
      <c r="I168" s="280">
        <v>26.0</v>
      </c>
      <c r="J168" s="280">
        <v>17.0</v>
      </c>
      <c r="K168" s="280"/>
      <c r="L168" s="280"/>
      <c r="M168" s="281"/>
      <c r="N168" s="280"/>
      <c r="O168" s="280"/>
      <c r="P168" s="280"/>
      <c r="Q168" s="280"/>
      <c r="R168" s="290"/>
      <c r="S168" s="281"/>
      <c r="T168" s="291"/>
      <c r="U168" s="281"/>
      <c r="V168" s="281"/>
      <c r="W168" s="281"/>
    </row>
    <row r="169">
      <c r="A169" s="295"/>
      <c r="B169" s="296" t="s">
        <v>888</v>
      </c>
      <c r="C169" s="297" t="s">
        <v>889</v>
      </c>
      <c r="D169" s="289">
        <f>ROUND((F169*'Pawn Weights'!$E$22)+(G169*'Pawn Weights'!$E$23)+(H169*'Pawn Weights'!$E$24)+(I169*'Pawn Weights'!$E$25)+(J169*'Pawn Weights'!$E$26)+(K169*'Pawn Weights'!$E$27)+(L169*'Pawn Weights'!$E$28)+(M169*'Pawn Weights'!$E$29)+(N169*'Pawn Weights'!$E$30)+(O169*'Pawn Weights'!$E$31)+(P169*'Pawn Weights'!$E$32)+(Q169*'Pawn Weights'!$E$33), 2)</f>
        <v>81.86</v>
      </c>
      <c r="E169" s="298">
        <v>21.0</v>
      </c>
      <c r="F169" s="297"/>
      <c r="G169" s="298">
        <v>29.0</v>
      </c>
      <c r="H169" s="298">
        <v>60.0</v>
      </c>
      <c r="I169" s="297"/>
      <c r="J169" s="298">
        <v>22.0</v>
      </c>
      <c r="K169" s="297"/>
      <c r="L169" s="297"/>
      <c r="M169" s="137"/>
      <c r="N169" s="297"/>
      <c r="O169" s="298">
        <v>1.0</v>
      </c>
      <c r="P169" s="297"/>
      <c r="Q169" s="298">
        <v>1.0</v>
      </c>
      <c r="R169" s="298" t="s">
        <v>832</v>
      </c>
      <c r="S169" s="137"/>
      <c r="T169" s="295"/>
      <c r="U169" s="137"/>
      <c r="V169" s="137"/>
      <c r="W169" s="137"/>
      <c r="X169" s="137"/>
      <c r="Y169" s="137"/>
      <c r="Z169" s="137"/>
    </row>
    <row r="170">
      <c r="A170" s="295"/>
      <c r="B170" s="296" t="s">
        <v>890</v>
      </c>
      <c r="C170" s="297" t="s">
        <v>773</v>
      </c>
      <c r="D170" s="289">
        <f>ROUND((F170*'Pawn Weights'!$E$22)+(G170*'Pawn Weights'!$E$23)+(H170*'Pawn Weights'!$E$24)+(I170*'Pawn Weights'!$E$25)+(J170*'Pawn Weights'!$E$26)+(K170*'Pawn Weights'!$E$27)+(L170*'Pawn Weights'!$E$28)+(M170*'Pawn Weights'!$E$29)+(N170*'Pawn Weights'!$E$30)+(O170*'Pawn Weights'!$E$31)+(P170*'Pawn Weights'!$E$32)+(Q170*'Pawn Weights'!$E$33), 2)</f>
        <v>78.12</v>
      </c>
      <c r="E170" s="298">
        <v>28.0</v>
      </c>
      <c r="F170" s="297"/>
      <c r="G170" s="298">
        <v>28.0</v>
      </c>
      <c r="H170" s="298">
        <v>58.0</v>
      </c>
      <c r="I170" s="297"/>
      <c r="J170" s="297"/>
      <c r="K170" s="297"/>
      <c r="L170" s="297"/>
      <c r="M170" s="359">
        <v>126.0</v>
      </c>
      <c r="N170" s="297"/>
      <c r="O170" s="298">
        <v>1.0</v>
      </c>
      <c r="P170" s="297"/>
      <c r="Q170" s="297"/>
      <c r="R170" s="298" t="s">
        <v>674</v>
      </c>
      <c r="S170" s="137"/>
      <c r="T170" s="295"/>
      <c r="U170" s="137"/>
      <c r="V170" s="137"/>
      <c r="W170" s="137"/>
      <c r="X170" s="137"/>
      <c r="Y170" s="137"/>
      <c r="Z170" s="137"/>
    </row>
    <row r="171">
      <c r="A171" s="301"/>
      <c r="B171" s="288" t="s">
        <v>896</v>
      </c>
      <c r="C171" s="280" t="s">
        <v>835</v>
      </c>
      <c r="D171" s="289">
        <f>ROUND((F171*'Pawn Weights'!$E$22)+(G171*'Pawn Weights'!$E$23)+(H171*'Pawn Weights'!$E$24)+(I171*'Pawn Weights'!$E$25)+(J171*'Pawn Weights'!$E$26)+(K171*'Pawn Weights'!$E$27)+(L171*'Pawn Weights'!$E$28)+(M171*'Pawn Weights'!$E$29)+(N171*'Pawn Weights'!$E$30)+(O171*'Pawn Weights'!$E$31)+(P171*'Pawn Weights'!$E$32)+(Q171*'Pawn Weights'!$E$33)-10+9.6+2.001, 2)</f>
        <v>77.12</v>
      </c>
      <c r="E171" s="280">
        <v>30.0</v>
      </c>
      <c r="F171" s="280"/>
      <c r="G171" s="280">
        <v>28.0</v>
      </c>
      <c r="H171" s="280">
        <v>58.0</v>
      </c>
      <c r="I171" s="280"/>
      <c r="J171" s="280">
        <v>15.0</v>
      </c>
      <c r="K171" s="280"/>
      <c r="L171" s="280"/>
      <c r="M171" s="281"/>
      <c r="N171" s="280"/>
      <c r="O171" s="280">
        <v>1.0</v>
      </c>
      <c r="P171" s="280">
        <v>1.0</v>
      </c>
      <c r="Q171" s="280"/>
      <c r="R171" s="290" t="s">
        <v>695</v>
      </c>
      <c r="S171" s="281"/>
      <c r="T171" s="291"/>
      <c r="U171" s="281"/>
      <c r="V171" s="281"/>
      <c r="W171" s="281"/>
    </row>
    <row r="172">
      <c r="A172" s="295" t="s">
        <v>671</v>
      </c>
      <c r="B172" s="296" t="s">
        <v>891</v>
      </c>
      <c r="C172" s="297" t="s">
        <v>892</v>
      </c>
      <c r="D172" s="289">
        <f>ROUND((F172*'Pawn Weights'!$E$22)+(G172*'Pawn Weights'!$E$23)+(H172*'Pawn Weights'!$E$24)+(I172*'Pawn Weights'!$E$25)+(J172*'Pawn Weights'!$E$26)+(K172*'Pawn Weights'!$E$27)+(L172*'Pawn Weights'!$E$28)+(M172*'Pawn Weights'!$E$29)+(N172*'Pawn Weights'!$E$30)+(O172*'Pawn Weights'!$E$31)+(P172*'Pawn Weights'!$E$32)+(Q172*'Pawn Weights'!$E$33), 2)</f>
        <v>76.8</v>
      </c>
      <c r="E172" s="298">
        <v>56.0</v>
      </c>
      <c r="F172" s="298">
        <v>40.0</v>
      </c>
      <c r="G172" s="297"/>
      <c r="H172" s="297"/>
      <c r="I172" s="298">
        <v>40.0</v>
      </c>
      <c r="J172" s="297"/>
      <c r="K172" s="297"/>
      <c r="L172" s="297"/>
      <c r="M172" s="137"/>
      <c r="N172" s="297"/>
      <c r="O172" s="297"/>
      <c r="P172" s="297"/>
      <c r="Q172" s="297"/>
      <c r="R172" s="295"/>
      <c r="S172" s="137"/>
      <c r="T172" s="297" t="s">
        <v>850</v>
      </c>
      <c r="U172" s="137"/>
      <c r="V172" s="137"/>
      <c r="W172" s="137"/>
      <c r="X172" s="137"/>
      <c r="Y172" s="137"/>
      <c r="Z172" s="137"/>
    </row>
    <row r="173">
      <c r="A173" s="301" t="s">
        <v>627</v>
      </c>
      <c r="B173" s="288" t="s">
        <v>897</v>
      </c>
      <c r="C173" s="280" t="s">
        <v>898</v>
      </c>
      <c r="D173" s="289">
        <f>ROUND((F173*'Pawn Weights'!$E$22)+(G173*'Pawn Weights'!$E$23)+(H173*'Pawn Weights'!$E$24)+(I173*'Pawn Weights'!$E$25)+(J173*'Pawn Weights'!$E$26)+(K173*'Pawn Weights'!$E$27)+(L173*'Pawn Weights'!$E$28)+(M173*'Pawn Weights'!$E$29)+(N173*'Pawn Weights'!$E$30)+(O173*'Pawn Weights'!$E$31)+(P173*'Pawn Weights'!$E$32)+(Q173*'Pawn Weights'!$E$33), 2)</f>
        <v>75.08</v>
      </c>
      <c r="E173" s="280">
        <v>34.0</v>
      </c>
      <c r="F173" s="280"/>
      <c r="G173" s="280"/>
      <c r="H173" s="280">
        <v>66.0</v>
      </c>
      <c r="I173" s="280">
        <v>32.0</v>
      </c>
      <c r="J173" s="280">
        <v>23.0</v>
      </c>
      <c r="K173" s="280"/>
      <c r="L173" s="280"/>
      <c r="M173" s="281"/>
      <c r="N173" s="280"/>
      <c r="O173" s="280"/>
      <c r="P173" s="280"/>
      <c r="Q173" s="280"/>
      <c r="R173" s="290"/>
      <c r="S173" s="281"/>
      <c r="T173" s="291"/>
      <c r="U173" s="281"/>
      <c r="V173" s="281"/>
      <c r="W173" s="281"/>
    </row>
    <row r="174">
      <c r="A174" s="295"/>
      <c r="B174" s="296" t="s">
        <v>895</v>
      </c>
      <c r="C174" s="297" t="s">
        <v>773</v>
      </c>
      <c r="D174" s="289">
        <f>ROUND((F174*'Pawn Weights'!$E$22)+(G174*'Pawn Weights'!$E$23)+(H174*'Pawn Weights'!$E$24)+(I174*'Pawn Weights'!$E$25)+(J174*'Pawn Weights'!$E$26)+(K174*'Pawn Weights'!$E$27)+(L174*'Pawn Weights'!$E$28)+(M174*'Pawn Weights'!$E$29)+(N174*'Pawn Weights'!$E$30)+(O174*'Pawn Weights'!$E$31)+(P174*'Pawn Weights'!$E$32)+(Q174*'Pawn Weights'!$E$33), 2)</f>
        <v>74.34</v>
      </c>
      <c r="E174" s="298">
        <v>30.0</v>
      </c>
      <c r="F174" s="298">
        <v>29.0</v>
      </c>
      <c r="G174" s="297"/>
      <c r="H174" s="297"/>
      <c r="I174" s="297"/>
      <c r="J174" s="297"/>
      <c r="K174" s="297"/>
      <c r="L174" s="297"/>
      <c r="M174" s="359">
        <v>140.0</v>
      </c>
      <c r="N174" s="297"/>
      <c r="O174" s="298">
        <v>1.0</v>
      </c>
      <c r="P174" s="297"/>
      <c r="Q174" s="298">
        <v>1.0</v>
      </c>
      <c r="R174" s="298" t="s">
        <v>698</v>
      </c>
      <c r="S174" s="137"/>
      <c r="T174" s="295"/>
      <c r="U174" s="137"/>
      <c r="V174" s="137"/>
      <c r="W174" s="137"/>
      <c r="X174" s="137"/>
      <c r="Y174" s="137"/>
      <c r="Z174" s="137"/>
    </row>
    <row r="175">
      <c r="A175" s="301"/>
      <c r="B175" s="288" t="s">
        <v>899</v>
      </c>
      <c r="C175" s="280" t="s">
        <v>900</v>
      </c>
      <c r="D175" s="289">
        <f>ROUND((F175*'Pawn Weights'!$E$22)+(G175*'Pawn Weights'!$E$23)+(H175*'Pawn Weights'!$E$24)+(I175*'Pawn Weights'!$E$25)+(J175*'Pawn Weights'!$E$26)+(K175*'Pawn Weights'!$E$27)+(L175*'Pawn Weights'!$E$28)+(M175*'Pawn Weights'!$E$29)+(N175*'Pawn Weights'!$E$30)+(O175*'Pawn Weights'!$E$31)+(P175*'Pawn Weights'!$E$32)+(Q175*'Pawn Weights'!$E$33), 2)</f>
        <v>72.52</v>
      </c>
      <c r="E175" s="280">
        <v>29.0</v>
      </c>
      <c r="F175" s="280">
        <v>44.0</v>
      </c>
      <c r="G175" s="280"/>
      <c r="H175" s="280"/>
      <c r="I175" s="280">
        <v>31.0</v>
      </c>
      <c r="J175" s="280"/>
      <c r="K175" s="280"/>
      <c r="L175" s="280"/>
      <c r="M175" s="281"/>
      <c r="N175" s="280"/>
      <c r="O175" s="280"/>
      <c r="P175" s="280"/>
      <c r="Q175" s="280"/>
      <c r="R175" s="290"/>
      <c r="S175" s="281"/>
      <c r="T175" s="291"/>
      <c r="U175" s="281"/>
      <c r="V175" s="281"/>
      <c r="W175" s="281"/>
    </row>
    <row r="176">
      <c r="A176" s="301"/>
      <c r="B176" s="288" t="s">
        <v>901</v>
      </c>
      <c r="C176" s="280" t="s">
        <v>649</v>
      </c>
      <c r="D176" s="289">
        <f>ROUND((F176*'Pawn Weights'!$E$22)+(G176*'Pawn Weights'!$E$23)+(H176*'Pawn Weights'!$E$24)+(I176*'Pawn Weights'!$E$25)+(J176*'Pawn Weights'!$E$26)+(K176*'Pawn Weights'!$E$27)+(L176*'Pawn Weights'!$E$28)+(M176*'Pawn Weights'!$E$29)+(N176*'Pawn Weights'!$E$30)+(O176*'Pawn Weights'!$E$31)+(P176*'Pawn Weights'!$E$32)+(Q176*'Pawn Weights'!$E$33), 2)</f>
        <v>72.34</v>
      </c>
      <c r="E176" s="280">
        <v>25.0</v>
      </c>
      <c r="F176" s="280"/>
      <c r="G176" s="280">
        <v>33.0</v>
      </c>
      <c r="H176" s="280">
        <v>66.0</v>
      </c>
      <c r="I176" s="280"/>
      <c r="J176" s="280"/>
      <c r="K176" s="280"/>
      <c r="L176" s="280"/>
      <c r="M176" s="281"/>
      <c r="N176" s="280"/>
      <c r="O176" s="280">
        <v>1.0</v>
      </c>
      <c r="P176" s="280"/>
      <c r="Q176" s="280">
        <v>1.0</v>
      </c>
      <c r="R176" s="290" t="s">
        <v>695</v>
      </c>
      <c r="S176" s="281"/>
      <c r="T176" s="291"/>
      <c r="U176" s="281"/>
      <c r="V176" s="281"/>
      <c r="W176" s="281"/>
    </row>
    <row r="177">
      <c r="A177" s="301"/>
      <c r="B177" s="288" t="s">
        <v>902</v>
      </c>
      <c r="C177" s="280" t="s">
        <v>871</v>
      </c>
      <c r="D177" s="289">
        <f>ROUND((F177*'Pawn Weights'!$E$22)+(G177*'Pawn Weights'!$E$23)+(H177*'Pawn Weights'!$E$24)+(I177*'Pawn Weights'!$E$25)+(J177*'Pawn Weights'!$E$26)+(K177*'Pawn Weights'!$E$27)+(L177*'Pawn Weights'!$E$28)+(M177*'Pawn Weights'!$E$29)+(N177*'Pawn Weights'!$E$30)+(O177*'Pawn Weights'!$E$31)+(P177*'Pawn Weights'!$E$32)+(Q177*'Pawn Weights'!$E$33), 2)</f>
        <v>72.34</v>
      </c>
      <c r="E177" s="280">
        <v>13.0</v>
      </c>
      <c r="F177" s="280"/>
      <c r="G177" s="280">
        <v>33.0</v>
      </c>
      <c r="H177" s="280">
        <v>66.0</v>
      </c>
      <c r="I177" s="280"/>
      <c r="J177" s="280"/>
      <c r="K177" s="280"/>
      <c r="L177" s="280"/>
      <c r="M177" s="281"/>
      <c r="N177" s="280"/>
      <c r="O177" s="280"/>
      <c r="P177" s="280"/>
      <c r="Q177" s="280">
        <v>2.0</v>
      </c>
      <c r="R177" s="290" t="s">
        <v>809</v>
      </c>
      <c r="S177" s="281"/>
      <c r="T177" s="291"/>
      <c r="U177" s="281"/>
      <c r="V177" s="281"/>
      <c r="W177" s="281"/>
    </row>
    <row r="178">
      <c r="A178" s="301" t="s">
        <v>627</v>
      </c>
      <c r="B178" s="311" t="s">
        <v>903</v>
      </c>
      <c r="C178" s="280" t="s">
        <v>904</v>
      </c>
      <c r="D178" s="289">
        <f>ROUND((F178*'Pawn Weights'!$E$22)+(G178*'Pawn Weights'!$E$23)+(H178*'Pawn Weights'!$E$24)+(I178*'Pawn Weights'!$E$25)+(J178*'Pawn Weights'!$E$26)+(K178*'Pawn Weights'!$E$27)+(L178*'Pawn Weights'!$E$28)+(M178*'Pawn Weights'!$E$29)+(N178*'Pawn Weights'!$E$30)+(O178*'Pawn Weights'!$E$31)+(P178*'Pawn Weights'!$E$32)+(Q178*'Pawn Weights'!$E$33)-10+9.6+2.727, 2)</f>
        <v>71.33</v>
      </c>
      <c r="E178" s="280"/>
      <c r="F178" s="280"/>
      <c r="G178" s="280"/>
      <c r="H178" s="280">
        <v>36.0</v>
      </c>
      <c r="I178" s="280">
        <v>17.0</v>
      </c>
      <c r="J178" s="280">
        <v>25.0</v>
      </c>
      <c r="K178" s="280"/>
      <c r="L178" s="280"/>
      <c r="M178" s="281"/>
      <c r="N178" s="280"/>
      <c r="O178" s="280">
        <v>1.0</v>
      </c>
      <c r="P178" s="280">
        <v>1.0</v>
      </c>
      <c r="Q178" s="280"/>
      <c r="R178" s="290" t="s">
        <v>809</v>
      </c>
      <c r="S178" s="281"/>
      <c r="T178" s="291"/>
      <c r="U178" s="281"/>
      <c r="V178" s="281"/>
      <c r="W178" s="281"/>
    </row>
    <row r="179">
      <c r="A179" s="309"/>
      <c r="B179" s="288" t="s">
        <v>1103</v>
      </c>
      <c r="C179" s="280" t="s">
        <v>1104</v>
      </c>
      <c r="D179" s="289">
        <f>ROUND((F179*'Pawn Weights'!$E$22)+(G179*'Pawn Weights'!$E$23)+(H179*'Pawn Weights'!$E$24)+(I179*'Pawn Weights'!$E$25)+(J179*'Pawn Weights'!$E$26)+(K179*'Pawn Weights'!$E$27)+(L179*'Pawn Weights'!$E$28)+(M179*'Pawn Weights'!$E$29)+(N179*'Pawn Weights'!$E$30)+(O179*'Pawn Weights'!$E$31)+(P179*'Pawn Weights'!$E$32)+(Q179*'Pawn Weights'!$E$33)-10+9.6+2.04, 2)</f>
        <v>70.11</v>
      </c>
      <c r="E179" s="280">
        <v>28.0</v>
      </c>
      <c r="F179" s="280"/>
      <c r="G179" s="280">
        <v>29.0</v>
      </c>
      <c r="H179" s="280">
        <v>44.0</v>
      </c>
      <c r="I179" s="280"/>
      <c r="J179" s="280">
        <v>13.0</v>
      </c>
      <c r="K179" s="280"/>
      <c r="L179" s="280"/>
      <c r="M179" s="281"/>
      <c r="N179" s="280"/>
      <c r="O179" s="280">
        <v>1.0</v>
      </c>
      <c r="P179" s="280">
        <v>1.0</v>
      </c>
      <c r="Q179" s="280"/>
      <c r="R179" s="290" t="s">
        <v>832</v>
      </c>
      <c r="S179" s="281"/>
      <c r="T179" s="291"/>
      <c r="U179" s="281"/>
      <c r="V179" s="281"/>
      <c r="W179" s="281"/>
    </row>
    <row r="180">
      <c r="A180" s="309"/>
      <c r="B180" s="288" t="s">
        <v>1105</v>
      </c>
      <c r="C180" s="280" t="s">
        <v>1106</v>
      </c>
      <c r="D180" s="289">
        <f>ROUND((F180*'Pawn Weights'!$E$22)+(G180*'Pawn Weights'!$E$23)+(H180*'Pawn Weights'!$E$24)+(I180*'Pawn Weights'!$E$25)+(J180*'Pawn Weights'!$E$26)+(K180*'Pawn Weights'!$E$27)+(L180*'Pawn Weights'!$E$28)+(M180*'Pawn Weights'!$E$29)+(N180*'Pawn Weights'!$E$30)+(O180*'Pawn Weights'!$E$31)+(P180*'Pawn Weights'!$E$32)+(Q180*'Pawn Weights'!$E$33)-10+9.6+3, 2)</f>
        <v>69.14</v>
      </c>
      <c r="E180" s="280">
        <v>28.0</v>
      </c>
      <c r="F180" s="280">
        <v>33.0</v>
      </c>
      <c r="G180" s="280">
        <v>20.0</v>
      </c>
      <c r="H180" s="280"/>
      <c r="I180" s="280"/>
      <c r="J180" s="280"/>
      <c r="K180" s="280"/>
      <c r="L180" s="280"/>
      <c r="M180" s="281"/>
      <c r="N180" s="280"/>
      <c r="O180" s="280">
        <v>1.0</v>
      </c>
      <c r="P180" s="280">
        <v>1.0</v>
      </c>
      <c r="Q180" s="280"/>
      <c r="R180" s="290" t="s">
        <v>698</v>
      </c>
      <c r="S180" s="281"/>
      <c r="T180" s="291"/>
      <c r="U180" s="281"/>
      <c r="V180" s="281"/>
      <c r="W180" s="281"/>
    </row>
    <row r="181">
      <c r="A181" s="301"/>
      <c r="B181" s="288" t="s">
        <v>1107</v>
      </c>
      <c r="C181" s="280" t="s">
        <v>842</v>
      </c>
      <c r="D181" s="289">
        <f>ROUND((F181*'Pawn Weights'!$E$22)+(G181*'Pawn Weights'!$E$23)+(H181*'Pawn Weights'!$E$24)+(I181*'Pawn Weights'!$E$25)+(J181*'Pawn Weights'!$E$26)+(K181*'Pawn Weights'!$E$27)+(L181*'Pawn Weights'!$E$28)+(M181*'Pawn Weights'!$E$29)+(N181*'Pawn Weights'!$E$30)+(O181*'Pawn Weights'!$E$31)+(P181*'Pawn Weights'!$E$32)+(Q181*'Pawn Weights'!$E$33), 2)</f>
        <v>67.66</v>
      </c>
      <c r="E181" s="280">
        <v>41.0</v>
      </c>
      <c r="F181" s="280"/>
      <c r="G181" s="280"/>
      <c r="H181" s="280">
        <v>98.0</v>
      </c>
      <c r="I181" s="280"/>
      <c r="J181" s="280">
        <v>34.0</v>
      </c>
      <c r="K181" s="280"/>
      <c r="L181" s="280"/>
      <c r="M181" s="281"/>
      <c r="N181" s="280"/>
      <c r="O181" s="280"/>
      <c r="P181" s="280"/>
      <c r="Q181" s="280"/>
      <c r="R181" s="290"/>
      <c r="S181" s="281"/>
      <c r="T181" s="291"/>
      <c r="U181" s="281"/>
      <c r="V181" s="281"/>
      <c r="W181" s="281"/>
    </row>
    <row r="182">
      <c r="A182" s="301" t="s">
        <v>991</v>
      </c>
      <c r="B182" s="288" t="s">
        <v>1108</v>
      </c>
      <c r="C182" s="280" t="s">
        <v>892</v>
      </c>
      <c r="D182" s="289">
        <f>ROUND((F182*'Pawn Weights'!$E$22)+(G182*'Pawn Weights'!$E$23)+(H182*'Pawn Weights'!$E$24)+(I182*'Pawn Weights'!$E$25)+(J182*'Pawn Weights'!$E$26)+(K182*'Pawn Weights'!$E$27)+(L182*'Pawn Weights'!$E$28)+(M182*'Pawn Weights'!$E$29)+(N182*'Pawn Weights'!$E$30)+(O182*'Pawn Weights'!$E$31)+(P182*'Pawn Weights'!$E$32)+(Q182*'Pawn Weights'!$E$33), 2)</f>
        <v>67.2</v>
      </c>
      <c r="E182" s="280">
        <v>49.0</v>
      </c>
      <c r="F182" s="280">
        <v>35.0</v>
      </c>
      <c r="G182" s="280"/>
      <c r="H182" s="280"/>
      <c r="I182" s="280">
        <v>35.0</v>
      </c>
      <c r="J182" s="280"/>
      <c r="K182" s="280"/>
      <c r="L182" s="280"/>
      <c r="M182" s="281"/>
      <c r="N182" s="280"/>
      <c r="O182" s="280"/>
      <c r="P182" s="280"/>
      <c r="Q182" s="280"/>
      <c r="R182" s="290"/>
      <c r="S182" s="281"/>
      <c r="T182" s="291" t="s">
        <v>850</v>
      </c>
      <c r="U182" s="281"/>
      <c r="V182" s="281"/>
      <c r="W182" s="281"/>
    </row>
    <row r="183">
      <c r="A183" s="224" t="s">
        <v>905</v>
      </c>
      <c r="B183" s="281"/>
      <c r="C183" s="281"/>
      <c r="D183" s="360"/>
      <c r="E183" s="281"/>
      <c r="F183" s="281"/>
      <c r="G183" s="281"/>
      <c r="H183" s="281"/>
      <c r="I183" s="281"/>
      <c r="J183" s="281"/>
      <c r="K183" s="281"/>
      <c r="L183" s="281"/>
      <c r="M183" s="281"/>
      <c r="N183" s="281"/>
      <c r="O183" s="281"/>
      <c r="P183" s="281"/>
      <c r="Q183" s="281"/>
      <c r="R183" s="282"/>
      <c r="S183" s="281"/>
      <c r="T183" s="285"/>
      <c r="U183" s="281"/>
      <c r="V183" s="281"/>
      <c r="W183" s="281"/>
    </row>
    <row r="184">
      <c r="A184" s="281"/>
      <c r="B184" s="288" t="s">
        <v>907</v>
      </c>
      <c r="C184" s="280" t="s">
        <v>632</v>
      </c>
      <c r="D184" s="289">
        <f>ROUND((F184*'Pawn Weights'!$E$22)+(G184*'Pawn Weights'!$E$23)+(H184*'Pawn Weights'!$E$24)+(I184*'Pawn Weights'!$E$25)+(J184*'Pawn Weights'!$E$26)+(K184*'Pawn Weights'!$E$27)+(L184*'Pawn Weights'!$E$28)+(M184*'Pawn Weights'!$E$29)+(N184*'Pawn Weights'!$E$30)+(O184*'Pawn Weights'!$E$31)+(P184*'Pawn Weights'!$E$32)+(Q184*'Pawn Weights'!$E$33), 2)</f>
        <v>73.2</v>
      </c>
      <c r="E184" s="280">
        <v>33.0</v>
      </c>
      <c r="F184" s="280"/>
      <c r="G184" s="280"/>
      <c r="H184" s="280">
        <v>66.0</v>
      </c>
      <c r="I184" s="280"/>
      <c r="J184" s="280">
        <v>30.0</v>
      </c>
      <c r="K184" s="280"/>
      <c r="L184" s="280"/>
      <c r="M184" s="280">
        <v>126.0</v>
      </c>
      <c r="N184" s="280"/>
      <c r="O184" s="280"/>
      <c r="P184" s="280"/>
      <c r="Q184" s="280"/>
      <c r="R184" s="290"/>
      <c r="S184" s="281"/>
      <c r="T184" s="291"/>
      <c r="U184" s="281"/>
      <c r="V184" s="281"/>
      <c r="W184" s="281"/>
    </row>
    <row r="185">
      <c r="A185" s="137"/>
      <c r="B185" s="296" t="s">
        <v>908</v>
      </c>
      <c r="C185" s="297" t="s">
        <v>909</v>
      </c>
      <c r="D185" s="289">
        <f>ROUND((F185*'Pawn Weights'!$E$22)+(G185*'Pawn Weights'!$E$23)+(H185*'Pawn Weights'!$E$24)+(I185*'Pawn Weights'!$E$25)+(J185*'Pawn Weights'!$E$26)+(K185*'Pawn Weights'!$E$27)+(L185*'Pawn Weights'!$E$28)+(M185*'Pawn Weights'!$E$29)+(N185*'Pawn Weights'!$E$30)+(O185*'Pawn Weights'!$E$31)+(P185*'Pawn Weights'!$E$32)+(Q185*'Pawn Weights'!$E$33), 2)</f>
        <v>68.8</v>
      </c>
      <c r="E185" s="298">
        <v>28.0</v>
      </c>
      <c r="F185" s="297"/>
      <c r="G185" s="298">
        <v>29.0</v>
      </c>
      <c r="H185" s="298">
        <v>58.0</v>
      </c>
      <c r="I185" s="297"/>
      <c r="J185" s="297"/>
      <c r="K185" s="297"/>
      <c r="L185" s="297"/>
      <c r="M185" s="298">
        <v>126.0</v>
      </c>
      <c r="N185" s="297"/>
      <c r="O185" s="297"/>
      <c r="P185" s="297"/>
      <c r="Q185" s="297"/>
      <c r="R185" s="295"/>
      <c r="S185" s="137"/>
      <c r="T185" s="295"/>
      <c r="U185" s="137"/>
      <c r="V185" s="137"/>
      <c r="W185" s="137"/>
      <c r="X185" s="137"/>
      <c r="Y185" s="137"/>
      <c r="Z185" s="137"/>
    </row>
    <row r="186">
      <c r="A186" s="281"/>
      <c r="B186" s="288" t="s">
        <v>914</v>
      </c>
      <c r="C186" s="280" t="s">
        <v>857</v>
      </c>
      <c r="D186" s="289">
        <f>ROUND((F186*'Pawn Weights'!$E$22)+(G186*'Pawn Weights'!$E$23)+(H186*'Pawn Weights'!$E$24)+(I186*'Pawn Weights'!$E$25)+(J186*'Pawn Weights'!$E$26)+(K186*'Pawn Weights'!$E$27)+(L186*'Pawn Weights'!$E$28)+(M186*'Pawn Weights'!$E$29)+(N186*'Pawn Weights'!$E$30)+(O186*'Pawn Weights'!$E$31)+(P186*'Pawn Weights'!$E$32)+(Q186*'Pawn Weights'!$E$33), 2)</f>
        <v>63.6</v>
      </c>
      <c r="E186" s="280">
        <v>28.0</v>
      </c>
      <c r="F186" s="280">
        <v>36.0</v>
      </c>
      <c r="G186" s="280"/>
      <c r="H186" s="280"/>
      <c r="I186" s="280">
        <v>30.0</v>
      </c>
      <c r="J186" s="280"/>
      <c r="K186" s="280"/>
      <c r="L186" s="280"/>
      <c r="M186" s="281"/>
      <c r="N186" s="280"/>
      <c r="O186" s="280"/>
      <c r="P186" s="280"/>
      <c r="Q186" s="280"/>
      <c r="R186" s="290"/>
      <c r="S186" s="281"/>
      <c r="T186" s="291"/>
      <c r="U186" s="281"/>
      <c r="V186" s="281"/>
      <c r="W186" s="281"/>
    </row>
    <row r="187">
      <c r="A187" s="281"/>
      <c r="B187" s="288" t="s">
        <v>917</v>
      </c>
      <c r="C187" s="280" t="s">
        <v>741</v>
      </c>
      <c r="D187" s="289">
        <f>ROUND((F187*'Pawn Weights'!$E$22)+(G187*'Pawn Weights'!$E$23)+(H187*'Pawn Weights'!$E$24)+(I187*'Pawn Weights'!$E$25)+(J187*'Pawn Weights'!$E$26)+(K187*'Pawn Weights'!$E$27)+(L187*'Pawn Weights'!$E$28)+(M187*'Pawn Weights'!$E$29)+(N187*'Pawn Weights'!$E$30)+(O187*'Pawn Weights'!$E$31)+(P187*'Pawn Weights'!$E$32)+(Q187*'Pawn Weights'!$E$33), 2)</f>
        <v>63.45</v>
      </c>
      <c r="E187" s="280">
        <v>27.0</v>
      </c>
      <c r="F187" s="280"/>
      <c r="G187" s="280"/>
      <c r="H187" s="280">
        <v>56.0</v>
      </c>
      <c r="I187" s="280">
        <v>28.0</v>
      </c>
      <c r="J187" s="280">
        <v>18.0</v>
      </c>
      <c r="K187" s="280"/>
      <c r="L187" s="280"/>
      <c r="M187" s="281"/>
      <c r="N187" s="280"/>
      <c r="O187" s="280"/>
      <c r="P187" s="280"/>
      <c r="Q187" s="280"/>
      <c r="R187" s="290"/>
      <c r="S187" s="281"/>
      <c r="T187" s="291"/>
      <c r="U187" s="281"/>
      <c r="V187" s="281"/>
      <c r="W187" s="281"/>
    </row>
    <row r="188">
      <c r="A188" s="137" t="s">
        <v>627</v>
      </c>
      <c r="B188" s="296" t="s">
        <v>910</v>
      </c>
      <c r="C188" s="297" t="s">
        <v>911</v>
      </c>
      <c r="D188" s="289">
        <f>ROUND((F188*'Pawn Weights'!$E$22)+(G188*'Pawn Weights'!$E$23)+(H188*'Pawn Weights'!$E$24)+(I188*'Pawn Weights'!$E$25)+(J188*'Pawn Weights'!$E$26)+(K188*'Pawn Weights'!$E$27)+(L188*'Pawn Weights'!$E$28)+(M188*'Pawn Weights'!$E$29)+(N188*'Pawn Weights'!$E$30)+(O188*'Pawn Weights'!$E$31)+(P188*'Pawn Weights'!$E$32)+(Q188*'Pawn Weights'!$E$33), 2)</f>
        <v>61.79</v>
      </c>
      <c r="E188" s="298">
        <v>42.0</v>
      </c>
      <c r="F188" s="297"/>
      <c r="G188" s="298">
        <v>30.0</v>
      </c>
      <c r="H188" s="298">
        <v>58.0</v>
      </c>
      <c r="I188" s="297"/>
      <c r="J188" s="297"/>
      <c r="K188" s="298">
        <v>28.0</v>
      </c>
      <c r="L188" s="297"/>
      <c r="M188" s="137"/>
      <c r="N188" s="297"/>
      <c r="O188" s="297"/>
      <c r="P188" s="297"/>
      <c r="Q188" s="297"/>
      <c r="R188" s="295"/>
      <c r="S188" s="137"/>
      <c r="T188" s="295"/>
      <c r="U188" s="137"/>
      <c r="V188" s="137"/>
      <c r="W188" s="137"/>
      <c r="X188" s="137"/>
      <c r="Y188" s="137"/>
      <c r="Z188" s="137"/>
    </row>
    <row r="189">
      <c r="A189" s="137" t="s">
        <v>671</v>
      </c>
      <c r="B189" s="296" t="s">
        <v>915</v>
      </c>
      <c r="C189" s="297" t="s">
        <v>916</v>
      </c>
      <c r="D189" s="289">
        <f>ROUND((F189*'Pawn Weights'!$E$22)+(G189*'Pawn Weights'!$E$23)+(H189*'Pawn Weights'!$E$24)+(I189*'Pawn Weights'!$E$25)+(J189*'Pawn Weights'!$E$26)+(K189*'Pawn Weights'!$E$27)+(L189*'Pawn Weights'!$E$28)+(M189*'Pawn Weights'!$E$29)+(N189*'Pawn Weights'!$E$30)+(O189*'Pawn Weights'!$E$31)+(P189*'Pawn Weights'!$E$32)+(Q189*'Pawn Weights'!$E$33), 2)</f>
        <v>61.37</v>
      </c>
      <c r="E189" s="298">
        <v>38.0</v>
      </c>
      <c r="F189" s="297"/>
      <c r="G189" s="297"/>
      <c r="H189" s="298">
        <v>52.0</v>
      </c>
      <c r="I189" s="298">
        <v>30.0</v>
      </c>
      <c r="J189" s="297"/>
      <c r="K189" s="297"/>
      <c r="L189" s="297"/>
      <c r="M189" s="359">
        <v>56.0</v>
      </c>
      <c r="N189" s="297"/>
      <c r="O189" s="297"/>
      <c r="P189" s="297"/>
      <c r="Q189" s="297"/>
      <c r="R189" s="295"/>
      <c r="S189" s="137"/>
      <c r="T189" s="297" t="s">
        <v>861</v>
      </c>
      <c r="U189" s="137"/>
      <c r="V189" s="137"/>
      <c r="W189" s="137"/>
      <c r="X189" s="137"/>
      <c r="Y189" s="137"/>
      <c r="Z189" s="137"/>
    </row>
    <row r="190" ht="1.5" customHeight="1">
      <c r="A190" s="281"/>
      <c r="B190" s="288" t="s">
        <v>918</v>
      </c>
      <c r="C190" s="280" t="s">
        <v>919</v>
      </c>
      <c r="D190" s="289">
        <f>ROUND((F190*'Pawn Weights'!$E$22)+(G190*'Pawn Weights'!$E$23)+(H190*'Pawn Weights'!$E$24)+(I190*'Pawn Weights'!$E$25)+(J190*'Pawn Weights'!$E$26)+(K190*'Pawn Weights'!$E$27)+(L190*'Pawn Weights'!$E$28)+(M190*'Pawn Weights'!$E$29)+(N190*'Pawn Weights'!$E$30)+(O190*'Pawn Weights'!$E$31)+(P190*'Pawn Weights'!$E$32)+(Q190*'Pawn Weights'!$E$33)+12.0897, 2)</f>
        <v>58.99</v>
      </c>
      <c r="E190" s="280">
        <v>43.0</v>
      </c>
      <c r="F190" s="280"/>
      <c r="G190" s="280">
        <v>29.0</v>
      </c>
      <c r="H190" s="280">
        <v>60.0</v>
      </c>
      <c r="I190" s="280"/>
      <c r="J190" s="280"/>
      <c r="K190" s="280"/>
      <c r="L190" s="280"/>
      <c r="M190" s="281"/>
      <c r="N190" s="280"/>
      <c r="O190" s="280"/>
      <c r="P190" s="280"/>
      <c r="Q190" s="280"/>
      <c r="R190" s="290"/>
      <c r="S190" s="281"/>
      <c r="T190" s="291" t="s">
        <v>920</v>
      </c>
      <c r="U190" s="281"/>
      <c r="V190" s="281"/>
      <c r="W190" s="281"/>
    </row>
    <row r="191">
      <c r="A191" s="281"/>
      <c r="B191" s="288" t="s">
        <v>922</v>
      </c>
      <c r="C191" s="280" t="s">
        <v>708</v>
      </c>
      <c r="D191" s="289">
        <f>ROUND((F191*'Pawn Weights'!$E$22)+(G191*'Pawn Weights'!$E$23)+(H191*'Pawn Weights'!$E$24)+(I191*'Pawn Weights'!$E$25)+(J191*'Pawn Weights'!$E$26)+(K191*'Pawn Weights'!$E$27)+(L191*'Pawn Weights'!$E$28)+(M191*'Pawn Weights'!$E$29)+(N191*'Pawn Weights'!$E$30)+(O191*'Pawn Weights'!$E$31)+(P191*'Pawn Weights'!$E$32)+(Q191*'Pawn Weights'!$E$33), 2)</f>
        <v>55.86</v>
      </c>
      <c r="E191" s="280"/>
      <c r="F191" s="280"/>
      <c r="G191" s="280"/>
      <c r="H191" s="280">
        <v>62.0</v>
      </c>
      <c r="I191" s="280">
        <v>19.0</v>
      </c>
      <c r="J191" s="280">
        <v>15.0</v>
      </c>
      <c r="K191" s="280"/>
      <c r="L191" s="280"/>
      <c r="M191" s="281"/>
      <c r="N191" s="280"/>
      <c r="O191" s="280"/>
      <c r="P191" s="280"/>
      <c r="Q191" s="280"/>
      <c r="R191" s="290"/>
      <c r="S191" s="281"/>
      <c r="T191" s="291"/>
      <c r="U191" s="281"/>
      <c r="V191" s="281"/>
      <c r="W191" s="281"/>
    </row>
    <row r="192">
      <c r="A192" s="281"/>
      <c r="B192" s="288" t="s">
        <v>923</v>
      </c>
      <c r="C192" s="280" t="s">
        <v>656</v>
      </c>
      <c r="D192" s="289">
        <f>ROUND((F192*'Pawn Weights'!$E$22)+(G192*'Pawn Weights'!$E$23)+(H192*'Pawn Weights'!$E$24)+(I192*'Pawn Weights'!$E$25)+(J192*'Pawn Weights'!$E$26)+(K192*'Pawn Weights'!$E$27)+(L192*'Pawn Weights'!$E$28)+(M192*'Pawn Weights'!$E$29)+(N192*'Pawn Weights'!$E$30)+(O192*'Pawn Weights'!$E$31)+(P192*'Pawn Weights'!$E$32)+(Q192*'Pawn Weights'!$E$33), 2)</f>
        <v>54.08</v>
      </c>
      <c r="E192" s="280">
        <v>21.0</v>
      </c>
      <c r="F192" s="280"/>
      <c r="G192" s="280"/>
      <c r="H192" s="280">
        <v>44.0</v>
      </c>
      <c r="I192" s="280">
        <v>23.0</v>
      </c>
      <c r="J192" s="280">
        <v>19.0</v>
      </c>
      <c r="K192" s="280"/>
      <c r="L192" s="280"/>
      <c r="M192" s="281"/>
      <c r="N192" s="280"/>
      <c r="O192" s="280"/>
      <c r="P192" s="280"/>
      <c r="Q192" s="280"/>
      <c r="R192" s="290"/>
      <c r="S192" s="281"/>
      <c r="T192" s="291"/>
      <c r="U192" s="281"/>
      <c r="V192" s="281"/>
      <c r="W192" s="281"/>
    </row>
    <row r="193">
      <c r="A193" s="292" t="s">
        <v>991</v>
      </c>
      <c r="B193" s="288" t="s">
        <v>1109</v>
      </c>
      <c r="C193" s="280" t="s">
        <v>1110</v>
      </c>
      <c r="D193" s="289">
        <f>ROUND((F193*'Pawn Weights'!$E$22)+(G193*'Pawn Weights'!$E$23)+(H193*'Pawn Weights'!$E$24)+(I193*'Pawn Weights'!$E$25)+(J193*'Pawn Weights'!$E$26)+(K193*'Pawn Weights'!$E$27)+(L193*'Pawn Weights'!$E$28)+(M193*'Pawn Weights'!$E$29)+(N193*'Pawn Weights'!$E$30)+(O193*'Pawn Weights'!$E$31)+(P193*'Pawn Weights'!$E$32)+(Q193*'Pawn Weights'!$E$33), 2)</f>
        <v>54.05</v>
      </c>
      <c r="E193" s="280">
        <v>34.0</v>
      </c>
      <c r="F193" s="280"/>
      <c r="G193" s="280"/>
      <c r="H193" s="280">
        <v>44.0</v>
      </c>
      <c r="I193" s="280">
        <v>26.0</v>
      </c>
      <c r="J193" s="280"/>
      <c r="K193" s="280"/>
      <c r="L193" s="280"/>
      <c r="M193" s="280">
        <v>56.0</v>
      </c>
      <c r="N193" s="280"/>
      <c r="O193" s="280"/>
      <c r="P193" s="280"/>
      <c r="Q193" s="290"/>
      <c r="R193" s="290"/>
      <c r="S193" s="281"/>
      <c r="T193" s="291" t="s">
        <v>861</v>
      </c>
      <c r="U193" s="281"/>
      <c r="V193" s="281"/>
      <c r="W193" s="281"/>
    </row>
    <row r="194">
      <c r="A194" s="281"/>
      <c r="B194" s="288" t="s">
        <v>926</v>
      </c>
      <c r="C194" s="280" t="s">
        <v>723</v>
      </c>
      <c r="D194" s="289">
        <f>ROUND((F194*'Pawn Weights'!$E$22)+(G194*'Pawn Weights'!$E$23)+(H194*'Pawn Weights'!$E$24)+(I194*'Pawn Weights'!$E$25)+(J194*'Pawn Weights'!$E$26)+(K194*'Pawn Weights'!$E$27)+(L194*'Pawn Weights'!$E$28)+(M194*'Pawn Weights'!$E$29)+(N194*'Pawn Weights'!$E$30)+(O194*'Pawn Weights'!$E$31)+(P194*'Pawn Weights'!$E$32)+(Q194*'Pawn Weights'!$E$33), 2)</f>
        <v>53.5</v>
      </c>
      <c r="E194" s="280">
        <v>42.0</v>
      </c>
      <c r="F194" s="280"/>
      <c r="G194" s="280">
        <v>21.0</v>
      </c>
      <c r="H194" s="280">
        <v>58.0</v>
      </c>
      <c r="I194" s="280"/>
      <c r="J194" s="280">
        <v>19.0</v>
      </c>
      <c r="K194" s="280"/>
      <c r="L194" s="280"/>
      <c r="M194" s="281"/>
      <c r="N194" s="280"/>
      <c r="O194" s="280"/>
      <c r="P194" s="280"/>
      <c r="Q194" s="280"/>
      <c r="R194" s="290"/>
      <c r="S194" s="281"/>
      <c r="T194" s="291"/>
      <c r="U194" s="281"/>
      <c r="V194" s="281"/>
      <c r="W194" s="281"/>
    </row>
    <row r="195">
      <c r="A195" s="281"/>
      <c r="B195" s="288" t="s">
        <v>927</v>
      </c>
      <c r="C195" s="280" t="s">
        <v>710</v>
      </c>
      <c r="D195" s="289">
        <f>ROUND((F195*'Pawn Weights'!$E$22)+(G195*'Pawn Weights'!$E$23)+(H195*'Pawn Weights'!$E$24)+(I195*'Pawn Weights'!$E$25)+(J195*'Pawn Weights'!$E$26)+(K195*'Pawn Weights'!$E$27)+(L195*'Pawn Weights'!$E$28)+(M195*'Pawn Weights'!$E$29)+(N195*'Pawn Weights'!$E$30)+(O195*'Pawn Weights'!$E$31)+(P195*'Pawn Weights'!$E$32)+(Q195*'Pawn Weights'!$E$33), 2)</f>
        <v>51.89</v>
      </c>
      <c r="E195" s="280">
        <v>19.0</v>
      </c>
      <c r="F195" s="280"/>
      <c r="G195" s="280">
        <v>24.0</v>
      </c>
      <c r="H195" s="280">
        <v>50.0</v>
      </c>
      <c r="I195" s="280"/>
      <c r="J195" s="280">
        <v>19.0</v>
      </c>
      <c r="K195" s="280"/>
      <c r="L195" s="280"/>
      <c r="M195" s="281"/>
      <c r="N195" s="280"/>
      <c r="O195" s="280"/>
      <c r="P195" s="280"/>
      <c r="Q195" s="280"/>
      <c r="R195" s="290"/>
      <c r="S195" s="281"/>
      <c r="T195" s="291"/>
      <c r="U195" s="281"/>
      <c r="V195" s="281"/>
      <c r="W195" s="281"/>
    </row>
    <row r="196">
      <c r="A196" s="281"/>
      <c r="B196" s="288" t="s">
        <v>1111</v>
      </c>
      <c r="C196" s="280" t="s">
        <v>1112</v>
      </c>
      <c r="D196" s="289">
        <f>ROUND((F196*'Pawn Weights'!$E$22)+(G196*'Pawn Weights'!$E$23)+(H196*'Pawn Weights'!$E$24)+(I196*'Pawn Weights'!$E$25)+(J196*'Pawn Weights'!$E$26)+(K196*'Pawn Weights'!$E$27)+(L196*'Pawn Weights'!$E$28)+(M196*'Pawn Weights'!$E$29)+(N196*'Pawn Weights'!$E$30)+(O196*'Pawn Weights'!$E$31)+(P196*'Pawn Weights'!$E$32)+(Q196*'Pawn Weights'!$E$33), 2)</f>
        <v>49.5</v>
      </c>
      <c r="E196" s="280"/>
      <c r="F196" s="280"/>
      <c r="G196" s="280"/>
      <c r="H196" s="280">
        <v>40.0</v>
      </c>
      <c r="I196" s="280">
        <v>20.0</v>
      </c>
      <c r="J196" s="280">
        <v>19.0</v>
      </c>
      <c r="K196" s="280"/>
      <c r="L196" s="280"/>
      <c r="M196" s="281"/>
      <c r="N196" s="280"/>
      <c r="O196" s="280"/>
      <c r="P196" s="280"/>
      <c r="Q196" s="280"/>
      <c r="R196" s="290"/>
      <c r="S196" s="281"/>
      <c r="T196" s="291"/>
      <c r="U196" s="281"/>
      <c r="V196" s="281"/>
      <c r="W196" s="281"/>
    </row>
    <row r="197">
      <c r="A197" s="281"/>
      <c r="B197" s="288" t="s">
        <v>921</v>
      </c>
      <c r="C197" s="280" t="s">
        <v>821</v>
      </c>
      <c r="D197" s="289">
        <f>ROUND((F197*'Pawn Weights'!$E$22)+(G197*'Pawn Weights'!$E$23)+(H197*'Pawn Weights'!$E$24)+(I197*'Pawn Weights'!$E$25)+(J197*'Pawn Weights'!$E$26)+(K197*'Pawn Weights'!$E$27)+(L197*'Pawn Weights'!$E$28)+(M197*'Pawn Weights'!$E$29)+(N197*'Pawn Weights'!$E$30)+(O197*'Pawn Weights'!$E$31)+(P197*'Pawn Weights'!$E$32)+(Q197*'Pawn Weights'!$E$33), 2)</f>
        <v>46.74</v>
      </c>
      <c r="E197" s="280"/>
      <c r="F197" s="280"/>
      <c r="G197" s="280"/>
      <c r="H197" s="280">
        <v>66.0</v>
      </c>
      <c r="I197" s="280"/>
      <c r="J197" s="280"/>
      <c r="K197" s="280">
        <v>31.0</v>
      </c>
      <c r="L197" s="280"/>
      <c r="M197" s="281"/>
      <c r="N197" s="280"/>
      <c r="O197" s="280"/>
      <c r="P197" s="280"/>
      <c r="Q197" s="280"/>
      <c r="R197" s="290"/>
      <c r="S197" s="281"/>
      <c r="T197" s="291"/>
      <c r="U197" s="281"/>
      <c r="V197" s="281"/>
      <c r="W197" s="281"/>
    </row>
    <row r="198">
      <c r="A198" s="281"/>
      <c r="B198" s="288" t="s">
        <v>1113</v>
      </c>
      <c r="C198" s="280" t="s">
        <v>881</v>
      </c>
      <c r="D198" s="289">
        <f>ROUND((F198*'Pawn Weights'!$E$22)+(G198*'Pawn Weights'!$E$23)+(H198*'Pawn Weights'!$E$24)+(I198*'Pawn Weights'!$E$25)+(J198*'Pawn Weights'!$E$26)+(K198*'Pawn Weights'!$E$27)+(L198*'Pawn Weights'!$E$28)+(M198*'Pawn Weights'!$E$29)+(N198*'Pawn Weights'!$E$30)+(O198*'Pawn Weights'!$E$31)+(P198*'Pawn Weights'!$E$32)+(Q198*'Pawn Weights'!$E$33), 2)</f>
        <v>46.24</v>
      </c>
      <c r="E198" s="280">
        <v>24.0</v>
      </c>
      <c r="F198" s="280">
        <v>26.0</v>
      </c>
      <c r="G198" s="280"/>
      <c r="H198" s="280"/>
      <c r="I198" s="280">
        <v>22.0</v>
      </c>
      <c r="J198" s="280"/>
      <c r="K198" s="280"/>
      <c r="L198" s="280"/>
      <c r="M198" s="281"/>
      <c r="N198" s="280"/>
      <c r="O198" s="280"/>
      <c r="P198" s="280"/>
      <c r="Q198" s="280"/>
      <c r="R198" s="290"/>
      <c r="S198" s="281"/>
      <c r="T198" s="291"/>
      <c r="U198" s="281"/>
      <c r="V198" s="281"/>
      <c r="W198" s="281"/>
    </row>
    <row r="199">
      <c r="A199" s="281"/>
      <c r="B199" s="288" t="s">
        <v>1114</v>
      </c>
      <c r="C199" s="280" t="s">
        <v>683</v>
      </c>
      <c r="D199" s="289">
        <f>ROUND((F199*'Pawn Weights'!$E$22)+(G199*'Pawn Weights'!$E$23)+(H199*'Pawn Weights'!$E$24)+(I199*'Pawn Weights'!$E$25)+(J199*'Pawn Weights'!$E$26)+(K199*'Pawn Weights'!$E$27)+(L199*'Pawn Weights'!$E$28)+(M199*'Pawn Weights'!$E$29)+(N199*'Pawn Weights'!$E$30)+(O199*'Pawn Weights'!$E$31)+(P199*'Pawn Weights'!$E$32)+(Q199*'Pawn Weights'!$E$33), 2)</f>
        <v>46.22</v>
      </c>
      <c r="E199" s="280">
        <v>30.0</v>
      </c>
      <c r="F199" s="280">
        <v>32.0</v>
      </c>
      <c r="G199" s="280">
        <v>21.0</v>
      </c>
      <c r="H199" s="280"/>
      <c r="I199" s="280"/>
      <c r="J199" s="280"/>
      <c r="K199" s="280"/>
      <c r="L199" s="280"/>
      <c r="M199" s="281"/>
      <c r="N199" s="280"/>
      <c r="O199" s="280"/>
      <c r="P199" s="280"/>
      <c r="Q199" s="280"/>
      <c r="R199" s="290"/>
      <c r="S199" s="281"/>
      <c r="T199" s="291"/>
      <c r="U199" s="281"/>
      <c r="V199" s="281"/>
      <c r="W199" s="281"/>
    </row>
    <row r="200">
      <c r="A200" s="281"/>
      <c r="B200" s="288" t="s">
        <v>1115</v>
      </c>
      <c r="C200" s="280" t="s">
        <v>1116</v>
      </c>
      <c r="D200" s="289">
        <f>ROUND((F200*'Pawn Weights'!$E$22)+(G200*'Pawn Weights'!$E$23)+(H200*'Pawn Weights'!$E$24)+(I200*'Pawn Weights'!$E$25)+(J200*'Pawn Weights'!$E$26)+(K200*'Pawn Weights'!$E$27)+(L200*'Pawn Weights'!$E$28)+(M200*'Pawn Weights'!$E$29)+(N200*'Pawn Weights'!$E$30)+(O200*'Pawn Weights'!$E$31)+(P200*'Pawn Weights'!$E$32)+(Q200*'Pawn Weights'!$E$33), 2)</f>
        <v>43.96</v>
      </c>
      <c r="E200" s="280">
        <v>25.0</v>
      </c>
      <c r="F200" s="280"/>
      <c r="G200" s="280">
        <v>20.0</v>
      </c>
      <c r="H200" s="280">
        <v>40.0</v>
      </c>
      <c r="I200" s="280"/>
      <c r="J200" s="280">
        <v>18.0</v>
      </c>
      <c r="K200" s="280"/>
      <c r="L200" s="280"/>
      <c r="M200" s="281"/>
      <c r="N200" s="280"/>
      <c r="O200" s="280"/>
      <c r="P200" s="280"/>
      <c r="Q200" s="280"/>
      <c r="R200" s="290"/>
      <c r="S200" s="281"/>
      <c r="T200" s="291"/>
      <c r="U200" s="281"/>
      <c r="V200" s="281"/>
      <c r="W200" s="281"/>
    </row>
    <row r="201">
      <c r="A201" s="292" t="s">
        <v>965</v>
      </c>
      <c r="B201" s="288" t="s">
        <v>1427</v>
      </c>
      <c r="C201" s="280" t="s">
        <v>1428</v>
      </c>
      <c r="D201" s="289">
        <f>ROUND((F201*'Pawn Weights'!$E$22)+(G201*'Pawn Weights'!$E$23)+(H201*'Pawn Weights'!$E$24)+(I201*'Pawn Weights'!$E$25)+(J201*'Pawn Weights'!$E$26)+(K201*'Pawn Weights'!$E$27)+(L201*'Pawn Weights'!$E$28)+(M201*'Pawn Weights'!$E$29)+(N201*'Pawn Weights'!$E$30)+(O201*'Pawn Weights'!$E$31)+(P201*'Pawn Weights'!$E$32)+(Q201*'Pawn Weights'!$E$33), 2)</f>
        <v>43.31</v>
      </c>
      <c r="E201" s="280"/>
      <c r="F201" s="280"/>
      <c r="G201" s="280"/>
      <c r="H201" s="280">
        <v>52.0</v>
      </c>
      <c r="I201" s="280">
        <v>14.0</v>
      </c>
      <c r="J201" s="280">
        <v>10.0</v>
      </c>
      <c r="K201" s="280"/>
      <c r="L201" s="280"/>
      <c r="M201" s="281"/>
      <c r="N201" s="280"/>
      <c r="O201" s="280"/>
      <c r="P201" s="280"/>
      <c r="Q201" s="280"/>
      <c r="R201" s="290"/>
      <c r="S201" s="281"/>
      <c r="T201" s="291"/>
      <c r="U201" s="281"/>
      <c r="V201" s="281"/>
      <c r="W201" s="281"/>
    </row>
    <row r="202">
      <c r="A202" s="281"/>
      <c r="B202" s="288" t="s">
        <v>1242</v>
      </c>
      <c r="C202" s="280" t="s">
        <v>1243</v>
      </c>
      <c r="D202" s="289">
        <f>ROUND((F202*'Pawn Weights'!$E$22)+(G202*'Pawn Weights'!$E$23)+(H202*'Pawn Weights'!$E$24)+(I202*'Pawn Weights'!$E$25)+(J202*'Pawn Weights'!$E$26)+(K202*'Pawn Weights'!$E$27)+(L202*'Pawn Weights'!$E$28)+(M202*'Pawn Weights'!$E$29)+(N202*'Pawn Weights'!$E$30)+(O202*'Pawn Weights'!$E$31)+(P202*'Pawn Weights'!$E$32)+(Q202*'Pawn Weights'!$E$33), 2)</f>
        <v>42.45</v>
      </c>
      <c r="E202" s="280">
        <v>28.0</v>
      </c>
      <c r="F202" s="280"/>
      <c r="G202" s="280"/>
      <c r="H202" s="280">
        <v>56.0</v>
      </c>
      <c r="I202" s="280"/>
      <c r="J202" s="280">
        <v>25.0</v>
      </c>
      <c r="K202" s="280"/>
      <c r="L202" s="280"/>
      <c r="M202" s="280"/>
      <c r="N202" s="280"/>
      <c r="O202" s="280"/>
      <c r="P202" s="280"/>
      <c r="Q202" s="290"/>
      <c r="R202" s="290"/>
      <c r="S202" s="281"/>
      <c r="T202" s="285"/>
      <c r="U202" s="281"/>
      <c r="V202" s="281"/>
      <c r="W202" s="281"/>
    </row>
    <row r="203">
      <c r="A203" s="281"/>
      <c r="B203" s="288" t="s">
        <v>1244</v>
      </c>
      <c r="C203" s="280" t="s">
        <v>1245</v>
      </c>
      <c r="D203" s="289">
        <f>ROUND((F203*'Pawn Weights'!$E$22)+(G203*'Pawn Weights'!$E$23)+(H203*'Pawn Weights'!$E$24)+(I203*'Pawn Weights'!$E$25)+(J203*'Pawn Weights'!$E$26)+(K203*'Pawn Weights'!$E$27)+(L203*'Pawn Weights'!$E$28)+(M203*'Pawn Weights'!$E$29)+(N203*'Pawn Weights'!$E$30)+(O203*'Pawn Weights'!$E$31)+(P203*'Pawn Weights'!$E$32)+(Q203*'Pawn Weights'!$E$33), 2)</f>
        <v>42.33</v>
      </c>
      <c r="E203" s="280">
        <v>18.0</v>
      </c>
      <c r="F203" s="280"/>
      <c r="G203" s="280">
        <v>25.0</v>
      </c>
      <c r="H203" s="280"/>
      <c r="I203" s="280"/>
      <c r="J203" s="280"/>
      <c r="K203" s="280"/>
      <c r="L203" s="280">
        <v>20.0</v>
      </c>
      <c r="M203" s="281"/>
      <c r="N203" s="280"/>
      <c r="O203" s="280"/>
      <c r="P203" s="280"/>
      <c r="Q203" s="280"/>
      <c r="R203" s="290"/>
      <c r="S203" s="281"/>
      <c r="T203" s="291"/>
      <c r="U203" s="281"/>
      <c r="V203" s="281"/>
      <c r="W203" s="281"/>
    </row>
    <row r="204">
      <c r="A204" s="281"/>
      <c r="B204" s="288" t="s">
        <v>1429</v>
      </c>
      <c r="C204" s="280" t="s">
        <v>1430</v>
      </c>
      <c r="D204" s="289">
        <f>ROUND((F204*'Pawn Weights'!$E$22)+(G204*'Pawn Weights'!$E$23)+(H204*'Pawn Weights'!$E$24)+(I204*'Pawn Weights'!$E$25)+(J204*'Pawn Weights'!$E$26)+(K204*'Pawn Weights'!$E$27)+(L204*'Pawn Weights'!$E$28)+(M204*'Pawn Weights'!$E$29)+(N204*'Pawn Weights'!$E$30)+(O204*'Pawn Weights'!$E$31)+(P204*'Pawn Weights'!$E$32)+(Q204*'Pawn Weights'!$E$33), 2)</f>
        <v>42.07</v>
      </c>
      <c r="E204" s="280">
        <v>24.0</v>
      </c>
      <c r="F204" s="280"/>
      <c r="G204" s="280"/>
      <c r="H204" s="280">
        <v>46.0</v>
      </c>
      <c r="I204" s="280">
        <v>23.0</v>
      </c>
      <c r="J204" s="280"/>
      <c r="K204" s="280"/>
      <c r="L204" s="280"/>
      <c r="M204" s="281"/>
      <c r="N204" s="280"/>
      <c r="O204" s="280"/>
      <c r="P204" s="280"/>
      <c r="Q204" s="280"/>
      <c r="R204" s="290"/>
      <c r="S204" s="281"/>
      <c r="T204" s="291"/>
      <c r="U204" s="281"/>
      <c r="V204" s="281"/>
      <c r="W204" s="281"/>
    </row>
    <row r="205">
      <c r="A205" s="224" t="s">
        <v>928</v>
      </c>
      <c r="B205" s="312" t="s">
        <v>929</v>
      </c>
      <c r="C205" s="281"/>
      <c r="D205" s="360"/>
      <c r="E205" s="313" t="s">
        <v>607</v>
      </c>
      <c r="F205" s="314" t="s">
        <v>608</v>
      </c>
      <c r="G205" s="314" t="s">
        <v>561</v>
      </c>
      <c r="H205" s="314" t="s">
        <v>930</v>
      </c>
      <c r="I205" s="314" t="s">
        <v>330</v>
      </c>
      <c r="J205" s="314" t="s">
        <v>344</v>
      </c>
      <c r="K205" s="314" t="s">
        <v>356</v>
      </c>
      <c r="L205" s="314" t="s">
        <v>563</v>
      </c>
      <c r="M205" s="314" t="s">
        <v>564</v>
      </c>
      <c r="N205" s="281"/>
      <c r="O205" s="281"/>
      <c r="P205" s="281"/>
      <c r="Q205" s="281"/>
      <c r="R205" s="282"/>
      <c r="S205" s="281"/>
      <c r="T205" s="285"/>
      <c r="U205" s="281"/>
      <c r="V205" s="281"/>
      <c r="W205" s="281"/>
    </row>
    <row r="206">
      <c r="A206" s="292" t="s">
        <v>931</v>
      </c>
      <c r="B206" s="288" t="s">
        <v>932</v>
      </c>
      <c r="C206" s="280" t="s">
        <v>871</v>
      </c>
      <c r="D206" s="301"/>
      <c r="E206" s="280">
        <v>30.0</v>
      </c>
      <c r="F206" s="280"/>
      <c r="G206" s="280"/>
      <c r="H206" s="280"/>
      <c r="I206" s="280"/>
      <c r="J206" s="280"/>
      <c r="K206" s="280"/>
      <c r="L206" s="280"/>
      <c r="M206" s="281"/>
      <c r="N206" s="280"/>
      <c r="O206" s="280"/>
      <c r="P206" s="280"/>
      <c r="Q206" s="280"/>
      <c r="R206" s="290"/>
      <c r="S206" s="281"/>
      <c r="T206" s="291" t="s">
        <v>1118</v>
      </c>
      <c r="U206" s="281"/>
      <c r="V206" s="281"/>
      <c r="W206" s="281"/>
    </row>
    <row r="207">
      <c r="A207" s="137"/>
      <c r="B207" s="296" t="s">
        <v>938</v>
      </c>
      <c r="C207" s="297" t="s">
        <v>939</v>
      </c>
      <c r="D207" s="289">
        <f>ROUND((F207*'Pawn Weights'!$E$22)+(G207*'Pawn Weights'!$E$23)+(H207*'Pawn Weights'!$E$24)+(I207*'Pawn Weights'!$E$25)+(J207*'Pawn Weights'!$E$26)+(K207*'Pawn Weights'!$E$27)+(L207*'Pawn Weights'!$E$28)+(M207*'Pawn Weights'!$E$29)+(N207*'Pawn Weights'!$E$30)+(O207*'Pawn Weights'!$E$31)+(P207*'Pawn Weights'!$E$32)+(Q207*'Pawn Weights'!$E$33), 2)</f>
        <v>97.69</v>
      </c>
      <c r="E207" s="297"/>
      <c r="F207" s="297"/>
      <c r="G207" s="297"/>
      <c r="H207" s="298">
        <v>92.0</v>
      </c>
      <c r="I207" s="297"/>
      <c r="J207" s="297"/>
      <c r="K207" s="297"/>
      <c r="L207" s="298">
        <v>44.0</v>
      </c>
      <c r="M207" s="295"/>
      <c r="N207" s="297"/>
      <c r="O207" s="297"/>
      <c r="P207" s="297"/>
      <c r="Q207" s="297"/>
      <c r="R207" s="295"/>
      <c r="S207" s="137"/>
      <c r="T207" s="297" t="s">
        <v>940</v>
      </c>
      <c r="U207" s="137"/>
      <c r="V207" s="137"/>
      <c r="W207" s="137"/>
      <c r="X207" s="137"/>
      <c r="Y207" s="137"/>
      <c r="Z207" s="137"/>
    </row>
    <row r="208">
      <c r="A208" s="281"/>
      <c r="B208" s="288" t="s">
        <v>941</v>
      </c>
      <c r="C208" s="280" t="s">
        <v>639</v>
      </c>
      <c r="D208" s="289">
        <f>ROUND((F208*'Pawn Weights'!$E$22)+(G208*'Pawn Weights'!$E$23)+(H208*'Pawn Weights'!$E$24)+(I208*'Pawn Weights'!$E$25)+(J208*'Pawn Weights'!$E$26)+(K208*'Pawn Weights'!$E$27)+(L208*'Pawn Weights'!$E$28)+(M208*'Pawn Weights'!$E$29)+(N208*'Pawn Weights'!$E$30)+(O208*'Pawn Weights'!$E$31)+(P208*'Pawn Weights'!$E$32)+(Q208*'Pawn Weights'!$E$33), 2)</f>
        <v>78.93</v>
      </c>
      <c r="E208" s="280"/>
      <c r="F208" s="280"/>
      <c r="G208" s="280"/>
      <c r="H208" s="280">
        <v>84.0</v>
      </c>
      <c r="I208" s="280"/>
      <c r="J208" s="280">
        <v>20.0</v>
      </c>
      <c r="K208" s="280"/>
      <c r="L208" s="280"/>
      <c r="M208" s="280">
        <v>150.0</v>
      </c>
      <c r="N208" s="280"/>
      <c r="O208" s="280"/>
      <c r="P208" s="280"/>
      <c r="Q208" s="280"/>
      <c r="R208" s="290"/>
      <c r="S208" s="281"/>
      <c r="T208" s="291" t="s">
        <v>1119</v>
      </c>
      <c r="U208" s="281"/>
      <c r="V208" s="281"/>
      <c r="W208" s="281"/>
    </row>
    <row r="209">
      <c r="A209" s="281"/>
      <c r="B209" s="288" t="s">
        <v>936</v>
      </c>
      <c r="C209" s="280" t="s">
        <v>823</v>
      </c>
      <c r="D209" s="289">
        <f>ROUND((F209*'Pawn Weights'!$E$22)+(G209*'Pawn Weights'!$E$23)+(H209*'Pawn Weights'!$E$24)+(I209*'Pawn Weights'!$E$25)+(J209*'Pawn Weights'!$E$26)+(K209*'Pawn Weights'!$E$27)+(L209*'Pawn Weights'!$E$28)+(M209*'Pawn Weights'!$E$29)+(N209*'Pawn Weights'!$E$30)+(O209*'Pawn Weights'!$E$31)+(P209*'Pawn Weights'!$E$32)+(Q209*'Pawn Weights'!$E$33), 2)</f>
        <v>69.08</v>
      </c>
      <c r="E209" s="280"/>
      <c r="F209" s="280"/>
      <c r="G209" s="280"/>
      <c r="H209" s="280">
        <v>40.0</v>
      </c>
      <c r="I209" s="280"/>
      <c r="J209" s="280"/>
      <c r="K209" s="280">
        <v>94.25</v>
      </c>
      <c r="L209" s="280"/>
      <c r="M209" s="281"/>
      <c r="N209" s="280"/>
      <c r="O209" s="280"/>
      <c r="P209" s="280"/>
      <c r="Q209" s="280"/>
      <c r="R209" s="290"/>
      <c r="S209" s="281"/>
      <c r="T209" s="291" t="s">
        <v>937</v>
      </c>
      <c r="U209" s="281"/>
      <c r="V209" s="281"/>
      <c r="W209" s="281"/>
    </row>
    <row r="210">
      <c r="A210" s="292" t="s">
        <v>949</v>
      </c>
      <c r="B210" s="288" t="s">
        <v>950</v>
      </c>
      <c r="C210" s="280" t="s">
        <v>951</v>
      </c>
      <c r="D210" s="289">
        <f>ROUND((F210*'Pawn Weights'!$E$22)+(G210*'Pawn Weights'!$E$23)+(H210*'Pawn Weights'!$E$24)+(I210*'Pawn Weights'!$E$25)+(J210*'Pawn Weights'!$E$26)+(K210*'Pawn Weights'!$E$27)+(L210*'Pawn Weights'!$E$28)+(M210*'Pawn Weights'!$E$29)+(N210*'Pawn Weights'!$E$30)+(O210*'Pawn Weights'!$E$31)+(P210*'Pawn Weights'!$E$32)+(Q210*'Pawn Weights'!$E$33), 2)</f>
        <v>68.18</v>
      </c>
      <c r="E210" s="280"/>
      <c r="F210" s="280"/>
      <c r="G210" s="280"/>
      <c r="H210" s="280">
        <v>150.0</v>
      </c>
      <c r="I210" s="280"/>
      <c r="J210" s="280"/>
      <c r="K210" s="280"/>
      <c r="L210" s="280"/>
      <c r="M210" s="281"/>
      <c r="N210" s="280"/>
      <c r="O210" s="280"/>
      <c r="P210" s="280"/>
      <c r="Q210" s="280"/>
      <c r="R210" s="290"/>
      <c r="S210" s="281"/>
      <c r="T210" s="291" t="s">
        <v>952</v>
      </c>
      <c r="U210" s="281"/>
      <c r="V210" s="281"/>
      <c r="W210" s="281"/>
    </row>
    <row r="211">
      <c r="A211" s="281"/>
      <c r="B211" s="288" t="s">
        <v>956</v>
      </c>
      <c r="C211" s="280" t="s">
        <v>957</v>
      </c>
      <c r="D211" s="289">
        <f>ROUND((F211*'Pawn Weights'!$E$22)+(G211*'Pawn Weights'!$E$23)+(H211*'Pawn Weights'!$E$24)+(I211*'Pawn Weights'!$E$25)+(J211*'Pawn Weights'!$E$26)+(K211*'Pawn Weights'!$E$27)+(L211*'Pawn Weights'!$E$28)+(M211*'Pawn Weights'!$E$29)+(N211*'Pawn Weights'!$E$30)+(O211*'Pawn Weights'!$E$31)+(P211*'Pawn Weights'!$E$32)+(Q211*'Pawn Weights'!$E$33), 2)</f>
        <v>61.76</v>
      </c>
      <c r="E211" s="280"/>
      <c r="F211" s="280"/>
      <c r="G211" s="280"/>
      <c r="H211" s="280">
        <v>44.0</v>
      </c>
      <c r="I211" s="280">
        <v>38.0</v>
      </c>
      <c r="J211" s="280">
        <v>10.0</v>
      </c>
      <c r="K211" s="280"/>
      <c r="L211" s="280"/>
      <c r="M211" s="281"/>
      <c r="N211" s="280"/>
      <c r="O211" s="280"/>
      <c r="P211" s="280"/>
      <c r="Q211" s="280"/>
      <c r="R211" s="290"/>
      <c r="S211" s="281"/>
      <c r="T211" s="291" t="s">
        <v>958</v>
      </c>
      <c r="U211" s="281"/>
      <c r="V211" s="281"/>
      <c r="W211" s="281"/>
    </row>
    <row r="212">
      <c r="A212" s="137" t="s">
        <v>627</v>
      </c>
      <c r="B212" s="296" t="s">
        <v>953</v>
      </c>
      <c r="C212" s="297" t="s">
        <v>954</v>
      </c>
      <c r="D212" s="289">
        <f>ROUND((F212*'Pawn Weights'!$E$22)+(G212*'Pawn Weights'!$E$23)+(H212*'Pawn Weights'!$E$24)+(I212*'Pawn Weights'!$E$25)+(J212*'Pawn Weights'!$E$26)+(K212*'Pawn Weights'!$E$27)+(L212*'Pawn Weights'!$E$28)+(M212*'Pawn Weights'!$E$29)+(N212*'Pawn Weights'!$E$30)+(O212*'Pawn Weights'!$E$31)+(P212*'Pawn Weights'!$E$32)+(Q212*'Pawn Weights'!$E$33), 2)</f>
        <v>60.6</v>
      </c>
      <c r="E212" s="295"/>
      <c r="F212" s="295"/>
      <c r="G212" s="295"/>
      <c r="H212" s="298">
        <v>133.33</v>
      </c>
      <c r="I212" s="295"/>
      <c r="J212" s="295"/>
      <c r="K212" s="295"/>
      <c r="L212" s="295"/>
      <c r="M212" s="137"/>
      <c r="N212" s="295"/>
      <c r="O212" s="295"/>
      <c r="P212" s="295"/>
      <c r="Q212" s="295"/>
      <c r="R212" s="295"/>
      <c r="S212" s="137"/>
      <c r="T212" s="297" t="s">
        <v>955</v>
      </c>
      <c r="U212" s="137"/>
      <c r="V212" s="137"/>
      <c r="W212" s="137"/>
      <c r="X212" s="137"/>
      <c r="Y212" s="137"/>
      <c r="Z212" s="137"/>
    </row>
    <row r="213">
      <c r="A213" s="281"/>
      <c r="B213" s="288" t="s">
        <v>959</v>
      </c>
      <c r="C213" s="154" t="s">
        <v>960</v>
      </c>
      <c r="D213" s="289">
        <f>ROUND((F213*'Pawn Weights'!$E$22)+(G213*'Pawn Weights'!$E$23)+(H213*'Pawn Weights'!$E$24)+(I213*'Pawn Weights'!$E$25)+(J213*'Pawn Weights'!$E$26)+(K213*'Pawn Weights'!$E$27)+(L213*'Pawn Weights'!$E$28)+(M213*'Pawn Weights'!$E$29)+(N213*'Pawn Weights'!$E$30)+(O213*'Pawn Weights'!$E$31)+(P213*'Pawn Weights'!$E$32)+(Q213*'Pawn Weights'!$E$33), 2)</f>
        <v>54.54</v>
      </c>
      <c r="E213" s="280"/>
      <c r="F213" s="280"/>
      <c r="G213" s="280"/>
      <c r="H213" s="280">
        <v>120.0</v>
      </c>
      <c r="I213" s="280"/>
      <c r="J213" s="280"/>
      <c r="K213" s="280"/>
      <c r="L213" s="280"/>
      <c r="M213" s="280"/>
      <c r="N213" s="280"/>
      <c r="O213" s="280"/>
      <c r="P213" s="280"/>
      <c r="Q213" s="280"/>
      <c r="R213" s="290"/>
      <c r="S213" s="281"/>
      <c r="T213" s="291" t="s">
        <v>961</v>
      </c>
      <c r="U213" s="281"/>
      <c r="V213" s="281"/>
      <c r="W213" s="281"/>
      <c r="X213" s="281"/>
    </row>
    <row r="214">
      <c r="A214" s="281"/>
      <c r="B214" s="288" t="s">
        <v>962</v>
      </c>
      <c r="C214" s="280" t="s">
        <v>963</v>
      </c>
      <c r="D214" s="289">
        <f>ROUND((F214*'Pawn Weights'!$E$22)+(G214*'Pawn Weights'!$E$23)+(H214*'Pawn Weights'!$E$24)+(I214*'Pawn Weights'!$E$25)+(J214*'Pawn Weights'!$E$26)+(K214*'Pawn Weights'!$E$27)+(L214*'Pawn Weights'!$E$28)+(M214*'Pawn Weights'!$E$29)+(N214*'Pawn Weights'!$E$30)+(O214*'Pawn Weights'!$E$31)+(P214*'Pawn Weights'!$E$32)+(Q214*'Pawn Weights'!$E$33), 2)</f>
        <v>53.63</v>
      </c>
      <c r="E214" s="280"/>
      <c r="F214" s="280"/>
      <c r="G214" s="280"/>
      <c r="H214" s="280">
        <v>118.0</v>
      </c>
      <c r="I214" s="280"/>
      <c r="J214" s="280"/>
      <c r="K214" s="280"/>
      <c r="L214" s="280"/>
      <c r="M214" s="280"/>
      <c r="N214" s="280"/>
      <c r="O214" s="280"/>
      <c r="P214" s="280"/>
      <c r="Q214" s="280"/>
      <c r="R214" s="290"/>
      <c r="S214" s="281"/>
      <c r="T214" s="291" t="s">
        <v>964</v>
      </c>
      <c r="U214" s="281"/>
      <c r="V214" s="281"/>
      <c r="W214" s="281"/>
      <c r="X214" s="281"/>
    </row>
    <row r="215">
      <c r="A215" s="292" t="s">
        <v>965</v>
      </c>
      <c r="B215" s="288" t="s">
        <v>966</v>
      </c>
      <c r="C215" s="280" t="s">
        <v>967</v>
      </c>
      <c r="D215" s="289">
        <f>ROUND((F215*'Pawn Weights'!$E$22)+(G215*'Pawn Weights'!$E$23)+(H215*'Pawn Weights'!$E$24)+(I215*'Pawn Weights'!$E$25)+(J215*'Pawn Weights'!$E$26)+(K215*'Pawn Weights'!$E$27)+(L215*'Pawn Weights'!$E$28)+(M215*'Pawn Weights'!$E$29)+(N215*'Pawn Weights'!$E$30)+(O215*'Pawn Weights'!$E$31)+(P215*'Pawn Weights'!$E$32)+(Q215*'Pawn Weights'!$E$33), 2)</f>
        <v>48.63</v>
      </c>
      <c r="E215" s="280"/>
      <c r="F215" s="280"/>
      <c r="G215" s="280"/>
      <c r="H215" s="280">
        <v>107.0</v>
      </c>
      <c r="I215" s="280"/>
      <c r="J215" s="280"/>
      <c r="K215" s="280"/>
      <c r="L215" s="280"/>
      <c r="M215" s="281"/>
      <c r="N215" s="280"/>
      <c r="O215" s="280"/>
      <c r="P215" s="280"/>
      <c r="Q215" s="280"/>
      <c r="R215" s="290"/>
      <c r="S215" s="281"/>
      <c r="T215" s="291" t="s">
        <v>968</v>
      </c>
      <c r="U215" s="281"/>
      <c r="V215" s="281"/>
      <c r="W215" s="281"/>
    </row>
    <row r="216">
      <c r="A216" s="281"/>
      <c r="B216" s="311" t="s">
        <v>969</v>
      </c>
      <c r="C216" s="280" t="s">
        <v>970</v>
      </c>
      <c r="D216" s="289">
        <f>ROUND((F216*'Pawn Weights'!$E$22)+(G216*'Pawn Weights'!$E$23)+(H216*'Pawn Weights'!$E$24)+(I216*'Pawn Weights'!$E$25)+(J216*'Pawn Weights'!$E$26)+(K216*'Pawn Weights'!$E$27)+(L216*'Pawn Weights'!$E$28)+(M216*'Pawn Weights'!$E$29)+(N216*'Pawn Weights'!$E$30)+(O216*'Pawn Weights'!$E$31)+(P216*'Pawn Weights'!$E$32)+(Q216*'Pawn Weights'!$E$33), 2)</f>
        <v>47.17</v>
      </c>
      <c r="E216" s="280"/>
      <c r="F216" s="280"/>
      <c r="G216" s="280"/>
      <c r="H216" s="280">
        <v>39.0</v>
      </c>
      <c r="I216" s="280">
        <v>32.0</v>
      </c>
      <c r="J216" s="280"/>
      <c r="K216" s="280"/>
      <c r="L216" s="280"/>
      <c r="M216" s="280"/>
      <c r="N216" s="280"/>
      <c r="O216" s="280"/>
      <c r="P216" s="280"/>
      <c r="Q216" s="280"/>
      <c r="R216" s="290"/>
      <c r="S216" s="281"/>
      <c r="T216" s="291" t="s">
        <v>971</v>
      </c>
      <c r="U216" s="281"/>
      <c r="V216" s="281"/>
      <c r="W216" s="281"/>
      <c r="X216" s="281"/>
    </row>
    <row r="217">
      <c r="A217" s="272" t="s">
        <v>972</v>
      </c>
      <c r="B217" s="281"/>
      <c r="C217" s="281"/>
      <c r="D217" s="301"/>
      <c r="E217" s="281"/>
      <c r="F217" s="281"/>
      <c r="G217" s="281"/>
      <c r="H217" s="281"/>
      <c r="I217" s="281"/>
      <c r="J217" s="281"/>
      <c r="K217" s="281"/>
      <c r="L217" s="281"/>
      <c r="M217" s="281"/>
      <c r="N217" s="281"/>
      <c r="O217" s="281"/>
      <c r="P217" s="281"/>
      <c r="Q217" s="281"/>
      <c r="R217" s="282"/>
      <c r="S217" s="281"/>
      <c r="T217" s="285"/>
      <c r="U217" s="281"/>
      <c r="V217" s="281"/>
      <c r="W217" s="281"/>
    </row>
    <row r="218">
      <c r="A218" s="137"/>
      <c r="B218" s="341" t="s">
        <v>979</v>
      </c>
      <c r="C218" s="361" t="s">
        <v>980</v>
      </c>
      <c r="D218" s="289">
        <f>ROUND((F218*'Pawn Weights'!$E$22)+(G218*'Pawn Weights'!$E$23)+(H218*'Pawn Weights'!$E$24)+(I218*'Pawn Weights'!$E$25)+(J218*'Pawn Weights'!$E$26)+(K218*'Pawn Weights'!$E$27)+(L218*'Pawn Weights'!$E$28)+(M218*'Pawn Weights'!$E$29)+(N218*'Pawn Weights'!$E$30)+(O218*'Pawn Weights'!$E$31)+(P218*'Pawn Weights'!$E$32)+(Q218*'Pawn Weights'!$E$33), 2)</f>
        <v>40.62</v>
      </c>
      <c r="E218" s="137"/>
      <c r="F218" s="137"/>
      <c r="G218" s="137"/>
      <c r="H218" s="359">
        <v>32.0</v>
      </c>
      <c r="I218" s="359">
        <v>18.0</v>
      </c>
      <c r="J218" s="359">
        <v>14.0</v>
      </c>
      <c r="K218" s="137"/>
      <c r="L218" s="137"/>
      <c r="M218" s="137"/>
      <c r="N218" s="137"/>
      <c r="O218" s="137"/>
      <c r="P218" s="137"/>
      <c r="Q218" s="137"/>
      <c r="R218" s="137"/>
      <c r="S218" s="137"/>
      <c r="T218" s="137"/>
      <c r="U218" s="137"/>
      <c r="V218" s="137"/>
      <c r="W218" s="137"/>
      <c r="X218" s="137"/>
      <c r="Y218" s="137"/>
      <c r="Z218" s="137"/>
    </row>
    <row r="219">
      <c r="A219" s="281"/>
      <c r="B219" s="288" t="s">
        <v>981</v>
      </c>
      <c r="C219" s="280" t="s">
        <v>982</v>
      </c>
      <c r="D219" s="289">
        <f>ROUND((F219*'Pawn Weights'!$E$22)+(G219*'Pawn Weights'!$E$23)+(H219*'Pawn Weights'!$E$24)+(I219*'Pawn Weights'!$E$25)+(J219*'Pawn Weights'!$E$26)+(K219*'Pawn Weights'!$E$27)+(L219*'Pawn Weights'!$E$28)+(M219*'Pawn Weights'!$E$29)+(N219*'Pawn Weights'!$E$30)+(O219*'Pawn Weights'!$E$31)+(P219*'Pawn Weights'!$E$32)+(Q219*'Pawn Weights'!$E$33)+2.76, 2)</f>
        <v>33.59</v>
      </c>
      <c r="E219" s="280"/>
      <c r="F219" s="280"/>
      <c r="G219" s="280">
        <v>16.0</v>
      </c>
      <c r="H219" s="280"/>
      <c r="I219" s="280"/>
      <c r="J219" s="280"/>
      <c r="K219" s="320"/>
      <c r="L219" s="320"/>
      <c r="M219" s="281"/>
      <c r="N219" s="320"/>
      <c r="O219" s="280">
        <v>2.0</v>
      </c>
      <c r="P219" s="320"/>
      <c r="Q219" s="320"/>
      <c r="R219" s="290" t="s">
        <v>702</v>
      </c>
      <c r="S219" s="281"/>
      <c r="T219" s="291"/>
      <c r="U219" s="281"/>
      <c r="V219" s="281"/>
      <c r="W219" s="281"/>
    </row>
    <row r="220">
      <c r="A220" s="137" t="s">
        <v>671</v>
      </c>
      <c r="B220" s="296" t="s">
        <v>985</v>
      </c>
      <c r="C220" s="297" t="s">
        <v>637</v>
      </c>
      <c r="D220" s="289">
        <f>ROUND((F220*'Pawn Weights'!$E$22)+(G220*'Pawn Weights'!$E$23)+(H220*'Pawn Weights'!$E$24)+(I220*'Pawn Weights'!$E$25)+(J220*'Pawn Weights'!$E$26)+(K220*'Pawn Weights'!$E$27)+(L220*'Pawn Weights'!$E$28)+(M220*'Pawn Weights'!$E$29)+(N220*'Pawn Weights'!$E$30)+(O220*'Pawn Weights'!$E$31)+(P220*'Pawn Weights'!$E$32)+(Q220*'Pawn Weights'!$E$33), 2)</f>
        <v>32.01</v>
      </c>
      <c r="E220" s="298">
        <v>27.0</v>
      </c>
      <c r="F220" s="295"/>
      <c r="G220" s="295"/>
      <c r="H220" s="298">
        <v>34.0</v>
      </c>
      <c r="I220" s="298">
        <v>18.0</v>
      </c>
      <c r="J220" s="295"/>
      <c r="K220" s="137"/>
      <c r="L220" s="137"/>
      <c r="M220" s="137"/>
      <c r="N220" s="137"/>
      <c r="O220" s="295"/>
      <c r="P220" s="137"/>
      <c r="Q220" s="137"/>
      <c r="R220" s="295"/>
      <c r="S220" s="137"/>
      <c r="T220" s="297" t="s">
        <v>986</v>
      </c>
      <c r="U220" s="137"/>
      <c r="V220" s="137"/>
      <c r="W220" s="137"/>
      <c r="X220" s="137"/>
      <c r="Y220" s="137"/>
      <c r="Z220" s="137"/>
    </row>
    <row r="221">
      <c r="A221" s="281"/>
      <c r="B221" s="288" t="s">
        <v>987</v>
      </c>
      <c r="C221" s="280" t="s">
        <v>649</v>
      </c>
      <c r="D221" s="289">
        <f>ROUND((F221*'Pawn Weights'!$E$22)+(G221*'Pawn Weights'!$E$23)+(H221*'Pawn Weights'!$E$24)+(I221*'Pawn Weights'!$E$25)+(J221*'Pawn Weights'!$E$26)+(K221*'Pawn Weights'!$E$27)+(L221*'Pawn Weights'!$E$28)+(M221*'Pawn Weights'!$E$29)+(N221*'Pawn Weights'!$E$30)+(O221*'Pawn Weights'!$E$31)+(P221*'Pawn Weights'!$E$32)+(Q221*'Pawn Weights'!$E$33), 2)</f>
        <v>31.99</v>
      </c>
      <c r="E221" s="280">
        <v>17.0</v>
      </c>
      <c r="F221" s="280"/>
      <c r="G221" s="280"/>
      <c r="H221" s="280">
        <v>38.0</v>
      </c>
      <c r="I221" s="280">
        <v>16.0</v>
      </c>
      <c r="J221" s="280"/>
      <c r="K221" s="320"/>
      <c r="L221" s="320"/>
      <c r="M221" s="281"/>
      <c r="N221" s="320"/>
      <c r="O221" s="280"/>
      <c r="P221" s="320"/>
      <c r="Q221" s="320"/>
      <c r="R221" s="290"/>
      <c r="S221" s="281"/>
      <c r="T221" s="291"/>
      <c r="U221" s="281"/>
      <c r="V221" s="281"/>
      <c r="W221" s="281"/>
    </row>
    <row r="222">
      <c r="A222" s="281"/>
      <c r="B222" s="288" t="s">
        <v>988</v>
      </c>
      <c r="C222" s="280" t="s">
        <v>727</v>
      </c>
      <c r="D222" s="289">
        <f>ROUND((F222*'Pawn Weights'!$E$22)+(G222*'Pawn Weights'!$E$23)+(H222*'Pawn Weights'!$E$24)+(I222*'Pawn Weights'!$E$25)+(J222*'Pawn Weights'!$E$26)+(K222*'Pawn Weights'!$E$27)+(L222*'Pawn Weights'!$E$28)+(M222*'Pawn Weights'!$E$29)+(N222*'Pawn Weights'!$E$30)+(O222*'Pawn Weights'!$E$31)+(P222*'Pawn Weights'!$E$32)+(Q222*'Pawn Weights'!$E$33), 2)</f>
        <v>30.29</v>
      </c>
      <c r="E222" s="280"/>
      <c r="F222" s="280"/>
      <c r="G222" s="280">
        <v>23.0</v>
      </c>
      <c r="H222" s="280"/>
      <c r="I222" s="280">
        <v>16.0</v>
      </c>
      <c r="J222" s="280"/>
      <c r="K222" s="320"/>
      <c r="L222" s="320"/>
      <c r="M222" s="281"/>
      <c r="N222" s="320"/>
      <c r="O222" s="280"/>
      <c r="P222" s="320"/>
      <c r="Q222" s="320"/>
      <c r="R222" s="290"/>
      <c r="S222" s="281"/>
      <c r="T222" s="291"/>
      <c r="U222" s="281"/>
      <c r="V222" s="281"/>
      <c r="W222" s="281"/>
    </row>
    <row r="223" ht="14.25" customHeight="1">
      <c r="A223" s="219" t="s">
        <v>991</v>
      </c>
      <c r="B223" s="288" t="s">
        <v>992</v>
      </c>
      <c r="C223" s="154" t="s">
        <v>646</v>
      </c>
      <c r="D223" s="289">
        <f>ROUND((F223*'Pawn Weights'!$E$22)+(G223*'Pawn Weights'!$E$23)+(H223*'Pawn Weights'!$E$24)+(I223*'Pawn Weights'!$E$25)+(J223*'Pawn Weights'!$E$26)+(K223*'Pawn Weights'!$E$27)+(L223*'Pawn Weights'!$E$28)+(M223*'Pawn Weights'!$E$29)+(N223*'Pawn Weights'!$E$30)+(O223*'Pawn Weights'!$E$31)+(P223*'Pawn Weights'!$E$32)+(Q223*'Pawn Weights'!$E$33), 2)</f>
        <v>29.28</v>
      </c>
      <c r="E223" s="280">
        <v>24.0</v>
      </c>
      <c r="F223" s="280"/>
      <c r="G223" s="280"/>
      <c r="H223" s="280">
        <v>30.0</v>
      </c>
      <c r="I223" s="280">
        <v>17.0</v>
      </c>
      <c r="J223" s="280"/>
      <c r="K223" s="280"/>
      <c r="L223" s="280"/>
      <c r="M223" s="281"/>
      <c r="N223" s="280"/>
      <c r="O223" s="280"/>
      <c r="P223" s="280"/>
      <c r="Q223" s="280"/>
      <c r="R223" s="290"/>
      <c r="S223" s="281"/>
      <c r="T223" s="291" t="s">
        <v>986</v>
      </c>
      <c r="U223" s="281"/>
      <c r="V223" s="281"/>
      <c r="W223" s="281"/>
    </row>
    <row r="224">
      <c r="A224" s="281"/>
      <c r="B224" s="288" t="s">
        <v>994</v>
      </c>
      <c r="C224" s="280" t="s">
        <v>656</v>
      </c>
      <c r="D224" s="289">
        <f>ROUND((F224*'Pawn Weights'!$E$22)+(G224*'Pawn Weights'!$E$23)+(H224*'Pawn Weights'!$E$24)+(I224*'Pawn Weights'!$E$25)+(J224*'Pawn Weights'!$E$26)+(K224*'Pawn Weights'!$E$27)+(L224*'Pawn Weights'!$E$28)+(M224*'Pawn Weights'!$E$29)+(N224*'Pawn Weights'!$E$30)+(O224*'Pawn Weights'!$E$31)+(P224*'Pawn Weights'!$E$32)+(Q224*'Pawn Weights'!$E$33), 2)</f>
        <v>28.32</v>
      </c>
      <c r="E224" s="280"/>
      <c r="F224" s="280"/>
      <c r="G224" s="280">
        <v>19.0</v>
      </c>
      <c r="H224" s="280">
        <v>34.0</v>
      </c>
      <c r="I224" s="280"/>
      <c r="J224" s="280"/>
      <c r="K224" s="320"/>
      <c r="L224" s="320"/>
      <c r="M224" s="281"/>
      <c r="N224" s="320"/>
      <c r="O224" s="320"/>
      <c r="P224" s="320"/>
      <c r="Q224" s="320"/>
      <c r="R224" s="321"/>
      <c r="S224" s="281"/>
      <c r="T224" s="291"/>
      <c r="U224" s="281"/>
      <c r="V224" s="281"/>
      <c r="W224" s="281"/>
    </row>
    <row r="225" ht="14.25" customHeight="1">
      <c r="A225" s="219" t="s">
        <v>995</v>
      </c>
      <c r="B225" s="288" t="s">
        <v>996</v>
      </c>
      <c r="C225" s="154" t="s">
        <v>997</v>
      </c>
      <c r="D225" s="289">
        <f>ROUND((F225*'Pawn Weights'!$E$22)+(G225*'Pawn Weights'!$E$23)+(H225*'Pawn Weights'!$E$24)+(I225*'Pawn Weights'!$E$25)+(J225*'Pawn Weights'!$E$26)+(K225*'Pawn Weights'!$E$27)+(L225*'Pawn Weights'!$E$28)+(M225*'Pawn Weights'!$E$29)+(N225*'Pawn Weights'!$E$30)+(O225*'Pawn Weights'!$E$31)+(P225*'Pawn Weights'!$E$32)+(Q225*'Pawn Weights'!$E$33), 2)</f>
        <v>27.45</v>
      </c>
      <c r="E225" s="280">
        <v>21.0</v>
      </c>
      <c r="F225" s="280"/>
      <c r="G225" s="280"/>
      <c r="H225" s="280">
        <v>28.0</v>
      </c>
      <c r="I225" s="280">
        <v>16.0</v>
      </c>
      <c r="J225" s="280"/>
      <c r="K225" s="280"/>
      <c r="L225" s="280"/>
      <c r="M225" s="281"/>
      <c r="N225" s="280"/>
      <c r="O225" s="280"/>
      <c r="P225" s="280"/>
      <c r="Q225" s="280"/>
      <c r="R225" s="290"/>
      <c r="S225" s="281"/>
      <c r="T225" s="291" t="s">
        <v>986</v>
      </c>
      <c r="U225" s="281"/>
      <c r="V225" s="281"/>
      <c r="W225" s="281"/>
    </row>
    <row r="226">
      <c r="B226" s="322" t="s">
        <v>998</v>
      </c>
      <c r="C226" s="154" t="s">
        <v>999</v>
      </c>
      <c r="D226" s="289">
        <f>ROUND((F226*'Pawn Weights'!$E$22)+(G226*'Pawn Weights'!$E$23)+(H226*'Pawn Weights'!$E$24)+(I226*'Pawn Weights'!$E$25)+(J226*'Pawn Weights'!$E$26)+(K226*'Pawn Weights'!$E$27)+(L226*'Pawn Weights'!$E$28)+(M226*'Pawn Weights'!$E$29)+(N226*'Pawn Weights'!$E$30)+(O226*'Pawn Weights'!$E$31)+(P226*'Pawn Weights'!$E$32)+(Q226*'Pawn Weights'!$E$33), 2)</f>
        <v>26.83</v>
      </c>
      <c r="E226" s="280"/>
      <c r="F226" s="280"/>
      <c r="G226" s="280">
        <v>10.0</v>
      </c>
      <c r="H226" s="280">
        <v>32.0</v>
      </c>
      <c r="I226" s="280">
        <v>6.0</v>
      </c>
      <c r="J226" s="280"/>
      <c r="K226" s="280"/>
      <c r="L226" s="280"/>
      <c r="M226" s="281"/>
      <c r="N226" s="280"/>
      <c r="O226" s="280"/>
      <c r="P226" s="280"/>
      <c r="Q226" s="280"/>
      <c r="R226" s="290"/>
      <c r="S226" s="281"/>
      <c r="T226" s="291"/>
      <c r="U226" s="281"/>
      <c r="V226" s="281"/>
      <c r="W226" s="281"/>
    </row>
    <row r="227">
      <c r="A227" s="137"/>
      <c r="B227" s="296" t="s">
        <v>989</v>
      </c>
      <c r="C227" s="297" t="s">
        <v>990</v>
      </c>
      <c r="D227" s="289">
        <f>ROUND((F227*'Pawn Weights'!$E$22)+(G227*'Pawn Weights'!$E$23)+(H227*'Pawn Weights'!$E$24)+(I227*'Pawn Weights'!$E$25)+(J227*'Pawn Weights'!$E$26)+(K227*'Pawn Weights'!$E$27)+(L227*'Pawn Weights'!$E$28)+(M227*'Pawn Weights'!$E$29)+(N227*'Pawn Weights'!$E$30)+(O227*'Pawn Weights'!$E$31)+(P227*'Pawn Weights'!$E$32)+(Q227*'Pawn Weights'!$E$33), 2)</f>
        <v>26.7</v>
      </c>
      <c r="E227" s="295"/>
      <c r="F227" s="295"/>
      <c r="G227" s="298">
        <v>14.0</v>
      </c>
      <c r="H227" s="298">
        <v>26.0</v>
      </c>
      <c r="I227" s="295"/>
      <c r="J227" s="295"/>
      <c r="K227" s="298">
        <v>10.0</v>
      </c>
      <c r="L227" s="295"/>
      <c r="M227" s="137"/>
      <c r="N227" s="295"/>
      <c r="O227" s="295"/>
      <c r="P227" s="295"/>
      <c r="Q227" s="295"/>
      <c r="R227" s="295"/>
      <c r="S227" s="137"/>
      <c r="T227" s="295"/>
      <c r="U227" s="137"/>
      <c r="V227" s="137"/>
      <c r="W227" s="137"/>
      <c r="X227" s="137"/>
      <c r="Y227" s="137"/>
      <c r="Z227" s="137"/>
    </row>
    <row r="228">
      <c r="A228" s="281"/>
      <c r="B228" s="288" t="s">
        <v>1120</v>
      </c>
      <c r="C228" s="280" t="s">
        <v>681</v>
      </c>
      <c r="D228" s="289">
        <f>ROUND((F228*'Pawn Weights'!$E$22)+(G228*'Pawn Weights'!$E$23)+(H228*'Pawn Weights'!$E$24)+(I228*'Pawn Weights'!$E$25)+(J228*'Pawn Weights'!$E$26)+(K228*'Pawn Weights'!$E$27)+(L228*'Pawn Weights'!$E$28)+(M228*'Pawn Weights'!$E$29)+(N228*'Pawn Weights'!$E$30)+(O228*'Pawn Weights'!$E$31)+(P228*'Pawn Weights'!$E$32)+(Q228*'Pawn Weights'!$E$33), 2)</f>
        <v>26.56</v>
      </c>
      <c r="E228" s="280">
        <v>14.0</v>
      </c>
      <c r="F228" s="280"/>
      <c r="G228" s="280"/>
      <c r="H228" s="280"/>
      <c r="I228" s="280">
        <v>20.0</v>
      </c>
      <c r="J228" s="280">
        <v>12.0</v>
      </c>
      <c r="K228" s="320"/>
      <c r="L228" s="320"/>
      <c r="M228" s="281"/>
      <c r="N228" s="320"/>
      <c r="O228" s="280"/>
      <c r="P228" s="320"/>
      <c r="Q228" s="320"/>
      <c r="R228" s="290"/>
      <c r="S228" s="281"/>
      <c r="T228" s="291"/>
      <c r="U228" s="281"/>
      <c r="V228" s="281"/>
      <c r="W228" s="281"/>
    </row>
    <row r="229">
      <c r="A229" s="281"/>
      <c r="B229" s="288" t="s">
        <v>1121</v>
      </c>
      <c r="C229" s="280" t="s">
        <v>1122</v>
      </c>
      <c r="D229" s="289">
        <f>ROUND((F229*'Pawn Weights'!$E$22)+(G229*'Pawn Weights'!$E$23)+(H229*'Pawn Weights'!$E$24)+(I229*'Pawn Weights'!$E$25)+(J229*'Pawn Weights'!$E$26)+(K229*'Pawn Weights'!$E$27)+(L229*'Pawn Weights'!$E$28)+(M229*'Pawn Weights'!$E$29)+(N229*'Pawn Weights'!$E$30)+(O229*'Pawn Weights'!$E$31)+(P229*'Pawn Weights'!$E$32)+(Q229*'Pawn Weights'!$E$33), 2)</f>
        <v>26.56</v>
      </c>
      <c r="E229" s="280"/>
      <c r="F229" s="280"/>
      <c r="G229" s="280"/>
      <c r="H229" s="280"/>
      <c r="I229" s="280">
        <v>20.0</v>
      </c>
      <c r="J229" s="280">
        <v>12.0</v>
      </c>
      <c r="K229" s="280"/>
      <c r="L229" s="280"/>
      <c r="M229" s="281"/>
      <c r="N229" s="280"/>
      <c r="O229" s="280"/>
      <c r="P229" s="280"/>
      <c r="Q229" s="280"/>
      <c r="R229" s="290"/>
      <c r="S229" s="281"/>
      <c r="T229" s="291"/>
      <c r="U229" s="281"/>
      <c r="V229" s="281"/>
      <c r="W229" s="281"/>
    </row>
    <row r="230">
      <c r="A230" s="281"/>
      <c r="B230" s="288" t="s">
        <v>1123</v>
      </c>
      <c r="C230" s="280" t="s">
        <v>1025</v>
      </c>
      <c r="D230" s="289">
        <f>ROUND((F230*'Pawn Weights'!$E$22)+(G230*'Pawn Weights'!$E$23)+(H230*'Pawn Weights'!$E$24)+(I230*'Pawn Weights'!$E$25)+(J230*'Pawn Weights'!$E$26)+(K230*'Pawn Weights'!$E$27)+(L230*'Pawn Weights'!$E$28)+(M230*'Pawn Weights'!$E$29)+(N230*'Pawn Weights'!$E$30)+(O230*'Pawn Weights'!$E$31)+(P230*'Pawn Weights'!$E$32)+(Q230*'Pawn Weights'!$E$33), 2)</f>
        <v>26.46</v>
      </c>
      <c r="E230" s="280"/>
      <c r="F230" s="280"/>
      <c r="G230" s="280">
        <v>20.0</v>
      </c>
      <c r="H230" s="280"/>
      <c r="I230" s="280"/>
      <c r="J230" s="280">
        <v>19.0</v>
      </c>
      <c r="K230" s="320"/>
      <c r="L230" s="320"/>
      <c r="M230" s="281"/>
      <c r="N230" s="320"/>
      <c r="O230" s="280"/>
      <c r="P230" s="320"/>
      <c r="Q230" s="320"/>
      <c r="R230" s="290"/>
      <c r="S230" s="281"/>
      <c r="T230" s="291"/>
      <c r="U230" s="281"/>
      <c r="V230" s="281"/>
      <c r="W230" s="281"/>
    </row>
    <row r="231">
      <c r="A231" s="137"/>
      <c r="B231" s="383" t="s">
        <v>1000</v>
      </c>
      <c r="C231" s="297" t="s">
        <v>1001</v>
      </c>
      <c r="D231" s="289">
        <f>ROUND((F231*'Pawn Weights'!$E$22)+(G231*'Pawn Weights'!$E$23)+(H231*'Pawn Weights'!$E$24)+(I231*'Pawn Weights'!$E$25)+(J231*'Pawn Weights'!$E$26)+(K231*'Pawn Weights'!$E$27)+(L231*'Pawn Weights'!$E$28)+(M231*'Pawn Weights'!$E$29)+(N231*'Pawn Weights'!$E$30)+(O231*'Pawn Weights'!$E$31)+(P231*'Pawn Weights'!$E$32)+(Q231*'Pawn Weights'!$E$33), 2)</f>
        <v>19.5</v>
      </c>
      <c r="E231" s="298">
        <v>16.0</v>
      </c>
      <c r="F231" s="297"/>
      <c r="G231" s="297"/>
      <c r="H231" s="297"/>
      <c r="I231" s="297"/>
      <c r="J231" s="298">
        <v>10.0</v>
      </c>
      <c r="K231" s="137"/>
      <c r="L231" s="359">
        <v>10.0</v>
      </c>
      <c r="M231" s="137"/>
      <c r="N231" s="137"/>
      <c r="O231" s="297"/>
      <c r="P231" s="137"/>
      <c r="Q231" s="137"/>
      <c r="R231" s="295"/>
      <c r="S231" s="137"/>
      <c r="T231" s="297" t="s">
        <v>971</v>
      </c>
      <c r="U231" s="137"/>
      <c r="V231" s="137"/>
      <c r="W231" s="137"/>
      <c r="X231" s="137"/>
      <c r="Y231" s="137"/>
      <c r="Z231" s="137"/>
    </row>
    <row r="232">
      <c r="A232" s="224" t="s">
        <v>1124</v>
      </c>
      <c r="B232" s="323" t="s">
        <v>604</v>
      </c>
      <c r="C232" s="323" t="s">
        <v>605</v>
      </c>
      <c r="D232" s="365" t="s">
        <v>606</v>
      </c>
      <c r="E232" s="224" t="s">
        <v>1003</v>
      </c>
      <c r="F232" s="224" t="s">
        <v>1004</v>
      </c>
      <c r="G232" s="224" t="s">
        <v>561</v>
      </c>
      <c r="H232" s="224" t="s">
        <v>562</v>
      </c>
      <c r="I232" s="224" t="s">
        <v>330</v>
      </c>
      <c r="J232" s="224" t="s">
        <v>563</v>
      </c>
      <c r="K232" s="272" t="s">
        <v>344</v>
      </c>
      <c r="L232" s="224" t="s">
        <v>607</v>
      </c>
      <c r="M232" s="224" t="s">
        <v>564</v>
      </c>
      <c r="N232" s="224" t="s">
        <v>1006</v>
      </c>
      <c r="O232" s="274" t="s">
        <v>610</v>
      </c>
      <c r="P232" s="275" t="s">
        <v>611</v>
      </c>
      <c r="Q232" s="276" t="s">
        <v>612</v>
      </c>
      <c r="R232" s="277" t="s">
        <v>613</v>
      </c>
      <c r="S232" s="366" t="s">
        <v>356</v>
      </c>
      <c r="T232" s="224" t="s">
        <v>615</v>
      </c>
      <c r="U232" s="324"/>
      <c r="V232" s="324"/>
      <c r="W232" s="324"/>
    </row>
    <row r="233">
      <c r="A233" s="292"/>
      <c r="B233" s="325" t="s">
        <v>1125</v>
      </c>
      <c r="C233" s="326"/>
      <c r="D233" s="301"/>
      <c r="E233" s="326"/>
      <c r="F233" s="326"/>
      <c r="G233" s="154"/>
      <c r="H233" s="326"/>
      <c r="I233" s="326"/>
      <c r="J233" s="326"/>
      <c r="K233" s="326"/>
      <c r="L233" s="326"/>
      <c r="M233" s="326"/>
      <c r="N233" s="326"/>
      <c r="O233" s="326"/>
      <c r="P233" s="326"/>
      <c r="Q233" s="326"/>
      <c r="R233" s="327"/>
      <c r="S233" s="326"/>
      <c r="T233" s="328"/>
      <c r="U233" s="326"/>
      <c r="V233" s="326"/>
      <c r="W233" s="329"/>
    </row>
    <row r="234">
      <c r="A234" s="295" t="s">
        <v>583</v>
      </c>
      <c r="B234" s="296" t="s">
        <v>1127</v>
      </c>
      <c r="C234" s="330" t="s">
        <v>637</v>
      </c>
      <c r="D234" s="301">
        <f>ROUND((E234*'Pawn Weights'!$E$34)+(G234*'Pawn Weights'!$E$23)+(H234*'Pawn Weights'!$E$24)+(I234*'Pawn Weights'!$E$25)+(J234*'Pawn Weights'!$E$28)+(K234*'Pawn Weights'!$E$26)+(M234*'Pawn Weights'!$E$29)+(N234*'Pawn Weights'!$E$22)+(O234*'Pawn Weights'!$E$31)+(P234*'Pawn Weights'!$E$32)+(Q234*'Pawn Weights'!$E$33)+(F234*'Pawn Weights'!$E$35)+(S234*'Pawn Weights'!$E$27)+'Pawn Weights'!$E$36, 2)</f>
        <v>1587.96</v>
      </c>
      <c r="E234" s="332">
        <v>140.3</v>
      </c>
      <c r="F234" s="332">
        <v>3.6</v>
      </c>
      <c r="G234" s="330"/>
      <c r="H234" s="330"/>
      <c r="I234" s="332">
        <v>50.0</v>
      </c>
      <c r="J234" s="330"/>
      <c r="K234" s="332">
        <v>19.0</v>
      </c>
      <c r="L234" s="332">
        <v>66.0</v>
      </c>
      <c r="M234" s="332">
        <v>98.0</v>
      </c>
      <c r="N234" s="332">
        <v>50.0</v>
      </c>
      <c r="O234" s="330"/>
      <c r="P234" s="330"/>
      <c r="Q234" s="330"/>
      <c r="R234" s="332"/>
      <c r="S234" s="330"/>
      <c r="T234" s="295"/>
      <c r="U234" s="330"/>
      <c r="V234" s="330"/>
      <c r="W234" s="137"/>
      <c r="X234" s="137"/>
      <c r="Y234" s="137"/>
      <c r="Z234" s="137"/>
    </row>
    <row r="235">
      <c r="A235" s="301" t="s">
        <v>583</v>
      </c>
      <c r="B235" s="288" t="s">
        <v>1128</v>
      </c>
      <c r="C235" s="326" t="s">
        <v>642</v>
      </c>
      <c r="D235" s="301">
        <f>ROUND((E235*'Pawn Weights'!$E$34)+(G235*'Pawn Weights'!$E$23)+(H235*'Pawn Weights'!$E$24)+(I235*'Pawn Weights'!$E$25)+(J235*'Pawn Weights'!$E$28)+(K235*'Pawn Weights'!$E$26)+(M235*'Pawn Weights'!$E$29)+(N235*'Pawn Weights'!$E$22)+(O235*'Pawn Weights'!$E$31)+(P235*'Pawn Weights'!$E$32)+(Q235*'Pawn Weights'!$E$33)+(F235*'Pawn Weights'!$E$35)+(S235*'Pawn Weights'!$E$27)+'Pawn Weights'!$E$36, 2)</f>
        <v>1571.14</v>
      </c>
      <c r="E235" s="326">
        <v>138.0</v>
      </c>
      <c r="F235" s="326">
        <v>3.5</v>
      </c>
      <c r="G235" s="326"/>
      <c r="H235" s="326"/>
      <c r="I235" s="326"/>
      <c r="J235" s="326"/>
      <c r="K235" s="326"/>
      <c r="L235" s="326">
        <v>49.0</v>
      </c>
      <c r="M235" s="326">
        <v>335.0</v>
      </c>
      <c r="N235" s="326">
        <v>75.0</v>
      </c>
      <c r="O235" s="326"/>
      <c r="P235" s="326"/>
      <c r="Q235" s="326"/>
      <c r="R235" s="327"/>
      <c r="S235" s="326"/>
      <c r="T235" s="328"/>
      <c r="U235" s="326"/>
      <c r="V235" s="326"/>
      <c r="W235" s="329"/>
    </row>
    <row r="236">
      <c r="A236" s="292" t="s">
        <v>583</v>
      </c>
      <c r="B236" s="288" t="s">
        <v>1132</v>
      </c>
      <c r="C236" s="326" t="s">
        <v>646</v>
      </c>
      <c r="D236" s="301">
        <f>ROUND((E236*'Pawn Weights'!$E$34)+(G236*'Pawn Weights'!$E$23)+(H236*'Pawn Weights'!$E$24)+(I236*'Pawn Weights'!$E$25)+(J236*'Pawn Weights'!$E$28)+(K236*'Pawn Weights'!$E$26)+(M236*'Pawn Weights'!$E$29)+(N236*'Pawn Weights'!$E$22)+(O236*'Pawn Weights'!$E$31)+(P236*'Pawn Weights'!$E$32)+(Q236*'Pawn Weights'!$E$33)+(F236*'Pawn Weights'!$E$35)+(S236*'Pawn Weights'!$E$27)+'Pawn Weights'!$E$36, 2)</f>
        <v>1522.66</v>
      </c>
      <c r="E236" s="326">
        <v>134.2</v>
      </c>
      <c r="F236" s="326">
        <v>3.6</v>
      </c>
      <c r="G236" s="326"/>
      <c r="H236" s="326"/>
      <c r="I236" s="326">
        <v>46.0</v>
      </c>
      <c r="J236" s="326"/>
      <c r="K236" s="326">
        <v>15.0</v>
      </c>
      <c r="L236" s="326">
        <v>62.0</v>
      </c>
      <c r="M236" s="326">
        <v>98.0</v>
      </c>
      <c r="N236" s="326">
        <v>46.0</v>
      </c>
      <c r="O236" s="326"/>
      <c r="P236" s="326"/>
      <c r="Q236" s="326"/>
      <c r="R236" s="327"/>
      <c r="S236" s="326"/>
      <c r="T236" s="328"/>
      <c r="U236" s="326"/>
      <c r="V236" s="326"/>
      <c r="W236" s="329"/>
    </row>
    <row r="237">
      <c r="A237" s="295" t="s">
        <v>1133</v>
      </c>
      <c r="B237" s="296" t="s">
        <v>1134</v>
      </c>
      <c r="C237" s="297" t="s">
        <v>980</v>
      </c>
      <c r="D237" s="301">
        <f>ROUND((E237*'Pawn Weights'!$E$34)+(G237*'Pawn Weights'!$E$23)+(H237*'Pawn Weights'!$E$24)+(I237*'Pawn Weights'!$E$25)+(J237*'Pawn Weights'!$E$28)+(K237*'Pawn Weights'!$E$26)+(M237*'Pawn Weights'!$E$29)+(N237*'Pawn Weights'!$E$22)+(O237*'Pawn Weights'!$E$31)+(P237*'Pawn Weights'!$E$32)+(Q237*'Pawn Weights'!$E$33)+(F237*'Pawn Weights'!$E$35)+(S237*'Pawn Weights'!$E$27), 2)</f>
        <v>1512.81</v>
      </c>
      <c r="E237" s="332">
        <v>134.0</v>
      </c>
      <c r="F237" s="332">
        <v>3.5</v>
      </c>
      <c r="G237" s="295"/>
      <c r="H237" s="332">
        <v>108.0</v>
      </c>
      <c r="I237" s="332">
        <v>55.0</v>
      </c>
      <c r="J237" s="295"/>
      <c r="K237" s="295"/>
      <c r="L237" s="295"/>
      <c r="M237" s="295"/>
      <c r="N237" s="295"/>
      <c r="O237" s="295"/>
      <c r="P237" s="295"/>
      <c r="Q237" s="295"/>
      <c r="R237" s="295"/>
      <c r="S237" s="332">
        <v>53.0</v>
      </c>
      <c r="T237" s="363" t="s">
        <v>1135</v>
      </c>
      <c r="U237" s="295"/>
      <c r="V237" s="295"/>
      <c r="W237" s="137"/>
      <c r="X237" s="137"/>
      <c r="Y237" s="137"/>
      <c r="Z237" s="137"/>
    </row>
    <row r="238">
      <c r="A238" s="292" t="s">
        <v>583</v>
      </c>
      <c r="B238" s="288" t="s">
        <v>1137</v>
      </c>
      <c r="C238" s="326" t="s">
        <v>741</v>
      </c>
      <c r="D238" s="301">
        <f>ROUND((E238*'Pawn Weights'!$E$34)+(G238*'Pawn Weights'!$E$23)+(H238*'Pawn Weights'!$E$24)+(I238*'Pawn Weights'!$E$25)+(J238*'Pawn Weights'!$E$28)+(K238*'Pawn Weights'!$E$26)+(M238*'Pawn Weights'!$E$29)+(N238*'Pawn Weights'!$E$22)+(O238*'Pawn Weights'!$E$31)+(P238*'Pawn Weights'!$E$32)+(Q238*'Pawn Weights'!$E$33)+(F238*'Pawn Weights'!$E$35)+(S238*'Pawn Weights'!$E$27)+'Pawn Weights'!$E$36, 2)</f>
        <v>1486.24</v>
      </c>
      <c r="E238" s="326">
        <v>130.4</v>
      </c>
      <c r="F238" s="326">
        <v>3.6</v>
      </c>
      <c r="G238" s="326"/>
      <c r="H238" s="326">
        <v>110.0</v>
      </c>
      <c r="I238" s="326">
        <v>37.0</v>
      </c>
      <c r="J238" s="326"/>
      <c r="K238" s="326"/>
      <c r="L238" s="326">
        <v>53.0</v>
      </c>
      <c r="M238" s="326"/>
      <c r="N238" s="326"/>
      <c r="O238" s="326">
        <v>1.0</v>
      </c>
      <c r="P238" s="326">
        <v>1.0</v>
      </c>
      <c r="Q238" s="326">
        <v>1.0</v>
      </c>
      <c r="R238" s="327" t="s">
        <v>660</v>
      </c>
      <c r="S238" s="326"/>
      <c r="T238" s="328"/>
      <c r="U238" s="326"/>
      <c r="V238" s="326"/>
      <c r="W238" s="329"/>
    </row>
    <row r="239">
      <c r="A239" s="301" t="s">
        <v>1133</v>
      </c>
      <c r="B239" s="288" t="s">
        <v>1136</v>
      </c>
      <c r="C239" s="326" t="s">
        <v>727</v>
      </c>
      <c r="D239" s="301">
        <f>ROUND((E239*'Pawn Weights'!$E$34)+(G239*'Pawn Weights'!$E$23)+(H239*'Pawn Weights'!$E$24)+(I239*'Pawn Weights'!$E$25)+(J239*'Pawn Weights'!$E$28)+(K239*'Pawn Weights'!$E$26)+(M239*'Pawn Weights'!$E$29)+(N239*'Pawn Weights'!$E$22)+(O239*'Pawn Weights'!$E$31)+(P239*'Pawn Weights'!$E$32)+(Q239*'Pawn Weights'!$E$33)+(F239*'Pawn Weights'!$E$35)+(S239*'Pawn Weights'!$E$27), 2)</f>
        <v>1484.32</v>
      </c>
      <c r="E239" s="326">
        <v>130.4</v>
      </c>
      <c r="F239" s="326">
        <v>3.7</v>
      </c>
      <c r="G239" s="326"/>
      <c r="H239" s="326"/>
      <c r="I239" s="326"/>
      <c r="J239" s="326"/>
      <c r="K239" s="326"/>
      <c r="L239" s="326">
        <v>63.0</v>
      </c>
      <c r="M239" s="326">
        <v>315.0</v>
      </c>
      <c r="N239" s="326">
        <v>65.0</v>
      </c>
      <c r="O239" s="326"/>
      <c r="P239" s="326"/>
      <c r="Q239" s="326"/>
      <c r="R239" s="327"/>
      <c r="S239" s="326"/>
      <c r="T239" s="306" t="s">
        <v>1692</v>
      </c>
      <c r="U239" s="326"/>
      <c r="V239" s="326"/>
      <c r="W239" s="329"/>
    </row>
    <row r="240">
      <c r="A240" s="301" t="s">
        <v>1138</v>
      </c>
      <c r="B240" s="288" t="s">
        <v>1139</v>
      </c>
      <c r="C240" s="326" t="s">
        <v>1140</v>
      </c>
      <c r="D240" s="301">
        <f>ROUND((E240*'Pawn Weights'!$E$34)+(G240*'Pawn Weights'!$E$23)+(H240*'Pawn Weights'!$E$24)+(I240*'Pawn Weights'!$E$25)+(J240*'Pawn Weights'!$E$28)+(K240*'Pawn Weights'!$E$26)+(M240*'Pawn Weights'!$E$29)+(N240*'Pawn Weights'!$E$22)+(O240*'Pawn Weights'!$E$31)+(P240*'Pawn Weights'!$E$32)+(Q240*'Pawn Weights'!$E$33)+(F240*'Pawn Weights'!$E$35)+(S240*'Pawn Weights'!$E$27)+'Pawn Weights'!$E$36+(43*'Pawn Weights'!E22), 2)</f>
        <v>1465.49</v>
      </c>
      <c r="E240" s="326">
        <v>126.9</v>
      </c>
      <c r="F240" s="326">
        <v>3.6</v>
      </c>
      <c r="G240" s="326">
        <v>44.0</v>
      </c>
      <c r="H240" s="326"/>
      <c r="I240" s="326"/>
      <c r="J240" s="326"/>
      <c r="K240" s="326"/>
      <c r="L240" s="326"/>
      <c r="M240" s="326"/>
      <c r="N240" s="326">
        <v>52.0</v>
      </c>
      <c r="O240" s="326"/>
      <c r="P240" s="326"/>
      <c r="Q240" s="326"/>
      <c r="R240" s="327"/>
      <c r="S240" s="326"/>
      <c r="T240" s="328" t="s">
        <v>1141</v>
      </c>
      <c r="U240" s="326"/>
      <c r="V240" s="326"/>
      <c r="W240" s="329"/>
    </row>
    <row r="241">
      <c r="A241" s="301" t="s">
        <v>1129</v>
      </c>
      <c r="B241" s="288" t="s">
        <v>1142</v>
      </c>
      <c r="C241" s="326" t="s">
        <v>716</v>
      </c>
      <c r="D241" s="301">
        <f>ROUND((E241*'Pawn Weights'!$E$34)+(G241*'Pawn Weights'!$E$23)+(H241*'Pawn Weights'!$E$24)+(I241*'Pawn Weights'!$E$25)+(J241*'Pawn Weights'!$E$28)+(K241*'Pawn Weights'!$E$26)+(M241*'Pawn Weights'!$E$29)+(N241*'Pawn Weights'!$E$22)+(O241*'Pawn Weights'!$E$31)+(P241*'Pawn Weights'!$E$32)+(Q241*'Pawn Weights'!$E$33)+(F241*'Pawn Weights'!$E$35)+(S241*'Pawn Weights'!$E$27), 2)</f>
        <v>1452.48</v>
      </c>
      <c r="E241" s="326">
        <v>130.4</v>
      </c>
      <c r="F241" s="326">
        <v>3.5</v>
      </c>
      <c r="G241" s="326">
        <v>51.0</v>
      </c>
      <c r="H241" s="326">
        <v>100.0</v>
      </c>
      <c r="I241" s="326"/>
      <c r="J241" s="326"/>
      <c r="K241" s="326">
        <v>30.0</v>
      </c>
      <c r="L241" s="326">
        <v>57.0</v>
      </c>
      <c r="M241" s="326"/>
      <c r="N241" s="326"/>
      <c r="O241" s="326"/>
      <c r="P241" s="326"/>
      <c r="Q241" s="326"/>
      <c r="R241" s="327"/>
      <c r="S241" s="326"/>
      <c r="T241" s="328"/>
      <c r="U241" s="326"/>
      <c r="V241" s="326"/>
      <c r="W241" s="329"/>
    </row>
    <row r="242">
      <c r="A242" s="301" t="s">
        <v>583</v>
      </c>
      <c r="B242" s="288" t="s">
        <v>1145</v>
      </c>
      <c r="C242" s="326" t="s">
        <v>997</v>
      </c>
      <c r="D242" s="301">
        <f>ROUND((E242*'Pawn Weights'!$E$34)+(G242*'Pawn Weights'!$E$23)+(H242*'Pawn Weights'!$E$24)+(I242*'Pawn Weights'!$E$25)+(J242*'Pawn Weights'!$E$28)+(K242*'Pawn Weights'!$E$26)+(M242*'Pawn Weights'!$E$29)+(N242*'Pawn Weights'!$E$22)+(O242*'Pawn Weights'!$E$31)+(P242*'Pawn Weights'!$E$32)+(Q242*'Pawn Weights'!$E$33)+(F242*'Pawn Weights'!$E$35)+(S242*'Pawn Weights'!$E$27)+'Pawn Weights'!$E$36, 2)</f>
        <v>1433.58</v>
      </c>
      <c r="E242" s="326">
        <v>126.9</v>
      </c>
      <c r="F242" s="326">
        <v>3.6</v>
      </c>
      <c r="G242" s="326"/>
      <c r="H242" s="326"/>
      <c r="I242" s="326">
        <v>42.0</v>
      </c>
      <c r="J242" s="326"/>
      <c r="K242" s="326">
        <v>18.0</v>
      </c>
      <c r="L242" s="326">
        <v>55.0</v>
      </c>
      <c r="M242" s="326"/>
      <c r="N242" s="326">
        <v>42.0</v>
      </c>
      <c r="O242" s="326"/>
      <c r="P242" s="326"/>
      <c r="Q242" s="326"/>
      <c r="R242" s="327"/>
      <c r="S242" s="326"/>
      <c r="T242" s="328"/>
      <c r="U242" s="326"/>
      <c r="V242" s="326"/>
      <c r="W242" s="329"/>
    </row>
    <row r="243">
      <c r="A243" s="292" t="s">
        <v>1146</v>
      </c>
      <c r="B243" s="288" t="s">
        <v>1147</v>
      </c>
      <c r="C243" s="326" t="s">
        <v>1148</v>
      </c>
      <c r="D243" s="301">
        <f>ROUND((E243*'Pawn Weights'!$E$34)+(G243*'Pawn Weights'!$E$23)+(H243*'Pawn Weights'!$E$24)+(I243*'Pawn Weights'!$E$25)+(J243*'Pawn Weights'!$E$28)+(K243*'Pawn Weights'!$E$26)+(M243*'Pawn Weights'!$E$29)+(N243*'Pawn Weights'!$E$22)+(O243*'Pawn Weights'!$E$31)+(P243*'Pawn Weights'!$E$32)+(Q243*'Pawn Weights'!$E$33)+(F243*'Pawn Weights'!$E$35)+(S243*'Pawn Weights'!$E$27), 2)</f>
        <v>1433.22</v>
      </c>
      <c r="E243" s="326">
        <v>126.9</v>
      </c>
      <c r="F243" s="326">
        <v>3.7</v>
      </c>
      <c r="G243" s="154"/>
      <c r="H243" s="326">
        <v>112.0</v>
      </c>
      <c r="I243" s="326">
        <v>56.0</v>
      </c>
      <c r="J243" s="326"/>
      <c r="K243" s="326"/>
      <c r="L243" s="326"/>
      <c r="M243" s="326"/>
      <c r="N243" s="326"/>
      <c r="O243" s="326"/>
      <c r="P243" s="326"/>
      <c r="Q243" s="326"/>
      <c r="R243" s="327"/>
      <c r="S243" s="326"/>
      <c r="T243" s="306" t="s">
        <v>1692</v>
      </c>
      <c r="U243" s="326"/>
      <c r="V243" s="326"/>
      <c r="W243" s="329"/>
    </row>
    <row r="244">
      <c r="A244" s="301" t="s">
        <v>1138</v>
      </c>
      <c r="B244" s="288" t="s">
        <v>1151</v>
      </c>
      <c r="C244" s="326" t="s">
        <v>1152</v>
      </c>
      <c r="D244" s="301">
        <f>ROUND((E244*'Pawn Weights'!$E$34)+(G244*'Pawn Weights'!$E$23)+(H244*'Pawn Weights'!$E$24)+(I244*'Pawn Weights'!$E$25)+(J244*'Pawn Weights'!$E$28)+(K244*'Pawn Weights'!$E$26)+(M244*'Pawn Weights'!$E$29)+(N244*'Pawn Weights'!$E$22)+(O244*'Pawn Weights'!$E$31)+(P244*'Pawn Weights'!$E$32)+(Q244*'Pawn Weights'!$E$33)+(F244*'Pawn Weights'!$E$35)+(S244*'Pawn Weights'!$E$27)+'Pawn Weights'!$E$36+(43*'Pawn Weights'!$E$22), 2)</f>
        <v>1387.79</v>
      </c>
      <c r="E244" s="326">
        <v>118.6</v>
      </c>
      <c r="F244" s="326">
        <v>3.6</v>
      </c>
      <c r="G244" s="326">
        <v>44.0</v>
      </c>
      <c r="H244" s="326"/>
      <c r="I244" s="326"/>
      <c r="J244" s="326"/>
      <c r="K244" s="326"/>
      <c r="L244" s="326"/>
      <c r="M244" s="326"/>
      <c r="N244" s="326">
        <v>49.0</v>
      </c>
      <c r="O244" s="326"/>
      <c r="P244" s="326"/>
      <c r="Q244" s="326"/>
      <c r="R244" s="327"/>
      <c r="S244" s="326"/>
      <c r="T244" s="328" t="s">
        <v>1141</v>
      </c>
      <c r="U244" s="326"/>
      <c r="V244" s="326"/>
      <c r="W244" s="329"/>
    </row>
    <row r="245">
      <c r="A245" s="301" t="s">
        <v>1146</v>
      </c>
      <c r="B245" s="288" t="s">
        <v>1156</v>
      </c>
      <c r="C245" s="326" t="s">
        <v>1157</v>
      </c>
      <c r="D245" s="301">
        <f>ROUND((E245*'Pawn Weights'!$E$34)+(G245*'Pawn Weights'!$E$23)+(H245*'Pawn Weights'!$E$24)+(I245*'Pawn Weights'!$E$25)+(J245*'Pawn Weights'!$E$28)+(K245*'Pawn Weights'!$E$26)+(M245*'Pawn Weights'!$E$29)+(N245*'Pawn Weights'!$E$22)+(O245*'Pawn Weights'!$E$31)+(P245*'Pawn Weights'!$E$32)+(Q245*'Pawn Weights'!$E$33)+(F245*'Pawn Weights'!$E$35)+(S245*'Pawn Weights'!$E$27), 2)</f>
        <v>1352.12</v>
      </c>
      <c r="E245" s="326">
        <v>118.6</v>
      </c>
      <c r="F245" s="326">
        <v>3.7</v>
      </c>
      <c r="G245" s="326"/>
      <c r="H245" s="326">
        <v>106.0</v>
      </c>
      <c r="I245" s="326">
        <v>52.0</v>
      </c>
      <c r="J245" s="326"/>
      <c r="K245" s="326"/>
      <c r="L245" s="326"/>
      <c r="M245" s="326"/>
      <c r="N245" s="326"/>
      <c r="O245" s="326"/>
      <c r="P245" s="326"/>
      <c r="Q245" s="326"/>
      <c r="R245" s="327"/>
      <c r="S245" s="326"/>
      <c r="T245" s="306" t="s">
        <v>1692</v>
      </c>
      <c r="U245" s="326"/>
      <c r="V245" s="326"/>
      <c r="W245" s="329"/>
    </row>
    <row r="246">
      <c r="A246" s="301" t="s">
        <v>1133</v>
      </c>
      <c r="B246" s="288" t="s">
        <v>1153</v>
      </c>
      <c r="C246" s="326" t="s">
        <v>1154</v>
      </c>
      <c r="D246" s="301">
        <f>ROUND((E246*'Pawn Weights'!$E$34)+(G246*'Pawn Weights'!$E$23)+(H246*'Pawn Weights'!$E$24)+(I246*'Pawn Weights'!$E$25)+(J246*'Pawn Weights'!$E$28)+(K246*'Pawn Weights'!$E$26)+(M246*'Pawn Weights'!$E$29)+(N246*'Pawn Weights'!$E$22)+(O246*'Pawn Weights'!$E$31)+(P246*'Pawn Weights'!$E$32)+(Q246*'Pawn Weights'!$E$33)+(F246*'Pawn Weights'!$E$35)+(S246*'Pawn Weights'!$E$27), 2)</f>
        <v>1348.4</v>
      </c>
      <c r="E246" s="326">
        <v>116.9</v>
      </c>
      <c r="F246" s="326">
        <v>3.7</v>
      </c>
      <c r="G246" s="154"/>
      <c r="H246" s="326"/>
      <c r="I246" s="326">
        <v>30.0</v>
      </c>
      <c r="J246" s="326"/>
      <c r="K246" s="326"/>
      <c r="L246" s="326"/>
      <c r="M246" s="326"/>
      <c r="N246" s="326">
        <v>50.0</v>
      </c>
      <c r="O246" s="326">
        <v>1.0</v>
      </c>
      <c r="P246" s="326">
        <v>2.0</v>
      </c>
      <c r="Q246" s="326"/>
      <c r="R246" s="327" t="s">
        <v>1155</v>
      </c>
      <c r="S246" s="326"/>
      <c r="T246" s="306" t="s">
        <v>1692</v>
      </c>
      <c r="U246" s="326"/>
      <c r="V246" s="326"/>
      <c r="W246" s="329"/>
    </row>
    <row r="247">
      <c r="A247" s="301" t="s">
        <v>583</v>
      </c>
      <c r="B247" s="288" t="s">
        <v>1158</v>
      </c>
      <c r="C247" s="326" t="s">
        <v>1159</v>
      </c>
      <c r="D247" s="301">
        <f>ROUND((E247*'Pawn Weights'!$E$34)+(G247*'Pawn Weights'!$E$23)+(H247*'Pawn Weights'!$E$24)+(I247*'Pawn Weights'!$E$25)+(J247*'Pawn Weights'!$E$28)+(K247*'Pawn Weights'!$E$26)+(M247*'Pawn Weights'!$E$29)+(N247*'Pawn Weights'!$E$22)+(O247*'Pawn Weights'!$E$31)+(P247*'Pawn Weights'!$E$32)+(Q247*'Pawn Weights'!$E$33)+(F247*'Pawn Weights'!$E$35)+(S247*'Pawn Weights'!$E$27)+'Pawn Weights'!$E$36, 2)</f>
        <v>1343.8</v>
      </c>
      <c r="E247" s="326">
        <v>118.6</v>
      </c>
      <c r="F247" s="326">
        <v>3.6</v>
      </c>
      <c r="G247" s="326"/>
      <c r="H247" s="326"/>
      <c r="I247" s="326">
        <v>35.0</v>
      </c>
      <c r="J247" s="326"/>
      <c r="K247" s="326">
        <v>20.0</v>
      </c>
      <c r="L247" s="326">
        <v>48.0</v>
      </c>
      <c r="M247" s="326"/>
      <c r="N247" s="326">
        <v>32.0</v>
      </c>
      <c r="O247" s="326"/>
      <c r="P247" s="326"/>
      <c r="Q247" s="326"/>
      <c r="R247" s="327"/>
      <c r="S247" s="326"/>
      <c r="T247" s="328"/>
      <c r="U247" s="326"/>
      <c r="V247" s="326"/>
      <c r="W247" s="329"/>
    </row>
    <row r="248">
      <c r="A248" s="301" t="s">
        <v>1133</v>
      </c>
      <c r="B248" s="288" t="s">
        <v>1160</v>
      </c>
      <c r="C248" s="326" t="s">
        <v>656</v>
      </c>
      <c r="D248" s="301">
        <f>ROUND((E248*'Pawn Weights'!$E$34)+(G248*'Pawn Weights'!$E$23)+(H248*'Pawn Weights'!$E$24)+(I248*'Pawn Weights'!$E$25)+(J248*'Pawn Weights'!$E$28)+(K248*'Pawn Weights'!$E$26)+(M248*'Pawn Weights'!$E$29)+(N248*'Pawn Weights'!$E$22)+(O248*'Pawn Weights'!$E$31)+(P248*'Pawn Weights'!$E$32)+(Q248*'Pawn Weights'!$E$33)+(F248*'Pawn Weights'!$E$35)+(S248*'Pawn Weights'!$E$27), 2)</f>
        <v>1340.81</v>
      </c>
      <c r="E248" s="326">
        <v>119.9</v>
      </c>
      <c r="F248" s="326">
        <v>3.6</v>
      </c>
      <c r="G248" s="326">
        <v>43.0</v>
      </c>
      <c r="H248" s="326"/>
      <c r="I248" s="326"/>
      <c r="J248" s="326"/>
      <c r="K248" s="326"/>
      <c r="L248" s="326">
        <v>51.0</v>
      </c>
      <c r="M248" s="326"/>
      <c r="N248" s="326">
        <v>49.0</v>
      </c>
      <c r="O248" s="326"/>
      <c r="P248" s="326"/>
      <c r="Q248" s="326"/>
      <c r="R248" s="327"/>
      <c r="S248" s="326"/>
      <c r="T248" s="306" t="s">
        <v>1692</v>
      </c>
      <c r="U248" s="326"/>
      <c r="V248" s="326"/>
      <c r="W248" s="329"/>
    </row>
    <row r="249">
      <c r="A249" s="301" t="s">
        <v>1133</v>
      </c>
      <c r="B249" s="288" t="s">
        <v>1161</v>
      </c>
      <c r="C249" s="326" t="s">
        <v>823</v>
      </c>
      <c r="D249" s="301">
        <f>ROUND((E249*'Pawn Weights'!$E$34)+(G249*'Pawn Weights'!$E$23)+(H249*'Pawn Weights'!$E$24)+(I249*'Pawn Weights'!$E$25)+(J249*'Pawn Weights'!$E$28)+(K249*'Pawn Weights'!$E$26)+(M249*'Pawn Weights'!$E$29)+(N249*'Pawn Weights'!$E$22)+(O249*'Pawn Weights'!$E$31)+(P249*'Pawn Weights'!$E$32)+(Q249*'Pawn Weights'!$E$33)+(F249*'Pawn Weights'!$E$35)+(S249*'Pawn Weights'!$E$27), 2)</f>
        <v>1319.06</v>
      </c>
      <c r="E249" s="326">
        <v>119.9</v>
      </c>
      <c r="F249" s="326">
        <v>3.6</v>
      </c>
      <c r="G249" s="154"/>
      <c r="H249" s="326">
        <v>124.0</v>
      </c>
      <c r="I249" s="326"/>
      <c r="J249" s="326"/>
      <c r="K249" s="326"/>
      <c r="L249" s="326">
        <v>66.0</v>
      </c>
      <c r="M249" s="326"/>
      <c r="N249" s="326"/>
      <c r="O249" s="326"/>
      <c r="P249" s="326"/>
      <c r="Q249" s="326"/>
      <c r="R249" s="327"/>
      <c r="S249" s="326"/>
      <c r="T249" s="306" t="s">
        <v>1692</v>
      </c>
      <c r="U249" s="326"/>
      <c r="V249" s="326"/>
      <c r="W249" s="329"/>
    </row>
    <row r="250">
      <c r="A250" s="292" t="s">
        <v>1129</v>
      </c>
      <c r="B250" s="288" t="s">
        <v>1162</v>
      </c>
      <c r="C250" s="326" t="s">
        <v>1163</v>
      </c>
      <c r="D250" s="301">
        <f>ROUND((E250*'Pawn Weights'!$E$34)+(G250*'Pawn Weights'!$E$23)+(H250*'Pawn Weights'!$E$24)+(I250*'Pawn Weights'!$E$25)+(J250*'Pawn Weights'!$E$28)+(K250*'Pawn Weights'!$E$26)+(M250*'Pawn Weights'!$E$29)+(N250*'Pawn Weights'!$E$22)+(O250*'Pawn Weights'!$E$31)+(P250*'Pawn Weights'!$E$32)+(Q250*'Pawn Weights'!$E$33)+(F250*'Pawn Weights'!$E$35)+(S250*'Pawn Weights'!$E$27), 2)</f>
        <v>1299.68</v>
      </c>
      <c r="E250" s="326">
        <v>119.7</v>
      </c>
      <c r="F250" s="326">
        <v>3.7</v>
      </c>
      <c r="G250" s="154"/>
      <c r="H250" s="326"/>
      <c r="I250" s="326">
        <v>4.0</v>
      </c>
      <c r="J250" s="326"/>
      <c r="K250" s="326"/>
      <c r="L250" s="326"/>
      <c r="M250" s="326"/>
      <c r="N250" s="326"/>
      <c r="O250" s="326">
        <v>3.0</v>
      </c>
      <c r="P250" s="326"/>
      <c r="Q250" s="326"/>
      <c r="R250" s="327"/>
      <c r="S250" s="326"/>
      <c r="T250" s="328" t="s">
        <v>1164</v>
      </c>
      <c r="U250" s="326"/>
      <c r="V250" s="326"/>
      <c r="W250" s="329"/>
    </row>
    <row r="251">
      <c r="A251" s="292" t="s">
        <v>1146</v>
      </c>
      <c r="B251" s="288" t="s">
        <v>1167</v>
      </c>
      <c r="C251" s="326" t="s">
        <v>1168</v>
      </c>
      <c r="D251" s="301">
        <f>ROUND((E251*'Pawn Weights'!$E$34)+(G251*'Pawn Weights'!$E$23)+(H251*'Pawn Weights'!$E$24)+(I251*'Pawn Weights'!$E$25)+(J251*'Pawn Weights'!$E$28)+(K251*'Pawn Weights'!$E$26)+(M251*'Pawn Weights'!$E$29)+(N251*'Pawn Weights'!$E$22)+(O251*'Pawn Weights'!$E$31)+(P251*'Pawn Weights'!$E$32)+(Q251*'Pawn Weights'!$E$33)+(F251*'Pawn Weights'!$E$35)+(S251*'Pawn Weights'!$E$27), 2)</f>
        <v>1261.97</v>
      </c>
      <c r="E251" s="326">
        <v>109.6</v>
      </c>
      <c r="F251" s="326">
        <v>3.7</v>
      </c>
      <c r="G251" s="326"/>
      <c r="H251" s="326">
        <v>96.0</v>
      </c>
      <c r="I251" s="326">
        <v>47.0</v>
      </c>
      <c r="J251" s="326"/>
      <c r="K251" s="326"/>
      <c r="L251" s="326"/>
      <c r="M251" s="326"/>
      <c r="N251" s="326"/>
      <c r="O251" s="326"/>
      <c r="P251" s="326"/>
      <c r="Q251" s="326"/>
      <c r="R251" s="327"/>
      <c r="S251" s="326"/>
      <c r="T251" s="306" t="s">
        <v>1692</v>
      </c>
      <c r="U251" s="326"/>
      <c r="V251" s="326"/>
      <c r="W251" s="329"/>
    </row>
    <row r="252">
      <c r="A252" s="301" t="s">
        <v>1138</v>
      </c>
      <c r="B252" s="288" t="s">
        <v>1165</v>
      </c>
      <c r="C252" s="326" t="s">
        <v>1166</v>
      </c>
      <c r="D252" s="301">
        <f>ROUND((E252*'Pawn Weights'!$E$34)+(G252*'Pawn Weights'!$E$23)+(H252*'Pawn Weights'!$E$24)+(I252*'Pawn Weights'!$E$25)+(J252*'Pawn Weights'!$E$28)+(K252*'Pawn Weights'!$E$26)+(M252*'Pawn Weights'!$E$29)+(N252*'Pawn Weights'!$E$22)+(O252*'Pawn Weights'!$E$31)+(P252*'Pawn Weights'!$E$32)+(Q252*'Pawn Weights'!$E$33)+(F252*'Pawn Weights'!$E$35)+(S252*'Pawn Weights'!$E$27)+'Pawn Weights'!$E$36, 2)</f>
        <v>1260.43</v>
      </c>
      <c r="E252" s="326">
        <v>109.6</v>
      </c>
      <c r="F252" s="326">
        <v>3.6</v>
      </c>
      <c r="G252" s="326">
        <v>42.0</v>
      </c>
      <c r="H252" s="326"/>
      <c r="I252" s="326"/>
      <c r="J252" s="326"/>
      <c r="K252" s="326"/>
      <c r="L252" s="326"/>
      <c r="M252" s="326"/>
      <c r="N252" s="326">
        <v>47.0</v>
      </c>
      <c r="O252" s="326"/>
      <c r="P252" s="326"/>
      <c r="Q252" s="326"/>
      <c r="R252" s="327"/>
      <c r="S252" s="326"/>
      <c r="T252" s="328"/>
      <c r="U252" s="326"/>
      <c r="V252" s="326"/>
      <c r="W252" s="329"/>
    </row>
    <row r="253">
      <c r="A253" s="224"/>
      <c r="B253" s="323"/>
      <c r="C253" s="323"/>
      <c r="D253" s="365"/>
      <c r="E253" s="224"/>
      <c r="F253" s="224"/>
      <c r="G253" s="224"/>
      <c r="H253" s="224"/>
      <c r="I253" s="224"/>
      <c r="J253" s="224"/>
      <c r="K253" s="272"/>
      <c r="L253" s="224"/>
      <c r="M253" s="224"/>
      <c r="N253" s="224"/>
      <c r="O253" s="274"/>
      <c r="P253" s="275"/>
      <c r="Q253" s="276"/>
      <c r="R253" s="277"/>
      <c r="S253" s="366"/>
      <c r="T253" s="224"/>
      <c r="U253" s="324"/>
      <c r="V253" s="324"/>
      <c r="W253" s="324"/>
    </row>
    <row r="254" ht="14.25" customHeight="1">
      <c r="A254" s="325" t="s">
        <v>1169</v>
      </c>
      <c r="B254" s="350"/>
      <c r="C254" s="326"/>
      <c r="D254" s="301"/>
      <c r="E254" s="326"/>
      <c r="F254" s="326"/>
      <c r="G254" s="326"/>
      <c r="H254" s="326"/>
      <c r="I254" s="326"/>
      <c r="J254" s="326"/>
      <c r="K254" s="326"/>
      <c r="L254" s="326"/>
      <c r="M254" s="326"/>
      <c r="N254" s="326"/>
      <c r="O254" s="326"/>
      <c r="P254" s="326"/>
      <c r="Q254" s="326"/>
      <c r="R254" s="327"/>
      <c r="S254" s="326"/>
      <c r="T254" s="327"/>
      <c r="U254" s="326"/>
      <c r="V254" s="326"/>
      <c r="W254" s="329"/>
    </row>
    <row r="255">
      <c r="A255" s="292"/>
      <c r="B255" s="426"/>
      <c r="C255" s="326"/>
      <c r="D255" s="301"/>
      <c r="E255" s="326"/>
      <c r="F255" s="326"/>
      <c r="G255" s="326"/>
      <c r="H255" s="326"/>
      <c r="I255" s="326"/>
      <c r="J255" s="326"/>
      <c r="K255" s="326"/>
      <c r="L255" s="326"/>
      <c r="M255" s="326"/>
      <c r="N255" s="326"/>
      <c r="O255" s="326"/>
      <c r="P255" s="326"/>
      <c r="Q255" s="326"/>
      <c r="R255" s="327"/>
      <c r="S255" s="326"/>
      <c r="T255" s="327"/>
      <c r="U255" s="326"/>
      <c r="V255" s="326"/>
      <c r="W255" s="329"/>
    </row>
    <row r="256">
      <c r="A256" s="295"/>
      <c r="B256" s="427"/>
      <c r="C256" s="330"/>
      <c r="D256" s="374"/>
      <c r="E256" s="332"/>
      <c r="F256" s="332"/>
      <c r="G256" s="330"/>
      <c r="H256" s="332"/>
      <c r="I256" s="332"/>
      <c r="J256" s="330"/>
      <c r="K256" s="332"/>
      <c r="L256" s="332"/>
      <c r="M256" s="332"/>
      <c r="N256" s="330"/>
      <c r="O256" s="330"/>
      <c r="P256" s="330"/>
      <c r="Q256" s="330"/>
      <c r="R256" s="295"/>
      <c r="S256" s="330"/>
      <c r="T256" s="316"/>
      <c r="U256" s="330"/>
      <c r="V256" s="330"/>
      <c r="W256" s="137"/>
      <c r="X256" s="137"/>
      <c r="Y256" s="137"/>
      <c r="Z256" s="137"/>
    </row>
    <row r="257" ht="1.5" customHeight="1">
      <c r="A257" s="333"/>
      <c r="B257" s="334"/>
      <c r="C257" s="335"/>
      <c r="D257" s="428"/>
      <c r="E257" s="335"/>
      <c r="F257" s="335"/>
      <c r="G257" s="336"/>
      <c r="H257" s="335"/>
      <c r="I257" s="336"/>
      <c r="J257" s="336"/>
      <c r="K257" s="335"/>
      <c r="L257" s="336"/>
      <c r="M257" s="336"/>
      <c r="N257" s="336"/>
      <c r="O257" s="336"/>
      <c r="P257" s="336"/>
      <c r="Q257" s="336"/>
      <c r="R257" s="337"/>
      <c r="S257" s="335"/>
      <c r="T257" s="336"/>
      <c r="U257" s="336"/>
      <c r="V257" s="339"/>
      <c r="W257" s="339"/>
      <c r="X257" s="340"/>
      <c r="Y257" s="340"/>
      <c r="Z257" s="340"/>
    </row>
    <row r="258">
      <c r="A258" s="292"/>
      <c r="B258" s="288"/>
      <c r="C258" s="326"/>
      <c r="D258" s="301"/>
      <c r="E258" s="326"/>
      <c r="F258" s="326"/>
      <c r="G258" s="326"/>
      <c r="H258" s="326"/>
      <c r="I258" s="326"/>
      <c r="J258" s="326"/>
      <c r="K258" s="326"/>
      <c r="L258" s="326"/>
      <c r="M258" s="326"/>
      <c r="N258" s="326"/>
      <c r="O258" s="326"/>
      <c r="P258" s="326"/>
      <c r="Q258" s="326"/>
      <c r="R258" s="327"/>
      <c r="S258" s="326"/>
      <c r="T258" s="327"/>
      <c r="U258" s="326"/>
      <c r="V258" s="326"/>
      <c r="W258" s="329"/>
    </row>
    <row r="259">
      <c r="A259" s="137"/>
      <c r="B259" s="296"/>
      <c r="C259" s="330"/>
      <c r="D259" s="374"/>
      <c r="E259" s="332"/>
      <c r="F259" s="332"/>
      <c r="G259" s="332"/>
      <c r="H259" s="332"/>
      <c r="I259" s="330"/>
      <c r="J259" s="330"/>
      <c r="K259" s="330"/>
      <c r="L259" s="330"/>
      <c r="M259" s="330"/>
      <c r="N259" s="330"/>
      <c r="O259" s="330"/>
      <c r="P259" s="330"/>
      <c r="Q259" s="330"/>
      <c r="R259" s="295"/>
      <c r="S259" s="330"/>
      <c r="T259" s="295"/>
      <c r="U259" s="330"/>
      <c r="V259" s="330"/>
      <c r="W259" s="137"/>
      <c r="X259" s="137"/>
      <c r="Y259" s="137"/>
      <c r="Z259" s="137"/>
    </row>
    <row r="260">
      <c r="A260" s="281"/>
      <c r="B260" s="288"/>
      <c r="C260" s="326"/>
      <c r="D260" s="301"/>
      <c r="E260" s="326"/>
      <c r="F260" s="326"/>
      <c r="G260" s="326"/>
      <c r="H260" s="326"/>
      <c r="I260" s="326"/>
      <c r="J260" s="326"/>
      <c r="K260" s="326"/>
      <c r="L260" s="326"/>
      <c r="M260" s="326"/>
      <c r="N260" s="326"/>
      <c r="O260" s="326"/>
      <c r="P260" s="326"/>
      <c r="Q260" s="326"/>
      <c r="R260" s="327"/>
      <c r="S260" s="326"/>
      <c r="T260" s="327"/>
      <c r="U260" s="326"/>
      <c r="V260" s="326"/>
      <c r="W260" s="329"/>
    </row>
    <row r="261">
      <c r="A261" s="292"/>
      <c r="B261" s="288"/>
      <c r="C261" s="326"/>
      <c r="D261" s="301"/>
      <c r="E261" s="326"/>
      <c r="F261" s="326"/>
      <c r="G261" s="326"/>
      <c r="H261" s="326"/>
      <c r="I261" s="326"/>
      <c r="J261" s="326"/>
      <c r="K261" s="326"/>
      <c r="L261" s="326"/>
      <c r="M261" s="326"/>
      <c r="N261" s="326"/>
      <c r="O261" s="326"/>
      <c r="P261" s="326"/>
      <c r="Q261" s="326"/>
      <c r="R261" s="327"/>
      <c r="S261" s="326"/>
      <c r="T261" s="373"/>
      <c r="U261" s="326"/>
      <c r="V261" s="326"/>
      <c r="W261" s="329"/>
    </row>
    <row r="262" ht="14.25" customHeight="1">
      <c r="A262" s="292"/>
      <c r="B262" s="288"/>
      <c r="C262" s="326"/>
      <c r="D262" s="301"/>
      <c r="E262" s="326"/>
      <c r="F262" s="326"/>
      <c r="G262" s="326"/>
      <c r="H262" s="326"/>
      <c r="I262" s="326"/>
      <c r="J262" s="326"/>
      <c r="K262" s="326"/>
      <c r="L262" s="326"/>
      <c r="M262" s="326"/>
      <c r="N262" s="326"/>
      <c r="O262" s="326"/>
      <c r="P262" s="326"/>
      <c r="Q262" s="326"/>
      <c r="R262" s="327"/>
      <c r="S262" s="326"/>
      <c r="T262" s="327"/>
      <c r="U262" s="326"/>
      <c r="V262" s="326"/>
      <c r="W262" s="329"/>
    </row>
    <row r="263" ht="14.25" customHeight="1">
      <c r="A263" s="292"/>
      <c r="B263" s="288"/>
      <c r="C263" s="326"/>
      <c r="D263" s="301"/>
      <c r="E263" s="326"/>
      <c r="F263" s="326"/>
      <c r="G263" s="326"/>
      <c r="H263" s="326"/>
      <c r="I263" s="326"/>
      <c r="J263" s="326"/>
      <c r="K263" s="326"/>
      <c r="L263" s="326"/>
      <c r="M263" s="326"/>
      <c r="N263" s="326"/>
      <c r="O263" s="326"/>
      <c r="P263" s="326"/>
      <c r="Q263" s="326"/>
      <c r="R263" s="327"/>
      <c r="S263" s="326"/>
      <c r="T263" s="327"/>
      <c r="U263" s="326"/>
      <c r="V263" s="326"/>
      <c r="W263" s="329"/>
    </row>
    <row r="264">
      <c r="A264" s="281"/>
      <c r="B264" s="288"/>
      <c r="C264" s="326"/>
      <c r="D264" s="301"/>
      <c r="E264" s="326"/>
      <c r="F264" s="326"/>
      <c r="G264" s="326"/>
      <c r="H264" s="326"/>
      <c r="I264" s="326"/>
      <c r="J264" s="326"/>
      <c r="K264" s="326"/>
      <c r="L264" s="326"/>
      <c r="M264" s="326"/>
      <c r="N264" s="326"/>
      <c r="O264" s="326"/>
      <c r="P264" s="326"/>
      <c r="Q264" s="326"/>
      <c r="R264" s="327"/>
      <c r="S264" s="326"/>
      <c r="T264" s="327"/>
      <c r="U264" s="326"/>
      <c r="V264" s="326"/>
      <c r="W264" s="329"/>
    </row>
    <row r="265">
      <c r="A265" s="281"/>
      <c r="B265" s="288"/>
      <c r="C265" s="326"/>
      <c r="D265" s="301"/>
      <c r="E265" s="326"/>
      <c r="F265" s="326"/>
      <c r="G265" s="326"/>
      <c r="H265" s="326"/>
      <c r="I265" s="326"/>
      <c r="J265" s="326"/>
      <c r="K265" s="326"/>
      <c r="L265" s="326"/>
      <c r="M265" s="326"/>
      <c r="N265" s="326"/>
      <c r="O265" s="326"/>
      <c r="P265" s="326"/>
      <c r="Q265" s="326"/>
      <c r="R265" s="327"/>
      <c r="S265" s="326"/>
      <c r="T265" s="327"/>
      <c r="U265" s="326"/>
      <c r="V265" s="326"/>
      <c r="W265" s="329"/>
    </row>
    <row r="266" ht="14.25" customHeight="1">
      <c r="A266" s="292"/>
      <c r="B266" s="288"/>
      <c r="C266" s="326"/>
      <c r="D266" s="289"/>
      <c r="E266" s="326"/>
      <c r="F266" s="326"/>
      <c r="G266" s="326"/>
      <c r="H266" s="326"/>
      <c r="I266" s="326"/>
      <c r="J266" s="326"/>
      <c r="K266" s="326"/>
      <c r="L266" s="326"/>
      <c r="M266" s="326"/>
      <c r="N266" s="326"/>
      <c r="O266" s="326"/>
      <c r="P266" s="326"/>
      <c r="Q266" s="326"/>
      <c r="R266" s="327"/>
      <c r="S266" s="326"/>
      <c r="T266" s="327"/>
      <c r="U266" s="326"/>
      <c r="V266" s="326"/>
      <c r="W266" s="329"/>
    </row>
    <row r="267">
      <c r="A267" s="281"/>
      <c r="B267" s="288"/>
      <c r="C267" s="326"/>
      <c r="D267" s="301"/>
      <c r="E267" s="326"/>
      <c r="F267" s="326"/>
      <c r="G267" s="326"/>
      <c r="H267" s="326"/>
      <c r="I267" s="326"/>
      <c r="J267" s="326"/>
      <c r="K267" s="326"/>
      <c r="L267" s="326"/>
      <c r="M267" s="326"/>
      <c r="N267" s="326"/>
      <c r="O267" s="326"/>
      <c r="P267" s="326"/>
      <c r="Q267" s="326"/>
      <c r="R267" s="327"/>
      <c r="S267" s="326"/>
      <c r="T267" s="373"/>
      <c r="U267" s="326"/>
      <c r="V267" s="326"/>
      <c r="W267" s="329"/>
    </row>
    <row r="268" ht="17.25" customHeight="1">
      <c r="A268" s="295"/>
      <c r="B268" s="296"/>
      <c r="C268" s="330"/>
      <c r="D268" s="374"/>
      <c r="E268" s="332"/>
      <c r="F268" s="332"/>
      <c r="G268" s="330"/>
      <c r="H268" s="330"/>
      <c r="I268" s="330"/>
      <c r="J268" s="330"/>
      <c r="K268" s="330"/>
      <c r="L268" s="332"/>
      <c r="M268" s="330"/>
      <c r="N268" s="330"/>
      <c r="O268" s="330"/>
      <c r="P268" s="330"/>
      <c r="Q268" s="330"/>
      <c r="R268" s="295"/>
      <c r="S268" s="330"/>
      <c r="T268" s="316"/>
      <c r="U268" s="330"/>
      <c r="V268" s="330"/>
      <c r="W268" s="137"/>
      <c r="X268" s="137"/>
      <c r="Y268" s="137"/>
      <c r="Z268" s="137"/>
    </row>
    <row r="269">
      <c r="A269" s="375"/>
      <c r="B269" s="288"/>
      <c r="C269" s="326"/>
      <c r="D269" s="289"/>
      <c r="E269" s="326"/>
      <c r="F269" s="326"/>
      <c r="G269" s="326"/>
      <c r="H269" s="326"/>
      <c r="I269" s="326"/>
      <c r="J269" s="326"/>
      <c r="K269" s="326"/>
      <c r="L269" s="326"/>
      <c r="M269" s="326"/>
      <c r="N269" s="326"/>
      <c r="O269" s="326"/>
      <c r="P269" s="326"/>
      <c r="Q269" s="326"/>
      <c r="R269" s="327"/>
      <c r="S269" s="326"/>
      <c r="T269" s="373"/>
      <c r="U269" s="326"/>
      <c r="V269" s="326"/>
      <c r="W269" s="329"/>
    </row>
    <row r="270" ht="15.0" customHeight="1">
      <c r="A270" s="345"/>
      <c r="B270" s="334"/>
      <c r="C270" s="335"/>
      <c r="D270" s="208"/>
      <c r="E270" s="335"/>
      <c r="F270" s="335"/>
      <c r="G270" s="335"/>
      <c r="H270" s="335"/>
      <c r="I270" s="336"/>
      <c r="J270" s="335"/>
      <c r="K270" s="336"/>
      <c r="L270" s="335"/>
      <c r="M270" s="336"/>
      <c r="N270" s="336"/>
      <c r="O270" s="336"/>
      <c r="P270" s="336"/>
      <c r="Q270" s="336"/>
      <c r="R270" s="337"/>
      <c r="S270" s="336"/>
      <c r="T270" s="335"/>
      <c r="U270" s="336"/>
      <c r="V270" s="348"/>
      <c r="W270" s="348"/>
      <c r="X270" s="340"/>
      <c r="Y270" s="340"/>
      <c r="Z270" s="340"/>
    </row>
    <row r="271" ht="14.25" customHeight="1">
      <c r="A271" s="292"/>
      <c r="B271" s="288"/>
      <c r="C271" s="326"/>
      <c r="D271" s="289"/>
      <c r="E271" s="326"/>
      <c r="F271" s="326"/>
      <c r="G271" s="326"/>
      <c r="H271" s="326"/>
      <c r="I271" s="326"/>
      <c r="J271" s="326"/>
      <c r="K271" s="326"/>
      <c r="L271" s="326"/>
      <c r="M271" s="326"/>
      <c r="N271" s="326"/>
      <c r="O271" s="326"/>
      <c r="P271" s="326"/>
      <c r="Q271" s="326"/>
      <c r="R271" s="327"/>
      <c r="S271" s="326"/>
      <c r="T271" s="327"/>
      <c r="U271" s="326"/>
      <c r="V271" s="326"/>
      <c r="W271" s="329"/>
    </row>
    <row r="272">
      <c r="A272" s="295"/>
      <c r="B272" s="296"/>
      <c r="C272" s="330"/>
      <c r="D272" s="374"/>
      <c r="E272" s="332"/>
      <c r="F272" s="332"/>
      <c r="G272" s="295"/>
      <c r="H272" s="332"/>
      <c r="I272" s="332"/>
      <c r="J272" s="330"/>
      <c r="K272" s="330"/>
      <c r="L272" s="330"/>
      <c r="M272" s="330"/>
      <c r="N272" s="330"/>
      <c r="O272" s="330"/>
      <c r="P272" s="332"/>
      <c r="Q272" s="330"/>
      <c r="R272" s="332"/>
      <c r="S272" s="330"/>
      <c r="T272" s="332"/>
      <c r="U272" s="330"/>
      <c r="V272" s="330"/>
      <c r="W272" s="137"/>
      <c r="X272" s="137"/>
      <c r="Y272" s="137"/>
      <c r="Z272" s="137"/>
    </row>
    <row r="273">
      <c r="A273" s="295"/>
      <c r="B273" s="296"/>
      <c r="C273" s="330"/>
      <c r="D273" s="289"/>
      <c r="E273" s="332"/>
      <c r="F273" s="332"/>
      <c r="G273" s="295"/>
      <c r="H273" s="330"/>
      <c r="I273" s="330"/>
      <c r="J273" s="330"/>
      <c r="K273" s="330"/>
      <c r="L273" s="332"/>
      <c r="M273" s="330"/>
      <c r="N273" s="330"/>
      <c r="O273" s="330"/>
      <c r="P273" s="330"/>
      <c r="Q273" s="330"/>
      <c r="R273" s="295"/>
      <c r="S273" s="330"/>
      <c r="T273" s="316"/>
      <c r="U273" s="368"/>
      <c r="V273" s="330"/>
      <c r="W273" s="137"/>
      <c r="X273" s="137"/>
      <c r="Y273" s="137"/>
      <c r="Z273" s="137"/>
    </row>
    <row r="274">
      <c r="A274" s="137"/>
      <c r="B274" s="296"/>
      <c r="C274" s="330"/>
      <c r="D274" s="374"/>
      <c r="E274" s="332"/>
      <c r="F274" s="332"/>
      <c r="G274" s="330"/>
      <c r="H274" s="330"/>
      <c r="I274" s="332"/>
      <c r="J274" s="330"/>
      <c r="K274" s="330"/>
      <c r="L274" s="330"/>
      <c r="M274" s="330"/>
      <c r="N274" s="330"/>
      <c r="O274" s="330"/>
      <c r="P274" s="330"/>
      <c r="Q274" s="330"/>
      <c r="R274" s="295"/>
      <c r="S274" s="330"/>
      <c r="T274" s="316"/>
      <c r="U274" s="330"/>
      <c r="V274" s="330"/>
      <c r="W274" s="137"/>
      <c r="X274" s="137"/>
      <c r="Y274" s="137"/>
      <c r="Z274" s="137"/>
    </row>
    <row r="275">
      <c r="A275" s="349"/>
      <c r="B275" s="351"/>
      <c r="C275" s="351"/>
      <c r="D275" s="351"/>
      <c r="E275" s="351"/>
      <c r="F275" s="351"/>
      <c r="G275" s="351"/>
      <c r="H275" s="351"/>
      <c r="I275" s="351"/>
      <c r="J275" s="351"/>
      <c r="K275" s="351"/>
      <c r="L275" s="351"/>
      <c r="M275" s="351"/>
      <c r="N275" s="351"/>
      <c r="O275" s="351"/>
      <c r="P275" s="351"/>
      <c r="Q275" s="351"/>
      <c r="R275" s="352"/>
      <c r="S275" s="351"/>
      <c r="T275" s="351"/>
      <c r="U275" s="351"/>
      <c r="V275" s="348"/>
      <c r="W275" s="348"/>
      <c r="X275" s="340"/>
      <c r="Y275" s="340"/>
      <c r="Z275" s="340"/>
    </row>
    <row r="276">
      <c r="A276" s="376"/>
      <c r="B276" s="354"/>
      <c r="C276" s="354"/>
      <c r="D276" s="354"/>
      <c r="E276" s="354"/>
      <c r="F276" s="354"/>
      <c r="G276" s="354"/>
      <c r="H276" s="354"/>
      <c r="I276" s="354"/>
      <c r="J276" s="354"/>
      <c r="K276" s="354"/>
      <c r="L276" s="354"/>
      <c r="M276" s="354"/>
      <c r="N276" s="354"/>
      <c r="O276" s="354"/>
      <c r="P276" s="354"/>
      <c r="Q276" s="354"/>
      <c r="R276" s="355"/>
      <c r="S276" s="354"/>
      <c r="T276" s="354"/>
      <c r="U276" s="354"/>
      <c r="V276" s="281"/>
      <c r="W276" s="281"/>
      <c r="X276" s="304"/>
      <c r="Y276" s="304"/>
      <c r="Z276" s="304"/>
    </row>
    <row r="277">
      <c r="A277" s="333"/>
      <c r="B277" s="354"/>
      <c r="C277" s="354"/>
      <c r="D277" s="354"/>
      <c r="E277" s="354"/>
      <c r="F277" s="354"/>
      <c r="G277" s="354"/>
      <c r="H277" s="354"/>
      <c r="I277" s="354"/>
      <c r="J277" s="354"/>
      <c r="K277" s="354"/>
      <c r="L277" s="354"/>
      <c r="M277" s="354"/>
      <c r="N277" s="354"/>
      <c r="O277" s="354"/>
      <c r="P277" s="354"/>
      <c r="Q277" s="354"/>
      <c r="R277" s="355"/>
      <c r="S277" s="354"/>
      <c r="T277" s="354"/>
      <c r="U277" s="354"/>
      <c r="V277" s="357"/>
      <c r="W277" s="357"/>
      <c r="X277" s="304"/>
      <c r="Y277" s="304"/>
      <c r="Z277" s="304"/>
    </row>
    <row r="278">
      <c r="A278" s="377"/>
      <c r="B278" s="354"/>
      <c r="C278" s="354"/>
      <c r="D278" s="354"/>
      <c r="E278" s="354"/>
      <c r="F278" s="354"/>
      <c r="G278" s="354"/>
      <c r="H278" s="354"/>
      <c r="I278" s="354"/>
      <c r="J278" s="354"/>
      <c r="K278" s="354"/>
      <c r="L278" s="354"/>
      <c r="M278" s="354"/>
      <c r="N278" s="354"/>
      <c r="O278" s="354"/>
      <c r="P278" s="354"/>
      <c r="Q278" s="354"/>
      <c r="R278" s="355"/>
      <c r="S278" s="354"/>
      <c r="T278" s="354"/>
      <c r="U278" s="354"/>
      <c r="V278" s="357"/>
      <c r="W278" s="357"/>
      <c r="X278" s="304"/>
      <c r="Y278" s="304"/>
      <c r="Z278" s="304"/>
    </row>
    <row r="279">
      <c r="A279" s="345"/>
      <c r="B279" s="354"/>
      <c r="C279" s="354"/>
      <c r="D279" s="354"/>
      <c r="E279" s="354"/>
      <c r="F279" s="354"/>
      <c r="G279" s="354"/>
      <c r="H279" s="354"/>
      <c r="I279" s="354"/>
      <c r="J279" s="354"/>
      <c r="K279" s="354"/>
      <c r="L279" s="354"/>
      <c r="M279" s="354"/>
      <c r="N279" s="354"/>
      <c r="O279" s="354"/>
      <c r="P279" s="354"/>
      <c r="Q279" s="354"/>
      <c r="R279" s="355"/>
      <c r="S279" s="354"/>
      <c r="T279" s="354"/>
      <c r="U279" s="354"/>
      <c r="V279" s="281"/>
      <c r="W279" s="281"/>
      <c r="X279" s="304"/>
      <c r="Y279" s="304"/>
      <c r="Z279" s="304"/>
    </row>
    <row r="280">
      <c r="A280" s="345"/>
      <c r="B280" s="354"/>
      <c r="C280" s="354"/>
      <c r="D280" s="354"/>
      <c r="E280" s="354"/>
      <c r="F280" s="354"/>
      <c r="G280" s="354"/>
      <c r="H280" s="354"/>
      <c r="I280" s="354"/>
      <c r="J280" s="354"/>
      <c r="K280" s="354"/>
      <c r="L280" s="354"/>
      <c r="M280" s="354"/>
      <c r="N280" s="354"/>
      <c r="O280" s="354"/>
      <c r="P280" s="354"/>
      <c r="Q280" s="354"/>
      <c r="R280" s="355"/>
      <c r="S280" s="354"/>
      <c r="T280" s="354"/>
      <c r="U280" s="354"/>
      <c r="V280" s="281"/>
      <c r="W280" s="281"/>
      <c r="X280" s="304"/>
      <c r="Y280" s="304"/>
      <c r="Z280" s="304"/>
    </row>
    <row r="281">
      <c r="A281" s="345"/>
      <c r="B281" s="354"/>
      <c r="C281" s="354"/>
      <c r="D281" s="354"/>
      <c r="E281" s="354"/>
      <c r="F281" s="354"/>
      <c r="G281" s="354"/>
      <c r="H281" s="354"/>
      <c r="I281" s="354"/>
      <c r="J281" s="354"/>
      <c r="K281" s="354"/>
      <c r="L281" s="354"/>
      <c r="M281" s="354"/>
      <c r="N281" s="354"/>
      <c r="O281" s="354"/>
      <c r="P281" s="354"/>
      <c r="Q281" s="354"/>
      <c r="R281" s="355"/>
      <c r="S281" s="354"/>
      <c r="T281" s="354"/>
      <c r="U281" s="354"/>
      <c r="V281" s="281"/>
      <c r="W281" s="281"/>
      <c r="X281" s="304"/>
      <c r="Y281" s="304"/>
      <c r="Z281" s="304"/>
    </row>
    <row r="282">
      <c r="A282" s="345"/>
      <c r="B282" s="281"/>
      <c r="C282" s="281"/>
      <c r="D282" s="281"/>
      <c r="E282" s="281"/>
      <c r="F282" s="281"/>
      <c r="G282" s="354"/>
      <c r="H282" s="281"/>
      <c r="I282" s="281"/>
      <c r="J282" s="281"/>
      <c r="K282" s="281"/>
      <c r="L282" s="281"/>
      <c r="M282" s="281"/>
      <c r="N282" s="281"/>
      <c r="O282" s="281"/>
      <c r="P282" s="281"/>
      <c r="Q282" s="281"/>
      <c r="R282" s="282"/>
      <c r="S282" s="281"/>
      <c r="T282" s="281"/>
      <c r="U282" s="281"/>
      <c r="V282" s="281"/>
      <c r="W282" s="281"/>
      <c r="X282" s="304"/>
      <c r="Y282" s="304"/>
      <c r="Z282" s="304"/>
    </row>
    <row r="283">
      <c r="A283" s="345"/>
      <c r="B283" s="281"/>
      <c r="C283" s="281"/>
      <c r="D283" s="281"/>
      <c r="E283" s="281"/>
      <c r="F283" s="281"/>
      <c r="G283" s="354"/>
      <c r="H283" s="281"/>
      <c r="I283" s="281"/>
      <c r="J283" s="281"/>
      <c r="K283" s="281"/>
      <c r="L283" s="281"/>
      <c r="M283" s="281"/>
      <c r="N283" s="281"/>
      <c r="O283" s="281"/>
      <c r="P283" s="281"/>
      <c r="Q283" s="281"/>
      <c r="R283" s="282"/>
      <c r="S283" s="281"/>
      <c r="T283" s="281"/>
      <c r="U283" s="281"/>
      <c r="V283" s="281"/>
      <c r="W283" s="281"/>
      <c r="X283" s="304"/>
      <c r="Y283" s="304"/>
      <c r="Z283" s="304"/>
    </row>
    <row r="284">
      <c r="A284" s="345"/>
      <c r="B284" s="281"/>
      <c r="C284" s="281"/>
      <c r="D284" s="281"/>
      <c r="E284" s="281"/>
      <c r="F284" s="281"/>
      <c r="G284" s="354"/>
      <c r="H284" s="281"/>
      <c r="I284" s="281"/>
      <c r="J284" s="281"/>
      <c r="K284" s="281"/>
      <c r="L284" s="281"/>
      <c r="M284" s="281"/>
      <c r="N284" s="281"/>
      <c r="O284" s="281"/>
      <c r="P284" s="281"/>
      <c r="Q284" s="281"/>
      <c r="R284" s="282"/>
      <c r="S284" s="281"/>
      <c r="T284" s="281"/>
      <c r="U284" s="281"/>
      <c r="V284" s="281"/>
      <c r="W284" s="281"/>
      <c r="X284" s="304"/>
      <c r="Y284" s="304"/>
      <c r="Z284" s="304"/>
    </row>
    <row r="285">
      <c r="A285" s="345"/>
      <c r="B285" s="281"/>
      <c r="C285" s="281"/>
      <c r="D285" s="281"/>
      <c r="E285" s="281"/>
      <c r="F285" s="281"/>
      <c r="G285" s="354"/>
      <c r="H285" s="281"/>
      <c r="I285" s="281"/>
      <c r="J285" s="281"/>
      <c r="K285" s="281"/>
      <c r="L285" s="281"/>
      <c r="M285" s="281"/>
      <c r="N285" s="281"/>
      <c r="O285" s="281"/>
      <c r="P285" s="281"/>
      <c r="Q285" s="281"/>
      <c r="R285" s="282"/>
      <c r="S285" s="281"/>
      <c r="T285" s="281"/>
      <c r="U285" s="281"/>
      <c r="V285" s="281"/>
      <c r="W285" s="281"/>
      <c r="X285" s="304"/>
      <c r="Y285" s="304"/>
      <c r="Z285" s="304"/>
    </row>
    <row r="286">
      <c r="A286" s="345"/>
      <c r="B286" s="281"/>
      <c r="C286" s="281"/>
      <c r="D286" s="281"/>
      <c r="E286" s="281"/>
      <c r="F286" s="281"/>
      <c r="G286" s="354"/>
      <c r="H286" s="281"/>
      <c r="I286" s="281"/>
      <c r="J286" s="281"/>
      <c r="K286" s="281"/>
      <c r="L286" s="281"/>
      <c r="M286" s="281"/>
      <c r="N286" s="281"/>
      <c r="O286" s="281"/>
      <c r="P286" s="281"/>
      <c r="Q286" s="281"/>
      <c r="R286" s="282"/>
      <c r="S286" s="281"/>
      <c r="T286" s="281"/>
      <c r="U286" s="281"/>
      <c r="V286" s="281"/>
      <c r="W286" s="281"/>
      <c r="X286" s="304"/>
      <c r="Y286" s="304"/>
      <c r="Z286" s="304"/>
    </row>
    <row r="287">
      <c r="A287" s="345"/>
      <c r="B287" s="281"/>
      <c r="C287" s="281"/>
      <c r="D287" s="281"/>
      <c r="E287" s="281"/>
      <c r="F287" s="281"/>
      <c r="G287" s="354"/>
      <c r="H287" s="281"/>
      <c r="I287" s="281"/>
      <c r="J287" s="281"/>
      <c r="K287" s="281"/>
      <c r="L287" s="281"/>
      <c r="M287" s="281"/>
      <c r="N287" s="281"/>
      <c r="O287" s="281"/>
      <c r="P287" s="281"/>
      <c r="Q287" s="281"/>
      <c r="R287" s="282"/>
      <c r="S287" s="281"/>
      <c r="T287" s="281"/>
      <c r="U287" s="281"/>
      <c r="V287" s="281"/>
      <c r="W287" s="281"/>
      <c r="X287" s="304"/>
      <c r="Y287" s="304"/>
      <c r="Z287" s="304"/>
    </row>
    <row r="288">
      <c r="A288" s="345"/>
      <c r="B288" s="281"/>
      <c r="C288" s="281"/>
      <c r="D288" s="281"/>
      <c r="E288" s="281"/>
      <c r="F288" s="281"/>
      <c r="G288" s="354"/>
      <c r="H288" s="281"/>
      <c r="I288" s="281"/>
      <c r="J288" s="281"/>
      <c r="K288" s="281"/>
      <c r="L288" s="281"/>
      <c r="M288" s="281"/>
      <c r="N288" s="281"/>
      <c r="O288" s="281"/>
      <c r="P288" s="281"/>
      <c r="Q288" s="281"/>
      <c r="R288" s="282"/>
      <c r="S288" s="281"/>
      <c r="T288" s="281"/>
      <c r="U288" s="281"/>
      <c r="V288" s="281"/>
      <c r="W288" s="281"/>
      <c r="X288" s="304"/>
      <c r="Y288" s="304"/>
      <c r="Z288" s="304"/>
    </row>
    <row r="289">
      <c r="A289" s="345"/>
      <c r="B289" s="281"/>
      <c r="C289" s="281"/>
      <c r="D289" s="281"/>
      <c r="E289" s="281"/>
      <c r="F289" s="281"/>
      <c r="G289" s="354"/>
      <c r="H289" s="281"/>
      <c r="I289" s="281"/>
      <c r="J289" s="281"/>
      <c r="K289" s="281"/>
      <c r="L289" s="281"/>
      <c r="M289" s="281"/>
      <c r="N289" s="281"/>
      <c r="O289" s="281"/>
      <c r="P289" s="281"/>
      <c r="Q289" s="281"/>
      <c r="R289" s="282"/>
      <c r="S289" s="281"/>
      <c r="T289" s="281"/>
      <c r="U289" s="281"/>
      <c r="V289" s="281"/>
      <c r="W289" s="281"/>
      <c r="X289" s="304"/>
      <c r="Y289" s="304"/>
      <c r="Z289" s="304"/>
    </row>
    <row r="290">
      <c r="A290" s="345"/>
      <c r="B290" s="281"/>
      <c r="C290" s="281"/>
      <c r="D290" s="281"/>
      <c r="E290" s="281"/>
      <c r="F290" s="281"/>
      <c r="G290" s="354"/>
      <c r="H290" s="281"/>
      <c r="I290" s="281"/>
      <c r="J290" s="281"/>
      <c r="K290" s="281"/>
      <c r="L290" s="281"/>
      <c r="M290" s="281"/>
      <c r="N290" s="281"/>
      <c r="O290" s="281"/>
      <c r="P290" s="281"/>
      <c r="Q290" s="281"/>
      <c r="R290" s="282"/>
      <c r="S290" s="281"/>
      <c r="T290" s="281"/>
      <c r="U290" s="281"/>
      <c r="V290" s="281"/>
      <c r="W290" s="281"/>
      <c r="X290" s="304"/>
      <c r="Y290" s="304"/>
      <c r="Z290" s="304"/>
    </row>
    <row r="291">
      <c r="A291" s="345"/>
      <c r="B291" s="281"/>
      <c r="C291" s="281"/>
      <c r="D291" s="281"/>
      <c r="E291" s="281"/>
      <c r="F291" s="281"/>
      <c r="G291" s="329"/>
      <c r="H291" s="281"/>
      <c r="I291" s="281"/>
      <c r="J291" s="281"/>
      <c r="K291" s="281"/>
      <c r="L291" s="281"/>
      <c r="M291" s="281"/>
      <c r="N291" s="281"/>
      <c r="O291" s="281"/>
      <c r="P291" s="281"/>
      <c r="Q291" s="281"/>
      <c r="R291" s="282"/>
      <c r="S291" s="281"/>
      <c r="T291" s="281"/>
      <c r="U291" s="281"/>
      <c r="V291" s="281"/>
      <c r="W291" s="281"/>
      <c r="X291" s="304"/>
      <c r="Y291" s="304"/>
      <c r="Z291" s="304"/>
    </row>
    <row r="292">
      <c r="A292" s="345"/>
      <c r="B292" s="281"/>
      <c r="C292" s="281"/>
      <c r="D292" s="281"/>
      <c r="E292" s="281"/>
      <c r="F292" s="281"/>
      <c r="G292" s="329"/>
      <c r="H292" s="281"/>
      <c r="I292" s="281"/>
      <c r="J292" s="281"/>
      <c r="K292" s="281"/>
      <c r="L292" s="281"/>
      <c r="M292" s="281"/>
      <c r="N292" s="281"/>
      <c r="O292" s="281"/>
      <c r="P292" s="281"/>
      <c r="Q292" s="281"/>
      <c r="R292" s="282"/>
      <c r="S292" s="281"/>
      <c r="T292" s="281"/>
      <c r="U292" s="281"/>
      <c r="V292" s="281"/>
      <c r="W292" s="281"/>
      <c r="X292" s="304"/>
      <c r="Y292" s="304"/>
      <c r="Z292" s="304"/>
    </row>
    <row r="293">
      <c r="A293" s="345"/>
      <c r="B293" s="281"/>
      <c r="C293" s="281"/>
      <c r="D293" s="281"/>
      <c r="E293" s="281"/>
      <c r="F293" s="281"/>
      <c r="G293" s="329"/>
      <c r="H293" s="281"/>
      <c r="I293" s="281"/>
      <c r="J293" s="281"/>
      <c r="K293" s="281"/>
      <c r="L293" s="281"/>
      <c r="M293" s="281"/>
      <c r="N293" s="281"/>
      <c r="O293" s="281"/>
      <c r="P293" s="281"/>
      <c r="Q293" s="281"/>
      <c r="R293" s="282"/>
      <c r="S293" s="281"/>
      <c r="T293" s="281"/>
      <c r="U293" s="281"/>
      <c r="V293" s="281"/>
      <c r="W293" s="281"/>
      <c r="X293" s="304"/>
      <c r="Y293" s="304"/>
      <c r="Z293" s="304"/>
    </row>
    <row r="294">
      <c r="A294" s="345"/>
      <c r="B294" s="281"/>
      <c r="C294" s="281"/>
      <c r="D294" s="281"/>
      <c r="E294" s="281"/>
      <c r="F294" s="281"/>
      <c r="G294" s="326"/>
      <c r="H294" s="281"/>
      <c r="I294" s="281"/>
      <c r="J294" s="281"/>
      <c r="K294" s="281"/>
      <c r="L294" s="281"/>
      <c r="M294" s="281"/>
      <c r="N294" s="281"/>
      <c r="O294" s="281"/>
      <c r="P294" s="281"/>
      <c r="Q294" s="281"/>
      <c r="R294" s="282"/>
      <c r="S294" s="281"/>
      <c r="T294" s="281"/>
      <c r="U294" s="281"/>
      <c r="V294" s="281"/>
      <c r="W294" s="281"/>
      <c r="X294" s="304"/>
      <c r="Y294" s="304"/>
      <c r="Z294" s="304"/>
    </row>
    <row r="295">
      <c r="A295" s="345"/>
      <c r="B295" s="281"/>
      <c r="C295" s="281"/>
      <c r="D295" s="281"/>
      <c r="E295" s="281"/>
      <c r="F295" s="281"/>
      <c r="G295" s="326"/>
      <c r="H295" s="281"/>
      <c r="I295" s="281"/>
      <c r="J295" s="281"/>
      <c r="K295" s="281"/>
      <c r="L295" s="281"/>
      <c r="M295" s="281"/>
      <c r="N295" s="281"/>
      <c r="O295" s="281"/>
      <c r="P295" s="281"/>
      <c r="Q295" s="281"/>
      <c r="R295" s="282"/>
      <c r="S295" s="281"/>
      <c r="T295" s="281"/>
      <c r="U295" s="281"/>
      <c r="V295" s="281"/>
      <c r="W295" s="281"/>
      <c r="X295" s="304"/>
      <c r="Y295" s="304"/>
      <c r="Z295" s="304"/>
    </row>
    <row r="296">
      <c r="A296" s="345"/>
      <c r="B296" s="281"/>
      <c r="C296" s="281"/>
      <c r="D296" s="281"/>
      <c r="E296" s="281"/>
      <c r="F296" s="281"/>
      <c r="G296" s="326"/>
      <c r="H296" s="281"/>
      <c r="I296" s="281"/>
      <c r="J296" s="281"/>
      <c r="K296" s="281"/>
      <c r="L296" s="281"/>
      <c r="M296" s="281"/>
      <c r="N296" s="281"/>
      <c r="O296" s="281"/>
      <c r="P296" s="281"/>
      <c r="Q296" s="281"/>
      <c r="R296" s="282"/>
      <c r="S296" s="281"/>
      <c r="T296" s="281"/>
      <c r="U296" s="281"/>
      <c r="V296" s="281"/>
      <c r="W296" s="281"/>
      <c r="X296" s="304"/>
      <c r="Y296" s="304"/>
      <c r="Z296" s="304"/>
    </row>
    <row r="297">
      <c r="A297" s="345"/>
      <c r="B297" s="281"/>
      <c r="C297" s="281"/>
      <c r="D297" s="281"/>
      <c r="E297" s="281"/>
      <c r="F297" s="281"/>
      <c r="G297" s="326"/>
      <c r="H297" s="281"/>
      <c r="I297" s="281"/>
      <c r="J297" s="281"/>
      <c r="K297" s="281"/>
      <c r="L297" s="281"/>
      <c r="M297" s="281"/>
      <c r="N297" s="281"/>
      <c r="O297" s="281"/>
      <c r="P297" s="281"/>
      <c r="Q297" s="281"/>
      <c r="R297" s="282"/>
      <c r="S297" s="281"/>
      <c r="T297" s="281"/>
      <c r="U297" s="281"/>
      <c r="V297" s="281"/>
      <c r="W297" s="281"/>
      <c r="X297" s="304"/>
      <c r="Y297" s="304"/>
      <c r="Z297" s="304"/>
    </row>
    <row r="298">
      <c r="A298" s="345"/>
      <c r="B298" s="281"/>
      <c r="C298" s="281"/>
      <c r="D298" s="281"/>
      <c r="E298" s="281"/>
      <c r="F298" s="281"/>
      <c r="G298" s="281"/>
      <c r="H298" s="281"/>
      <c r="I298" s="281"/>
      <c r="J298" s="281"/>
      <c r="K298" s="281"/>
      <c r="L298" s="281"/>
      <c r="M298" s="281"/>
      <c r="N298" s="281"/>
      <c r="O298" s="281"/>
      <c r="P298" s="281"/>
      <c r="Q298" s="281"/>
      <c r="R298" s="282"/>
      <c r="S298" s="281"/>
      <c r="T298" s="281"/>
      <c r="U298" s="281"/>
      <c r="V298" s="281"/>
      <c r="W298" s="281"/>
      <c r="X298" s="304"/>
      <c r="Y298" s="304"/>
      <c r="Z298" s="304"/>
    </row>
    <row r="299">
      <c r="A299" s="345"/>
      <c r="B299" s="281"/>
      <c r="C299" s="281"/>
      <c r="D299" s="281"/>
      <c r="E299" s="281"/>
      <c r="F299" s="281"/>
      <c r="G299" s="281"/>
      <c r="H299" s="281"/>
      <c r="I299" s="281"/>
      <c r="J299" s="281"/>
      <c r="K299" s="281"/>
      <c r="L299" s="281"/>
      <c r="M299" s="281"/>
      <c r="N299" s="281"/>
      <c r="O299" s="281"/>
      <c r="P299" s="281"/>
      <c r="Q299" s="281"/>
      <c r="R299" s="282"/>
      <c r="S299" s="281"/>
      <c r="T299" s="281"/>
      <c r="U299" s="281"/>
      <c r="V299" s="281"/>
      <c r="W299" s="281"/>
      <c r="X299" s="304"/>
      <c r="Y299" s="304"/>
      <c r="Z299" s="304"/>
    </row>
    <row r="300">
      <c r="A300" s="345"/>
      <c r="B300" s="281"/>
      <c r="C300" s="281"/>
      <c r="D300" s="281"/>
      <c r="E300" s="281"/>
      <c r="F300" s="281"/>
      <c r="G300" s="281"/>
      <c r="H300" s="281"/>
      <c r="I300" s="281"/>
      <c r="J300" s="281"/>
      <c r="K300" s="281"/>
      <c r="L300" s="281"/>
      <c r="M300" s="281"/>
      <c r="N300" s="281"/>
      <c r="O300" s="281"/>
      <c r="P300" s="281"/>
      <c r="Q300" s="281"/>
      <c r="R300" s="282"/>
      <c r="S300" s="281"/>
      <c r="T300" s="281"/>
      <c r="U300" s="281"/>
      <c r="V300" s="281"/>
      <c r="W300" s="281"/>
      <c r="X300" s="304"/>
      <c r="Y300" s="304"/>
      <c r="Z300" s="304"/>
    </row>
    <row r="301">
      <c r="A301" s="345"/>
      <c r="B301" s="281"/>
      <c r="C301" s="281"/>
      <c r="D301" s="281"/>
      <c r="E301" s="281"/>
      <c r="F301" s="281"/>
      <c r="G301" s="281"/>
      <c r="H301" s="281"/>
      <c r="I301" s="281"/>
      <c r="J301" s="281"/>
      <c r="K301" s="281"/>
      <c r="L301" s="281"/>
      <c r="M301" s="281"/>
      <c r="N301" s="281"/>
      <c r="O301" s="281"/>
      <c r="P301" s="281"/>
      <c r="Q301" s="281"/>
      <c r="R301" s="282"/>
      <c r="S301" s="281"/>
      <c r="T301" s="281"/>
      <c r="U301" s="281"/>
      <c r="V301" s="281"/>
      <c r="W301" s="281"/>
      <c r="X301" s="304"/>
      <c r="Y301" s="304"/>
      <c r="Z301" s="304"/>
    </row>
    <row r="302">
      <c r="A302" s="345"/>
      <c r="B302" s="281"/>
      <c r="C302" s="281"/>
      <c r="D302" s="281"/>
      <c r="E302" s="281"/>
      <c r="F302" s="281"/>
      <c r="G302" s="281"/>
      <c r="H302" s="281"/>
      <c r="I302" s="281"/>
      <c r="J302" s="281"/>
      <c r="K302" s="281"/>
      <c r="L302" s="281"/>
      <c r="M302" s="281"/>
      <c r="N302" s="281"/>
      <c r="O302" s="281"/>
      <c r="P302" s="281"/>
      <c r="Q302" s="281"/>
      <c r="R302" s="282"/>
      <c r="S302" s="281"/>
      <c r="T302" s="281"/>
      <c r="U302" s="281"/>
      <c r="V302" s="281"/>
      <c r="W302" s="281"/>
      <c r="X302" s="304"/>
      <c r="Y302" s="304"/>
      <c r="Z302" s="304"/>
    </row>
    <row r="303">
      <c r="A303" s="345"/>
      <c r="B303" s="281"/>
      <c r="C303" s="281"/>
      <c r="D303" s="281"/>
      <c r="E303" s="281"/>
      <c r="F303" s="281"/>
      <c r="G303" s="281"/>
      <c r="H303" s="281"/>
      <c r="I303" s="281"/>
      <c r="J303" s="281"/>
      <c r="K303" s="281"/>
      <c r="L303" s="281"/>
      <c r="M303" s="281"/>
      <c r="N303" s="281"/>
      <c r="O303" s="281"/>
      <c r="P303" s="281"/>
      <c r="Q303" s="281"/>
      <c r="R303" s="282"/>
      <c r="S303" s="281"/>
      <c r="T303" s="281"/>
      <c r="U303" s="281"/>
      <c r="V303" s="281"/>
      <c r="W303" s="281"/>
      <c r="X303" s="304"/>
      <c r="Y303" s="304"/>
      <c r="Z303" s="304"/>
    </row>
    <row r="304">
      <c r="A304" s="345"/>
      <c r="B304" s="281"/>
      <c r="C304" s="281"/>
      <c r="D304" s="281"/>
      <c r="E304" s="281"/>
      <c r="F304" s="281"/>
      <c r="G304" s="281"/>
      <c r="H304" s="281"/>
      <c r="I304" s="281"/>
      <c r="J304" s="281"/>
      <c r="K304" s="281"/>
      <c r="L304" s="281"/>
      <c r="M304" s="281"/>
      <c r="N304" s="281"/>
      <c r="O304" s="281"/>
      <c r="P304" s="281"/>
      <c r="Q304" s="281"/>
      <c r="R304" s="282"/>
      <c r="S304" s="281"/>
      <c r="T304" s="281"/>
      <c r="U304" s="281"/>
      <c r="V304" s="281"/>
      <c r="W304" s="281"/>
      <c r="X304" s="304"/>
      <c r="Y304" s="304"/>
      <c r="Z304" s="304"/>
    </row>
    <row r="305">
      <c r="A305" s="345"/>
      <c r="B305" s="281"/>
      <c r="C305" s="281"/>
      <c r="D305" s="281"/>
      <c r="E305" s="281"/>
      <c r="F305" s="281"/>
      <c r="G305" s="281"/>
      <c r="H305" s="281"/>
      <c r="I305" s="281"/>
      <c r="J305" s="281"/>
      <c r="K305" s="281"/>
      <c r="L305" s="281"/>
      <c r="M305" s="281"/>
      <c r="N305" s="281"/>
      <c r="O305" s="281"/>
      <c r="P305" s="281"/>
      <c r="Q305" s="281"/>
      <c r="R305" s="282"/>
      <c r="S305" s="281"/>
      <c r="T305" s="281"/>
      <c r="U305" s="281"/>
      <c r="V305" s="281"/>
      <c r="W305" s="281"/>
      <c r="X305" s="304"/>
      <c r="Y305" s="304"/>
      <c r="Z305" s="304"/>
    </row>
    <row r="306">
      <c r="A306" s="345"/>
      <c r="B306" s="281"/>
      <c r="C306" s="281"/>
      <c r="D306" s="281"/>
      <c r="E306" s="281"/>
      <c r="F306" s="281"/>
      <c r="G306" s="281"/>
      <c r="H306" s="281"/>
      <c r="I306" s="281"/>
      <c r="J306" s="281"/>
      <c r="K306" s="281"/>
      <c r="L306" s="281"/>
      <c r="M306" s="281"/>
      <c r="N306" s="281"/>
      <c r="O306" s="281"/>
      <c r="P306" s="281"/>
      <c r="Q306" s="281"/>
      <c r="R306" s="282"/>
      <c r="S306" s="281"/>
      <c r="T306" s="281"/>
      <c r="U306" s="281"/>
      <c r="V306" s="281"/>
      <c r="W306" s="281"/>
      <c r="X306" s="304"/>
      <c r="Y306" s="304"/>
      <c r="Z306" s="304"/>
    </row>
    <row r="307">
      <c r="A307" s="345"/>
      <c r="B307" s="281"/>
      <c r="C307" s="281"/>
      <c r="D307" s="281"/>
      <c r="E307" s="281"/>
      <c r="F307" s="281"/>
      <c r="G307" s="281"/>
      <c r="H307" s="281"/>
      <c r="I307" s="281"/>
      <c r="J307" s="281"/>
      <c r="K307" s="281"/>
      <c r="L307" s="281"/>
      <c r="M307" s="281"/>
      <c r="N307" s="281"/>
      <c r="O307" s="281"/>
      <c r="P307" s="281"/>
      <c r="Q307" s="281"/>
      <c r="R307" s="282"/>
      <c r="S307" s="281"/>
      <c r="T307" s="281"/>
      <c r="U307" s="281"/>
      <c r="V307" s="281"/>
      <c r="W307" s="281"/>
      <c r="X307" s="304"/>
      <c r="Y307" s="304"/>
      <c r="Z307" s="304"/>
    </row>
    <row r="308">
      <c r="A308" s="345"/>
      <c r="B308" s="281"/>
      <c r="C308" s="281"/>
      <c r="D308" s="281"/>
      <c r="E308" s="281"/>
      <c r="F308" s="281"/>
      <c r="G308" s="281"/>
      <c r="H308" s="281"/>
      <c r="I308" s="281"/>
      <c r="J308" s="281"/>
      <c r="K308" s="281"/>
      <c r="L308" s="281"/>
      <c r="M308" s="281"/>
      <c r="N308" s="281"/>
      <c r="O308" s="281"/>
      <c r="P308" s="281"/>
      <c r="Q308" s="281"/>
      <c r="R308" s="282"/>
      <c r="S308" s="281"/>
      <c r="T308" s="281"/>
      <c r="U308" s="281"/>
      <c r="V308" s="281"/>
      <c r="W308" s="281"/>
      <c r="X308" s="304"/>
      <c r="Y308" s="304"/>
      <c r="Z308" s="304"/>
    </row>
    <row r="309">
      <c r="A309" s="345"/>
      <c r="B309" s="281"/>
      <c r="C309" s="281"/>
      <c r="D309" s="281"/>
      <c r="E309" s="281"/>
      <c r="F309" s="281"/>
      <c r="G309" s="281"/>
      <c r="H309" s="281"/>
      <c r="I309" s="281"/>
      <c r="J309" s="281"/>
      <c r="K309" s="281"/>
      <c r="L309" s="281"/>
      <c r="M309" s="281"/>
      <c r="N309" s="281"/>
      <c r="O309" s="281"/>
      <c r="P309" s="281"/>
      <c r="Q309" s="281"/>
      <c r="R309" s="282"/>
      <c r="S309" s="281"/>
      <c r="T309" s="281"/>
      <c r="U309" s="281"/>
      <c r="V309" s="281"/>
      <c r="W309" s="281"/>
      <c r="X309" s="304"/>
      <c r="Y309" s="304"/>
      <c r="Z309" s="304"/>
    </row>
    <row r="310">
      <c r="A310" s="345"/>
      <c r="B310" s="281"/>
      <c r="C310" s="281"/>
      <c r="D310" s="281"/>
      <c r="E310" s="281"/>
      <c r="F310" s="281"/>
      <c r="G310" s="281"/>
      <c r="H310" s="281"/>
      <c r="I310" s="281"/>
      <c r="J310" s="281"/>
      <c r="K310" s="281"/>
      <c r="L310" s="281"/>
      <c r="M310" s="281"/>
      <c r="N310" s="281"/>
      <c r="O310" s="281"/>
      <c r="P310" s="281"/>
      <c r="Q310" s="281"/>
      <c r="R310" s="282"/>
      <c r="S310" s="281"/>
      <c r="T310" s="281"/>
      <c r="U310" s="281"/>
      <c r="V310" s="281"/>
      <c r="W310" s="281"/>
      <c r="X310" s="304"/>
      <c r="Y310" s="304"/>
      <c r="Z310" s="304"/>
    </row>
    <row r="311">
      <c r="A311" s="345"/>
      <c r="B311" s="281"/>
      <c r="C311" s="281"/>
      <c r="D311" s="281"/>
      <c r="E311" s="281"/>
      <c r="F311" s="281"/>
      <c r="G311" s="281"/>
      <c r="H311" s="281"/>
      <c r="I311" s="281"/>
      <c r="J311" s="281"/>
      <c r="K311" s="281"/>
      <c r="L311" s="281"/>
      <c r="M311" s="281"/>
      <c r="N311" s="281"/>
      <c r="O311" s="281"/>
      <c r="P311" s="281"/>
      <c r="Q311" s="281"/>
      <c r="R311" s="282"/>
      <c r="S311" s="281"/>
      <c r="T311" s="281"/>
      <c r="U311" s="281"/>
      <c r="V311" s="281"/>
      <c r="W311" s="281"/>
      <c r="X311" s="304"/>
      <c r="Y311" s="304"/>
      <c r="Z311" s="304"/>
    </row>
    <row r="312">
      <c r="A312" s="345"/>
      <c r="B312" s="281"/>
      <c r="C312" s="281"/>
      <c r="D312" s="281"/>
      <c r="E312" s="281"/>
      <c r="F312" s="281"/>
      <c r="G312" s="281"/>
      <c r="H312" s="281"/>
      <c r="I312" s="281"/>
      <c r="J312" s="281"/>
      <c r="K312" s="281"/>
      <c r="L312" s="281"/>
      <c r="M312" s="281"/>
      <c r="N312" s="281"/>
      <c r="O312" s="281"/>
      <c r="P312" s="281"/>
      <c r="Q312" s="281"/>
      <c r="R312" s="282"/>
      <c r="S312" s="281"/>
      <c r="T312" s="281"/>
      <c r="U312" s="281"/>
      <c r="V312" s="281"/>
      <c r="W312" s="281"/>
      <c r="X312" s="304"/>
      <c r="Y312" s="304"/>
      <c r="Z312" s="304"/>
    </row>
    <row r="313">
      <c r="A313" s="345"/>
      <c r="B313" s="281"/>
      <c r="C313" s="281"/>
      <c r="D313" s="281"/>
      <c r="E313" s="281"/>
      <c r="F313" s="281"/>
      <c r="G313" s="281"/>
      <c r="H313" s="281"/>
      <c r="I313" s="281"/>
      <c r="J313" s="281"/>
      <c r="K313" s="281"/>
      <c r="L313" s="281"/>
      <c r="M313" s="281"/>
      <c r="N313" s="281"/>
      <c r="O313" s="281"/>
      <c r="P313" s="281"/>
      <c r="Q313" s="281"/>
      <c r="R313" s="282"/>
      <c r="S313" s="281"/>
      <c r="T313" s="281"/>
      <c r="U313" s="281"/>
      <c r="V313" s="281"/>
      <c r="W313" s="281"/>
      <c r="X313" s="304"/>
      <c r="Y313" s="304"/>
      <c r="Z313" s="304"/>
    </row>
    <row r="314">
      <c r="A314" s="345"/>
      <c r="B314" s="281"/>
      <c r="C314" s="281"/>
      <c r="D314" s="281"/>
      <c r="E314" s="281"/>
      <c r="F314" s="281"/>
      <c r="G314" s="281"/>
      <c r="H314" s="281"/>
      <c r="I314" s="281"/>
      <c r="J314" s="281"/>
      <c r="K314" s="281"/>
      <c r="L314" s="281"/>
      <c r="M314" s="281"/>
      <c r="N314" s="281"/>
      <c r="O314" s="281"/>
      <c r="P314" s="281"/>
      <c r="Q314" s="281"/>
      <c r="R314" s="282"/>
      <c r="S314" s="281"/>
      <c r="T314" s="281"/>
      <c r="U314" s="281"/>
      <c r="V314" s="281"/>
      <c r="W314" s="281"/>
      <c r="X314" s="304"/>
      <c r="Y314" s="304"/>
      <c r="Z314" s="304"/>
    </row>
    <row r="315">
      <c r="A315" s="345"/>
      <c r="B315" s="281"/>
      <c r="C315" s="281"/>
      <c r="D315" s="281"/>
      <c r="E315" s="281"/>
      <c r="F315" s="281"/>
      <c r="G315" s="281"/>
      <c r="H315" s="281"/>
      <c r="I315" s="281"/>
      <c r="J315" s="281"/>
      <c r="K315" s="281"/>
      <c r="L315" s="281"/>
      <c r="M315" s="281"/>
      <c r="N315" s="281"/>
      <c r="O315" s="281"/>
      <c r="P315" s="281"/>
      <c r="Q315" s="281"/>
      <c r="R315" s="282"/>
      <c r="S315" s="281"/>
      <c r="T315" s="281"/>
      <c r="U315" s="281"/>
      <c r="V315" s="281"/>
      <c r="W315" s="281"/>
      <c r="X315" s="304"/>
      <c r="Y315" s="304"/>
      <c r="Z315" s="304"/>
    </row>
    <row r="316">
      <c r="A316" s="345"/>
      <c r="B316" s="281"/>
      <c r="C316" s="281"/>
      <c r="D316" s="281"/>
      <c r="E316" s="281"/>
      <c r="F316" s="281"/>
      <c r="G316" s="281"/>
      <c r="H316" s="281"/>
      <c r="I316" s="281"/>
      <c r="J316" s="281"/>
      <c r="K316" s="281"/>
      <c r="L316" s="281"/>
      <c r="M316" s="281"/>
      <c r="N316" s="281"/>
      <c r="O316" s="281"/>
      <c r="P316" s="281"/>
      <c r="Q316" s="281"/>
      <c r="R316" s="282"/>
      <c r="S316" s="281"/>
      <c r="T316" s="281"/>
      <c r="U316" s="281"/>
      <c r="V316" s="281"/>
      <c r="W316" s="281"/>
      <c r="X316" s="304"/>
      <c r="Y316" s="304"/>
      <c r="Z316" s="304"/>
    </row>
    <row r="317">
      <c r="A317" s="345"/>
      <c r="B317" s="281"/>
      <c r="C317" s="281"/>
      <c r="D317" s="281"/>
      <c r="E317" s="281"/>
      <c r="F317" s="281"/>
      <c r="G317" s="281"/>
      <c r="H317" s="281"/>
      <c r="I317" s="281"/>
      <c r="J317" s="281"/>
      <c r="K317" s="281"/>
      <c r="L317" s="281"/>
      <c r="M317" s="281"/>
      <c r="N317" s="281"/>
      <c r="O317" s="281"/>
      <c r="P317" s="281"/>
      <c r="Q317" s="281"/>
      <c r="R317" s="282"/>
      <c r="S317" s="281"/>
      <c r="T317" s="281"/>
      <c r="U317" s="281"/>
      <c r="V317" s="281"/>
      <c r="W317" s="281"/>
      <c r="X317" s="304"/>
      <c r="Y317" s="304"/>
      <c r="Z317" s="304"/>
    </row>
    <row r="318">
      <c r="A318" s="345"/>
      <c r="B318" s="281"/>
      <c r="C318" s="281"/>
      <c r="D318" s="281"/>
      <c r="E318" s="281"/>
      <c r="F318" s="281"/>
      <c r="G318" s="281"/>
      <c r="H318" s="281"/>
      <c r="I318" s="281"/>
      <c r="J318" s="281"/>
      <c r="K318" s="281"/>
      <c r="L318" s="281"/>
      <c r="M318" s="281"/>
      <c r="N318" s="281"/>
      <c r="O318" s="281"/>
      <c r="P318" s="281"/>
      <c r="Q318" s="281"/>
      <c r="R318" s="282"/>
      <c r="S318" s="281"/>
      <c r="T318" s="281"/>
      <c r="U318" s="281"/>
      <c r="V318" s="281"/>
      <c r="W318" s="281"/>
      <c r="X318" s="304"/>
      <c r="Y318" s="304"/>
      <c r="Z318" s="304"/>
    </row>
    <row r="319">
      <c r="A319" s="345"/>
      <c r="B319" s="281"/>
      <c r="C319" s="281"/>
      <c r="D319" s="281"/>
      <c r="E319" s="281"/>
      <c r="F319" s="281"/>
      <c r="G319" s="281"/>
      <c r="H319" s="281"/>
      <c r="I319" s="281"/>
      <c r="J319" s="281"/>
      <c r="K319" s="281"/>
      <c r="L319" s="281"/>
      <c r="M319" s="281"/>
      <c r="N319" s="281"/>
      <c r="O319" s="281"/>
      <c r="P319" s="281"/>
      <c r="Q319" s="281"/>
      <c r="R319" s="282"/>
      <c r="S319" s="281"/>
      <c r="T319" s="281"/>
      <c r="U319" s="281"/>
      <c r="V319" s="281"/>
      <c r="W319" s="281"/>
      <c r="X319" s="304"/>
      <c r="Y319" s="304"/>
      <c r="Z319" s="304"/>
    </row>
    <row r="320">
      <c r="A320" s="345"/>
      <c r="B320" s="281"/>
      <c r="C320" s="281"/>
      <c r="D320" s="281"/>
      <c r="E320" s="281"/>
      <c r="F320" s="281"/>
      <c r="G320" s="281"/>
      <c r="H320" s="281"/>
      <c r="I320" s="281"/>
      <c r="J320" s="281"/>
      <c r="K320" s="281"/>
      <c r="L320" s="281"/>
      <c r="M320" s="281"/>
      <c r="N320" s="281"/>
      <c r="O320" s="281"/>
      <c r="P320" s="281"/>
      <c r="Q320" s="281"/>
      <c r="R320" s="282"/>
      <c r="S320" s="281"/>
      <c r="T320" s="281"/>
      <c r="U320" s="281"/>
      <c r="V320" s="281"/>
      <c r="W320" s="281"/>
      <c r="X320" s="304"/>
      <c r="Y320" s="304"/>
      <c r="Z320" s="304"/>
    </row>
    <row r="321">
      <c r="A321" s="345"/>
      <c r="B321" s="281"/>
      <c r="C321" s="281"/>
      <c r="D321" s="281"/>
      <c r="E321" s="281"/>
      <c r="F321" s="281"/>
      <c r="G321" s="281"/>
      <c r="H321" s="281"/>
      <c r="I321" s="281"/>
      <c r="J321" s="281"/>
      <c r="K321" s="281"/>
      <c r="L321" s="281"/>
      <c r="M321" s="281"/>
      <c r="N321" s="281"/>
      <c r="O321" s="281"/>
      <c r="P321" s="281"/>
      <c r="Q321" s="281"/>
      <c r="R321" s="281"/>
      <c r="S321" s="281"/>
      <c r="T321" s="281"/>
      <c r="U321" s="281"/>
      <c r="V321" s="281"/>
      <c r="W321" s="281"/>
      <c r="X321" s="304"/>
      <c r="Y321" s="304"/>
      <c r="Z321" s="304"/>
    </row>
    <row r="322">
      <c r="A322" s="345"/>
      <c r="B322" s="281"/>
      <c r="C322" s="281"/>
      <c r="D322" s="281"/>
      <c r="E322" s="281"/>
      <c r="F322" s="281"/>
      <c r="G322" s="281"/>
      <c r="H322" s="281"/>
      <c r="I322" s="281"/>
      <c r="J322" s="281"/>
      <c r="K322" s="281"/>
      <c r="L322" s="281"/>
      <c r="M322" s="281"/>
      <c r="N322" s="281"/>
      <c r="O322" s="281"/>
      <c r="P322" s="281"/>
      <c r="Q322" s="281"/>
      <c r="R322" s="281"/>
      <c r="S322" s="281"/>
      <c r="T322" s="281"/>
      <c r="U322" s="281"/>
      <c r="V322" s="281"/>
      <c r="W322" s="281"/>
      <c r="X322" s="304"/>
      <c r="Y322" s="304"/>
      <c r="Z322" s="304"/>
    </row>
    <row r="323">
      <c r="A323" s="345"/>
      <c r="B323" s="281"/>
      <c r="C323" s="281"/>
      <c r="D323" s="281"/>
      <c r="E323" s="281"/>
      <c r="F323" s="281"/>
      <c r="G323" s="281"/>
      <c r="H323" s="281"/>
      <c r="I323" s="281"/>
      <c r="J323" s="281"/>
      <c r="K323" s="281"/>
      <c r="L323" s="281"/>
      <c r="M323" s="281"/>
      <c r="N323" s="281"/>
      <c r="O323" s="281"/>
      <c r="P323" s="281"/>
      <c r="Q323" s="281"/>
      <c r="R323" s="281"/>
      <c r="S323" s="281"/>
      <c r="T323" s="281"/>
      <c r="U323" s="281"/>
      <c r="V323" s="281"/>
      <c r="W323" s="281"/>
      <c r="X323" s="304"/>
      <c r="Y323" s="304"/>
      <c r="Z323" s="304"/>
    </row>
    <row r="324">
      <c r="A324" s="345"/>
      <c r="B324" s="281"/>
      <c r="C324" s="281"/>
      <c r="D324" s="281"/>
      <c r="E324" s="281"/>
      <c r="F324" s="281"/>
      <c r="G324" s="281"/>
      <c r="H324" s="281"/>
      <c r="I324" s="281"/>
      <c r="J324" s="281"/>
      <c r="K324" s="281"/>
      <c r="L324" s="281"/>
      <c r="M324" s="281"/>
      <c r="N324" s="281"/>
      <c r="O324" s="281"/>
      <c r="P324" s="281"/>
      <c r="Q324" s="281"/>
      <c r="R324" s="281"/>
      <c r="S324" s="281"/>
      <c r="T324" s="281"/>
      <c r="U324" s="281"/>
      <c r="V324" s="281"/>
      <c r="W324" s="281"/>
      <c r="X324" s="304"/>
      <c r="Y324" s="304"/>
      <c r="Z324" s="304"/>
    </row>
    <row r="325">
      <c r="A325" s="345"/>
      <c r="B325" s="281"/>
      <c r="C325" s="281"/>
      <c r="D325" s="281"/>
      <c r="E325" s="281"/>
      <c r="F325" s="281"/>
      <c r="G325" s="281"/>
      <c r="H325" s="281"/>
      <c r="I325" s="281"/>
      <c r="J325" s="281"/>
      <c r="K325" s="281"/>
      <c r="L325" s="281"/>
      <c r="M325" s="281"/>
      <c r="N325" s="281"/>
      <c r="O325" s="281"/>
      <c r="P325" s="281"/>
      <c r="Q325" s="281"/>
      <c r="R325" s="281"/>
      <c r="S325" s="281"/>
      <c r="T325" s="281"/>
      <c r="U325" s="281"/>
      <c r="V325" s="281"/>
      <c r="W325" s="281"/>
      <c r="X325" s="304"/>
      <c r="Y325" s="304"/>
      <c r="Z325" s="304"/>
    </row>
    <row r="326">
      <c r="A326" s="345"/>
      <c r="B326" s="281"/>
      <c r="C326" s="281"/>
      <c r="D326" s="281"/>
      <c r="E326" s="281"/>
      <c r="F326" s="281"/>
      <c r="G326" s="281"/>
      <c r="H326" s="281"/>
      <c r="I326" s="281"/>
      <c r="J326" s="281"/>
      <c r="K326" s="281"/>
      <c r="L326" s="281"/>
      <c r="M326" s="281"/>
      <c r="N326" s="281"/>
      <c r="O326" s="281"/>
      <c r="P326" s="281"/>
      <c r="Q326" s="281"/>
      <c r="R326" s="281"/>
      <c r="S326" s="281"/>
      <c r="T326" s="281"/>
      <c r="U326" s="281"/>
      <c r="V326" s="281"/>
      <c r="W326" s="281"/>
      <c r="X326" s="304"/>
      <c r="Y326" s="304"/>
      <c r="Z326" s="304"/>
    </row>
    <row r="327">
      <c r="A327" s="345"/>
      <c r="B327" s="281"/>
      <c r="C327" s="281"/>
      <c r="D327" s="281"/>
      <c r="E327" s="281"/>
      <c r="F327" s="281"/>
      <c r="G327" s="281"/>
      <c r="H327" s="281"/>
      <c r="I327" s="281"/>
      <c r="J327" s="281"/>
      <c r="K327" s="281"/>
      <c r="L327" s="281"/>
      <c r="M327" s="281"/>
      <c r="N327" s="281"/>
      <c r="O327" s="281"/>
      <c r="P327" s="281"/>
      <c r="Q327" s="281"/>
      <c r="R327" s="281"/>
      <c r="S327" s="281"/>
      <c r="T327" s="281"/>
      <c r="U327" s="281"/>
      <c r="V327" s="281"/>
      <c r="W327" s="281"/>
      <c r="X327" s="304"/>
      <c r="Y327" s="304"/>
      <c r="Z327" s="304"/>
    </row>
    <row r="328">
      <c r="A328" s="345"/>
      <c r="B328" s="281"/>
      <c r="C328" s="281"/>
      <c r="D328" s="281"/>
      <c r="E328" s="281"/>
      <c r="F328" s="281"/>
      <c r="G328" s="281"/>
      <c r="H328" s="281"/>
      <c r="I328" s="281"/>
      <c r="J328" s="281"/>
      <c r="K328" s="281"/>
      <c r="L328" s="281"/>
      <c r="M328" s="281"/>
      <c r="N328" s="281"/>
      <c r="O328" s="281"/>
      <c r="P328" s="281"/>
      <c r="Q328" s="281"/>
      <c r="R328" s="281"/>
      <c r="S328" s="281"/>
      <c r="T328" s="281"/>
      <c r="U328" s="281"/>
      <c r="V328" s="281"/>
      <c r="W328" s="281"/>
      <c r="X328" s="304"/>
      <c r="Y328" s="304"/>
      <c r="Z328" s="304"/>
    </row>
    <row r="329">
      <c r="A329" s="345"/>
      <c r="B329" s="281"/>
      <c r="C329" s="281"/>
      <c r="D329" s="281"/>
      <c r="E329" s="281"/>
      <c r="F329" s="281"/>
      <c r="G329" s="281"/>
      <c r="H329" s="281"/>
      <c r="I329" s="281"/>
      <c r="J329" s="281"/>
      <c r="K329" s="281"/>
      <c r="L329" s="281"/>
      <c r="M329" s="281"/>
      <c r="N329" s="281"/>
      <c r="O329" s="281"/>
      <c r="P329" s="281"/>
      <c r="Q329" s="281"/>
      <c r="R329" s="281"/>
      <c r="S329" s="281"/>
      <c r="T329" s="281"/>
      <c r="U329" s="281"/>
      <c r="V329" s="281"/>
      <c r="W329" s="281"/>
      <c r="X329" s="304"/>
      <c r="Y329" s="304"/>
      <c r="Z329" s="304"/>
    </row>
    <row r="330">
      <c r="A330" s="345"/>
      <c r="B330" s="281"/>
      <c r="C330" s="281"/>
      <c r="D330" s="281"/>
      <c r="E330" s="281"/>
      <c r="F330" s="281"/>
      <c r="G330" s="281"/>
      <c r="H330" s="281"/>
      <c r="I330" s="281"/>
      <c r="J330" s="281"/>
      <c r="K330" s="281"/>
      <c r="L330" s="281"/>
      <c r="M330" s="281"/>
      <c r="N330" s="281"/>
      <c r="O330" s="281"/>
      <c r="P330" s="281"/>
      <c r="Q330" s="281"/>
      <c r="R330" s="281"/>
      <c r="S330" s="281"/>
      <c r="T330" s="281"/>
      <c r="U330" s="281"/>
      <c r="V330" s="281"/>
      <c r="W330" s="281"/>
      <c r="X330" s="304"/>
      <c r="Y330" s="304"/>
      <c r="Z330" s="304"/>
    </row>
    <row r="331">
      <c r="A331" s="345"/>
      <c r="B331" s="281"/>
      <c r="C331" s="281"/>
      <c r="D331" s="281"/>
      <c r="E331" s="281"/>
      <c r="F331" s="281"/>
      <c r="G331" s="281"/>
      <c r="H331" s="281"/>
      <c r="I331" s="281"/>
      <c r="J331" s="281"/>
      <c r="K331" s="281"/>
      <c r="L331" s="281"/>
      <c r="M331" s="281"/>
      <c r="N331" s="281"/>
      <c r="O331" s="281"/>
      <c r="P331" s="281"/>
      <c r="Q331" s="281"/>
      <c r="R331" s="281"/>
      <c r="S331" s="281"/>
      <c r="T331" s="281"/>
      <c r="U331" s="281"/>
      <c r="V331" s="281"/>
      <c r="W331" s="281"/>
      <c r="X331" s="304"/>
      <c r="Y331" s="304"/>
      <c r="Z331" s="304"/>
    </row>
    <row r="332">
      <c r="A332" s="345"/>
      <c r="B332" s="281"/>
      <c r="C332" s="281"/>
      <c r="D332" s="281"/>
      <c r="E332" s="281"/>
      <c r="F332" s="281"/>
      <c r="G332" s="281"/>
      <c r="H332" s="281"/>
      <c r="I332" s="281"/>
      <c r="J332" s="281"/>
      <c r="K332" s="281"/>
      <c r="L332" s="281"/>
      <c r="M332" s="281"/>
      <c r="N332" s="281"/>
      <c r="O332" s="281"/>
      <c r="P332" s="281"/>
      <c r="Q332" s="281"/>
      <c r="R332" s="281"/>
      <c r="S332" s="281"/>
      <c r="T332" s="281"/>
      <c r="U332" s="281"/>
      <c r="V332" s="281"/>
      <c r="W332" s="281"/>
      <c r="X332" s="304"/>
      <c r="Y332" s="304"/>
      <c r="Z332" s="304"/>
    </row>
    <row r="333">
      <c r="A333" s="345"/>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304"/>
      <c r="Y333" s="304"/>
      <c r="Z333" s="304"/>
    </row>
    <row r="334">
      <c r="A334" s="345"/>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304"/>
      <c r="Y334" s="304"/>
      <c r="Z334" s="304"/>
    </row>
    <row r="335">
      <c r="A335" s="345"/>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304"/>
      <c r="Y335" s="304"/>
      <c r="Z335" s="304"/>
    </row>
    <row r="336">
      <c r="A336" s="345"/>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304"/>
      <c r="Y336" s="304"/>
      <c r="Z336" s="304"/>
    </row>
    <row r="337">
      <c r="A337" s="345"/>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304"/>
      <c r="Y337" s="304"/>
      <c r="Z337" s="304"/>
    </row>
    <row r="338">
      <c r="A338" s="345"/>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304"/>
      <c r="Y338" s="304"/>
      <c r="Z338" s="304"/>
    </row>
  </sheetData>
  <conditionalFormatting sqref="D1">
    <cfRule type="notContainsBlanks" dxfId="0" priority="1">
      <formula>LEN(TRIM(D1))&gt;0</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A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5.86"/>
    <col customWidth="1" min="14" max="14" width="5.86"/>
    <col customWidth="1" min="15" max="15" width="5.71"/>
    <col customWidth="1" min="16" max="16" width="7.71"/>
    <col customWidth="1" min="17" max="17" width="8.14"/>
    <col customWidth="1" min="18" max="18" width="16.86"/>
    <col customWidth="1" min="19" max="19" width="9.57"/>
    <col customWidth="1" min="20" max="20" width="103.71"/>
    <col customWidth="1" min="21" max="21" width="14.86"/>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614</v>
      </c>
      <c r="T1" s="224" t="s">
        <v>615</v>
      </c>
    </row>
    <row r="2" ht="20.25" customHeight="1">
      <c r="A2" s="278"/>
      <c r="B2" s="279" t="s">
        <v>1693</v>
      </c>
      <c r="C2" s="280"/>
      <c r="D2" s="280"/>
      <c r="E2" s="281"/>
      <c r="F2" s="281"/>
      <c r="G2" s="281"/>
      <c r="H2" s="281"/>
      <c r="I2" s="281"/>
      <c r="J2" s="281"/>
      <c r="K2" s="281"/>
      <c r="L2" s="281"/>
      <c r="M2" s="281"/>
      <c r="N2" s="280"/>
      <c r="O2" s="280"/>
      <c r="P2" s="280"/>
      <c r="Q2" s="280"/>
      <c r="R2" s="282"/>
      <c r="S2" s="281"/>
      <c r="T2" s="285"/>
    </row>
    <row r="3">
      <c r="A3" s="272"/>
      <c r="B3" s="284" t="s">
        <v>1694</v>
      </c>
      <c r="C3" s="280"/>
      <c r="D3" s="280"/>
      <c r="E3" s="281"/>
      <c r="F3" s="281"/>
      <c r="G3" s="281"/>
      <c r="H3" s="281"/>
      <c r="I3" s="281"/>
      <c r="J3" s="281"/>
      <c r="K3" s="281"/>
      <c r="L3" s="281"/>
      <c r="M3" s="281"/>
      <c r="N3" s="281"/>
      <c r="O3" s="281"/>
      <c r="P3" s="281"/>
      <c r="Q3" s="281"/>
      <c r="R3" s="282"/>
      <c r="S3" s="281"/>
      <c r="T3" s="285"/>
    </row>
    <row r="4">
      <c r="A4" s="286" t="s">
        <v>619</v>
      </c>
      <c r="B4" s="358" t="s">
        <v>1067</v>
      </c>
      <c r="C4" s="280"/>
      <c r="D4" s="280"/>
      <c r="E4" s="281"/>
      <c r="F4" s="281"/>
      <c r="G4" s="281"/>
      <c r="H4" s="281"/>
      <c r="I4" s="281"/>
      <c r="J4" s="281"/>
      <c r="K4" s="281"/>
      <c r="L4" s="281"/>
      <c r="M4" s="281"/>
      <c r="N4" s="281"/>
      <c r="O4" s="281"/>
      <c r="P4" s="281"/>
      <c r="Q4" s="281"/>
      <c r="R4" s="282"/>
      <c r="S4" s="281"/>
      <c r="T4" s="285"/>
    </row>
    <row r="5">
      <c r="A5" s="137" t="s">
        <v>627</v>
      </c>
      <c r="B5" s="296" t="s">
        <v>628</v>
      </c>
      <c r="C5" s="297" t="s">
        <v>629</v>
      </c>
      <c r="D5" s="289">
        <f>ROUND((F5*'Pawn Weights'!$B$22)+(G5*'Pawn Weights'!$B$23)+(H5*'Pawn Weights'!$B$24)+(I5*'Pawn Weights'!$B$25)+(J5*'Pawn Weights'!$B$26)+(K5*'Pawn Weights'!$B$27)+(L5*'Pawn Weights'!$B$28)+(M5*'Pawn Weights'!$B$29)+(N5*'Pawn Weights'!$B$30)+(O5*'Pawn Weights'!$B$31)+(P5*'Pawn Weights'!$B$32)+(Q5*'Pawn Weights'!$B$33), 2)</f>
        <v>171.6</v>
      </c>
      <c r="E5" s="359">
        <v>47.0</v>
      </c>
      <c r="F5" s="359">
        <v>62.0</v>
      </c>
      <c r="G5" s="137"/>
      <c r="H5" s="137"/>
      <c r="I5" s="359">
        <v>51.0</v>
      </c>
      <c r="J5" s="359">
        <v>26.0</v>
      </c>
      <c r="K5" s="137"/>
      <c r="L5" s="137"/>
      <c r="M5" s="137"/>
      <c r="N5" s="359">
        <v>1.0</v>
      </c>
      <c r="O5" s="137"/>
      <c r="P5" s="137"/>
      <c r="Q5" s="359">
        <v>1.0</v>
      </c>
      <c r="R5" s="359" t="s">
        <v>624</v>
      </c>
      <c r="S5" s="137"/>
      <c r="T5" s="361" t="s">
        <v>630</v>
      </c>
      <c r="U5" s="137"/>
      <c r="V5" s="137"/>
      <c r="W5" s="137"/>
      <c r="X5" s="137"/>
      <c r="Y5" s="137"/>
      <c r="Z5" s="137"/>
    </row>
    <row r="6">
      <c r="A6" s="137" t="s">
        <v>635</v>
      </c>
      <c r="B6" s="296" t="s">
        <v>636</v>
      </c>
      <c r="C6" s="297" t="s">
        <v>637</v>
      </c>
      <c r="D6" s="289">
        <f>ROUND((F6*'Pawn Weights'!$B$22)+(G6*'Pawn Weights'!$B$23)+(H6*'Pawn Weights'!$B$24)+(I6*'Pawn Weights'!$B$25)+(J6*'Pawn Weights'!$B$26)+(K6*'Pawn Weights'!$B$27)+(L6*'Pawn Weights'!$B$28)+(M6*'Pawn Weights'!$B$29)+(N6*'Pawn Weights'!$B$30)+(O6*'Pawn Weights'!$B$31)+(P6*'Pawn Weights'!$B$32)+(Q6*'Pawn Weights'!$B$33)-8+7.68+3.68, 2)</f>
        <v>155.92</v>
      </c>
      <c r="E6" s="359">
        <v>68.0</v>
      </c>
      <c r="F6" s="359">
        <v>45.0</v>
      </c>
      <c r="G6" s="361"/>
      <c r="H6" s="361"/>
      <c r="I6" s="359">
        <v>41.0</v>
      </c>
      <c r="J6" s="359">
        <v>18.0</v>
      </c>
      <c r="K6" s="361"/>
      <c r="L6" s="361"/>
      <c r="M6" s="359">
        <v>84.0</v>
      </c>
      <c r="N6" s="359">
        <v>1.0</v>
      </c>
      <c r="O6" s="361"/>
      <c r="P6" s="359">
        <v>1.0</v>
      </c>
      <c r="Q6" s="361"/>
      <c r="R6" s="359" t="s">
        <v>624</v>
      </c>
      <c r="S6" s="137"/>
      <c r="T6" s="291" t="s">
        <v>1071</v>
      </c>
      <c r="U6" s="137"/>
      <c r="V6" s="137"/>
      <c r="W6" s="137"/>
      <c r="X6" s="137"/>
      <c r="Y6" s="137"/>
      <c r="Z6" s="137"/>
    </row>
    <row r="7">
      <c r="A7" s="137" t="s">
        <v>644</v>
      </c>
      <c r="B7" s="296" t="s">
        <v>645</v>
      </c>
      <c r="C7" s="297" t="s">
        <v>646</v>
      </c>
      <c r="D7" s="289">
        <f>ROUND((F7*'Pawn Weights'!$B$22)+(G7*'Pawn Weights'!$B$23)+(H7*'Pawn Weights'!$B$24)+(I7*'Pawn Weights'!$B$25)+(J7*'Pawn Weights'!$B$26)+(K7*'Pawn Weights'!$B$27)+(L7*'Pawn Weights'!$B$28)+(M7*'Pawn Weights'!$B$29)+(N7*'Pawn Weights'!$B$30)+(O7*'Pawn Weights'!$B$31)+(P7*'Pawn Weights'!$B$32)+(Q7*'Pawn Weights'!$B$33)-8+7.68+3.68, 2)</f>
        <v>140.32</v>
      </c>
      <c r="E7" s="359">
        <v>61.0</v>
      </c>
      <c r="F7" s="359">
        <v>39.0</v>
      </c>
      <c r="G7" s="361"/>
      <c r="H7" s="361"/>
      <c r="I7" s="359">
        <v>35.0</v>
      </c>
      <c r="J7" s="359">
        <v>12.0</v>
      </c>
      <c r="K7" s="361"/>
      <c r="L7" s="361"/>
      <c r="M7" s="359">
        <v>84.0</v>
      </c>
      <c r="N7" s="359">
        <v>1.0</v>
      </c>
      <c r="O7" s="361"/>
      <c r="P7" s="359">
        <v>1.0</v>
      </c>
      <c r="Q7" s="361"/>
      <c r="R7" s="359" t="s">
        <v>624</v>
      </c>
      <c r="S7" s="137"/>
      <c r="T7" s="291" t="s">
        <v>1071</v>
      </c>
      <c r="U7" s="137"/>
      <c r="V7" s="137"/>
      <c r="W7" s="137"/>
      <c r="X7" s="137"/>
      <c r="Y7" s="137"/>
      <c r="Z7" s="137"/>
    </row>
    <row r="8">
      <c r="A8" s="25" t="s">
        <v>647</v>
      </c>
      <c r="B8" s="288" t="s">
        <v>648</v>
      </c>
      <c r="C8" s="280" t="s">
        <v>649</v>
      </c>
      <c r="D8" s="289">
        <f>ROUND((F8*'Pawn Weights'!$B$22)+(G8*'Pawn Weights'!$B$23)+(H8*'Pawn Weights'!$B$24)+(I8*'Pawn Weights'!$B$25)+(J8*'Pawn Weights'!$B$26)+(K8*'Pawn Weights'!$B$27)+(L8*'Pawn Weights'!$B$28)+(M8*'Pawn Weights'!$B$29)+(N8*'Pawn Weights'!$B$30)+(O8*'Pawn Weights'!$B$31)+(P8*'Pawn Weights'!$B$32)+(Q8*'Pawn Weights'!$B$33), 2)</f>
        <v>139.4</v>
      </c>
      <c r="E8" s="280">
        <v>45.0</v>
      </c>
      <c r="F8" s="280">
        <v>47.0</v>
      </c>
      <c r="G8" s="280"/>
      <c r="H8" s="280"/>
      <c r="I8" s="280">
        <v>36.0</v>
      </c>
      <c r="J8" s="280">
        <v>21.0</v>
      </c>
      <c r="K8" s="280"/>
      <c r="L8" s="280"/>
      <c r="M8" s="281"/>
      <c r="N8" s="280">
        <v>1.0</v>
      </c>
      <c r="O8" s="280"/>
      <c r="P8" s="280"/>
      <c r="Q8" s="280">
        <v>1.0</v>
      </c>
      <c r="R8" s="290" t="s">
        <v>643</v>
      </c>
      <c r="S8" s="281"/>
      <c r="T8" s="291"/>
    </row>
    <row r="9">
      <c r="A9" s="292" t="s">
        <v>627</v>
      </c>
      <c r="B9" s="288" t="s">
        <v>652</v>
      </c>
      <c r="C9" s="154" t="s">
        <v>653</v>
      </c>
      <c r="D9" s="289">
        <f>ROUND((F9*'Pawn Weights'!$B$22)+(G9*'Pawn Weights'!$B$23)+(H9*'Pawn Weights'!$B$24)+(I9*'Pawn Weights'!$B$25)+(J9*'Pawn Weights'!$B$26)+(K9*'Pawn Weights'!$B$27)+(L9*'Pawn Weights'!$B$28)+(M9*'Pawn Weights'!$B$29)+(N9*'Pawn Weights'!$B$30)+(O9*'Pawn Weights'!$B$31)+(P9*'Pawn Weights'!$B$32)+(Q9*'Pawn Weights'!$B$33), 2)</f>
        <v>136.8</v>
      </c>
      <c r="E9" s="280">
        <v>28.0</v>
      </c>
      <c r="F9" s="280">
        <v>48.0</v>
      </c>
      <c r="G9" s="280"/>
      <c r="H9" s="280"/>
      <c r="I9" s="280">
        <v>38.0</v>
      </c>
      <c r="J9" s="280">
        <v>13.0</v>
      </c>
      <c r="K9" s="280"/>
      <c r="L9" s="280"/>
      <c r="M9" s="281"/>
      <c r="N9" s="280">
        <v>1.0</v>
      </c>
      <c r="O9" s="280"/>
      <c r="P9" s="280"/>
      <c r="Q9" s="280">
        <v>1.0</v>
      </c>
      <c r="R9" s="290" t="s">
        <v>624</v>
      </c>
      <c r="S9" s="281"/>
      <c r="T9" s="291"/>
    </row>
    <row r="10">
      <c r="A10" s="25" t="s">
        <v>654</v>
      </c>
      <c r="B10" s="288" t="s">
        <v>655</v>
      </c>
      <c r="C10" s="280" t="s">
        <v>656</v>
      </c>
      <c r="D10" s="289">
        <f>ROUND((F10*'Pawn Weights'!$B$22)+(G10*'Pawn Weights'!$B$23)+(H10*'Pawn Weights'!$B$24)+(I10*'Pawn Weights'!$B$25)+(J10*'Pawn Weights'!$B$26)+(K10*'Pawn Weights'!$B$27)+(L10*'Pawn Weights'!$B$28)+(M10*'Pawn Weights'!$B$29)+(N10*'Pawn Weights'!$B$30)+(O10*'Pawn Weights'!$B$31)+(P10*'Pawn Weights'!$B$32)+(Q10*'Pawn Weights'!$B$33)-8+7.68+2.76, 2)</f>
        <v>124.04</v>
      </c>
      <c r="E10" s="280">
        <v>45.0</v>
      </c>
      <c r="F10" s="280">
        <v>45.0</v>
      </c>
      <c r="G10" s="280"/>
      <c r="H10" s="280"/>
      <c r="I10" s="280">
        <v>24.0</v>
      </c>
      <c r="J10" s="280">
        <v>14.0</v>
      </c>
      <c r="K10" s="280"/>
      <c r="L10" s="280"/>
      <c r="M10" s="281"/>
      <c r="N10" s="280">
        <v>1.0</v>
      </c>
      <c r="O10" s="280"/>
      <c r="P10" s="280">
        <v>1.0</v>
      </c>
      <c r="Q10" s="280"/>
      <c r="R10" s="290" t="s">
        <v>626</v>
      </c>
      <c r="S10" s="281"/>
      <c r="T10" s="291"/>
    </row>
    <row r="11">
      <c r="A11" s="25" t="s">
        <v>1068</v>
      </c>
      <c r="B11" s="288" t="s">
        <v>1069</v>
      </c>
      <c r="C11" s="280" t="s">
        <v>1070</v>
      </c>
      <c r="D11" s="289">
        <f>ROUND((F11*'Pawn Weights'!$B$22)+(G11*'Pawn Weights'!$B$23)+(H11*'Pawn Weights'!$B$24)+(I11*'Pawn Weights'!$B$25)+(J11*'Pawn Weights'!$B$26)+(K11*'Pawn Weights'!$B$27)+(L11*'Pawn Weights'!$B$28)+(M11*'Pawn Weights'!$B$29)+(N11*'Pawn Weights'!$B$30)+(O11*'Pawn Weights'!$B$31)+(P11*'Pawn Weights'!$B$32)+(Q11*'Pawn Weights'!$B$33)-8+7.68+4, 2)</f>
        <v>121.72</v>
      </c>
      <c r="E11" s="280">
        <v>54.0</v>
      </c>
      <c r="F11" s="280">
        <v>35.0</v>
      </c>
      <c r="G11" s="280"/>
      <c r="H11" s="280"/>
      <c r="I11" s="280">
        <v>31.0</v>
      </c>
      <c r="J11" s="280">
        <v>14.0</v>
      </c>
      <c r="K11" s="280"/>
      <c r="L11" s="280"/>
      <c r="M11" s="281"/>
      <c r="N11" s="280">
        <v>1.0</v>
      </c>
      <c r="O11" s="280"/>
      <c r="P11" s="280">
        <v>1.0</v>
      </c>
      <c r="Q11" s="280"/>
      <c r="R11" s="290" t="s">
        <v>643</v>
      </c>
      <c r="S11" s="281"/>
      <c r="T11" s="291" t="s">
        <v>1071</v>
      </c>
    </row>
    <row r="12">
      <c r="A12" s="25"/>
      <c r="B12" s="288" t="s">
        <v>1397</v>
      </c>
      <c r="C12" s="280" t="s">
        <v>1195</v>
      </c>
      <c r="D12" s="289">
        <f>ROUND((F12*'Pawn Weights'!$B$22)+(G12*'Pawn Weights'!$B$23)+(H12*'Pawn Weights'!$B$24)+(I12*'Pawn Weights'!$B$25)+(J12*'Pawn Weights'!$B$26)+(K12*'Pawn Weights'!$B$27)+(L12*'Pawn Weights'!$B$28)+(M12*'Pawn Weights'!$B$29)+(N12*'Pawn Weights'!$B$30)+(O12*'Pawn Weights'!$B$31)+(P12*'Pawn Weights'!$B$32)+(Q12*'Pawn Weights'!$B$33), 2)</f>
        <v>106.88</v>
      </c>
      <c r="E12" s="280">
        <v>46.0</v>
      </c>
      <c r="F12" s="280">
        <v>46.0</v>
      </c>
      <c r="G12" s="280"/>
      <c r="H12" s="280"/>
      <c r="I12" s="280">
        <v>44.0</v>
      </c>
      <c r="J12" s="280">
        <v>30.0</v>
      </c>
      <c r="K12" s="280"/>
      <c r="L12" s="280"/>
      <c r="M12" s="281"/>
      <c r="N12" s="280"/>
      <c r="O12" s="280"/>
      <c r="P12" s="280"/>
      <c r="Q12" s="280"/>
      <c r="R12" s="290"/>
      <c r="S12" s="281"/>
      <c r="T12" s="291"/>
    </row>
    <row r="13">
      <c r="A13" s="295"/>
      <c r="B13" s="296" t="s">
        <v>1184</v>
      </c>
      <c r="C13" s="297" t="s">
        <v>1185</v>
      </c>
      <c r="D13" s="289">
        <f>ROUND((F13*'Pawn Weights'!$B$22)+(G13*'Pawn Weights'!$B$23)+(H13*'Pawn Weights'!$B$24)+(I13*'Pawn Weights'!$B$25)+(J13*'Pawn Weights'!$B$26)+(K13*'Pawn Weights'!$B$27)+(L13*'Pawn Weights'!$B$28)+(M13*'Pawn Weights'!$B$29)+(N13*'Pawn Weights'!$B$30)+(O13*'Pawn Weights'!$B$31)+(P13*'Pawn Weights'!$B$32)+(Q13*'Pawn Weights'!$B$33), 2)</f>
        <v>106.63</v>
      </c>
      <c r="E13" s="298">
        <v>36.0</v>
      </c>
      <c r="F13" s="297"/>
      <c r="G13" s="298">
        <v>32.0</v>
      </c>
      <c r="H13" s="298">
        <v>64.0</v>
      </c>
      <c r="I13" s="297"/>
      <c r="J13" s="298">
        <v>16.0</v>
      </c>
      <c r="K13" s="297"/>
      <c r="L13" s="297"/>
      <c r="M13" s="137"/>
      <c r="N13" s="298">
        <v>1.0</v>
      </c>
      <c r="O13" s="297"/>
      <c r="P13" s="298">
        <v>1.0</v>
      </c>
      <c r="Q13" s="297"/>
      <c r="R13" s="298" t="s">
        <v>622</v>
      </c>
      <c r="S13" s="137"/>
      <c r="T13" s="295"/>
      <c r="U13" s="137"/>
      <c r="V13" s="137"/>
      <c r="W13" s="137"/>
      <c r="X13" s="137"/>
      <c r="Y13" s="137"/>
      <c r="Z13" s="137"/>
    </row>
    <row r="14">
      <c r="A14" s="295" t="s">
        <v>1499</v>
      </c>
      <c r="B14" s="296" t="s">
        <v>1500</v>
      </c>
      <c r="C14" s="297" t="s">
        <v>1159</v>
      </c>
      <c r="D14" s="289">
        <f>ROUND((F14*'Pawn Weights'!$B$22)+(G14*'Pawn Weights'!$B$23)+(H14*'Pawn Weights'!$B$24)+(I14*'Pawn Weights'!$B$25)+(J14*'Pawn Weights'!$B$26)+(K14*'Pawn Weights'!$B$27)+(L14*'Pawn Weights'!$B$28)+(M14*'Pawn Weights'!$B$29)+(N14*'Pawn Weights'!$B$30)+(O14*'Pawn Weights'!$B$31)+(P14*'Pawn Weights'!$B$32)+(Q14*'Pawn Weights'!$B$33)-8+7.68+4, 2)</f>
        <v>104.44</v>
      </c>
      <c r="E14" s="298">
        <v>52.0</v>
      </c>
      <c r="F14" s="298">
        <v>30.0</v>
      </c>
      <c r="G14" s="297"/>
      <c r="H14" s="297"/>
      <c r="I14" s="298">
        <v>28.0</v>
      </c>
      <c r="J14" s="297"/>
      <c r="K14" s="297"/>
      <c r="L14" s="297"/>
      <c r="M14" s="137"/>
      <c r="N14" s="298">
        <v>1.0</v>
      </c>
      <c r="O14" s="297"/>
      <c r="P14" s="298">
        <v>1.0</v>
      </c>
      <c r="Q14" s="297"/>
      <c r="R14" s="316" t="s">
        <v>643</v>
      </c>
      <c r="S14" s="137"/>
      <c r="T14" s="295"/>
      <c r="U14" s="137" t="s">
        <v>1071</v>
      </c>
      <c r="V14" s="137"/>
      <c r="W14" s="137"/>
      <c r="X14" s="137"/>
      <c r="Y14" s="137"/>
      <c r="Z14" s="137"/>
    </row>
    <row r="15">
      <c r="A15" s="295" t="s">
        <v>1439</v>
      </c>
      <c r="B15" s="383" t="s">
        <v>1501</v>
      </c>
      <c r="C15" s="318" t="s">
        <v>1695</v>
      </c>
      <c r="D15" s="289">
        <f>ROUND((F15*'Pawn Weights'!$B$22)+(G15*'Pawn Weights'!$B$23)+(H15*'Pawn Weights'!$B$24)+(I15*'Pawn Weights'!$B$25)+(J15*'Pawn Weights'!$B$26)+(K15*'Pawn Weights'!$B$27)+(L15*'Pawn Weights'!$B$28)+(M15*'Pawn Weights'!$B$29)+(N15*'Pawn Weights'!$B$30)+(O15*'Pawn Weights'!$B$31)+(P15*'Pawn Weights'!$B$32)+(Q15*'Pawn Weights'!$B$33), 2)</f>
        <v>102.93</v>
      </c>
      <c r="E15" s="298">
        <v>30.0</v>
      </c>
      <c r="F15" s="297"/>
      <c r="G15" s="297"/>
      <c r="H15" s="298">
        <v>56.0</v>
      </c>
      <c r="I15" s="298">
        <v>22.0</v>
      </c>
      <c r="J15" s="298">
        <v>18.0</v>
      </c>
      <c r="K15" s="297"/>
      <c r="L15" s="297"/>
      <c r="M15" s="137"/>
      <c r="N15" s="298">
        <v>1.0</v>
      </c>
      <c r="O15" s="297"/>
      <c r="P15" s="297"/>
      <c r="Q15" s="298">
        <v>1.0</v>
      </c>
      <c r="R15" s="298" t="s">
        <v>745</v>
      </c>
      <c r="S15" s="137"/>
      <c r="T15" s="295"/>
      <c r="U15" s="137" t="s">
        <v>1442</v>
      </c>
      <c r="V15" s="137"/>
      <c r="W15" s="137"/>
      <c r="X15" s="137"/>
      <c r="Y15" s="137"/>
      <c r="Z15" s="137"/>
    </row>
    <row r="16">
      <c r="A16" s="295"/>
      <c r="B16" s="383" t="s">
        <v>1450</v>
      </c>
      <c r="C16" s="297" t="s">
        <v>1451</v>
      </c>
      <c r="D16" s="289">
        <f>ROUND((F16*'Pawn Weights'!$B$22)+(G16*'Pawn Weights'!$B$23)+(H16*'Pawn Weights'!$B$24)+(I16*'Pawn Weights'!$B$25)+(J16*'Pawn Weights'!$B$26)+(K16*'Pawn Weights'!$B$27)+(L16*'Pawn Weights'!$B$28)+(M16*'Pawn Weights'!$B$29)+(N16*'Pawn Weights'!$B$30)+(O16*'Pawn Weights'!$B$31)+(P16*'Pawn Weights'!$B$32)+(Q16*'Pawn Weights'!$B$33), 2)</f>
        <v>101.44</v>
      </c>
      <c r="E16" s="298">
        <v>21.0</v>
      </c>
      <c r="F16" s="297"/>
      <c r="G16" s="298">
        <v>25.0</v>
      </c>
      <c r="H16" s="298">
        <v>66.0</v>
      </c>
      <c r="I16" s="297"/>
      <c r="J16" s="298">
        <v>14.0</v>
      </c>
      <c r="K16" s="297"/>
      <c r="L16" s="297"/>
      <c r="M16" s="137"/>
      <c r="N16" s="298">
        <v>1.0</v>
      </c>
      <c r="O16" s="297"/>
      <c r="P16" s="298">
        <v>1.0</v>
      </c>
      <c r="Q16" s="297"/>
      <c r="R16" s="298" t="s">
        <v>1179</v>
      </c>
      <c r="S16" s="137"/>
      <c r="T16" s="295"/>
      <c r="U16" s="137"/>
      <c r="V16" s="137"/>
      <c r="W16" s="137"/>
      <c r="X16" s="137"/>
      <c r="Y16" s="137"/>
      <c r="Z16" s="137"/>
    </row>
    <row r="17">
      <c r="A17" s="295"/>
      <c r="B17" s="296" t="s">
        <v>1503</v>
      </c>
      <c r="C17" s="297" t="s">
        <v>790</v>
      </c>
      <c r="D17" s="289">
        <f>ROUND((F17*'Pawn Weights'!$B$22)+(G17*'Pawn Weights'!$B$23)+(H17*'Pawn Weights'!$B$24)+(I17*'Pawn Weights'!$B$25)+(J17*'Pawn Weights'!$B$26)+(K17*'Pawn Weights'!$B$27)+(L17*'Pawn Weights'!$B$28)+(M17*'Pawn Weights'!$B$29)+(N17*'Pawn Weights'!$B$30)+(O17*'Pawn Weights'!$B$31)+(P17*'Pawn Weights'!$B$32)+(Q17*'Pawn Weights'!$B$33), 2)</f>
        <v>97.9</v>
      </c>
      <c r="E17" s="298">
        <v>45.0</v>
      </c>
      <c r="F17" s="297"/>
      <c r="G17" s="297"/>
      <c r="H17" s="298">
        <v>84.0</v>
      </c>
      <c r="I17" s="298">
        <v>42.0</v>
      </c>
      <c r="J17" s="298">
        <v>31.0</v>
      </c>
      <c r="K17" s="297"/>
      <c r="L17" s="297"/>
      <c r="M17" s="137"/>
      <c r="N17" s="297"/>
      <c r="O17" s="297"/>
      <c r="P17" s="297"/>
      <c r="Q17" s="297"/>
      <c r="R17" s="295"/>
      <c r="S17" s="137"/>
      <c r="T17" s="295"/>
      <c r="U17" s="137"/>
      <c r="V17" s="137"/>
      <c r="W17" s="137"/>
      <c r="X17" s="137"/>
      <c r="Y17" s="137"/>
      <c r="Z17" s="137"/>
    </row>
    <row r="18">
      <c r="A18" s="295"/>
      <c r="B18" s="296" t="s">
        <v>1398</v>
      </c>
      <c r="C18" s="297" t="s">
        <v>1689</v>
      </c>
      <c r="D18" s="289">
        <f>ROUND((F18*'Pawn Weights'!$B$22)+(G18*'Pawn Weights'!$B$23)+(H18*'Pawn Weights'!$B$24)+(I18*'Pawn Weights'!$B$25)+(J18*'Pawn Weights'!$B$26)+(K18*'Pawn Weights'!$B$27)+(L18*'Pawn Weights'!$B$28)+(M18*'Pawn Weights'!$B$29)+(N18*'Pawn Weights'!$B$30)+(O18*'Pawn Weights'!$B$31)+(P18*'Pawn Weights'!$B$32)+(Q18*'Pawn Weights'!$B$33), 2)</f>
        <v>92.44</v>
      </c>
      <c r="E18" s="298">
        <v>51.0</v>
      </c>
      <c r="F18" s="298">
        <v>46.0</v>
      </c>
      <c r="G18" s="297"/>
      <c r="H18" s="297"/>
      <c r="I18" s="297"/>
      <c r="J18" s="298">
        <v>33.0</v>
      </c>
      <c r="K18" s="297"/>
      <c r="L18" s="297"/>
      <c r="M18" s="137"/>
      <c r="N18" s="297"/>
      <c r="O18" s="298">
        <v>1.0</v>
      </c>
      <c r="P18" s="298">
        <v>1.0</v>
      </c>
      <c r="Q18" s="298">
        <v>1.0</v>
      </c>
      <c r="R18" s="298" t="s">
        <v>1417</v>
      </c>
      <c r="S18" s="137"/>
      <c r="T18" s="295" t="s">
        <v>1400</v>
      </c>
      <c r="U18" s="137"/>
      <c r="V18" s="137"/>
      <c r="W18" s="137"/>
      <c r="X18" s="137"/>
      <c r="Y18" s="137"/>
      <c r="Z18" s="137"/>
    </row>
    <row r="19">
      <c r="A19" s="295"/>
      <c r="B19" s="383" t="s">
        <v>1504</v>
      </c>
      <c r="C19" s="297" t="s">
        <v>1505</v>
      </c>
      <c r="D19" s="289">
        <f>ROUND((F19*'Pawn Weights'!$B$22)+(G19*'Pawn Weights'!$B$23)+(H19*'Pawn Weights'!$B$24)+(I19*'Pawn Weights'!$B$25)+(J19*'Pawn Weights'!$B$26)+(K19*'Pawn Weights'!$B$27)+(L19*'Pawn Weights'!$B$28)+(M19*'Pawn Weights'!$B$29)+(N19*'Pawn Weights'!$B$30)+(O19*'Pawn Weights'!$B$31)+(P19*'Pawn Weights'!$B$32)+(Q19*'Pawn Weights'!$B$33), 2)</f>
        <v>83.92</v>
      </c>
      <c r="E19" s="298">
        <v>22.0</v>
      </c>
      <c r="F19" s="298">
        <v>29.0</v>
      </c>
      <c r="G19" s="297"/>
      <c r="H19" s="297"/>
      <c r="I19" s="298">
        <v>24.0</v>
      </c>
      <c r="J19" s="298">
        <v>13.0</v>
      </c>
      <c r="K19" s="297"/>
      <c r="L19" s="297"/>
      <c r="M19" s="137"/>
      <c r="N19" s="297"/>
      <c r="O19" s="297"/>
      <c r="P19" s="298">
        <v>2.0</v>
      </c>
      <c r="Q19" s="298">
        <v>1.0</v>
      </c>
      <c r="R19" s="316" t="s">
        <v>643</v>
      </c>
      <c r="S19" s="137"/>
      <c r="T19" s="295"/>
      <c r="U19" s="137" t="s">
        <v>1506</v>
      </c>
      <c r="V19" s="137"/>
      <c r="W19" s="137"/>
      <c r="X19" s="137"/>
      <c r="Y19" s="137"/>
      <c r="Z19" s="137"/>
    </row>
    <row r="20">
      <c r="A20" s="295" t="s">
        <v>627</v>
      </c>
      <c r="B20" s="383" t="s">
        <v>1507</v>
      </c>
      <c r="C20" s="318" t="s">
        <v>1561</v>
      </c>
      <c r="D20" s="289">
        <f>ROUND((F20*'Pawn Weights'!$B$22)+(G20*'Pawn Weights'!$B$23)+(H20*'Pawn Weights'!$B$24)+(I20*'Pawn Weights'!$B$25)+(J20*'Pawn Weights'!$B$26)+(K20*'Pawn Weights'!$B$27)+(L20*'Pawn Weights'!$B$28)+(M20*'Pawn Weights'!$B$29)+(N20*'Pawn Weights'!$B$30)+(O20*'Pawn Weights'!$B$31)+(P20*'Pawn Weights'!$B$32)+(Q20*'Pawn Weights'!$B$33), 2)</f>
        <v>79.04</v>
      </c>
      <c r="E20" s="297"/>
      <c r="F20" s="298">
        <v>45.0</v>
      </c>
      <c r="G20" s="297"/>
      <c r="H20" s="297"/>
      <c r="I20" s="298">
        <v>37.0</v>
      </c>
      <c r="J20" s="297"/>
      <c r="K20" s="297"/>
      <c r="L20" s="297"/>
      <c r="M20" s="137"/>
      <c r="N20" s="297"/>
      <c r="O20" s="297"/>
      <c r="P20" s="297"/>
      <c r="Q20" s="297"/>
      <c r="R20" s="295"/>
      <c r="S20" s="137"/>
      <c r="T20" s="295"/>
      <c r="U20" s="137"/>
      <c r="V20" s="137"/>
      <c r="W20" s="137"/>
      <c r="X20" s="137"/>
      <c r="Y20" s="137"/>
      <c r="Z20" s="137"/>
    </row>
    <row r="21">
      <c r="A21" s="272" t="s">
        <v>657</v>
      </c>
      <c r="B21" s="281"/>
      <c r="C21" s="281"/>
      <c r="D21" s="360"/>
      <c r="E21" s="281"/>
      <c r="F21" s="281"/>
      <c r="G21" s="281"/>
      <c r="H21" s="281"/>
      <c r="I21" s="281"/>
      <c r="J21" s="281"/>
      <c r="K21" s="281"/>
      <c r="L21" s="281"/>
      <c r="M21" s="281"/>
      <c r="N21" s="281"/>
      <c r="O21" s="281"/>
      <c r="P21" s="281"/>
      <c r="Q21" s="281"/>
      <c r="R21" s="282"/>
      <c r="S21" s="281"/>
      <c r="T21" s="285"/>
    </row>
    <row r="22">
      <c r="A22" s="137" t="s">
        <v>627</v>
      </c>
      <c r="B22" s="341" t="s">
        <v>658</v>
      </c>
      <c r="C22" s="361" t="s">
        <v>659</v>
      </c>
      <c r="D22" s="289">
        <f>ROUND((F22*'Pawn Weights'!$B$22)+(G22*'Pawn Weights'!$B$23)+(H22*'Pawn Weights'!$B$24)+(I22*'Pawn Weights'!$B$25)+(J22*'Pawn Weights'!$B$26)+(K22*'Pawn Weights'!$B$27)+(L22*'Pawn Weights'!$B$28)+(M22*'Pawn Weights'!$B$29)+(N22*'Pawn Weights'!$B$30)+(O22*'Pawn Weights'!$B$31)+(P22*'Pawn Weights'!$B$32)+(Q22*'Pawn Weights'!$B$33)-8+7.68+1.818, 2)</f>
        <v>74.02</v>
      </c>
      <c r="E22" s="359">
        <v>42.0</v>
      </c>
      <c r="F22" s="137"/>
      <c r="G22" s="137"/>
      <c r="H22" s="359">
        <v>58.0</v>
      </c>
      <c r="I22" s="137"/>
      <c r="J22" s="137"/>
      <c r="K22" s="359">
        <v>29.0</v>
      </c>
      <c r="L22" s="137"/>
      <c r="M22" s="359">
        <v>150.0</v>
      </c>
      <c r="N22" s="137"/>
      <c r="O22" s="137"/>
      <c r="P22" s="359">
        <v>1.0</v>
      </c>
      <c r="Q22" s="137"/>
      <c r="R22" s="359" t="s">
        <v>660</v>
      </c>
      <c r="S22" s="137"/>
      <c r="T22" s="137" t="s">
        <v>661</v>
      </c>
      <c r="U22" s="137"/>
      <c r="V22" s="137"/>
      <c r="W22" s="137"/>
      <c r="X22" s="137"/>
      <c r="Y22" s="137"/>
      <c r="Z22" s="137"/>
    </row>
    <row r="23">
      <c r="A23" s="137" t="s">
        <v>676</v>
      </c>
      <c r="B23" s="341" t="s">
        <v>677</v>
      </c>
      <c r="C23" s="361" t="s">
        <v>678</v>
      </c>
      <c r="D23" s="289">
        <f>ROUND((F23*'Pawn Weights'!$B$22)+(G23*'Pawn Weights'!$B$23)+(H23*'Pawn Weights'!$B$24)+(I23*'Pawn Weights'!$B$25)+(J23*'Pawn Weights'!$B$26)+(K23*'Pawn Weights'!$B$27)+(L23*'Pawn Weights'!$B$28)+(M23*'Pawn Weights'!$B$29)+(N23*'Pawn Weights'!$B$30)+(O23*'Pawn Weights'!$B$31)+(P23*'Pawn Weights'!$B$32)+(Q23*'Pawn Weights'!$B$33)+17.82, 2)</f>
        <v>59.09</v>
      </c>
      <c r="E23" s="359">
        <v>19.0</v>
      </c>
      <c r="F23" s="361"/>
      <c r="G23" s="359">
        <v>18.0</v>
      </c>
      <c r="H23" s="359">
        <v>64.0</v>
      </c>
      <c r="I23" s="361"/>
      <c r="J23" s="361"/>
      <c r="K23" s="361"/>
      <c r="L23" s="361"/>
      <c r="M23" s="137"/>
      <c r="N23" s="361"/>
      <c r="O23" s="361"/>
      <c r="P23" s="361"/>
      <c r="Q23" s="361"/>
      <c r="R23" s="137"/>
      <c r="S23" s="137"/>
      <c r="T23" s="362" t="s">
        <v>679</v>
      </c>
      <c r="U23" s="194"/>
      <c r="V23" s="194"/>
      <c r="W23" s="194"/>
      <c r="X23" s="137"/>
      <c r="Y23" s="137"/>
      <c r="Z23" s="137"/>
    </row>
    <row r="24">
      <c r="A24" s="137" t="s">
        <v>671</v>
      </c>
      <c r="B24" s="341" t="s">
        <v>672</v>
      </c>
      <c r="C24" s="361" t="s">
        <v>673</v>
      </c>
      <c r="D24" s="289">
        <f>ROUND((F24*'Pawn Weights'!$B$22)+(G24*'Pawn Weights'!$B$23)+(H24*'Pawn Weights'!$B$24)+(I24*'Pawn Weights'!$B$25)+(J24*'Pawn Weights'!$B$26)+(K24*'Pawn Weights'!$B$27)+(L24*'Pawn Weights'!$B$28)+(M24*'Pawn Weights'!$B$29)+(N24*'Pawn Weights'!$B$30)+(O24*'Pawn Weights'!$B$31)+(P24*'Pawn Weights'!$B$32)+(Q24*'Pawn Weights'!$B$33), 2)</f>
        <v>58.28</v>
      </c>
      <c r="E24" s="359">
        <v>39.0</v>
      </c>
      <c r="F24" s="361"/>
      <c r="G24" s="361"/>
      <c r="H24" s="359">
        <v>58.0</v>
      </c>
      <c r="I24" s="359">
        <v>26.0</v>
      </c>
      <c r="J24" s="361"/>
      <c r="K24" s="361"/>
      <c r="L24" s="361"/>
      <c r="M24" s="137"/>
      <c r="N24" s="361"/>
      <c r="O24" s="361"/>
      <c r="P24" s="359">
        <v>1.0</v>
      </c>
      <c r="Q24" s="361"/>
      <c r="R24" s="359" t="s">
        <v>674</v>
      </c>
      <c r="S24" s="137"/>
      <c r="T24" s="361" t="s">
        <v>675</v>
      </c>
      <c r="U24" s="137"/>
      <c r="V24" s="137"/>
      <c r="W24" s="137"/>
      <c r="X24" s="137"/>
      <c r="Y24" s="137"/>
      <c r="Z24" s="137"/>
    </row>
    <row r="25">
      <c r="A25" s="281"/>
      <c r="B25" s="288" t="s">
        <v>680</v>
      </c>
      <c r="C25" s="280" t="s">
        <v>681</v>
      </c>
      <c r="D25" s="289">
        <f>ROUND((F25*'Pawn Weights'!$B$22)+(G25*'Pawn Weights'!$B$23)+(H25*'Pawn Weights'!$B$24)+(I25*'Pawn Weights'!$B$25)+(J25*'Pawn Weights'!$B$26)+(K25*'Pawn Weights'!$B$27)+(L25*'Pawn Weights'!$B$28)+(M25*'Pawn Weights'!$B$29)+(N25*'Pawn Weights'!$B$30)+(O25*'Pawn Weights'!$B$31)+(P25*'Pawn Weights'!$B$32)+(Q25*'Pawn Weights'!$B$33), 2)</f>
        <v>53.16</v>
      </c>
      <c r="E25" s="280">
        <v>24.0</v>
      </c>
      <c r="F25" s="280">
        <v>32.0</v>
      </c>
      <c r="G25" s="280"/>
      <c r="H25" s="280"/>
      <c r="I25" s="280">
        <v>23.0</v>
      </c>
      <c r="J25" s="280"/>
      <c r="K25" s="280"/>
      <c r="L25" s="280"/>
      <c r="M25" s="280"/>
      <c r="N25" s="280"/>
      <c r="O25" s="280"/>
      <c r="P25" s="280"/>
      <c r="Q25" s="280"/>
      <c r="R25" s="290"/>
      <c r="S25" s="281"/>
      <c r="T25" s="222"/>
      <c r="U25" s="281"/>
      <c r="X25" s="281"/>
    </row>
    <row r="26">
      <c r="A26" s="137" t="s">
        <v>991</v>
      </c>
      <c r="B26" s="296" t="s">
        <v>1075</v>
      </c>
      <c r="C26" s="297" t="s">
        <v>673</v>
      </c>
      <c r="D26" s="289">
        <f>ROUND((F26*'Pawn Weights'!$B$22)+(G26*'Pawn Weights'!$B$23)+(H26*'Pawn Weights'!$B$24)+(I26*'Pawn Weights'!$B$25)+(J26*'Pawn Weights'!$B$26)+(K26*'Pawn Weights'!$B$27)+(L26*'Pawn Weights'!$B$28)+(M26*'Pawn Weights'!$B$29)+(N26*'Pawn Weights'!$B$30)+(O26*'Pawn Weights'!$B$31)+(P26*'Pawn Weights'!$B$32)+(Q26*'Pawn Weights'!$B$33), 2)</f>
        <v>50.97</v>
      </c>
      <c r="E26" s="298">
        <v>35.0</v>
      </c>
      <c r="F26" s="297"/>
      <c r="G26" s="297"/>
      <c r="H26" s="298">
        <v>50.0</v>
      </c>
      <c r="I26" s="298">
        <v>22.0</v>
      </c>
      <c r="J26" s="297"/>
      <c r="K26" s="297"/>
      <c r="L26" s="297"/>
      <c r="M26" s="297"/>
      <c r="N26" s="297"/>
      <c r="O26" s="297"/>
      <c r="P26" s="298">
        <v>1.0</v>
      </c>
      <c r="Q26" s="297"/>
      <c r="R26" s="298" t="s">
        <v>1076</v>
      </c>
      <c r="S26" s="137"/>
      <c r="T26" s="361" t="s">
        <v>675</v>
      </c>
      <c r="U26" s="137"/>
      <c r="V26" s="137"/>
      <c r="W26" s="137"/>
      <c r="X26" s="137"/>
      <c r="Y26" s="137"/>
      <c r="Z26" s="137"/>
    </row>
    <row r="27">
      <c r="A27" s="281"/>
      <c r="B27" s="288" t="s">
        <v>682</v>
      </c>
      <c r="C27" s="280" t="s">
        <v>683</v>
      </c>
      <c r="D27" s="289">
        <f>ROUND((F27*'Pawn Weights'!$B$22)+(G27*'Pawn Weights'!$B$23)+(H27*'Pawn Weights'!$B$24)+(I27*'Pawn Weights'!$B$25)+(J27*'Pawn Weights'!$B$26)+(K27*'Pawn Weights'!$B$27)+(L27*'Pawn Weights'!$B$28)+(M27*'Pawn Weights'!$B$29)+(N27*'Pawn Weights'!$B$30)+(O27*'Pawn Weights'!$B$31)+(P27*'Pawn Weights'!$B$32)+(Q27*'Pawn Weights'!$B$33), 2)</f>
        <v>50.25</v>
      </c>
      <c r="E27" s="280">
        <v>24.0</v>
      </c>
      <c r="F27" s="280"/>
      <c r="G27" s="280"/>
      <c r="H27" s="280">
        <v>64.0</v>
      </c>
      <c r="I27" s="280">
        <v>23.0</v>
      </c>
      <c r="J27" s="280"/>
      <c r="K27" s="280"/>
      <c r="L27" s="280"/>
      <c r="M27" s="281"/>
      <c r="N27" s="280"/>
      <c r="O27" s="280"/>
      <c r="P27" s="280"/>
      <c r="Q27" s="280"/>
      <c r="R27" s="290"/>
      <c r="S27" s="281"/>
      <c r="T27" s="294"/>
      <c r="U27" s="281"/>
      <c r="X27" s="281"/>
    </row>
    <row r="28">
      <c r="A28" s="281"/>
      <c r="B28" s="288" t="s">
        <v>684</v>
      </c>
      <c r="C28" s="280" t="s">
        <v>685</v>
      </c>
      <c r="D28" s="289">
        <f>ROUND((F28*'Pawn Weights'!$B$22)+(G28*'Pawn Weights'!$B$23)+(H28*'Pawn Weights'!$B$24)+(I28*'Pawn Weights'!$B$25)+(J28*'Pawn Weights'!$B$26)+(K28*'Pawn Weights'!$B$27)+(L28*'Pawn Weights'!$B$28)+(M28*'Pawn Weights'!$B$29)+(N28*'Pawn Weights'!$B$30)+(O28*'Pawn Weights'!$B$31)+(P28*'Pawn Weights'!$B$32)+(Q28*'Pawn Weights'!$B$33), 2)</f>
        <v>50.09</v>
      </c>
      <c r="E28" s="280">
        <v>26.0</v>
      </c>
      <c r="F28" s="280"/>
      <c r="G28" s="280">
        <v>27.0</v>
      </c>
      <c r="H28" s="280">
        <v>70.0</v>
      </c>
      <c r="I28" s="280"/>
      <c r="J28" s="280"/>
      <c r="K28" s="280"/>
      <c r="L28" s="280"/>
      <c r="M28" s="281"/>
      <c r="N28" s="280"/>
      <c r="O28" s="280"/>
      <c r="P28" s="280"/>
      <c r="Q28" s="280"/>
      <c r="R28" s="290"/>
      <c r="S28" s="281"/>
      <c r="T28" s="222"/>
      <c r="U28" s="281"/>
      <c r="X28" s="281"/>
    </row>
    <row r="29">
      <c r="A29" s="281"/>
      <c r="B29" s="288" t="s">
        <v>686</v>
      </c>
      <c r="C29" s="280" t="s">
        <v>687</v>
      </c>
      <c r="D29" s="289">
        <f>ROUND((F29*'Pawn Weights'!$B$22)+(G29*'Pawn Weights'!$B$23)+(H29*'Pawn Weights'!$B$24)+(I29*'Pawn Weights'!$B$25)+(J29*'Pawn Weights'!$B$26)+(K29*'Pawn Weights'!$B$27)+(L29*'Pawn Weights'!$B$28)+(M29*'Pawn Weights'!$B$29)+(N29*'Pawn Weights'!$B$30)+(O29*'Pawn Weights'!$B$31)+(P29*'Pawn Weights'!$B$32)+(Q29*'Pawn Weights'!$B$33), 2)</f>
        <v>44.87</v>
      </c>
      <c r="E29" s="280">
        <v>18.0</v>
      </c>
      <c r="F29" s="280"/>
      <c r="G29" s="280">
        <v>20.0</v>
      </c>
      <c r="H29" s="280">
        <v>42.0</v>
      </c>
      <c r="I29" s="280"/>
      <c r="J29" s="280">
        <v>18.0</v>
      </c>
      <c r="K29" s="280"/>
      <c r="L29" s="280"/>
      <c r="M29" s="280"/>
      <c r="N29" s="280"/>
      <c r="O29" s="280"/>
      <c r="P29" s="280"/>
      <c r="Q29" s="280"/>
      <c r="R29" s="290"/>
      <c r="S29" s="281"/>
      <c r="T29" s="294"/>
      <c r="U29" s="281"/>
      <c r="X29" s="281"/>
    </row>
    <row r="30">
      <c r="A30" s="281"/>
      <c r="B30" s="288" t="s">
        <v>1077</v>
      </c>
      <c r="C30" s="280" t="s">
        <v>1078</v>
      </c>
      <c r="D30" s="289">
        <f>ROUND((F30*'Pawn Weights'!$B$22)+(G30*'Pawn Weights'!$B$23)+(H30*'Pawn Weights'!$B$24)+(I30*'Pawn Weights'!$B$25)+(J30*'Pawn Weights'!$B$26)+(K30*'Pawn Weights'!$B$27)+(L30*'Pawn Weights'!$B$28)+(M30*'Pawn Weights'!$B$29)+(N30*'Pawn Weights'!$B$30)+(O30*'Pawn Weights'!$B$31)+(P30*'Pawn Weights'!$B$32)+(Q30*'Pawn Weights'!$B$33), 2)</f>
        <v>44.19</v>
      </c>
      <c r="E30" s="280">
        <v>21.0</v>
      </c>
      <c r="F30" s="280"/>
      <c r="G30" s="280">
        <v>20.0</v>
      </c>
      <c r="H30" s="280">
        <v>42.0</v>
      </c>
      <c r="I30" s="280"/>
      <c r="J30" s="280">
        <v>17.0</v>
      </c>
      <c r="K30" s="280"/>
      <c r="L30" s="280"/>
      <c r="M30" s="280"/>
      <c r="N30" s="280"/>
      <c r="O30" s="280"/>
      <c r="P30" s="280"/>
      <c r="Q30" s="280"/>
      <c r="R30" s="290"/>
      <c r="S30" s="281"/>
      <c r="T30" s="222"/>
      <c r="U30" s="281"/>
      <c r="V30" s="281"/>
      <c r="W30" s="281"/>
      <c r="X30" s="281"/>
    </row>
    <row r="31">
      <c r="A31" s="219" t="s">
        <v>995</v>
      </c>
      <c r="B31" s="296" t="s">
        <v>1509</v>
      </c>
      <c r="C31" s="297" t="s">
        <v>1510</v>
      </c>
      <c r="D31" s="289">
        <f>ROUND((F31*'Pawn Weights'!$B$22)+(G31*'Pawn Weights'!$B$23)+(H31*'Pawn Weights'!$B$24)+(I31*'Pawn Weights'!$B$25)+(J31*'Pawn Weights'!$B$26)+(K31*'Pawn Weights'!$B$27)+(L31*'Pawn Weights'!$B$28)+(M31*'Pawn Weights'!$B$29)+(N31*'Pawn Weights'!$B$30)+(O31*'Pawn Weights'!$B$31)+(P31*'Pawn Weights'!$B$32)+(Q31*'Pawn Weights'!$B$33), 2)</f>
        <v>43.65</v>
      </c>
      <c r="E31" s="332">
        <v>31.0</v>
      </c>
      <c r="F31" s="295"/>
      <c r="G31" s="295"/>
      <c r="H31" s="332">
        <v>42.0</v>
      </c>
      <c r="I31" s="332">
        <v>18.0</v>
      </c>
      <c r="J31" s="295"/>
      <c r="K31" s="295"/>
      <c r="L31" s="295"/>
      <c r="M31" s="295"/>
      <c r="N31" s="295"/>
      <c r="O31" s="295"/>
      <c r="P31" s="332">
        <v>1.0</v>
      </c>
      <c r="Q31" s="295"/>
      <c r="R31" s="332" t="s">
        <v>674</v>
      </c>
      <c r="S31" s="343"/>
      <c r="T31" s="137"/>
      <c r="U31" s="137"/>
      <c r="V31" s="137"/>
      <c r="W31" s="137"/>
      <c r="X31" s="137"/>
      <c r="Y31" s="137"/>
      <c r="Z31" s="137"/>
    </row>
    <row r="32">
      <c r="A32" s="137"/>
      <c r="B32" s="383" t="s">
        <v>1513</v>
      </c>
      <c r="C32" s="297" t="s">
        <v>1514</v>
      </c>
      <c r="D32" s="289">
        <f>ROUND((F32*'Pawn Weights'!$B$22)+(G32*'Pawn Weights'!$B$23)+(H32*'Pawn Weights'!$B$24)+(I32*'Pawn Weights'!$B$25)+(J32*'Pawn Weights'!$B$26)+(K32*'Pawn Weights'!$B$27)+(L32*'Pawn Weights'!$B$28)+(M32*'Pawn Weights'!$B$29)+(N32*'Pawn Weights'!$B$30)+(O32*'Pawn Weights'!$B$31)+(P32*'Pawn Weights'!$B$32)+(Q32*'Pawn Weights'!$B$33), 2)</f>
        <v>43.33</v>
      </c>
      <c r="E32" s="295"/>
      <c r="F32" s="295"/>
      <c r="G32" s="295"/>
      <c r="H32" s="332">
        <v>50.0</v>
      </c>
      <c r="I32" s="332">
        <v>15.0</v>
      </c>
      <c r="J32" s="332">
        <v>10.0</v>
      </c>
      <c r="K32" s="295"/>
      <c r="L32" s="295"/>
      <c r="M32" s="295"/>
      <c r="N32" s="295"/>
      <c r="O32" s="295"/>
      <c r="P32" s="295"/>
      <c r="Q32" s="295"/>
      <c r="R32" s="332"/>
      <c r="S32" s="343"/>
      <c r="T32" s="137"/>
      <c r="U32" s="137"/>
      <c r="V32" s="137"/>
      <c r="W32" s="137"/>
      <c r="X32" s="137"/>
      <c r="Y32" s="137"/>
      <c r="Z32" s="137"/>
    </row>
    <row r="33">
      <c r="A33" s="137"/>
      <c r="B33" s="296" t="s">
        <v>1511</v>
      </c>
      <c r="C33" s="318" t="s">
        <v>1512</v>
      </c>
      <c r="D33" s="289">
        <f>ROUND((F33*'Pawn Weights'!$B$22)+(G33*'Pawn Weights'!$B$23)+(H33*'Pawn Weights'!$B$24)+(I33*'Pawn Weights'!$B$25)+(J33*'Pawn Weights'!$B$26)+(K33*'Pawn Weights'!$B$27)+(L33*'Pawn Weights'!$B$28)+(M33*'Pawn Weights'!$B$29)+(N33*'Pawn Weights'!$B$30)+(O33*'Pawn Weights'!$B$31)+(P33*'Pawn Weights'!$B$32)+(Q33*'Pawn Weights'!$B$33), 2)</f>
        <v>43.05</v>
      </c>
      <c r="E33" s="332">
        <v>19.0</v>
      </c>
      <c r="F33" s="295"/>
      <c r="G33" s="295"/>
      <c r="H33" s="332">
        <v>34.0</v>
      </c>
      <c r="I33" s="332">
        <v>30.0</v>
      </c>
      <c r="J33" s="295"/>
      <c r="K33" s="295"/>
      <c r="L33" s="295"/>
      <c r="M33" s="295"/>
      <c r="N33" s="295"/>
      <c r="O33" s="295"/>
      <c r="P33" s="295"/>
      <c r="Q33" s="295"/>
      <c r="R33" s="332"/>
      <c r="S33" s="343"/>
      <c r="T33" s="137"/>
      <c r="U33" s="137"/>
      <c r="V33" s="137"/>
      <c r="W33" s="137"/>
      <c r="X33" s="137"/>
      <c r="Y33" s="137"/>
      <c r="Z33" s="137"/>
    </row>
    <row r="34">
      <c r="A34" s="137"/>
      <c r="B34" s="296" t="s">
        <v>1515</v>
      </c>
      <c r="C34" s="297" t="s">
        <v>1516</v>
      </c>
      <c r="D34" s="289">
        <f>ROUND((F34*'Pawn Weights'!$B$22)+(G34*'Pawn Weights'!$B$23)+(H34*'Pawn Weights'!$B$24)+(I34*'Pawn Weights'!$B$25)+(J34*'Pawn Weights'!$B$26)+(K34*'Pawn Weights'!$B$27)+(L34*'Pawn Weights'!$B$28)+(M34*'Pawn Weights'!$B$29)+(N34*'Pawn Weights'!$B$30)+(O34*'Pawn Weights'!$B$31)+(P34*'Pawn Weights'!$B$32)+(Q34*'Pawn Weights'!$B$33), 2)</f>
        <v>42.93</v>
      </c>
      <c r="E34" s="297"/>
      <c r="F34" s="298">
        <v>26.0</v>
      </c>
      <c r="G34" s="298">
        <v>25.0</v>
      </c>
      <c r="H34" s="297"/>
      <c r="I34" s="297"/>
      <c r="J34" s="297"/>
      <c r="K34" s="297"/>
      <c r="L34" s="297"/>
      <c r="M34" s="297"/>
      <c r="N34" s="297"/>
      <c r="O34" s="297"/>
      <c r="P34" s="297"/>
      <c r="Q34" s="297"/>
      <c r="R34" s="295"/>
      <c r="S34" s="137"/>
      <c r="T34" s="137"/>
      <c r="U34" s="137"/>
      <c r="V34" s="137"/>
      <c r="W34" s="137"/>
      <c r="X34" s="137"/>
      <c r="Y34" s="137"/>
      <c r="Z34" s="137"/>
    </row>
    <row r="35">
      <c r="A35" s="137"/>
      <c r="B35" s="296" t="s">
        <v>1517</v>
      </c>
      <c r="C35" s="297" t="s">
        <v>1278</v>
      </c>
      <c r="D35" s="289">
        <f>ROUND((F35*'Pawn Weights'!$B$22)+(G35*'Pawn Weights'!$B$23)+(H35*'Pawn Weights'!$B$24)+(I35*'Pawn Weights'!$B$25)+(J35*'Pawn Weights'!$B$26)+(K35*'Pawn Weights'!$B$27)+(L35*'Pawn Weights'!$B$28)+(M35*'Pawn Weights'!$B$29)+(N35*'Pawn Weights'!$B$30)+(O35*'Pawn Weights'!$B$31)+(P35*'Pawn Weights'!$B$32)+(Q35*'Pawn Weights'!$B$33), 2)</f>
        <v>42.89</v>
      </c>
      <c r="E35" s="298">
        <v>22.0</v>
      </c>
      <c r="F35" s="298">
        <v>28.0</v>
      </c>
      <c r="G35" s="298">
        <v>22.0</v>
      </c>
      <c r="H35" s="297"/>
      <c r="I35" s="297"/>
      <c r="J35" s="297"/>
      <c r="K35" s="297"/>
      <c r="L35" s="297"/>
      <c r="M35" s="297"/>
      <c r="N35" s="297"/>
      <c r="O35" s="297"/>
      <c r="P35" s="297"/>
      <c r="Q35" s="297"/>
      <c r="R35" s="295"/>
      <c r="S35" s="137"/>
      <c r="T35" s="137"/>
      <c r="U35" s="137"/>
      <c r="V35" s="137"/>
      <c r="W35" s="137"/>
      <c r="X35" s="137"/>
      <c r="Y35" s="137"/>
      <c r="Z35" s="137"/>
    </row>
    <row r="36">
      <c r="A36" s="137"/>
      <c r="B36" s="383" t="s">
        <v>1518</v>
      </c>
      <c r="C36" s="297" t="s">
        <v>1512</v>
      </c>
      <c r="D36" s="289">
        <f>ROUND((F36*'Pawn Weights'!$B$22)+(G36*'Pawn Weights'!$B$23)+(H36*'Pawn Weights'!$B$24)+(I36*'Pawn Weights'!$B$25)+(J36*'Pawn Weights'!$B$26)+(K36*'Pawn Weights'!$B$27)+(L36*'Pawn Weights'!$B$28)+(M36*'Pawn Weights'!$B$29)+(N36*'Pawn Weights'!$B$30)+(O36*'Pawn Weights'!$B$31)+(P36*'Pawn Weights'!$B$32)+(Q36*'Pawn Weights'!$B$33), 2)</f>
        <v>41.99</v>
      </c>
      <c r="E36" s="298">
        <v>18.0</v>
      </c>
      <c r="F36" s="297"/>
      <c r="G36" s="297"/>
      <c r="H36" s="298">
        <v>38.0</v>
      </c>
      <c r="I36" s="298">
        <v>18.0</v>
      </c>
      <c r="J36" s="298">
        <v>12.0</v>
      </c>
      <c r="K36" s="297"/>
      <c r="L36" s="297"/>
      <c r="M36" s="297"/>
      <c r="N36" s="297"/>
      <c r="O36" s="297"/>
      <c r="P36" s="297"/>
      <c r="Q36" s="297"/>
      <c r="R36" s="295"/>
      <c r="S36" s="137"/>
      <c r="T36" s="137"/>
      <c r="U36" s="137"/>
      <c r="V36" s="137"/>
      <c r="W36" s="137"/>
      <c r="X36" s="137"/>
      <c r="Y36" s="137"/>
      <c r="Z36" s="137"/>
    </row>
    <row r="37">
      <c r="A37" s="137"/>
      <c r="B37" s="383" t="s">
        <v>1519</v>
      </c>
      <c r="C37" s="297" t="s">
        <v>1520</v>
      </c>
      <c r="D37" s="289">
        <f>ROUND((F37*'Pawn Weights'!$B$22)+(G37*'Pawn Weights'!$B$23)+(H37*'Pawn Weights'!$B$24)+(I37*'Pawn Weights'!$B$25)+(J37*'Pawn Weights'!$B$26)+(K37*'Pawn Weights'!$B$27)+(L37*'Pawn Weights'!$B$28)+(M37*'Pawn Weights'!$B$29)+(N37*'Pawn Weights'!$B$30)+(O37*'Pawn Weights'!$B$31)+(P37*'Pawn Weights'!$B$32)+(Q37*'Pawn Weights'!$B$33), 2)</f>
        <v>41.68</v>
      </c>
      <c r="E37" s="297"/>
      <c r="F37" s="298">
        <v>22.0</v>
      </c>
      <c r="G37" s="298">
        <v>15.0</v>
      </c>
      <c r="H37" s="297"/>
      <c r="I37" s="297"/>
      <c r="J37" s="298">
        <v>14.0</v>
      </c>
      <c r="K37" s="297"/>
      <c r="L37" s="297"/>
      <c r="M37" s="297"/>
      <c r="N37" s="297"/>
      <c r="O37" s="297"/>
      <c r="P37" s="297"/>
      <c r="Q37" s="297"/>
      <c r="R37" s="295"/>
      <c r="S37" s="137"/>
      <c r="T37" s="137"/>
      <c r="U37" s="137"/>
      <c r="V37" s="137"/>
      <c r="W37" s="137"/>
      <c r="X37" s="137"/>
      <c r="Y37" s="137"/>
      <c r="Z37" s="137"/>
    </row>
    <row r="38">
      <c r="A38" s="137" t="s">
        <v>676</v>
      </c>
      <c r="B38" s="296" t="s">
        <v>688</v>
      </c>
      <c r="C38" s="297" t="s">
        <v>678</v>
      </c>
      <c r="D38" s="289">
        <f>ROUND((F38*'Pawn Weights'!$B$22)+(G38*'Pawn Weights'!$B$23)+(H38*'Pawn Weights'!$B$24)+(I38*'Pawn Weights'!$B$25)+(J38*'Pawn Weights'!$B$26)+(K38*'Pawn Weights'!$B$27)+(L38*'Pawn Weights'!$B$28)+(M38*'Pawn Weights'!$B$29)+(N38*'Pawn Weights'!$B$30)+(O38*'Pawn Weights'!$B$31)+(P38*'Pawn Weights'!$B$32)+(Q38*'Pawn Weights'!$B$33), 2)</f>
        <v>41.27</v>
      </c>
      <c r="E38" s="298">
        <v>19.0</v>
      </c>
      <c r="F38" s="297"/>
      <c r="G38" s="298">
        <v>18.0</v>
      </c>
      <c r="H38" s="298">
        <v>64.0</v>
      </c>
      <c r="I38" s="297"/>
      <c r="J38" s="297"/>
      <c r="K38" s="297"/>
      <c r="L38" s="297"/>
      <c r="M38" s="295"/>
      <c r="N38" s="297"/>
      <c r="O38" s="297"/>
      <c r="P38" s="297"/>
      <c r="Q38" s="297"/>
      <c r="R38" s="295"/>
      <c r="S38" s="137"/>
      <c r="T38" s="361" t="s">
        <v>689</v>
      </c>
      <c r="U38" s="137"/>
      <c r="V38" s="137"/>
      <c r="W38" s="137"/>
      <c r="X38" s="137"/>
      <c r="Y38" s="137"/>
      <c r="Z38" s="137"/>
    </row>
    <row r="39">
      <c r="A39" s="137"/>
      <c r="B39" s="296" t="s">
        <v>690</v>
      </c>
      <c r="C39" s="318" t="s">
        <v>691</v>
      </c>
      <c r="D39" s="289">
        <f>ROUND((F39*'Pawn Weights'!$B$22)+(G39*'Pawn Weights'!$B$23)+(H39*'Pawn Weights'!$B$24)+(I39*'Pawn Weights'!$B$25)+(J39*'Pawn Weights'!$B$26)+(K39*'Pawn Weights'!$B$27)+(L39*'Pawn Weights'!$B$28)+(M39*'Pawn Weights'!$B$29)+(N39*'Pawn Weights'!$B$30)+(O39*'Pawn Weights'!$B$31)+(P39*'Pawn Weights'!$B$32)+(Q39*'Pawn Weights'!$B$33), 2)</f>
        <v>40.37</v>
      </c>
      <c r="E39" s="297"/>
      <c r="F39" s="297"/>
      <c r="G39" s="297"/>
      <c r="H39" s="297"/>
      <c r="I39" s="297"/>
      <c r="J39" s="298">
        <v>22.0</v>
      </c>
      <c r="K39" s="297"/>
      <c r="L39" s="298">
        <v>21.0</v>
      </c>
      <c r="M39" s="295"/>
      <c r="N39" s="297"/>
      <c r="O39" s="297"/>
      <c r="P39" s="297"/>
      <c r="Q39" s="297"/>
      <c r="R39" s="295"/>
      <c r="S39" s="137"/>
      <c r="T39" s="137"/>
      <c r="U39" s="137"/>
      <c r="V39" s="137"/>
      <c r="W39" s="137"/>
      <c r="X39" s="137"/>
      <c r="Y39" s="137"/>
      <c r="Z39" s="137"/>
    </row>
    <row r="40">
      <c r="A40" s="272" t="s">
        <v>692</v>
      </c>
      <c r="B40" s="281"/>
      <c r="C40" s="281"/>
      <c r="D40" s="360"/>
      <c r="E40" s="281"/>
      <c r="F40" s="281"/>
      <c r="G40" s="281"/>
      <c r="H40" s="281"/>
      <c r="I40" s="281"/>
      <c r="J40" s="281"/>
      <c r="K40" s="281"/>
      <c r="L40" s="281"/>
      <c r="M40" s="281"/>
      <c r="N40" s="281"/>
      <c r="O40" s="281"/>
      <c r="P40" s="281"/>
      <c r="Q40" s="281"/>
      <c r="R40" s="282"/>
      <c r="S40" s="281"/>
      <c r="T40" s="285"/>
      <c r="U40" s="281"/>
      <c r="V40" s="281"/>
      <c r="W40" s="281"/>
    </row>
    <row r="41">
      <c r="A41" s="137" t="s">
        <v>635</v>
      </c>
      <c r="B41" s="341" t="s">
        <v>703</v>
      </c>
      <c r="C41" s="361" t="s">
        <v>637</v>
      </c>
      <c r="D41" s="289">
        <f>ROUND((F41*'Pawn Weights'!$B$22)+(G41*'Pawn Weights'!$B$23)+(H41*'Pawn Weights'!$B$24)+(I41*'Pawn Weights'!$B$25)+(J41*'Pawn Weights'!$B$26)+(K41*'Pawn Weights'!$B$27)+(L41*'Pawn Weights'!$B$28)+(M41*'Pawn Weights'!$B$29)+(N41*'Pawn Weights'!$B$30)+(O41*'Pawn Weights'!$B$31)+(P41*'Pawn Weights'!$B$32)+(Q41*'Pawn Weights'!$B$33)-8+7.68+2.76, 2)</f>
        <v>88.64</v>
      </c>
      <c r="E41" s="359">
        <v>64.0</v>
      </c>
      <c r="F41" s="359">
        <v>38.0</v>
      </c>
      <c r="G41" s="361"/>
      <c r="H41" s="361"/>
      <c r="I41" s="359">
        <v>35.0</v>
      </c>
      <c r="J41" s="361"/>
      <c r="K41" s="361"/>
      <c r="L41" s="361"/>
      <c r="M41" s="137"/>
      <c r="N41" s="361"/>
      <c r="O41" s="359">
        <v>1.0</v>
      </c>
      <c r="P41" s="359">
        <v>1.0</v>
      </c>
      <c r="Q41" s="361"/>
      <c r="R41" s="359" t="s">
        <v>702</v>
      </c>
      <c r="S41" s="137"/>
      <c r="T41" s="361" t="s">
        <v>704</v>
      </c>
      <c r="U41" s="137"/>
      <c r="V41" s="137"/>
      <c r="W41" s="137"/>
      <c r="X41" s="137"/>
      <c r="Y41" s="137"/>
      <c r="Z41" s="137"/>
    </row>
    <row r="42">
      <c r="A42" s="301"/>
      <c r="B42" s="288" t="s">
        <v>707</v>
      </c>
      <c r="C42" s="280" t="s">
        <v>708</v>
      </c>
      <c r="D42" s="289">
        <f>ROUND((F42*'Pawn Weights'!$B$22)+(G42*'Pawn Weights'!$B$23)+(H42*'Pawn Weights'!$B$24)+(I42*'Pawn Weights'!$B$25)+(J42*'Pawn Weights'!$B$26)+(K42*'Pawn Weights'!$B$27)+(L42*'Pawn Weights'!$B$28)+(M42*'Pawn Weights'!$B$29)+(N42*'Pawn Weights'!$B$30)+(O42*'Pawn Weights'!$B$31)+(P42*'Pawn Weights'!$B$32)+(Q42*'Pawn Weights'!$B$33)-16+15.36+3, 2)</f>
        <v>86.44</v>
      </c>
      <c r="E42" s="280"/>
      <c r="F42" s="280">
        <v>39.0</v>
      </c>
      <c r="G42" s="280"/>
      <c r="H42" s="280"/>
      <c r="I42" s="280">
        <v>22.0</v>
      </c>
      <c r="J42" s="280">
        <v>13.0</v>
      </c>
      <c r="K42" s="280"/>
      <c r="L42" s="280"/>
      <c r="M42" s="281"/>
      <c r="N42" s="280"/>
      <c r="O42" s="280"/>
      <c r="P42" s="280">
        <v>2.0</v>
      </c>
      <c r="Q42" s="280"/>
      <c r="R42" s="290" t="s">
        <v>698</v>
      </c>
      <c r="S42" s="281"/>
      <c r="T42" s="291"/>
      <c r="U42" s="281"/>
      <c r="V42" s="281"/>
      <c r="W42" s="281"/>
    </row>
    <row r="43">
      <c r="A43" s="301"/>
      <c r="B43" s="288" t="s">
        <v>709</v>
      </c>
      <c r="C43" s="280" t="s">
        <v>710</v>
      </c>
      <c r="D43" s="289">
        <f>ROUND((F43*'Pawn Weights'!$B$22)+(G43*'Pawn Weights'!$B$23)+(H43*'Pawn Weights'!$B$24)+(I43*'Pawn Weights'!$B$25)+(J43*'Pawn Weights'!$B$26)+(K43*'Pawn Weights'!$B$27)+(L43*'Pawn Weights'!$B$28)+(M43*'Pawn Weights'!$B$29)+(N43*'Pawn Weights'!$B$30)+(O43*'Pawn Weights'!$B$31)+(P43*'Pawn Weights'!$B$32)+(Q43*'Pawn Weights'!$B$33)+1.354, 2)</f>
        <v>85.79</v>
      </c>
      <c r="E43" s="280">
        <v>28.0</v>
      </c>
      <c r="F43" s="280"/>
      <c r="G43" s="280">
        <v>33.0</v>
      </c>
      <c r="H43" s="280">
        <v>60.0</v>
      </c>
      <c r="I43" s="280">
        <v>16.0</v>
      </c>
      <c r="J43" s="280"/>
      <c r="K43" s="280"/>
      <c r="L43" s="280">
        <v>10.0</v>
      </c>
      <c r="M43" s="281"/>
      <c r="N43" s="280"/>
      <c r="O43" s="280">
        <v>1.0</v>
      </c>
      <c r="P43" s="280"/>
      <c r="Q43" s="280"/>
      <c r="R43" s="290" t="s">
        <v>711</v>
      </c>
      <c r="S43" s="281"/>
      <c r="T43" s="291" t="s">
        <v>1079</v>
      </c>
      <c r="U43" s="281"/>
      <c r="V43" s="281"/>
      <c r="W43" s="281"/>
    </row>
    <row r="44">
      <c r="A44" s="301" t="s">
        <v>647</v>
      </c>
      <c r="B44" s="288" t="s">
        <v>719</v>
      </c>
      <c r="C44" s="280" t="s">
        <v>720</v>
      </c>
      <c r="D44" s="289">
        <f>ROUND((F44*'Pawn Weights'!$B$22)+(G44*'Pawn Weights'!$B$23)+(H44*'Pawn Weights'!$B$24)+(I44*'Pawn Weights'!$B$25)+(J44*'Pawn Weights'!$B$26)+(K44*'Pawn Weights'!$B$27)+(L44*'Pawn Weights'!$B$28)+(M44*'Pawn Weights'!$B$29)+(N44*'Pawn Weights'!$B$30)+(O44*'Pawn Weights'!$B$31)+(P44*'Pawn Weights'!$B$32)+(Q44*'Pawn Weights'!$B$33), 2)</f>
        <v>82.64</v>
      </c>
      <c r="E44" s="280">
        <v>38.0</v>
      </c>
      <c r="F44" s="280">
        <v>36.0</v>
      </c>
      <c r="G44" s="280"/>
      <c r="H44" s="280"/>
      <c r="I44" s="280">
        <v>20.0</v>
      </c>
      <c r="J44" s="280">
        <v>18.0</v>
      </c>
      <c r="K44" s="280"/>
      <c r="L44" s="280"/>
      <c r="M44" s="281"/>
      <c r="N44" s="280"/>
      <c r="O44" s="280"/>
      <c r="P44" s="280">
        <v>1.0</v>
      </c>
      <c r="Q44" s="280">
        <v>1.0</v>
      </c>
      <c r="R44" s="290" t="s">
        <v>698</v>
      </c>
      <c r="S44" s="281"/>
      <c r="T44" s="291"/>
      <c r="U44" s="281"/>
      <c r="V44" s="281"/>
      <c r="W44" s="281"/>
      <c r="X44" s="281"/>
    </row>
    <row r="45">
      <c r="A45" s="295"/>
      <c r="B45" s="296" t="s">
        <v>717</v>
      </c>
      <c r="C45" s="297" t="s">
        <v>718</v>
      </c>
      <c r="D45" s="289">
        <f>ROUND((F45*'Pawn Weights'!$B$22)+(G45*'Pawn Weights'!$B$23)+(H45*'Pawn Weights'!$B$24)+(I45*'Pawn Weights'!$B$25)+(J45*'Pawn Weights'!$B$26)+(K45*'Pawn Weights'!$B$27)+(L45*'Pawn Weights'!$B$28)+(M45*'Pawn Weights'!$B$29)+(N45*'Pawn Weights'!$B$30)+(O45*'Pawn Weights'!$B$31)+(P45*'Pawn Weights'!$B$32)+(Q45*'Pawn Weights'!$B$33)+1.354, 2)</f>
        <v>82.09</v>
      </c>
      <c r="E45" s="298">
        <v>33.0</v>
      </c>
      <c r="F45" s="298">
        <v>42.0</v>
      </c>
      <c r="G45" s="297"/>
      <c r="H45" s="297"/>
      <c r="I45" s="297"/>
      <c r="J45" s="298">
        <v>23.0</v>
      </c>
      <c r="K45" s="297"/>
      <c r="L45" s="297"/>
      <c r="M45" s="359">
        <v>154.0</v>
      </c>
      <c r="N45" s="297"/>
      <c r="O45" s="297"/>
      <c r="P45" s="297"/>
      <c r="Q45" s="297"/>
      <c r="R45" s="295"/>
      <c r="S45" s="137"/>
      <c r="T45" s="295"/>
      <c r="U45" s="137"/>
      <c r="V45" s="137"/>
      <c r="W45" s="137"/>
      <c r="X45" s="137"/>
      <c r="Y45" s="137"/>
      <c r="Z45" s="137"/>
    </row>
    <row r="46">
      <c r="A46" s="301"/>
      <c r="B46" s="288" t="s">
        <v>721</v>
      </c>
      <c r="C46" s="280" t="s">
        <v>710</v>
      </c>
      <c r="D46" s="289">
        <f>ROUND((F46*'Pawn Weights'!$B$22)+(G46*'Pawn Weights'!$B$23)+(H46*'Pawn Weights'!$B$24)+(I46*'Pawn Weights'!$B$25)+(J46*'Pawn Weights'!$B$26)+(K46*'Pawn Weights'!$B$27)+(L46*'Pawn Weights'!$B$28)+(M46*'Pawn Weights'!$B$29)+(N46*'Pawn Weights'!$B$30)+(O46*'Pawn Weights'!$B$31)+(P46*'Pawn Weights'!$B$32)+(Q46*'Pawn Weights'!$B$33), 2)</f>
        <v>80.68</v>
      </c>
      <c r="E46" s="280">
        <v>21.0</v>
      </c>
      <c r="F46" s="280">
        <v>38.0</v>
      </c>
      <c r="G46" s="280"/>
      <c r="H46" s="280"/>
      <c r="I46" s="280">
        <v>29.0</v>
      </c>
      <c r="J46" s="280"/>
      <c r="K46" s="280"/>
      <c r="L46" s="280"/>
      <c r="M46" s="281"/>
      <c r="N46" s="280"/>
      <c r="O46" s="280">
        <v>1.0</v>
      </c>
      <c r="P46" s="280"/>
      <c r="Q46" s="280">
        <v>1.0</v>
      </c>
      <c r="R46" s="290" t="s">
        <v>702</v>
      </c>
      <c r="S46" s="281"/>
      <c r="T46" s="291"/>
      <c r="U46" s="281"/>
      <c r="V46" s="281"/>
      <c r="W46" s="281"/>
    </row>
    <row r="47">
      <c r="A47" s="295" t="s">
        <v>644</v>
      </c>
      <c r="B47" s="296" t="s">
        <v>1080</v>
      </c>
      <c r="C47" s="297" t="s">
        <v>646</v>
      </c>
      <c r="D47" s="289">
        <f>ROUND((F47*'Pawn Weights'!$B$22)+(G47*'Pawn Weights'!$B$23)+(H47*'Pawn Weights'!$B$24)+(I47*'Pawn Weights'!$B$25)+(J47*'Pawn Weights'!$B$26)+(K47*'Pawn Weights'!$B$27)+(L47*'Pawn Weights'!$B$28)+(M47*'Pawn Weights'!$B$29)+(N47*'Pawn Weights'!$B$30)+(O47*'Pawn Weights'!$B$31)+(P47*'Pawn Weights'!$B$32)+(Q47*'Pawn Weights'!$B$33)-8+7.68+2.76, 2)</f>
        <v>79.04</v>
      </c>
      <c r="E47" s="298">
        <v>57.0</v>
      </c>
      <c r="F47" s="298">
        <v>33.0</v>
      </c>
      <c r="G47" s="297"/>
      <c r="H47" s="297"/>
      <c r="I47" s="298">
        <v>30.0</v>
      </c>
      <c r="J47" s="297"/>
      <c r="K47" s="297"/>
      <c r="L47" s="297"/>
      <c r="M47" s="137"/>
      <c r="N47" s="297"/>
      <c r="O47" s="298">
        <v>1.0</v>
      </c>
      <c r="P47" s="298">
        <v>1.0</v>
      </c>
      <c r="Q47" s="297"/>
      <c r="R47" s="298" t="s">
        <v>702</v>
      </c>
      <c r="S47" s="137"/>
      <c r="T47" s="297" t="s">
        <v>704</v>
      </c>
      <c r="U47" s="137"/>
      <c r="V47" s="137"/>
      <c r="W47" s="137"/>
      <c r="X47" s="137"/>
      <c r="Y47" s="137"/>
      <c r="Z47" s="137"/>
    </row>
    <row r="48">
      <c r="A48" s="295" t="s">
        <v>627</v>
      </c>
      <c r="B48" s="296" t="s">
        <v>713</v>
      </c>
      <c r="C48" s="297" t="s">
        <v>714</v>
      </c>
      <c r="D48" s="289">
        <f>ROUND((F48*'Pawn Weights'!$B$22)+(G48*'Pawn Weights'!$B$23)+(H48*'Pawn Weights'!$B$24)+(I48*'Pawn Weights'!$B$25)+(J48*'Pawn Weights'!$B$26)+(K48*'Pawn Weights'!$B$27)+(L48*'Pawn Weights'!$B$28)+(M48*'Pawn Weights'!$B$29)+(N48*'Pawn Weights'!$B$30)+(O48*'Pawn Weights'!$B$31)+(P48*'Pawn Weights'!$B$32)+(Q48*'Pawn Weights'!$B$33), 2)</f>
        <v>78.82</v>
      </c>
      <c r="E48" s="298">
        <v>29.0</v>
      </c>
      <c r="F48" s="298">
        <v>47.0</v>
      </c>
      <c r="G48" s="297"/>
      <c r="H48" s="297"/>
      <c r="I48" s="297"/>
      <c r="J48" s="298">
        <v>19.0</v>
      </c>
      <c r="K48" s="298">
        <v>35.0</v>
      </c>
      <c r="L48" s="297"/>
      <c r="M48" s="137"/>
      <c r="N48" s="297"/>
      <c r="O48" s="297"/>
      <c r="P48" s="297"/>
      <c r="Q48" s="297"/>
      <c r="R48" s="295"/>
      <c r="S48" s="137"/>
      <c r="T48" s="295"/>
      <c r="U48" s="137"/>
      <c r="V48" s="137"/>
      <c r="W48" s="137"/>
      <c r="X48" s="137"/>
      <c r="Y48" s="137"/>
      <c r="Z48" s="137"/>
    </row>
    <row r="49">
      <c r="A49" s="295" t="s">
        <v>627</v>
      </c>
      <c r="B49" s="296" t="s">
        <v>1190</v>
      </c>
      <c r="C49" s="297" t="s">
        <v>1191</v>
      </c>
      <c r="D49" s="289">
        <f>ROUND((F49*'Pawn Weights'!$B$22)+(G49*'Pawn Weights'!$B$23)+(H49*'Pawn Weights'!$B$24)+(I49*'Pawn Weights'!$B$25)+(J49*'Pawn Weights'!$B$26)+(K49*'Pawn Weights'!$B$27)+(L49*'Pawn Weights'!$B$28)+(M49*'Pawn Weights'!$B$29)+(N49*'Pawn Weights'!$B$30)+(O49*'Pawn Weights'!$B$31)+(P49*'Pawn Weights'!$B$32)+(Q49*'Pawn Weights'!$B$33), 2)</f>
        <v>73.79</v>
      </c>
      <c r="E49" s="298">
        <v>34.0</v>
      </c>
      <c r="F49" s="297"/>
      <c r="G49" s="298">
        <v>29.0</v>
      </c>
      <c r="H49" s="298">
        <v>74.0</v>
      </c>
      <c r="I49" s="297"/>
      <c r="J49" s="297"/>
      <c r="K49" s="298">
        <v>38.0</v>
      </c>
      <c r="L49" s="297"/>
      <c r="M49" s="137"/>
      <c r="N49" s="297"/>
      <c r="O49" s="297"/>
      <c r="P49" s="297"/>
      <c r="Q49" s="297"/>
      <c r="R49" s="295"/>
      <c r="S49" s="137"/>
      <c r="T49" s="295"/>
      <c r="U49" s="137"/>
      <c r="V49" s="137"/>
      <c r="W49" s="137"/>
      <c r="X49" s="137"/>
      <c r="Y49" s="137"/>
      <c r="Z49" s="137"/>
    </row>
    <row r="50">
      <c r="A50" s="301" t="s">
        <v>1068</v>
      </c>
      <c r="B50" s="288" t="s">
        <v>1081</v>
      </c>
      <c r="C50" s="280" t="s">
        <v>997</v>
      </c>
      <c r="D50" s="289">
        <f>ROUND((F50*'Pawn Weights'!$B$22)+(G50*'Pawn Weights'!$B$23)+(H50*'Pawn Weights'!$B$24)+(I50*'Pawn Weights'!$B$25)+(J50*'Pawn Weights'!$B$26)+(K50*'Pawn Weights'!$B$27)+(L50*'Pawn Weights'!$B$28)+(M50*'Pawn Weights'!$B$29)+(N50*'Pawn Weights'!$B$30)+(O50*'Pawn Weights'!$B$31)+(P50*'Pawn Weights'!$B$32)+(Q50*'Pawn Weights'!$B$33)-8+7.68+3, 2)</f>
        <v>72.52</v>
      </c>
      <c r="E50" s="280">
        <v>51.0</v>
      </c>
      <c r="F50" s="280">
        <v>29.0</v>
      </c>
      <c r="G50" s="280"/>
      <c r="H50" s="280"/>
      <c r="I50" s="280">
        <v>27.0</v>
      </c>
      <c r="J50" s="280"/>
      <c r="K50" s="280"/>
      <c r="L50" s="280"/>
      <c r="M50" s="281"/>
      <c r="N50" s="280"/>
      <c r="O50" s="280">
        <v>1.0</v>
      </c>
      <c r="P50" s="280">
        <v>1.0</v>
      </c>
      <c r="Q50" s="280"/>
      <c r="R50" s="290" t="s">
        <v>698</v>
      </c>
      <c r="S50" s="281"/>
      <c r="T50" s="291" t="s">
        <v>704</v>
      </c>
      <c r="U50" s="281"/>
      <c r="V50" s="281"/>
      <c r="W50" s="281"/>
    </row>
    <row r="51">
      <c r="A51" s="295"/>
      <c r="B51" s="296" t="s">
        <v>1327</v>
      </c>
      <c r="C51" s="297" t="s">
        <v>1278</v>
      </c>
      <c r="D51" s="289">
        <f>ROUND((F51*'Pawn Weights'!$B$22)+(G51*'Pawn Weights'!$B$23)+(H51*'Pawn Weights'!$B$24)+(I51*'Pawn Weights'!$B$25)+(J51*'Pawn Weights'!$B$26)+(K51*'Pawn Weights'!$B$27)+(L51*'Pawn Weights'!$B$28)+(M51*'Pawn Weights'!$B$29)+(N51*'Pawn Weights'!$B$30)+(O51*'Pawn Weights'!$B$31)+(P51*'Pawn Weights'!$B$32)+(Q51*'Pawn Weights'!$B$33)-16+15.36+2.04, 2)</f>
        <v>71.92</v>
      </c>
      <c r="E51" s="298">
        <v>30.0</v>
      </c>
      <c r="F51" s="297"/>
      <c r="G51" s="297"/>
      <c r="H51" s="298">
        <v>58.0</v>
      </c>
      <c r="I51" s="298">
        <v>21.0</v>
      </c>
      <c r="J51" s="298">
        <v>13.0</v>
      </c>
      <c r="K51" s="297"/>
      <c r="L51" s="297"/>
      <c r="M51" s="137"/>
      <c r="N51" s="297"/>
      <c r="O51" s="297"/>
      <c r="P51" s="298">
        <v>2.0</v>
      </c>
      <c r="Q51" s="297"/>
      <c r="R51" s="298" t="s">
        <v>832</v>
      </c>
      <c r="S51" s="359"/>
      <c r="T51" s="295"/>
      <c r="U51" s="361"/>
      <c r="V51" s="137"/>
      <c r="W51" s="137"/>
      <c r="X51" s="137"/>
      <c r="Y51" s="137"/>
      <c r="Z51" s="137"/>
    </row>
    <row r="52">
      <c r="A52" s="295" t="s">
        <v>627</v>
      </c>
      <c r="B52" s="296" t="s">
        <v>1322</v>
      </c>
      <c r="C52" s="297" t="s">
        <v>1191</v>
      </c>
      <c r="D52" s="289">
        <f>ROUND((F52*'Pawn Weights'!$B$22)+(G52*'Pawn Weights'!$B$23)+(H52*'Pawn Weights'!$B$24)+(I52*'Pawn Weights'!$B$25)+(J52*'Pawn Weights'!$B$26)+(K52*'Pawn Weights'!$B$27)+(L52*'Pawn Weights'!$B$28)+(M52*'Pawn Weights'!$B$29)+(N52*'Pawn Weights'!$B$30)+(O52*'Pawn Weights'!$B$31)+(P52*'Pawn Weights'!$B$32)+(Q52*'Pawn Weights'!$B$33), 2)</f>
        <v>71.89</v>
      </c>
      <c r="E52" s="298">
        <v>19.0</v>
      </c>
      <c r="F52" s="297"/>
      <c r="G52" s="298">
        <v>27.0</v>
      </c>
      <c r="H52" s="298">
        <v>74.0</v>
      </c>
      <c r="I52" s="297"/>
      <c r="J52" s="297"/>
      <c r="K52" s="298">
        <v>37.0</v>
      </c>
      <c r="L52" s="297"/>
      <c r="M52" s="137"/>
      <c r="N52" s="297"/>
      <c r="O52" s="297"/>
      <c r="P52" s="297"/>
      <c r="Q52" s="297"/>
      <c r="R52" s="295"/>
      <c r="S52" s="137"/>
      <c r="T52" s="295"/>
      <c r="U52" s="137"/>
      <c r="V52" s="137"/>
      <c r="W52" s="137"/>
      <c r="X52" s="137"/>
      <c r="Y52" s="137"/>
      <c r="Z52" s="137"/>
    </row>
    <row r="53">
      <c r="A53" s="295" t="s">
        <v>627</v>
      </c>
      <c r="B53" s="383" t="s">
        <v>1522</v>
      </c>
      <c r="C53" s="318" t="s">
        <v>1561</v>
      </c>
      <c r="D53" s="289">
        <f>ROUND((F53*'Pawn Weights'!$B$22)+(G53*'Pawn Weights'!$B$23)+(H53*'Pawn Weights'!$B$24)+(I53*'Pawn Weights'!$B$25)+(J53*'Pawn Weights'!$B$26)+(K53*'Pawn Weights'!$B$27)+(L53*'Pawn Weights'!$B$28)+(M53*'Pawn Weights'!$B$29)+(N53*'Pawn Weights'!$B$30)+(O53*'Pawn Weights'!$B$31)+(P53*'Pawn Weights'!$B$32)+(Q53*'Pawn Weights'!$B$33)-16+15.36+2.76, 2)</f>
        <v>71.88</v>
      </c>
      <c r="E53" s="298">
        <v>12.0</v>
      </c>
      <c r="F53" s="298">
        <v>32.0</v>
      </c>
      <c r="G53" s="297"/>
      <c r="H53" s="297"/>
      <c r="I53" s="298">
        <v>17.0</v>
      </c>
      <c r="J53" s="298">
        <v>9.0</v>
      </c>
      <c r="K53" s="297"/>
      <c r="L53" s="297"/>
      <c r="M53" s="137"/>
      <c r="N53" s="297"/>
      <c r="O53" s="297"/>
      <c r="P53" s="298">
        <v>2.0</v>
      </c>
      <c r="Q53" s="297"/>
      <c r="R53" s="298" t="s">
        <v>702</v>
      </c>
      <c r="S53" s="359"/>
      <c r="T53" s="295"/>
      <c r="U53" s="361" t="s">
        <v>1524</v>
      </c>
      <c r="V53" s="137"/>
      <c r="W53" s="137"/>
      <c r="X53" s="137"/>
      <c r="Y53" s="137"/>
      <c r="Z53" s="137"/>
    </row>
    <row r="54">
      <c r="A54" s="295" t="s">
        <v>654</v>
      </c>
      <c r="B54" s="296" t="s">
        <v>1525</v>
      </c>
      <c r="C54" s="297" t="s">
        <v>790</v>
      </c>
      <c r="D54" s="289">
        <f>ROUND((F54*'Pawn Weights'!$B$22)+(G54*'Pawn Weights'!$B$23)+(H54*'Pawn Weights'!$B$24)+(I54*'Pawn Weights'!$B$25)+(J54*'Pawn Weights'!$B$26)+(K54*'Pawn Weights'!$B$27)+(L54*'Pawn Weights'!$B$28)+(M54*'Pawn Weights'!$B$29)+(N54*'Pawn Weights'!$B$30)+(O54*'Pawn Weights'!$B$31)+(P54*'Pawn Weights'!$B$32)+(Q54*'Pawn Weights'!$B$33), 2)</f>
        <v>71.73</v>
      </c>
      <c r="E54" s="298">
        <v>33.0</v>
      </c>
      <c r="F54" s="298">
        <v>32.0</v>
      </c>
      <c r="G54" s="298">
        <v>22.0</v>
      </c>
      <c r="H54" s="297"/>
      <c r="I54" s="297"/>
      <c r="J54" s="298">
        <v>13.0</v>
      </c>
      <c r="K54" s="297"/>
      <c r="L54" s="297"/>
      <c r="M54" s="137"/>
      <c r="N54" s="297"/>
      <c r="O54" s="297"/>
      <c r="P54" s="298">
        <v>1.0</v>
      </c>
      <c r="Q54" s="298">
        <v>1.0</v>
      </c>
      <c r="R54" s="298" t="s">
        <v>698</v>
      </c>
      <c r="S54" s="359"/>
      <c r="T54" s="295"/>
      <c r="U54" s="361" t="s">
        <v>1459</v>
      </c>
      <c r="V54" s="137"/>
      <c r="W54" s="137"/>
      <c r="X54" s="137"/>
      <c r="Y54" s="137"/>
      <c r="Z54" s="137"/>
    </row>
    <row r="55">
      <c r="A55" s="295" t="s">
        <v>1499</v>
      </c>
      <c r="B55" s="296" t="s">
        <v>1526</v>
      </c>
      <c r="C55" s="297" t="s">
        <v>1159</v>
      </c>
      <c r="D55" s="289">
        <f>ROUND((F55*'Pawn Weights'!$B$22)+(G55*'Pawn Weights'!$B$23)+(H55*'Pawn Weights'!$B$24)+(I55*'Pawn Weights'!$B$25)+(J55*'Pawn Weights'!$B$26)+(K55*'Pawn Weights'!$B$27)+(L55*'Pawn Weights'!$B$28)+(M55*'Pawn Weights'!$B$29)+(N55*'Pawn Weights'!$B$30)+(O55*'Pawn Weights'!$B$31)+(P55*'Pawn Weights'!$B$32)+(Q55*'Pawn Weights'!$B$33)-8+7.68+3, 2)</f>
        <v>61.84</v>
      </c>
      <c r="E55" s="298">
        <v>45.0</v>
      </c>
      <c r="F55" s="298">
        <v>22.0</v>
      </c>
      <c r="G55" s="297"/>
      <c r="H55" s="297"/>
      <c r="I55" s="298">
        <v>23.0</v>
      </c>
      <c r="J55" s="297"/>
      <c r="K55" s="297"/>
      <c r="L55" s="297"/>
      <c r="M55" s="137"/>
      <c r="N55" s="297"/>
      <c r="O55" s="298">
        <v>1.0</v>
      </c>
      <c r="P55" s="298">
        <v>1.0</v>
      </c>
      <c r="Q55" s="297"/>
      <c r="R55" s="298" t="s">
        <v>698</v>
      </c>
      <c r="S55" s="359"/>
      <c r="T55" s="295"/>
      <c r="U55" s="361" t="s">
        <v>925</v>
      </c>
      <c r="V55" s="137"/>
      <c r="W55" s="137"/>
      <c r="X55" s="137"/>
      <c r="Y55" s="137"/>
      <c r="Z55" s="137"/>
    </row>
    <row r="56">
      <c r="A56" s="295" t="s">
        <v>1439</v>
      </c>
      <c r="B56" s="383" t="s">
        <v>1440</v>
      </c>
      <c r="C56" s="318" t="s">
        <v>1441</v>
      </c>
      <c r="D56" s="289">
        <f>ROUND((F56*'Pawn Weights'!$B$22)+(G56*'Pawn Weights'!$B$23)+(H56*'Pawn Weights'!$B$24)+(I56*'Pawn Weights'!$B$25)+(J56*'Pawn Weights'!$B$26)+(K56*'Pawn Weights'!$B$27)+(L56*'Pawn Weights'!$B$28)+(M56*'Pawn Weights'!$B$29)+(N56*'Pawn Weights'!$B$30)+(O56*'Pawn Weights'!$B$31)+(P56*'Pawn Weights'!$B$32)+(Q56*'Pawn Weights'!$B$33), 2)</f>
        <v>59.26</v>
      </c>
      <c r="E56" s="298">
        <v>13.0</v>
      </c>
      <c r="F56" s="297"/>
      <c r="G56" s="298">
        <v>25.0</v>
      </c>
      <c r="H56" s="298">
        <v>34.0</v>
      </c>
      <c r="I56" s="297"/>
      <c r="J56" s="298">
        <v>16.0</v>
      </c>
      <c r="K56" s="297"/>
      <c r="L56" s="297"/>
      <c r="M56" s="137"/>
      <c r="N56" s="297"/>
      <c r="O56" s="298">
        <v>1.0</v>
      </c>
      <c r="P56" s="297"/>
      <c r="Q56" s="298">
        <v>1.0</v>
      </c>
      <c r="R56" s="298" t="s">
        <v>702</v>
      </c>
      <c r="S56" s="359"/>
      <c r="T56" s="295"/>
      <c r="U56" s="361" t="s">
        <v>1528</v>
      </c>
      <c r="V56" s="137"/>
      <c r="W56" s="137"/>
      <c r="X56" s="137"/>
      <c r="Y56" s="137"/>
      <c r="Z56" s="137"/>
    </row>
    <row r="57">
      <c r="A57" s="295" t="s">
        <v>1439</v>
      </c>
      <c r="B57" s="383" t="s">
        <v>1529</v>
      </c>
      <c r="C57" s="318" t="s">
        <v>1696</v>
      </c>
      <c r="D57" s="289">
        <f>ROUND((F57*'Pawn Weights'!$B$22)+(G57*'Pawn Weights'!$B$23)+(H57*'Pawn Weights'!$B$24)+(I57*'Pawn Weights'!$B$25)+(J57*'Pawn Weights'!$B$26)+(K57*'Pawn Weights'!$B$27)+(L57*'Pawn Weights'!$B$28)+(M57*'Pawn Weights'!$B$29)+(N57*'Pawn Weights'!$B$30)+(O57*'Pawn Weights'!$B$31)+(P57*'Pawn Weights'!$B$32)+(Q57*'Pawn Weights'!$B$33), 2)</f>
        <v>53.4</v>
      </c>
      <c r="E57" s="298">
        <v>22.0</v>
      </c>
      <c r="F57" s="298">
        <v>19.0</v>
      </c>
      <c r="G57" s="297"/>
      <c r="H57" s="297"/>
      <c r="I57" s="298">
        <v>20.0</v>
      </c>
      <c r="J57" s="297"/>
      <c r="K57" s="297"/>
      <c r="L57" s="297"/>
      <c r="M57" s="137"/>
      <c r="N57" s="297"/>
      <c r="O57" s="298">
        <v>2.0</v>
      </c>
      <c r="P57" s="297"/>
      <c r="Q57" s="297"/>
      <c r="R57" s="298" t="s">
        <v>1531</v>
      </c>
      <c r="S57" s="359"/>
      <c r="T57" s="295"/>
      <c r="U57" s="361" t="s">
        <v>1532</v>
      </c>
      <c r="V57" s="137"/>
      <c r="W57" s="137"/>
      <c r="X57" s="137"/>
      <c r="Y57" s="137"/>
      <c r="Z57" s="137"/>
    </row>
    <row r="58">
      <c r="A58" s="272" t="s">
        <v>724</v>
      </c>
      <c r="B58" s="281"/>
      <c r="C58" s="281"/>
      <c r="D58" s="360"/>
      <c r="E58" s="281"/>
      <c r="F58" s="281"/>
      <c r="G58" s="281"/>
      <c r="H58" s="281"/>
      <c r="I58" s="281"/>
      <c r="J58" s="281"/>
      <c r="K58" s="281"/>
      <c r="L58" s="281"/>
      <c r="M58" s="281"/>
      <c r="N58" s="281"/>
      <c r="O58" s="281"/>
      <c r="P58" s="281"/>
      <c r="Q58" s="281"/>
      <c r="R58" s="282"/>
      <c r="S58" s="281"/>
      <c r="T58" s="285"/>
      <c r="U58" s="281"/>
      <c r="V58" s="281"/>
      <c r="W58" s="281"/>
    </row>
    <row r="59">
      <c r="A59" s="137"/>
      <c r="B59" s="341" t="s">
        <v>728</v>
      </c>
      <c r="C59" s="361" t="s">
        <v>1082</v>
      </c>
      <c r="D59" s="289">
        <f>ROUND((F59*'Pawn Weights'!$B$22)+(G59*'Pawn Weights'!$B$23)+(H59*'Pawn Weights'!$B$24)+(I59*'Pawn Weights'!$B$25)+(J59*'Pawn Weights'!$B$26)+(K59*'Pawn Weights'!$B$27)+(L59*'Pawn Weights'!$B$28)+(M59*'Pawn Weights'!$B$29)+(N59*'Pawn Weights'!$B$30)+(O59*'Pawn Weights'!$B$31)+(P59*'Pawn Weights'!$B$32)+(Q59*'Pawn Weights'!$B$33), 2)</f>
        <v>56.11</v>
      </c>
      <c r="E59" s="359">
        <v>34.0</v>
      </c>
      <c r="F59" s="361"/>
      <c r="G59" s="361"/>
      <c r="H59" s="359">
        <v>46.0</v>
      </c>
      <c r="I59" s="359">
        <v>20.0</v>
      </c>
      <c r="J59" s="361"/>
      <c r="K59" s="361"/>
      <c r="L59" s="361"/>
      <c r="M59" s="359">
        <v>112.0</v>
      </c>
      <c r="N59" s="361"/>
      <c r="O59" s="361"/>
      <c r="P59" s="361"/>
      <c r="Q59" s="361"/>
      <c r="R59" s="137"/>
      <c r="S59" s="137"/>
      <c r="T59" s="361" t="s">
        <v>704</v>
      </c>
      <c r="U59" s="137"/>
      <c r="V59" s="137"/>
      <c r="W59" s="137"/>
      <c r="X59" s="137"/>
      <c r="Y59" s="137"/>
      <c r="Z59" s="137"/>
    </row>
    <row r="60">
      <c r="A60" s="281"/>
      <c r="B60" s="302" t="s">
        <v>738</v>
      </c>
      <c r="C60" s="280" t="s">
        <v>739</v>
      </c>
      <c r="D60" s="289">
        <f>ROUND((F60*'Pawn Weights'!$B$22)+(G60*'Pawn Weights'!$B$23)+(H60*'Pawn Weights'!$B$24)+(I60*'Pawn Weights'!$B$25)+(J60*'Pawn Weights'!$B$26)+(K60*'Pawn Weights'!$B$27)+(L60*'Pawn Weights'!$B$28)+(M60*'Pawn Weights'!$B$29)+(N60*'Pawn Weights'!$B$30)+(O60*'Pawn Weights'!$B$31)+(P60*'Pawn Weights'!$B$32)+(Q60*'Pawn Weights'!$B$33), 2)</f>
        <v>54.87</v>
      </c>
      <c r="E60" s="280"/>
      <c r="F60" s="280"/>
      <c r="G60" s="280"/>
      <c r="H60" s="280">
        <v>60.0</v>
      </c>
      <c r="I60" s="280">
        <v>30.0</v>
      </c>
      <c r="J60" s="280"/>
      <c r="K60" s="280"/>
      <c r="L60" s="280"/>
      <c r="M60" s="280"/>
      <c r="N60" s="280"/>
      <c r="O60" s="280"/>
      <c r="P60" s="280"/>
      <c r="Q60" s="280"/>
      <c r="R60" s="290"/>
      <c r="S60" s="281"/>
      <c r="T60" s="222"/>
      <c r="U60" s="281"/>
      <c r="V60" s="281"/>
      <c r="W60" s="281"/>
      <c r="X60" s="281"/>
    </row>
    <row r="61">
      <c r="A61" s="295" t="s">
        <v>627</v>
      </c>
      <c r="B61" s="296" t="s">
        <v>729</v>
      </c>
      <c r="C61" s="297" t="s">
        <v>730</v>
      </c>
      <c r="D61" s="289">
        <f>ROUND((F61*'Pawn Weights'!$B$22)+(G61*'Pawn Weights'!$B$23)+(H61*'Pawn Weights'!$B$24)+(I61*'Pawn Weights'!$B$25)+(J61*'Pawn Weights'!$B$26)+(K61*'Pawn Weights'!$B$27)+(L61*'Pawn Weights'!$B$28)+(M61*'Pawn Weights'!$B$29)+(N61*'Pawn Weights'!$B$30)+(O61*'Pawn Weights'!$B$31)+(P61*'Pawn Weights'!$B$32)+(Q61*'Pawn Weights'!$B$33)+1.36, 2)</f>
        <v>54.15</v>
      </c>
      <c r="E61" s="297"/>
      <c r="F61" s="297"/>
      <c r="G61" s="297"/>
      <c r="H61" s="298">
        <v>52.0</v>
      </c>
      <c r="I61" s="298">
        <v>23.0</v>
      </c>
      <c r="J61" s="297"/>
      <c r="K61" s="297"/>
      <c r="L61" s="297"/>
      <c r="M61" s="137"/>
      <c r="N61" s="297"/>
      <c r="O61" s="298">
        <v>1.0</v>
      </c>
      <c r="P61" s="297"/>
      <c r="Q61" s="297"/>
      <c r="R61" s="298" t="s">
        <v>731</v>
      </c>
      <c r="S61" s="359"/>
      <c r="T61" s="291" t="s">
        <v>1083</v>
      </c>
      <c r="U61" s="137"/>
      <c r="V61" s="137"/>
      <c r="W61" s="137"/>
      <c r="X61" s="137"/>
      <c r="Y61" s="137"/>
      <c r="Z61" s="137"/>
    </row>
    <row r="62">
      <c r="A62" s="303" t="s">
        <v>627</v>
      </c>
      <c r="B62" s="302" t="s">
        <v>734</v>
      </c>
      <c r="C62" s="154" t="s">
        <v>735</v>
      </c>
      <c r="D62" s="289">
        <f>ROUND((F62*'Pawn Weights'!$B$22)+(G62*'Pawn Weights'!$B$23)+(H62*'Pawn Weights'!$B$24)+(I62*'Pawn Weights'!$B$25)+(J62*'Pawn Weights'!$B$26)+(K62*'Pawn Weights'!$B$27)+(L62*'Pawn Weights'!$B$28)+(M62*'Pawn Weights'!$B$29)+(N62*'Pawn Weights'!$B$30)+(O62*'Pawn Weights'!$B$31)+(P62*'Pawn Weights'!$B$32)+(Q62*'Pawn Weights'!$B$33), 2)</f>
        <v>53.08</v>
      </c>
      <c r="E62" s="280">
        <v>25.0</v>
      </c>
      <c r="F62" s="280">
        <v>23.0</v>
      </c>
      <c r="G62" s="280"/>
      <c r="H62" s="280"/>
      <c r="I62" s="280">
        <v>24.0</v>
      </c>
      <c r="J62" s="280"/>
      <c r="K62" s="280"/>
      <c r="L62" s="280"/>
      <c r="M62" s="281"/>
      <c r="N62" s="280"/>
      <c r="O62" s="280"/>
      <c r="P62" s="280"/>
      <c r="Q62" s="280">
        <v>1.0</v>
      </c>
      <c r="R62" s="290" t="s">
        <v>736</v>
      </c>
      <c r="S62" s="281"/>
      <c r="T62" s="291" t="s">
        <v>737</v>
      </c>
      <c r="U62" s="281"/>
      <c r="V62" s="281"/>
      <c r="W62" s="281"/>
      <c r="X62" s="304"/>
      <c r="Y62" s="304"/>
      <c r="Z62" s="304"/>
    </row>
    <row r="63" ht="1.5" customHeight="1">
      <c r="A63" s="281"/>
      <c r="B63" s="302" t="s">
        <v>740</v>
      </c>
      <c r="C63" s="280" t="s">
        <v>741</v>
      </c>
      <c r="D63" s="289">
        <f>ROUND((F63*'Pawn Weights'!$B$22)+(G63*'Pawn Weights'!$B$23)+(H63*'Pawn Weights'!$B$24)+(I63*'Pawn Weights'!$B$25)+(J63*'Pawn Weights'!$B$26)+(K63*'Pawn Weights'!$B$27)+(L63*'Pawn Weights'!$B$28)+(M63*'Pawn Weights'!$B$29)+(N63*'Pawn Weights'!$B$30)+(O63*'Pawn Weights'!$B$31)+(P63*'Pawn Weights'!$B$32)+(Q63*'Pawn Weights'!$B$33), 2)</f>
        <v>49.86</v>
      </c>
      <c r="E63" s="280">
        <v>28.0</v>
      </c>
      <c r="F63" s="280"/>
      <c r="G63" s="280">
        <v>28.0</v>
      </c>
      <c r="H63" s="280">
        <v>68.0</v>
      </c>
      <c r="I63" s="280"/>
      <c r="J63" s="280"/>
      <c r="K63" s="280"/>
      <c r="L63" s="280"/>
      <c r="M63" s="280"/>
      <c r="N63" s="280"/>
      <c r="O63" s="280"/>
      <c r="P63" s="280"/>
      <c r="Q63" s="280"/>
      <c r="R63" s="290"/>
      <c r="S63" s="281"/>
      <c r="T63" s="222"/>
      <c r="U63" s="281"/>
      <c r="V63" s="281"/>
      <c r="W63" s="281"/>
      <c r="X63" s="281"/>
    </row>
    <row r="64">
      <c r="A64" s="281"/>
      <c r="B64" s="302" t="s">
        <v>1084</v>
      </c>
      <c r="C64" s="280" t="s">
        <v>900</v>
      </c>
      <c r="D64" s="289">
        <f>ROUND((F64*'Pawn Weights'!$B$22)+(G64*'Pawn Weights'!$B$23)+(H64*'Pawn Weights'!$B$24)+(I64*'Pawn Weights'!$B$25)+(J64*'Pawn Weights'!$B$26)+(K64*'Pawn Weights'!$B$27)+(L64*'Pawn Weights'!$B$28)+(M64*'Pawn Weights'!$B$29)+(N64*'Pawn Weights'!$B$30)+(O64*'Pawn Weights'!$B$31)+(P64*'Pawn Weights'!$B$32)+(Q64*'Pawn Weights'!$B$33), 2)</f>
        <v>48.57</v>
      </c>
      <c r="E64" s="280">
        <v>22.0</v>
      </c>
      <c r="F64" s="280">
        <v>33.0</v>
      </c>
      <c r="G64" s="280">
        <v>23.0</v>
      </c>
      <c r="H64" s="280"/>
      <c r="I64" s="280"/>
      <c r="J64" s="280"/>
      <c r="K64" s="280"/>
      <c r="L64" s="280"/>
      <c r="M64" s="280"/>
      <c r="N64" s="280"/>
      <c r="O64" s="280"/>
      <c r="P64" s="280"/>
      <c r="Q64" s="280"/>
      <c r="R64" s="290"/>
      <c r="S64" s="281"/>
      <c r="T64" s="222"/>
      <c r="U64" s="281"/>
      <c r="V64" s="281"/>
      <c r="W64" s="281"/>
      <c r="X64" s="281"/>
    </row>
    <row r="65">
      <c r="A65" s="137"/>
      <c r="B65" s="296" t="s">
        <v>1533</v>
      </c>
      <c r="C65" s="297" t="s">
        <v>1534</v>
      </c>
      <c r="D65" s="289">
        <f>ROUND((F65*'Pawn Weights'!$B$22)+(G65*'Pawn Weights'!$B$23)+(H65*'Pawn Weights'!$B$24)+(I65*'Pawn Weights'!$B$25)+(J65*'Pawn Weights'!$B$26)+(K65*'Pawn Weights'!$B$27)+(L65*'Pawn Weights'!$B$28)+(M65*'Pawn Weights'!$B$29)+(N65*'Pawn Weights'!$B$30)+(O65*'Pawn Weights'!$B$31)+(P65*'Pawn Weights'!$B$32)+(Q65*'Pawn Weights'!$B$33), 2)</f>
        <v>47.53</v>
      </c>
      <c r="E65" s="298">
        <v>28.0</v>
      </c>
      <c r="F65" s="297"/>
      <c r="G65" s="297"/>
      <c r="H65" s="298">
        <v>56.0</v>
      </c>
      <c r="I65" s="298">
        <v>24.0</v>
      </c>
      <c r="J65" s="297"/>
      <c r="K65" s="297"/>
      <c r="L65" s="297"/>
      <c r="M65" s="295"/>
      <c r="N65" s="297"/>
      <c r="O65" s="297"/>
      <c r="P65" s="297"/>
      <c r="Q65" s="297"/>
      <c r="R65" s="295"/>
      <c r="S65" s="137"/>
      <c r="T65" s="137"/>
      <c r="U65" s="137"/>
      <c r="V65" s="137"/>
      <c r="W65" s="137"/>
      <c r="X65" s="137"/>
      <c r="Y65" s="137"/>
      <c r="Z65" s="137"/>
    </row>
    <row r="66">
      <c r="A66" s="137"/>
      <c r="B66" s="296" t="s">
        <v>1200</v>
      </c>
      <c r="C66" s="297" t="s">
        <v>1201</v>
      </c>
      <c r="D66" s="289">
        <f>ROUND((F66*'Pawn Weights'!$B$22)+(G66*'Pawn Weights'!$B$23)+(H66*'Pawn Weights'!$B$24)+(I66*'Pawn Weights'!$B$25)+(J66*'Pawn Weights'!$B$26)+(K66*'Pawn Weights'!$B$27)+(L66*'Pawn Weights'!$B$28)+(M66*'Pawn Weights'!$B$29)+(N66*'Pawn Weights'!$B$30)+(O66*'Pawn Weights'!$B$31)+(P66*'Pawn Weights'!$B$32)+(Q66*'Pawn Weights'!$B$33), 2)</f>
        <v>43.26</v>
      </c>
      <c r="E66" s="298">
        <v>21.0</v>
      </c>
      <c r="F66" s="297"/>
      <c r="G66" s="298">
        <v>24.0</v>
      </c>
      <c r="H66" s="298">
        <v>34.0</v>
      </c>
      <c r="I66" s="297"/>
      <c r="J66" s="298">
        <v>17.0</v>
      </c>
      <c r="K66" s="297"/>
      <c r="L66" s="297"/>
      <c r="M66" s="297"/>
      <c r="N66" s="297"/>
      <c r="O66" s="297"/>
      <c r="P66" s="297"/>
      <c r="Q66" s="297"/>
      <c r="R66" s="295"/>
      <c r="S66" s="137"/>
      <c r="T66" s="137"/>
      <c r="U66" s="137"/>
      <c r="V66" s="137"/>
      <c r="W66" s="137"/>
      <c r="X66" s="137"/>
      <c r="Y66" s="137"/>
      <c r="Z66" s="137"/>
    </row>
    <row r="67">
      <c r="A67" s="137"/>
      <c r="B67" s="383" t="s">
        <v>1535</v>
      </c>
      <c r="C67" s="297" t="s">
        <v>1536</v>
      </c>
      <c r="D67" s="289">
        <f>ROUND((F67*'Pawn Weights'!$B$22)+(G67*'Pawn Weights'!$B$23)+(H67*'Pawn Weights'!$B$24)+(I67*'Pawn Weights'!$B$25)+(J67*'Pawn Weights'!$B$26)+(K67*'Pawn Weights'!$B$27)+(L67*'Pawn Weights'!$B$28)+(M67*'Pawn Weights'!$B$29)+(N67*'Pawn Weights'!$B$30)+(O67*'Pawn Weights'!$B$31)+(P67*'Pawn Weights'!$B$32)+(Q67*'Pawn Weights'!$B$33), 2)</f>
        <v>41.08</v>
      </c>
      <c r="E67" s="298">
        <v>15.0</v>
      </c>
      <c r="F67" s="297"/>
      <c r="G67" s="297"/>
      <c r="H67" s="298">
        <v>30.0</v>
      </c>
      <c r="I67" s="298">
        <v>18.0</v>
      </c>
      <c r="J67" s="298">
        <v>16.0</v>
      </c>
      <c r="K67" s="297"/>
      <c r="L67" s="297"/>
      <c r="M67" s="297"/>
      <c r="N67" s="297"/>
      <c r="O67" s="297"/>
      <c r="P67" s="297"/>
      <c r="Q67" s="297"/>
      <c r="R67" s="295"/>
      <c r="S67" s="137"/>
      <c r="T67" s="137"/>
      <c r="U67" s="137"/>
      <c r="V67" s="137"/>
      <c r="W67" s="137"/>
      <c r="X67" s="137"/>
      <c r="Y67" s="137"/>
      <c r="Z67" s="137"/>
    </row>
    <row r="68">
      <c r="A68" s="137"/>
      <c r="B68" s="383" t="s">
        <v>1537</v>
      </c>
      <c r="C68" s="297" t="s">
        <v>1307</v>
      </c>
      <c r="D68" s="289">
        <f>ROUND((F68*'Pawn Weights'!$B$22)+(G68*'Pawn Weights'!$B$23)+(H68*'Pawn Weights'!$B$24)+(I68*'Pawn Weights'!$B$25)+(J68*'Pawn Weights'!$B$26)+(K68*'Pawn Weights'!$B$27)+(L68*'Pawn Weights'!$B$28)+(M68*'Pawn Weights'!$B$29)+(N68*'Pawn Weights'!$B$30)+(O68*'Pawn Weights'!$B$31)+(P68*'Pawn Weights'!$B$32)+(Q68*'Pawn Weights'!$B$33), 2)</f>
        <v>38.32</v>
      </c>
      <c r="E68" s="298">
        <v>19.0</v>
      </c>
      <c r="F68" s="298">
        <v>19.0</v>
      </c>
      <c r="G68" s="297"/>
      <c r="H68" s="297"/>
      <c r="I68" s="298">
        <v>21.0</v>
      </c>
      <c r="J68" s="297"/>
      <c r="K68" s="297"/>
      <c r="L68" s="297"/>
      <c r="M68" s="297"/>
      <c r="N68" s="297"/>
      <c r="O68" s="297"/>
      <c r="P68" s="297"/>
      <c r="Q68" s="297"/>
      <c r="R68" s="295"/>
      <c r="S68" s="137"/>
      <c r="T68" s="137"/>
      <c r="U68" s="137"/>
      <c r="V68" s="137"/>
      <c r="W68" s="137"/>
      <c r="X68" s="137"/>
      <c r="Y68" s="137"/>
      <c r="Z68" s="137"/>
    </row>
    <row r="69">
      <c r="A69" s="137"/>
      <c r="B69" s="296" t="s">
        <v>1538</v>
      </c>
      <c r="C69" s="297" t="s">
        <v>1104</v>
      </c>
      <c r="D69" s="289">
        <f>ROUND((F69*'Pawn Weights'!$B$22)+(G69*'Pawn Weights'!$B$23)+(H69*'Pawn Weights'!$B$24)+(I69*'Pawn Weights'!$B$25)+(J69*'Pawn Weights'!$B$26)+(K69*'Pawn Weights'!$B$27)+(L69*'Pawn Weights'!$B$28)+(M69*'Pawn Weights'!$B$29)+(N69*'Pawn Weights'!$B$30)+(O69*'Pawn Weights'!$B$31)+(P69*'Pawn Weights'!$B$32)+(Q69*'Pawn Weights'!$B$33), 2)</f>
        <v>36.88</v>
      </c>
      <c r="E69" s="298">
        <v>31.0</v>
      </c>
      <c r="F69" s="298">
        <v>26.0</v>
      </c>
      <c r="G69" s="297"/>
      <c r="H69" s="297"/>
      <c r="I69" s="297"/>
      <c r="J69" s="298">
        <v>16.0</v>
      </c>
      <c r="K69" s="297"/>
      <c r="L69" s="297"/>
      <c r="M69" s="297"/>
      <c r="N69" s="297"/>
      <c r="O69" s="297"/>
      <c r="P69" s="297"/>
      <c r="Q69" s="297"/>
      <c r="R69" s="295"/>
      <c r="S69" s="137"/>
      <c r="T69" s="137"/>
      <c r="U69" s="361" t="s">
        <v>1539</v>
      </c>
      <c r="V69" s="137"/>
      <c r="W69" s="137"/>
      <c r="X69" s="137"/>
      <c r="Y69" s="137"/>
      <c r="Z69" s="137"/>
    </row>
    <row r="70">
      <c r="A70" s="137"/>
      <c r="B70" s="383" t="s">
        <v>1540</v>
      </c>
      <c r="C70" s="297" t="s">
        <v>1541</v>
      </c>
      <c r="D70" s="289">
        <f>ROUND((F70*'Pawn Weights'!$B$22)+(G70*'Pawn Weights'!$B$23)+(H70*'Pawn Weights'!$B$24)+(I70*'Pawn Weights'!$B$25)+(J70*'Pawn Weights'!$B$26)+(K70*'Pawn Weights'!$B$27)+(L70*'Pawn Weights'!$B$28)+(M70*'Pawn Weights'!$B$29)+(N70*'Pawn Weights'!$B$30)+(O70*'Pawn Weights'!$B$31)+(P70*'Pawn Weights'!$B$32)+(Q70*'Pawn Weights'!$B$33), 2)</f>
        <v>32.32</v>
      </c>
      <c r="E70" s="298">
        <v>21.0</v>
      </c>
      <c r="F70" s="298">
        <v>14.0</v>
      </c>
      <c r="G70" s="298">
        <v>14.0</v>
      </c>
      <c r="H70" s="297"/>
      <c r="I70" s="297"/>
      <c r="J70" s="298">
        <v>13.0</v>
      </c>
      <c r="K70" s="297"/>
      <c r="L70" s="297"/>
      <c r="M70" s="297"/>
      <c r="N70" s="297"/>
      <c r="O70" s="297"/>
      <c r="P70" s="297"/>
      <c r="Q70" s="297"/>
      <c r="R70" s="295"/>
      <c r="S70" s="137"/>
      <c r="T70" s="137"/>
      <c r="U70" s="361" t="s">
        <v>1542</v>
      </c>
      <c r="V70" s="137"/>
      <c r="W70" s="137"/>
      <c r="X70" s="137"/>
      <c r="Y70" s="137"/>
      <c r="Z70" s="137"/>
    </row>
    <row r="71">
      <c r="A71" s="272" t="s">
        <v>742</v>
      </c>
      <c r="B71" s="281"/>
      <c r="C71" s="281"/>
      <c r="D71" s="360"/>
      <c r="E71" s="281"/>
      <c r="F71" s="281"/>
      <c r="G71" s="281"/>
      <c r="H71" s="281"/>
      <c r="I71" s="281"/>
      <c r="J71" s="281"/>
      <c r="K71" s="281"/>
      <c r="L71" s="281"/>
      <c r="M71" s="281"/>
      <c r="N71" s="281"/>
      <c r="O71" s="281"/>
      <c r="P71" s="281"/>
      <c r="Q71" s="281"/>
      <c r="R71" s="282"/>
      <c r="S71" s="281"/>
      <c r="T71" s="222"/>
      <c r="U71" s="281"/>
      <c r="V71" s="281"/>
      <c r="W71" s="281"/>
    </row>
    <row r="72">
      <c r="A72" s="137" t="s">
        <v>627</v>
      </c>
      <c r="B72" s="381" t="s">
        <v>746</v>
      </c>
      <c r="C72" s="361" t="s">
        <v>747</v>
      </c>
      <c r="D72" s="289">
        <f>ROUND((F72*'Pawn Weights'!$B$22)+(G72*'Pawn Weights'!$B$23)+(H72*'Pawn Weights'!$B$24)+(I72*'Pawn Weights'!$B$25)+(J72*'Pawn Weights'!$B$26)+(K72*'Pawn Weights'!$B$27)+(L72*'Pawn Weights'!$B$28)+(M72*'Pawn Weights'!$B$29)+(N72*'Pawn Weights'!$B$30)+(O72*'Pawn Weights'!$B$31)+(P72*'Pawn Weights'!$B$32)+(Q72*'Pawn Weights'!$B$33)+3.68, 2)</f>
        <v>168.4</v>
      </c>
      <c r="E72" s="359">
        <v>55.0</v>
      </c>
      <c r="F72" s="359">
        <v>61.0</v>
      </c>
      <c r="G72" s="361"/>
      <c r="H72" s="361"/>
      <c r="I72" s="359">
        <v>41.0</v>
      </c>
      <c r="J72" s="361"/>
      <c r="K72" s="361"/>
      <c r="L72" s="361"/>
      <c r="M72" s="359">
        <v>280.0</v>
      </c>
      <c r="N72" s="361"/>
      <c r="O72" s="359">
        <v>3.0</v>
      </c>
      <c r="P72" s="361"/>
      <c r="Q72" s="361"/>
      <c r="R72" s="359" t="s">
        <v>624</v>
      </c>
      <c r="S72" s="137"/>
      <c r="T72" s="361" t="s">
        <v>748</v>
      </c>
      <c r="U72" s="137"/>
      <c r="V72" s="137"/>
      <c r="W72" s="137"/>
      <c r="X72" s="137"/>
      <c r="Y72" s="137"/>
      <c r="Z72" s="137"/>
    </row>
    <row r="73">
      <c r="A73" s="137"/>
      <c r="B73" s="381" t="s">
        <v>749</v>
      </c>
      <c r="C73" s="361" t="s">
        <v>750</v>
      </c>
      <c r="D73" s="289">
        <f>ROUND((F73*'Pawn Weights'!$B$22)+(G73*'Pawn Weights'!$B$23)+(H73*'Pawn Weights'!$B$24)+(I73*'Pawn Weights'!$B$25)+(J73*'Pawn Weights'!$B$26)+(K73*'Pawn Weights'!$B$27)+(L73*'Pawn Weights'!$B$28)+(M73*'Pawn Weights'!$B$29)+(N73*'Pawn Weights'!$B$30)+(O73*'Pawn Weights'!$B$31)+(P73*'Pawn Weights'!$B$32)+(Q73*'Pawn Weights'!$B$33)-8+7.68+3.636, 2)</f>
        <v>151.21</v>
      </c>
      <c r="E73" s="359">
        <v>45.0</v>
      </c>
      <c r="F73" s="361"/>
      <c r="G73" s="359">
        <v>42.0</v>
      </c>
      <c r="H73" s="359">
        <v>120.0</v>
      </c>
      <c r="I73" s="361"/>
      <c r="J73" s="359">
        <v>30.0</v>
      </c>
      <c r="K73" s="359">
        <v>38.0</v>
      </c>
      <c r="L73" s="361"/>
      <c r="M73" s="137"/>
      <c r="N73" s="361"/>
      <c r="O73" s="359">
        <v>2.0</v>
      </c>
      <c r="P73" s="359">
        <v>1.0</v>
      </c>
      <c r="Q73" s="361"/>
      <c r="R73" s="359" t="s">
        <v>745</v>
      </c>
      <c r="S73" s="137"/>
      <c r="T73" s="406" t="s">
        <v>748</v>
      </c>
      <c r="U73" s="137"/>
      <c r="V73" s="137"/>
      <c r="W73" s="137"/>
      <c r="X73" s="137"/>
      <c r="Y73" s="137"/>
      <c r="Z73" s="137"/>
    </row>
    <row r="74">
      <c r="A74" s="137" t="s">
        <v>635</v>
      </c>
      <c r="B74" s="381" t="s">
        <v>754</v>
      </c>
      <c r="C74" s="361" t="s">
        <v>637</v>
      </c>
      <c r="D74" s="289">
        <f>ROUND((F74*'Pawn Weights'!$B$22)+(G74*'Pawn Weights'!$B$23)+(H74*'Pawn Weights'!$B$24)+(I74*'Pawn Weights'!$B$25)+(J74*'Pawn Weights'!$B$26)+(K74*'Pawn Weights'!$B$27)+(L74*'Pawn Weights'!$B$28)+(M74*'Pawn Weights'!$B$29)+(N74*'Pawn Weights'!$B$30)+(O74*'Pawn Weights'!$B$31)+(P74*'Pawn Weights'!$B$32)+(Q74*'Pawn Weights'!$B$33)-8+7.68+3.68, 2)</f>
        <v>138.6</v>
      </c>
      <c r="E74" s="359">
        <v>76.0</v>
      </c>
      <c r="F74" s="359">
        <v>45.0</v>
      </c>
      <c r="G74" s="361"/>
      <c r="H74" s="361"/>
      <c r="I74" s="359">
        <v>45.0</v>
      </c>
      <c r="J74" s="359">
        <v>18.0</v>
      </c>
      <c r="K74" s="361"/>
      <c r="L74" s="361"/>
      <c r="M74" s="359">
        <v>84.0</v>
      </c>
      <c r="N74" s="361"/>
      <c r="O74" s="359">
        <v>2.0</v>
      </c>
      <c r="P74" s="359">
        <v>1.0</v>
      </c>
      <c r="Q74" s="361"/>
      <c r="R74" s="359" t="s">
        <v>624</v>
      </c>
      <c r="S74" s="137"/>
      <c r="T74" s="361" t="s">
        <v>755</v>
      </c>
      <c r="U74" s="137"/>
      <c r="V74" s="137"/>
      <c r="W74" s="137"/>
      <c r="X74" s="137"/>
      <c r="Y74" s="137"/>
      <c r="Z74" s="137"/>
    </row>
    <row r="75">
      <c r="A75" s="137" t="s">
        <v>627</v>
      </c>
      <c r="B75" s="381" t="s">
        <v>753</v>
      </c>
      <c r="C75" s="361" t="s">
        <v>750</v>
      </c>
      <c r="D75" s="289">
        <f>ROUND((F75*'Pawn Weights'!$B$22)+(G75*'Pawn Weights'!$B$23)+(H75*'Pawn Weights'!$B$24)+(I75*'Pawn Weights'!$B$25)+(J75*'Pawn Weights'!$B$26)+(K75*'Pawn Weights'!$B$27)+(L75*'Pawn Weights'!$B$28)+(M75*'Pawn Weights'!$B$29)+(N75*'Pawn Weights'!$B$30)+(O75*'Pawn Weights'!$B$31)+(P75*'Pawn Weights'!$B$32)+(Q75*'Pawn Weights'!$B$33)+3.636, 2)</f>
        <v>128.45</v>
      </c>
      <c r="E75" s="359">
        <v>43.0</v>
      </c>
      <c r="F75" s="361"/>
      <c r="G75" s="359">
        <v>44.0</v>
      </c>
      <c r="H75" s="359">
        <v>104.0</v>
      </c>
      <c r="I75" s="361"/>
      <c r="J75" s="361"/>
      <c r="K75" s="359">
        <v>44.0</v>
      </c>
      <c r="L75" s="361"/>
      <c r="M75" s="137"/>
      <c r="N75" s="361"/>
      <c r="O75" s="359">
        <v>3.0</v>
      </c>
      <c r="P75" s="361"/>
      <c r="Q75" s="361"/>
      <c r="R75" s="359" t="s">
        <v>745</v>
      </c>
      <c r="S75" s="137"/>
      <c r="T75" s="406" t="s">
        <v>748</v>
      </c>
      <c r="U75" s="137"/>
      <c r="V75" s="137"/>
      <c r="W75" s="137"/>
      <c r="X75" s="137"/>
      <c r="Y75" s="137"/>
      <c r="Z75" s="137"/>
    </row>
    <row r="76">
      <c r="A76" s="137" t="s">
        <v>644</v>
      </c>
      <c r="B76" s="381" t="s">
        <v>759</v>
      </c>
      <c r="C76" s="361" t="s">
        <v>646</v>
      </c>
      <c r="D76" s="289">
        <f>ROUND((F76*'Pawn Weights'!$B$22)+(G76*'Pawn Weights'!$B$23)+(H76*'Pawn Weights'!$B$24)+(I76*'Pawn Weights'!$B$25)+(J76*'Pawn Weights'!$B$26)+(K76*'Pawn Weights'!$B$27)+(L76*'Pawn Weights'!$B$28)+(M76*'Pawn Weights'!$B$29)+(N76*'Pawn Weights'!$B$30)+(O76*'Pawn Weights'!$B$31)+(P76*'Pawn Weights'!$B$32)+(Q76*'Pawn Weights'!$B$33)-8+7.68+3.68, 2)</f>
        <v>123</v>
      </c>
      <c r="E76" s="359">
        <v>67.0</v>
      </c>
      <c r="F76" s="359">
        <v>39.0</v>
      </c>
      <c r="G76" s="361"/>
      <c r="H76" s="361"/>
      <c r="I76" s="359">
        <v>39.0</v>
      </c>
      <c r="J76" s="359">
        <v>12.0</v>
      </c>
      <c r="K76" s="361"/>
      <c r="L76" s="361"/>
      <c r="M76" s="359">
        <v>84.0</v>
      </c>
      <c r="N76" s="361"/>
      <c r="O76" s="359">
        <v>2.0</v>
      </c>
      <c r="P76" s="359">
        <v>1.0</v>
      </c>
      <c r="Q76" s="361"/>
      <c r="R76" s="359" t="s">
        <v>624</v>
      </c>
      <c r="S76" s="137"/>
      <c r="T76" s="361" t="s">
        <v>755</v>
      </c>
      <c r="U76" s="137"/>
      <c r="V76" s="137"/>
      <c r="W76" s="137"/>
      <c r="X76" s="137"/>
      <c r="Y76" s="137"/>
      <c r="Z76" s="137"/>
    </row>
    <row r="77">
      <c r="A77" s="292" t="s">
        <v>627</v>
      </c>
      <c r="B77" s="305" t="s">
        <v>760</v>
      </c>
      <c r="C77" s="280" t="s">
        <v>761</v>
      </c>
      <c r="D77" s="289">
        <f>ROUND((F77*'Pawn Weights'!$B$22)+(G77*'Pawn Weights'!$B$23)+(H77*'Pawn Weights'!$B$24)+(I77*'Pawn Weights'!$B$25)+(J77*'Pawn Weights'!$B$26)+(K77*'Pawn Weights'!$B$27)+(L77*'Pawn Weights'!$B$28)+(M77*'Pawn Weights'!$B$29)+(N77*'Pawn Weights'!$B$30)+(O77*'Pawn Weights'!$B$31)+(P77*'Pawn Weights'!$B$32)+(Q77*'Pawn Weights'!$B$33), 2)</f>
        <v>118.72</v>
      </c>
      <c r="E77" s="280">
        <v>56.0</v>
      </c>
      <c r="F77" s="280">
        <v>40.0</v>
      </c>
      <c r="G77" s="280"/>
      <c r="H77" s="280"/>
      <c r="I77" s="280">
        <v>41.0</v>
      </c>
      <c r="J77" s="280">
        <v>25.0</v>
      </c>
      <c r="K77" s="280"/>
      <c r="L77" s="280"/>
      <c r="M77" s="281"/>
      <c r="N77" s="280"/>
      <c r="O77" s="280"/>
      <c r="P77" s="280">
        <v>2.0</v>
      </c>
      <c r="Q77" s="280">
        <v>1.0</v>
      </c>
      <c r="R77" s="290" t="s">
        <v>624</v>
      </c>
      <c r="S77" s="281"/>
      <c r="T77" s="291" t="s">
        <v>762</v>
      </c>
      <c r="U77" s="281"/>
      <c r="V77" s="281"/>
      <c r="W77" s="281"/>
    </row>
    <row r="78">
      <c r="A78" s="281"/>
      <c r="B78" s="305" t="s">
        <v>764</v>
      </c>
      <c r="C78" s="307" t="s">
        <v>765</v>
      </c>
      <c r="D78" s="289">
        <f>ROUND((F78*'Pawn Weights'!$B$22)+(G78*'Pawn Weights'!$B$23)+(H78*'Pawn Weights'!$B$24)+(I78*'Pawn Weights'!$B$25)+(J78*'Pawn Weights'!$B$26)+(K78*'Pawn Weights'!$B$27)+(L78*'Pawn Weights'!$B$28)+(M78*'Pawn Weights'!$B$29)+(N78*'Pawn Weights'!$B$30)+(O78*'Pawn Weights'!$B$31)+(P78*'Pawn Weights'!$B$32)+(Q78*'Pawn Weights'!$B$33), 2)</f>
        <v>117.29</v>
      </c>
      <c r="E78" s="280">
        <v>24.0</v>
      </c>
      <c r="F78" s="280"/>
      <c r="G78" s="280"/>
      <c r="H78" s="280">
        <v>92.0</v>
      </c>
      <c r="I78" s="280">
        <v>36.0</v>
      </c>
      <c r="J78" s="280">
        <v>27.0</v>
      </c>
      <c r="K78" s="280"/>
      <c r="L78" s="280"/>
      <c r="M78" s="281"/>
      <c r="N78" s="280"/>
      <c r="O78" s="280"/>
      <c r="P78" s="280">
        <v>2.0</v>
      </c>
      <c r="Q78" s="280">
        <v>1.0</v>
      </c>
      <c r="R78" s="290" t="s">
        <v>1085</v>
      </c>
      <c r="S78" s="281"/>
      <c r="T78" s="291"/>
      <c r="U78" s="281"/>
      <c r="V78" s="281"/>
      <c r="W78" s="281"/>
    </row>
    <row r="79">
      <c r="A79" s="292" t="s">
        <v>647</v>
      </c>
      <c r="B79" s="305" t="s">
        <v>766</v>
      </c>
      <c r="C79" s="280" t="s">
        <v>741</v>
      </c>
      <c r="D79" s="289">
        <f>ROUND((F79*'Pawn Weights'!$B$22)+(G79*'Pawn Weights'!$B$23)+(H79*'Pawn Weights'!$B$24)+(I79*'Pawn Weights'!$B$25)+(J79*'Pawn Weights'!$B$26)+(K79*'Pawn Weights'!$B$27)+(L79*'Pawn Weights'!$B$28)+(M79*'Pawn Weights'!$B$29)+(N79*'Pawn Weights'!$B$30)+(O79*'Pawn Weights'!$B$31)+(P79*'Pawn Weights'!$B$32)+(Q79*'Pawn Weights'!$B$33), 2)</f>
        <v>114.56</v>
      </c>
      <c r="E79" s="280">
        <v>48.0</v>
      </c>
      <c r="F79" s="280">
        <v>50.0</v>
      </c>
      <c r="G79" s="280"/>
      <c r="H79" s="280"/>
      <c r="I79" s="280">
        <v>33.0</v>
      </c>
      <c r="J79" s="280">
        <v>15.0</v>
      </c>
      <c r="K79" s="280"/>
      <c r="L79" s="280"/>
      <c r="M79" s="281"/>
      <c r="N79" s="280"/>
      <c r="O79" s="280">
        <v>1.0</v>
      </c>
      <c r="P79" s="280">
        <v>1.0</v>
      </c>
      <c r="Q79" s="280">
        <v>1.0</v>
      </c>
      <c r="R79" s="290" t="s">
        <v>643</v>
      </c>
      <c r="S79" s="281"/>
      <c r="T79" s="291"/>
      <c r="U79" s="281"/>
      <c r="V79" s="281"/>
      <c r="W79" s="281"/>
    </row>
    <row r="80">
      <c r="A80" s="281"/>
      <c r="B80" s="305" t="s">
        <v>1086</v>
      </c>
      <c r="C80" s="307" t="s">
        <v>649</v>
      </c>
      <c r="D80" s="289">
        <f>ROUND((F80*'Pawn Weights'!$B$22)+(G80*'Pawn Weights'!$B$23)+(H80*'Pawn Weights'!$B$24)+(I80*'Pawn Weights'!$B$25)+(J80*'Pawn Weights'!$B$26)+(K80*'Pawn Weights'!$B$27)+(L80*'Pawn Weights'!$B$28)+(M80*'Pawn Weights'!$B$29)+(N80*'Pawn Weights'!$B$30)+(O80*'Pawn Weights'!$B$31)+(P80*'Pawn Weights'!$B$32)+(Q80*'Pawn Weights'!$B$33), 2)</f>
        <v>110.51</v>
      </c>
      <c r="E80" s="280">
        <v>42.0</v>
      </c>
      <c r="F80" s="280">
        <v>61.0</v>
      </c>
      <c r="G80" s="280">
        <v>43.0</v>
      </c>
      <c r="H80" s="280"/>
      <c r="I80" s="280"/>
      <c r="J80" s="280">
        <v>30.0</v>
      </c>
      <c r="K80" s="280"/>
      <c r="L80" s="280"/>
      <c r="M80" s="281"/>
      <c r="N80" s="280"/>
      <c r="O80" s="280"/>
      <c r="P80" s="280"/>
      <c r="Q80" s="280"/>
      <c r="R80" s="290"/>
      <c r="S80" s="281"/>
      <c r="T80" s="291"/>
      <c r="U80" s="281"/>
      <c r="V80" s="281"/>
      <c r="W80" s="281"/>
    </row>
    <row r="81">
      <c r="A81" s="292" t="s">
        <v>627</v>
      </c>
      <c r="B81" s="305" t="s">
        <v>770</v>
      </c>
      <c r="C81" s="280" t="s">
        <v>771</v>
      </c>
      <c r="D81" s="289">
        <f>ROUND((F81*'Pawn Weights'!$B$22)+(G81*'Pawn Weights'!$B$23)+(H81*'Pawn Weights'!$B$24)+(I81*'Pawn Weights'!$B$25)+(J81*'Pawn Weights'!$B$26)+(K81*'Pawn Weights'!$B$27)+(L81*'Pawn Weights'!$B$28)+(M81*'Pawn Weights'!$B$29)+(N81*'Pawn Weights'!$B$30)+(O81*'Pawn Weights'!$B$31)+(P81*'Pawn Weights'!$B$32)+(Q81*'Pawn Weights'!$B$33), 2)</f>
        <v>108.68</v>
      </c>
      <c r="E81" s="280">
        <v>55.0</v>
      </c>
      <c r="F81" s="280">
        <v>35.0</v>
      </c>
      <c r="G81" s="280"/>
      <c r="H81" s="280"/>
      <c r="I81" s="280">
        <v>37.0</v>
      </c>
      <c r="J81" s="280">
        <v>23.0</v>
      </c>
      <c r="K81" s="280"/>
      <c r="L81" s="280"/>
      <c r="M81" s="281"/>
      <c r="N81" s="280"/>
      <c r="O81" s="280"/>
      <c r="P81" s="280">
        <v>2.0</v>
      </c>
      <c r="Q81" s="280">
        <v>1.0</v>
      </c>
      <c r="R81" s="290" t="s">
        <v>624</v>
      </c>
      <c r="S81" s="281"/>
      <c r="T81" s="291" t="s">
        <v>762</v>
      </c>
      <c r="U81" s="281"/>
      <c r="V81" s="281"/>
      <c r="W81" s="281"/>
    </row>
    <row r="82">
      <c r="A82" s="292"/>
      <c r="B82" s="305" t="s">
        <v>776</v>
      </c>
      <c r="C82" s="280" t="s">
        <v>739</v>
      </c>
      <c r="D82" s="289">
        <f>ROUND((F82*'Pawn Weights'!$B$22)+(G82*'Pawn Weights'!$B$23)+(H82*'Pawn Weights'!$B$24)+(I82*'Pawn Weights'!$B$25)+(J82*'Pawn Weights'!$B$26)+(K82*'Pawn Weights'!$B$27)+(L82*'Pawn Weights'!$B$28)+(M82*'Pawn Weights'!$B$29)+(N82*'Pawn Weights'!$B$30)+(O82*'Pawn Weights'!$B$31)+(P82*'Pawn Weights'!$B$32)+(Q82*'Pawn Weights'!$B$33)-16+15.36+3.68, 2)</f>
        <v>107.95</v>
      </c>
      <c r="E82" s="280"/>
      <c r="F82" s="280"/>
      <c r="G82" s="280"/>
      <c r="H82" s="280">
        <v>96.0</v>
      </c>
      <c r="I82" s="280">
        <v>25.0</v>
      </c>
      <c r="J82" s="280">
        <v>21.0</v>
      </c>
      <c r="K82" s="280"/>
      <c r="L82" s="280"/>
      <c r="M82" s="281"/>
      <c r="N82" s="280"/>
      <c r="O82" s="280">
        <v>1.0</v>
      </c>
      <c r="P82" s="280">
        <v>2.0</v>
      </c>
      <c r="Q82" s="280"/>
      <c r="R82" s="290" t="s">
        <v>624</v>
      </c>
      <c r="S82" s="281"/>
      <c r="T82" s="291"/>
      <c r="U82" s="281"/>
      <c r="V82" s="281"/>
      <c r="W82" s="281"/>
    </row>
    <row r="83">
      <c r="A83" s="295"/>
      <c r="B83" s="308" t="s">
        <v>772</v>
      </c>
      <c r="C83" s="297" t="s">
        <v>773</v>
      </c>
      <c r="D83" s="289">
        <f>ROUND((F83*'Pawn Weights'!$B$22)+(G83*'Pawn Weights'!$B$23)+(H83*'Pawn Weights'!$B$24)+(I83*'Pawn Weights'!$B$25)+(J83*'Pawn Weights'!$B$26)+(K83*'Pawn Weights'!$B$27)+(L83*'Pawn Weights'!$B$28)+(M83*'Pawn Weights'!$B$29)+(N83*'Pawn Weights'!$B$30)+(O83*'Pawn Weights'!$B$31)+(P83*'Pawn Weights'!$B$32)+(Q83*'Pawn Weights'!$B$33), 2)</f>
        <v>107.84</v>
      </c>
      <c r="E83" s="298">
        <v>42.0</v>
      </c>
      <c r="F83" s="298">
        <v>44.0</v>
      </c>
      <c r="G83" s="297"/>
      <c r="H83" s="297"/>
      <c r="I83" s="298">
        <v>30.0</v>
      </c>
      <c r="J83" s="298">
        <v>18.0</v>
      </c>
      <c r="K83" s="297"/>
      <c r="L83" s="297"/>
      <c r="M83" s="137"/>
      <c r="N83" s="297"/>
      <c r="O83" s="298">
        <v>1.0</v>
      </c>
      <c r="P83" s="298">
        <v>1.0</v>
      </c>
      <c r="Q83" s="298">
        <v>1.0</v>
      </c>
      <c r="R83" s="298" t="s">
        <v>643</v>
      </c>
      <c r="S83" s="137"/>
      <c r="T83" s="295"/>
      <c r="U83" s="137"/>
      <c r="V83" s="137"/>
      <c r="W83" s="137"/>
      <c r="X83" s="137"/>
      <c r="Y83" s="137"/>
      <c r="Z83" s="137"/>
    </row>
    <row r="84">
      <c r="A84" s="295"/>
      <c r="B84" s="308" t="s">
        <v>777</v>
      </c>
      <c r="C84" s="297" t="s">
        <v>775</v>
      </c>
      <c r="D84" s="289">
        <f>ROUND((F84*'Pawn Weights'!$B$22)+(G84*'Pawn Weights'!$B$23)+(H84*'Pawn Weights'!$B$24)+(I84*'Pawn Weights'!$B$25)+(J84*'Pawn Weights'!$B$26)+(K84*'Pawn Weights'!$B$27)+(L84*'Pawn Weights'!$B$28)+(M84*'Pawn Weights'!$B$29)+(N84*'Pawn Weights'!$B$30)+(O84*'Pawn Weights'!$B$31)+(P84*'Pawn Weights'!$B$32)+(Q84*'Pawn Weights'!$B$33), 2)</f>
        <v>107.27</v>
      </c>
      <c r="E84" s="298">
        <v>51.0</v>
      </c>
      <c r="F84" s="297"/>
      <c r="G84" s="298">
        <v>44.0</v>
      </c>
      <c r="H84" s="298">
        <v>102.0</v>
      </c>
      <c r="I84" s="297"/>
      <c r="J84" s="298">
        <v>34.0</v>
      </c>
      <c r="K84" s="297"/>
      <c r="L84" s="297"/>
      <c r="M84" s="137"/>
      <c r="N84" s="297"/>
      <c r="O84" s="298">
        <v>1.0</v>
      </c>
      <c r="P84" s="297"/>
      <c r="Q84" s="297"/>
      <c r="R84" s="298" t="s">
        <v>674</v>
      </c>
      <c r="S84" s="137"/>
      <c r="T84" s="295"/>
      <c r="U84" s="137"/>
      <c r="V84" s="137"/>
      <c r="W84" s="137"/>
      <c r="X84" s="137"/>
      <c r="Y84" s="137"/>
      <c r="Z84" s="137"/>
    </row>
    <row r="85">
      <c r="A85" s="292" t="s">
        <v>1068</v>
      </c>
      <c r="B85" s="305" t="s">
        <v>1087</v>
      </c>
      <c r="C85" s="280" t="s">
        <v>997</v>
      </c>
      <c r="D85" s="289">
        <f>ROUND((F85*'Pawn Weights'!$B$22)+(G85*'Pawn Weights'!$B$23)+(H85*'Pawn Weights'!$B$24)+(I85*'Pawn Weights'!$B$25)+(J85*'Pawn Weights'!$B$26)+(K85*'Pawn Weights'!$B$27)+(L85*'Pawn Weights'!$B$28)+(M85*'Pawn Weights'!$B$29)+(N85*'Pawn Weights'!$B$30)+(O85*'Pawn Weights'!$B$31)+(P85*'Pawn Weights'!$B$32)+(Q85*'Pawn Weights'!$B$33)-8+7.68+3.68, 2)</f>
        <v>104.08</v>
      </c>
      <c r="E85" s="280">
        <v>60.0</v>
      </c>
      <c r="F85" s="280">
        <v>35.0</v>
      </c>
      <c r="G85" s="280"/>
      <c r="H85" s="280"/>
      <c r="I85" s="280">
        <v>35.0</v>
      </c>
      <c r="J85" s="280">
        <v>14.0</v>
      </c>
      <c r="K85" s="280"/>
      <c r="L85" s="280"/>
      <c r="M85" s="281"/>
      <c r="N85" s="280"/>
      <c r="O85" s="280">
        <v>2.0</v>
      </c>
      <c r="P85" s="280">
        <v>1.0</v>
      </c>
      <c r="Q85" s="280"/>
      <c r="R85" s="290" t="s">
        <v>624</v>
      </c>
      <c r="S85" s="281"/>
      <c r="T85" s="291" t="s">
        <v>755</v>
      </c>
      <c r="U85" s="281"/>
      <c r="V85" s="281"/>
      <c r="W85" s="281"/>
    </row>
    <row r="86">
      <c r="A86" s="301"/>
      <c r="B86" s="305" t="s">
        <v>1333</v>
      </c>
      <c r="C86" s="280" t="s">
        <v>710</v>
      </c>
      <c r="D86" s="289">
        <f>ROUND((F86*'Pawn Weights'!$B$22)+(G86*'Pawn Weights'!$B$23)+(H86*'Pawn Weights'!$B$24)+(I86*'Pawn Weights'!$B$25)+(J86*'Pawn Weights'!$B$26)+(K86*'Pawn Weights'!$B$27)+(L86*'Pawn Weights'!$B$28)+(M86*'Pawn Weights'!$B$29)+(N86*'Pawn Weights'!$B$30)+(O86*'Pawn Weights'!$B$31)+(P86*'Pawn Weights'!$B$32)+(Q86*'Pawn Weights'!$B$33), 2)</f>
        <v>101.25</v>
      </c>
      <c r="E86" s="280">
        <v>19.0</v>
      </c>
      <c r="F86" s="280"/>
      <c r="G86" s="280">
        <v>36.0</v>
      </c>
      <c r="H86" s="280">
        <v>88.0</v>
      </c>
      <c r="I86" s="280">
        <v>14.0</v>
      </c>
      <c r="J86" s="280"/>
      <c r="K86" s="280"/>
      <c r="L86" s="280"/>
      <c r="M86" s="281"/>
      <c r="N86" s="280"/>
      <c r="O86" s="280">
        <v>1.0</v>
      </c>
      <c r="P86" s="280">
        <v>1.0</v>
      </c>
      <c r="Q86" s="280">
        <v>1.0</v>
      </c>
      <c r="R86" s="290" t="s">
        <v>622</v>
      </c>
      <c r="S86" s="281"/>
      <c r="T86" s="291"/>
      <c r="U86" s="281"/>
      <c r="V86" s="281"/>
      <c r="W86" s="281"/>
    </row>
    <row r="87">
      <c r="A87" s="295"/>
      <c r="B87" s="308" t="s">
        <v>774</v>
      </c>
      <c r="C87" s="297" t="s">
        <v>775</v>
      </c>
      <c r="D87" s="289">
        <f>ROUND((F87*'Pawn Weights'!$B$22)+(G87*'Pawn Weights'!$B$23)+(H87*'Pawn Weights'!$B$24)+(I87*'Pawn Weights'!$B$25)+(J87*'Pawn Weights'!$B$26)+(K87*'Pawn Weights'!$B$27)+(L87*'Pawn Weights'!$B$28)+(M87*'Pawn Weights'!$B$29)+(N87*'Pawn Weights'!$B$30)+(O87*'Pawn Weights'!$B$31)+(P87*'Pawn Weights'!$B$32)+(Q87*'Pawn Weights'!$B$33)-8+7.68+1.818, 2)</f>
        <v>101.18</v>
      </c>
      <c r="E87" s="298">
        <v>39.0</v>
      </c>
      <c r="F87" s="297"/>
      <c r="G87" s="298">
        <v>47.0</v>
      </c>
      <c r="H87" s="298">
        <v>102.0</v>
      </c>
      <c r="I87" s="297"/>
      <c r="J87" s="297"/>
      <c r="K87" s="298">
        <v>25.0</v>
      </c>
      <c r="L87" s="297"/>
      <c r="M87" s="137"/>
      <c r="N87" s="297"/>
      <c r="O87" s="297"/>
      <c r="P87" s="298">
        <v>1.0</v>
      </c>
      <c r="Q87" s="297"/>
      <c r="R87" s="298" t="s">
        <v>660</v>
      </c>
      <c r="S87" s="137"/>
      <c r="T87" s="295"/>
      <c r="U87" s="137"/>
      <c r="V87" s="137"/>
      <c r="W87" s="137"/>
      <c r="X87" s="137"/>
      <c r="Y87" s="137"/>
      <c r="Z87" s="137"/>
    </row>
    <row r="88">
      <c r="A88" s="295"/>
      <c r="B88" s="308" t="s">
        <v>1404</v>
      </c>
      <c r="C88" s="297" t="s">
        <v>1399</v>
      </c>
      <c r="D88" s="289">
        <f>ROUND((F88*'Pawn Weights'!$B$22)+(G88*'Pawn Weights'!$B$23)+(H88*'Pawn Weights'!$B$24)+(I88*'Pawn Weights'!$B$25)+(J88*'Pawn Weights'!$B$26)+(K88*'Pawn Weights'!$B$27)+(L88*'Pawn Weights'!$B$28)+(M88*'Pawn Weights'!$B$29)+(N88*'Pawn Weights'!$B$30)+(O88*'Pawn Weights'!$B$31)+(P88*'Pawn Weights'!$B$32)+(Q88*'Pawn Weights'!$B$33), 2)</f>
        <v>98.97</v>
      </c>
      <c r="E88" s="298">
        <v>36.0</v>
      </c>
      <c r="F88" s="298">
        <v>46.0</v>
      </c>
      <c r="G88" s="298">
        <v>45.0</v>
      </c>
      <c r="H88" s="297"/>
      <c r="I88" s="297"/>
      <c r="J88" s="297"/>
      <c r="K88" s="297"/>
      <c r="L88" s="297"/>
      <c r="M88" s="359">
        <v>150.0</v>
      </c>
      <c r="N88" s="297"/>
      <c r="O88" s="297"/>
      <c r="P88" s="297"/>
      <c r="Q88" s="297"/>
      <c r="R88" s="295"/>
      <c r="S88" s="137"/>
      <c r="T88" s="295"/>
      <c r="U88" s="137"/>
      <c r="V88" s="137"/>
      <c r="W88" s="137"/>
      <c r="X88" s="137"/>
      <c r="Y88" s="137"/>
      <c r="Z88" s="137"/>
    </row>
    <row r="89">
      <c r="A89" s="292" t="s">
        <v>627</v>
      </c>
      <c r="B89" s="305" t="s">
        <v>1418</v>
      </c>
      <c r="C89" s="280" t="s">
        <v>1419</v>
      </c>
      <c r="D89" s="289">
        <f>ROUND((F89*'Pawn Weights'!$B$22)+(G89*'Pawn Weights'!$B$23)+(H89*'Pawn Weights'!$B$24)+(I89*'Pawn Weights'!$B$25)+(J89*'Pawn Weights'!$B$26)+(K89*'Pawn Weights'!$B$27)+(L89*'Pawn Weights'!$B$28)+(M89*'Pawn Weights'!$B$29)+(N89*'Pawn Weights'!$B$30)+(O89*'Pawn Weights'!$B$31)+(P89*'Pawn Weights'!$B$32)+(Q89*'Pawn Weights'!$B$33), 2)</f>
        <v>97.12</v>
      </c>
      <c r="E89" s="280">
        <v>46.0</v>
      </c>
      <c r="F89" s="280">
        <v>31.0</v>
      </c>
      <c r="G89" s="280"/>
      <c r="H89" s="280"/>
      <c r="I89" s="280">
        <v>31.0</v>
      </c>
      <c r="J89" s="280">
        <v>20.0</v>
      </c>
      <c r="K89" s="280"/>
      <c r="L89" s="280"/>
      <c r="M89" s="281"/>
      <c r="N89" s="280"/>
      <c r="O89" s="280"/>
      <c r="P89" s="280">
        <v>2.0</v>
      </c>
      <c r="Q89" s="280">
        <v>1.0</v>
      </c>
      <c r="R89" s="290" t="s">
        <v>624</v>
      </c>
      <c r="S89" s="281"/>
      <c r="T89" s="291"/>
      <c r="U89" s="281"/>
      <c r="V89" s="281"/>
      <c r="W89" s="281"/>
    </row>
    <row r="90">
      <c r="A90" s="292" t="s">
        <v>654</v>
      </c>
      <c r="B90" s="305" t="s">
        <v>1420</v>
      </c>
      <c r="C90" s="280" t="s">
        <v>1163</v>
      </c>
      <c r="D90" s="289">
        <f>ROUND((F90*'Pawn Weights'!$B$22)+(G90*'Pawn Weights'!$B$23)+(H90*'Pawn Weights'!$B$24)+(I90*'Pawn Weights'!$B$25)+(J90*'Pawn Weights'!$B$26)+(K90*'Pawn Weights'!$B$27)+(L90*'Pawn Weights'!$B$28)+(M90*'Pawn Weights'!$B$29)+(N90*'Pawn Weights'!$B$30)+(O90*'Pawn Weights'!$B$31)+(P90*'Pawn Weights'!$B$32)+(Q90*'Pawn Weights'!$B$33), 2)</f>
        <v>91.92</v>
      </c>
      <c r="E90" s="280">
        <v>39.0</v>
      </c>
      <c r="F90" s="280">
        <v>44.0</v>
      </c>
      <c r="G90" s="280"/>
      <c r="H90" s="280"/>
      <c r="I90" s="280">
        <v>26.0</v>
      </c>
      <c r="J90" s="280"/>
      <c r="K90" s="280"/>
      <c r="L90" s="280"/>
      <c r="M90" s="281"/>
      <c r="N90" s="280"/>
      <c r="O90" s="280"/>
      <c r="P90" s="280">
        <v>1.0</v>
      </c>
      <c r="Q90" s="280">
        <v>2.0</v>
      </c>
      <c r="R90" s="290" t="s">
        <v>624</v>
      </c>
      <c r="S90" s="281"/>
      <c r="T90" s="291" t="s">
        <v>1421</v>
      </c>
      <c r="U90" s="281"/>
      <c r="V90" s="281"/>
      <c r="W90" s="281"/>
    </row>
    <row r="91">
      <c r="A91" s="301" t="s">
        <v>627</v>
      </c>
      <c r="B91" s="305" t="s">
        <v>1422</v>
      </c>
      <c r="C91" s="280" t="s">
        <v>1423</v>
      </c>
      <c r="D91" s="289">
        <f>ROUND((F91*'Pawn Weights'!$B$22)+(G91*'Pawn Weights'!$B$23)+(H91*'Pawn Weights'!$B$24)+(I91*'Pawn Weights'!$B$25)+(J91*'Pawn Weights'!$B$26)+(K91*'Pawn Weights'!$B$27)+(L91*'Pawn Weights'!$B$28)+(M91*'Pawn Weights'!$B$29)+(N91*'Pawn Weights'!$B$30)+(O91*'Pawn Weights'!$B$31)+(P91*'Pawn Weights'!$B$32)+(Q91*'Pawn Weights'!$B$33), 2)</f>
        <v>88.52</v>
      </c>
      <c r="E91" s="280">
        <v>12.0</v>
      </c>
      <c r="F91" s="280">
        <v>32.0</v>
      </c>
      <c r="G91" s="280">
        <v>40.0</v>
      </c>
      <c r="H91" s="280"/>
      <c r="I91" s="280"/>
      <c r="J91" s="280">
        <v>8.0</v>
      </c>
      <c r="K91" s="280"/>
      <c r="L91" s="280"/>
      <c r="M91" s="281"/>
      <c r="N91" s="280"/>
      <c r="O91" s="280">
        <v>1.0</v>
      </c>
      <c r="P91" s="280">
        <v>1.0</v>
      </c>
      <c r="Q91" s="280">
        <v>1.0</v>
      </c>
      <c r="R91" s="290" t="s">
        <v>622</v>
      </c>
      <c r="S91" s="281"/>
      <c r="T91" s="291"/>
      <c r="U91" s="281"/>
      <c r="V91" s="281"/>
      <c r="W91" s="281"/>
    </row>
    <row r="92">
      <c r="A92" s="295"/>
      <c r="B92" s="308" t="s">
        <v>778</v>
      </c>
      <c r="C92" s="297" t="s">
        <v>775</v>
      </c>
      <c r="D92" s="289">
        <f>ROUND((F92*'Pawn Weights'!$B$22)+(G92*'Pawn Weights'!$B$23)+(H92*'Pawn Weights'!$B$24)+(I92*'Pawn Weights'!$B$25)+(J92*'Pawn Weights'!$B$26)+(K92*'Pawn Weights'!$B$27)+(L92*'Pawn Weights'!$B$28)+(M92*'Pawn Weights'!$B$29)+(N92*'Pawn Weights'!$B$30)+(O92*'Pawn Weights'!$B$31)+(P92*'Pawn Weights'!$B$32)+(Q92*'Pawn Weights'!$B$33), 2)</f>
        <v>87.54</v>
      </c>
      <c r="E92" s="298">
        <v>65.0</v>
      </c>
      <c r="F92" s="298">
        <v>52.0</v>
      </c>
      <c r="G92" s="297"/>
      <c r="H92" s="297"/>
      <c r="I92" s="297"/>
      <c r="J92" s="297"/>
      <c r="K92" s="298">
        <v>51.0</v>
      </c>
      <c r="L92" s="297"/>
      <c r="M92" s="137"/>
      <c r="N92" s="297"/>
      <c r="O92" s="298">
        <v>1.0</v>
      </c>
      <c r="P92" s="297"/>
      <c r="Q92" s="297"/>
      <c r="R92" s="298" t="s">
        <v>674</v>
      </c>
      <c r="S92" s="137"/>
      <c r="T92" s="295"/>
      <c r="U92" s="137"/>
      <c r="V92" s="137"/>
      <c r="W92" s="137"/>
      <c r="X92" s="137"/>
      <c r="Y92" s="137"/>
      <c r="Z92" s="137"/>
    </row>
    <row r="93">
      <c r="A93" s="295" t="s">
        <v>1499</v>
      </c>
      <c r="B93" s="308" t="s">
        <v>1544</v>
      </c>
      <c r="C93" s="297" t="s">
        <v>1159</v>
      </c>
      <c r="D93" s="289">
        <f>ROUND((F93*'Pawn Weights'!$B$22)+(G93*'Pawn Weights'!$B$23)+(H93*'Pawn Weights'!$B$24)+(I93*'Pawn Weights'!$B$25)+(J93*'Pawn Weights'!$B$26)+(K93*'Pawn Weights'!$B$27)+(L93*'Pawn Weights'!$B$28)+(M93*'Pawn Weights'!$B$29)+(N93*'Pawn Weights'!$B$30)+(O93*'Pawn Weights'!$B$31)+(P93*'Pawn Weights'!$B$32)+(Q93*'Pawn Weights'!$B$33)-8+7.68+3.68, 2)</f>
        <v>86.12</v>
      </c>
      <c r="E93" s="298">
        <v>49.0</v>
      </c>
      <c r="F93" s="298">
        <v>23.0</v>
      </c>
      <c r="G93" s="297"/>
      <c r="H93" s="297"/>
      <c r="I93" s="298">
        <v>30.0</v>
      </c>
      <c r="J93" s="298">
        <v>12.0</v>
      </c>
      <c r="K93" s="297"/>
      <c r="L93" s="297"/>
      <c r="M93" s="137"/>
      <c r="N93" s="297"/>
      <c r="O93" s="298">
        <v>2.0</v>
      </c>
      <c r="P93" s="298">
        <v>1.0</v>
      </c>
      <c r="Q93" s="297"/>
      <c r="R93" s="298" t="s">
        <v>624</v>
      </c>
      <c r="S93" s="359"/>
      <c r="T93" s="295"/>
      <c r="U93" s="361" t="s">
        <v>1545</v>
      </c>
      <c r="V93" s="137"/>
      <c r="W93" s="137"/>
      <c r="X93" s="137"/>
      <c r="Y93" s="137"/>
      <c r="Z93" s="137"/>
    </row>
    <row r="94">
      <c r="A94" s="295" t="s">
        <v>627</v>
      </c>
      <c r="B94" s="308" t="s">
        <v>1447</v>
      </c>
      <c r="C94" s="429" t="s">
        <v>1697</v>
      </c>
      <c r="D94" s="289">
        <f>ROUND((F94*'Pawn Weights'!$B$22)+(G94*'Pawn Weights'!$B$23)+(H94*'Pawn Weights'!$B$24)+(I94*'Pawn Weights'!$B$25)+(J94*'Pawn Weights'!$B$26)+(K94*'Pawn Weights'!$B$27)+(L94*'Pawn Weights'!$B$28)+(M94*'Pawn Weights'!$B$29)+(N94*'Pawn Weights'!$B$30)+(O94*'Pawn Weights'!$B$31)+(P94*'Pawn Weights'!$B$32)+(Q94*'Pawn Weights'!$B$33), 2)</f>
        <v>82.97</v>
      </c>
      <c r="E94" s="298">
        <v>39.0</v>
      </c>
      <c r="F94" s="297"/>
      <c r="G94" s="298">
        <v>38.0</v>
      </c>
      <c r="H94" s="298">
        <v>108.0</v>
      </c>
      <c r="I94" s="297"/>
      <c r="J94" s="298">
        <v>12.0</v>
      </c>
      <c r="K94" s="297"/>
      <c r="L94" s="297"/>
      <c r="M94" s="137"/>
      <c r="N94" s="297"/>
      <c r="O94" s="297"/>
      <c r="P94" s="297"/>
      <c r="Q94" s="297"/>
      <c r="R94" s="298"/>
      <c r="S94" s="359"/>
      <c r="T94" s="295"/>
      <c r="U94" s="361"/>
      <c r="V94" s="137"/>
      <c r="W94" s="137"/>
      <c r="X94" s="137"/>
      <c r="Y94" s="137"/>
      <c r="Z94" s="137"/>
    </row>
    <row r="95">
      <c r="A95" s="295"/>
      <c r="B95" s="308" t="s">
        <v>1445</v>
      </c>
      <c r="C95" s="363" t="s">
        <v>1106</v>
      </c>
      <c r="D95" s="289">
        <f>ROUND((F95*'Pawn Weights'!$B$22)+(G95*'Pawn Weights'!$B$23)+(H95*'Pawn Weights'!$B$24)+(I95*'Pawn Weights'!$B$25)+(J95*'Pawn Weights'!$B$26)+(K95*'Pawn Weights'!$B$27)+(L95*'Pawn Weights'!$B$28)+(M95*'Pawn Weights'!$B$29)+(N95*'Pawn Weights'!$B$30)+(O95*'Pawn Weights'!$B$31)+(P95*'Pawn Weights'!$B$32)+(Q95*'Pawn Weights'!$B$33), 2)</f>
        <v>80.91</v>
      </c>
      <c r="E95" s="298">
        <v>36.0</v>
      </c>
      <c r="F95" s="297"/>
      <c r="G95" s="298">
        <v>37.0</v>
      </c>
      <c r="H95" s="298">
        <v>90.0</v>
      </c>
      <c r="I95" s="297"/>
      <c r="J95" s="298">
        <v>22.0</v>
      </c>
      <c r="K95" s="297"/>
      <c r="L95" s="297"/>
      <c r="M95" s="137"/>
      <c r="N95" s="297"/>
      <c r="O95" s="297"/>
      <c r="P95" s="297"/>
      <c r="Q95" s="297"/>
      <c r="R95" s="298"/>
      <c r="S95" s="359"/>
      <c r="T95" s="295"/>
      <c r="U95" s="361"/>
      <c r="V95" s="137"/>
      <c r="W95" s="137"/>
      <c r="X95" s="137"/>
      <c r="Y95" s="137"/>
      <c r="Z95" s="137"/>
    </row>
    <row r="96">
      <c r="A96" s="295"/>
      <c r="B96" s="308" t="s">
        <v>1547</v>
      </c>
      <c r="C96" s="363" t="s">
        <v>1520</v>
      </c>
      <c r="D96" s="289">
        <f>ROUND((F96*'Pawn Weights'!$B$22)+(G96*'Pawn Weights'!$B$23)+(H96*'Pawn Weights'!$B$24)+(I96*'Pawn Weights'!$B$25)+(J96*'Pawn Weights'!$B$26)+(K96*'Pawn Weights'!$B$27)+(L96*'Pawn Weights'!$B$28)+(M96*'Pawn Weights'!$B$29)+(N96*'Pawn Weights'!$B$30)+(O96*'Pawn Weights'!$B$31)+(P96*'Pawn Weights'!$B$32)+(Q96*'Pawn Weights'!$B$33), 2)</f>
        <v>77.12</v>
      </c>
      <c r="E96" s="298">
        <v>33.0</v>
      </c>
      <c r="F96" s="298">
        <v>44.0</v>
      </c>
      <c r="G96" s="297"/>
      <c r="H96" s="297"/>
      <c r="I96" s="298">
        <v>36.0</v>
      </c>
      <c r="J96" s="297"/>
      <c r="K96" s="297"/>
      <c r="L96" s="297"/>
      <c r="M96" s="137"/>
      <c r="N96" s="297"/>
      <c r="O96" s="297"/>
      <c r="P96" s="297"/>
      <c r="Q96" s="297"/>
      <c r="R96" s="298"/>
      <c r="S96" s="359"/>
      <c r="T96" s="295"/>
      <c r="U96" s="361"/>
      <c r="V96" s="137"/>
      <c r="W96" s="137"/>
      <c r="X96" s="137"/>
      <c r="Y96" s="137"/>
      <c r="Z96" s="137"/>
    </row>
    <row r="97">
      <c r="A97" s="295" t="s">
        <v>627</v>
      </c>
      <c r="B97" s="430" t="s">
        <v>1548</v>
      </c>
      <c r="C97" s="429" t="s">
        <v>1561</v>
      </c>
      <c r="D97" s="289">
        <f>ROUND((F97*'Pawn Weights'!$B$22)+(G97*'Pawn Weights'!$B$23)+(H97*'Pawn Weights'!$B$24)+(I97*'Pawn Weights'!$B$25)+(J97*'Pawn Weights'!$B$26)+(K97*'Pawn Weights'!$B$27)+(L97*'Pawn Weights'!$B$28)+(M97*'Pawn Weights'!$B$29)+(N97*'Pawn Weights'!$B$30)+(O97*'Pawn Weights'!$B$31)+(P97*'Pawn Weights'!$B$32)+(Q97*'Pawn Weights'!$B$33), 2)</f>
        <v>76.68</v>
      </c>
      <c r="E97" s="297"/>
      <c r="F97" s="298">
        <v>50.0</v>
      </c>
      <c r="G97" s="297"/>
      <c r="H97" s="297"/>
      <c r="I97" s="298">
        <v>29.0</v>
      </c>
      <c r="J97" s="297"/>
      <c r="K97" s="297"/>
      <c r="L97" s="297"/>
      <c r="M97" s="137"/>
      <c r="N97" s="297"/>
      <c r="O97" s="297"/>
      <c r="P97" s="297"/>
      <c r="Q97" s="297"/>
      <c r="R97" s="298"/>
      <c r="S97" s="359"/>
      <c r="T97" s="295"/>
      <c r="U97" s="361"/>
      <c r="V97" s="137"/>
      <c r="W97" s="137"/>
      <c r="X97" s="137"/>
      <c r="Y97" s="137"/>
      <c r="Z97" s="137"/>
    </row>
    <row r="98">
      <c r="A98" s="295"/>
      <c r="B98" s="430" t="s">
        <v>1550</v>
      </c>
      <c r="C98" s="363" t="s">
        <v>1551</v>
      </c>
      <c r="D98" s="289">
        <f>ROUND((F98*'Pawn Weights'!$B$22)+(G98*'Pawn Weights'!$B$23)+(H98*'Pawn Weights'!$B$24)+(I98*'Pawn Weights'!$B$25)+(J98*'Pawn Weights'!$B$26)+(K98*'Pawn Weights'!$B$27)+(L98*'Pawn Weights'!$B$28)+(M98*'Pawn Weights'!$B$29)+(N98*'Pawn Weights'!$B$30)+(O98*'Pawn Weights'!$B$31)+(P98*'Pawn Weights'!$B$32)+(Q98*'Pawn Weights'!$B$33), 2)</f>
        <v>72.96</v>
      </c>
      <c r="E98" s="298">
        <v>27.0</v>
      </c>
      <c r="F98" s="298">
        <v>35.0</v>
      </c>
      <c r="G98" s="297"/>
      <c r="H98" s="297"/>
      <c r="I98" s="298">
        <v>25.0</v>
      </c>
      <c r="J98" s="298">
        <v>22.0</v>
      </c>
      <c r="K98" s="297"/>
      <c r="L98" s="297"/>
      <c r="M98" s="137"/>
      <c r="N98" s="297"/>
      <c r="O98" s="297"/>
      <c r="P98" s="297"/>
      <c r="Q98" s="297"/>
      <c r="R98" s="298"/>
      <c r="S98" s="359"/>
      <c r="T98" s="295"/>
      <c r="U98" s="361"/>
      <c r="V98" s="137"/>
      <c r="W98" s="137"/>
      <c r="X98" s="137"/>
      <c r="Y98" s="137"/>
      <c r="Z98" s="137"/>
    </row>
    <row r="99">
      <c r="A99" s="295" t="s">
        <v>1439</v>
      </c>
      <c r="B99" s="430" t="s">
        <v>1552</v>
      </c>
      <c r="C99" s="429" t="s">
        <v>211</v>
      </c>
      <c r="D99" s="289">
        <f>ROUND((F99*'Pawn Weights'!$B$22)+(G99*'Pawn Weights'!$B$23)+(H99*'Pawn Weights'!$B$24)+(I99*'Pawn Weights'!$B$25)+(J99*'Pawn Weights'!$B$26)+(K99*'Pawn Weights'!$B$27)+(L99*'Pawn Weights'!$B$28)+(M99*'Pawn Weights'!$B$29)+(N99*'Pawn Weights'!$B$30)+(O99*'Pawn Weights'!$B$31)+(P99*'Pawn Weights'!$B$32)+(Q99*'Pawn Weights'!$B$33), 2)</f>
        <v>71.48</v>
      </c>
      <c r="E99" s="298">
        <v>27.0</v>
      </c>
      <c r="F99" s="298">
        <v>30.0</v>
      </c>
      <c r="G99" s="297"/>
      <c r="H99" s="297"/>
      <c r="I99" s="298">
        <v>19.0</v>
      </c>
      <c r="J99" s="297"/>
      <c r="K99" s="297"/>
      <c r="L99" s="297"/>
      <c r="M99" s="137"/>
      <c r="N99" s="297"/>
      <c r="O99" s="298">
        <v>2.0</v>
      </c>
      <c r="P99" s="297"/>
      <c r="Q99" s="298">
        <v>1.0</v>
      </c>
      <c r="R99" s="298" t="s">
        <v>624</v>
      </c>
      <c r="S99" s="359"/>
      <c r="T99" s="295"/>
      <c r="U99" s="361" t="s">
        <v>1554</v>
      </c>
      <c r="V99" s="137"/>
      <c r="W99" s="137"/>
      <c r="X99" s="137"/>
      <c r="Y99" s="137"/>
      <c r="Z99" s="137"/>
    </row>
    <row r="100">
      <c r="A100" s="295"/>
      <c r="B100" s="430" t="s">
        <v>1555</v>
      </c>
      <c r="C100" s="363" t="s">
        <v>1556</v>
      </c>
      <c r="D100" s="289">
        <f>ROUND((F100*'Pawn Weights'!$B$22)+(G100*'Pawn Weights'!$B$23)+(H100*'Pawn Weights'!$B$24)+(I100*'Pawn Weights'!$B$25)+(J100*'Pawn Weights'!$B$26)+(K100*'Pawn Weights'!$B$27)+(L100*'Pawn Weights'!$B$28)+(M100*'Pawn Weights'!$B$29)+(N100*'Pawn Weights'!$B$30)+(O100*'Pawn Weights'!$B$31)+(P100*'Pawn Weights'!$B$32)+(Q100*'Pawn Weights'!$B$33), 2)</f>
        <v>70.8</v>
      </c>
      <c r="E100" s="298">
        <v>45.0</v>
      </c>
      <c r="F100" s="298">
        <v>36.0</v>
      </c>
      <c r="G100" s="297"/>
      <c r="H100" s="297"/>
      <c r="I100" s="298">
        <v>26.0</v>
      </c>
      <c r="J100" s="298">
        <v>16.0</v>
      </c>
      <c r="K100" s="297"/>
      <c r="L100" s="297"/>
      <c r="M100" s="137"/>
      <c r="N100" s="297"/>
      <c r="O100" s="297"/>
      <c r="P100" s="297"/>
      <c r="Q100" s="297"/>
      <c r="R100" s="298"/>
      <c r="S100" s="359"/>
      <c r="T100" s="295"/>
      <c r="U100" s="361"/>
      <c r="V100" s="137"/>
      <c r="W100" s="137"/>
      <c r="X100" s="137"/>
      <c r="Y100" s="137"/>
      <c r="Z100" s="137"/>
    </row>
    <row r="101">
      <c r="A101" s="295" t="s">
        <v>1439</v>
      </c>
      <c r="B101" s="430" t="s">
        <v>1557</v>
      </c>
      <c r="C101" s="429" t="s">
        <v>235</v>
      </c>
      <c r="D101" s="289">
        <f>ROUND((F101*'Pawn Weights'!$B$22)+(G101*'Pawn Weights'!$B$23)+(H101*'Pawn Weights'!$B$24)+(I101*'Pawn Weights'!$B$25)+(J101*'Pawn Weights'!$B$26)+(K101*'Pawn Weights'!$B$27)+(L101*'Pawn Weights'!$B$28)+(M101*'Pawn Weights'!$B$29)+(N101*'Pawn Weights'!$B$30)+(O101*'Pawn Weights'!$B$31)+(P101*'Pawn Weights'!$B$32)+(Q101*'Pawn Weights'!$B$33)-24+23.04+2.708, 2)</f>
        <v>70.16</v>
      </c>
      <c r="E101" s="298">
        <v>36.0</v>
      </c>
      <c r="F101" s="297"/>
      <c r="G101" s="298">
        <v>28.0</v>
      </c>
      <c r="H101" s="298">
        <v>56.0</v>
      </c>
      <c r="I101" s="297"/>
      <c r="J101" s="297"/>
      <c r="K101" s="297"/>
      <c r="L101" s="297"/>
      <c r="M101" s="137"/>
      <c r="N101" s="297"/>
      <c r="O101" s="297"/>
      <c r="P101" s="298">
        <v>3.0</v>
      </c>
      <c r="Q101" s="297"/>
      <c r="R101" s="298" t="s">
        <v>622</v>
      </c>
      <c r="S101" s="359"/>
      <c r="T101" s="295"/>
      <c r="U101" s="361"/>
      <c r="V101" s="137"/>
      <c r="W101" s="137"/>
      <c r="X101" s="137"/>
      <c r="Y101" s="137"/>
      <c r="Z101" s="137"/>
    </row>
    <row r="102">
      <c r="A102" s="272" t="s">
        <v>779</v>
      </c>
      <c r="B102" s="281"/>
      <c r="C102" s="281"/>
      <c r="D102" s="360"/>
      <c r="E102" s="281"/>
      <c r="F102" s="281"/>
      <c r="G102" s="281"/>
      <c r="H102" s="281"/>
      <c r="I102" s="281"/>
      <c r="J102" s="281"/>
      <c r="K102" s="281"/>
      <c r="L102" s="281"/>
      <c r="M102" s="281"/>
      <c r="N102" s="281"/>
      <c r="O102" s="281"/>
      <c r="P102" s="281"/>
      <c r="Q102" s="281"/>
      <c r="R102" s="282"/>
      <c r="S102" s="281"/>
      <c r="T102" s="285"/>
      <c r="U102" s="281"/>
      <c r="V102" s="281"/>
      <c r="W102" s="281"/>
    </row>
    <row r="103">
      <c r="A103" s="281"/>
      <c r="B103" s="288" t="s">
        <v>783</v>
      </c>
      <c r="C103" s="280" t="s">
        <v>683</v>
      </c>
      <c r="D103" s="289">
        <f>ROUND((F103*'Pawn Weights'!$B$22)+(G103*'Pawn Weights'!$B$23)+(H103*'Pawn Weights'!$B$24)+(I103*'Pawn Weights'!$B$25)+(J103*'Pawn Weights'!$B$26)+(K103*'Pawn Weights'!$B$27)+(L103*'Pawn Weights'!$B$28)+(M103*'Pawn Weights'!$B$29)+(N103*'Pawn Weights'!$B$30)+(O103*'Pawn Weights'!$B$31)+(P103*'Pawn Weights'!$B$32)+(Q103*'Pawn Weights'!$B$33), 2)</f>
        <v>66.64</v>
      </c>
      <c r="E103" s="280">
        <v>12.0</v>
      </c>
      <c r="F103" s="280">
        <v>25.0</v>
      </c>
      <c r="G103" s="280"/>
      <c r="H103" s="280"/>
      <c r="I103" s="280">
        <v>24.0</v>
      </c>
      <c r="J103" s="280">
        <v>17.0</v>
      </c>
      <c r="K103" s="280"/>
      <c r="L103" s="280"/>
      <c r="M103" s="280"/>
      <c r="N103" s="280"/>
      <c r="O103" s="280"/>
      <c r="P103" s="280"/>
      <c r="Q103" s="280">
        <v>1.0</v>
      </c>
      <c r="R103" s="290" t="s">
        <v>784</v>
      </c>
      <c r="S103" s="281"/>
      <c r="T103" s="222"/>
      <c r="U103" s="281"/>
      <c r="V103" s="281"/>
      <c r="W103" s="281"/>
      <c r="X103" s="281"/>
    </row>
    <row r="104">
      <c r="A104" s="137" t="s">
        <v>671</v>
      </c>
      <c r="B104" s="296" t="s">
        <v>791</v>
      </c>
      <c r="C104" s="297" t="s">
        <v>792</v>
      </c>
      <c r="D104" s="289">
        <f>ROUND((F104*'Pawn Weights'!$B$22)+(G104*'Pawn Weights'!$B$23)+(H104*'Pawn Weights'!$B$24)+(I104*'Pawn Weights'!$B$25)+(J104*'Pawn Weights'!$B$26)+(K104*'Pawn Weights'!$B$27)+(L104*'Pawn Weights'!$B$28)+(M104*'Pawn Weights'!$B$29)+(N104*'Pawn Weights'!$B$30)+(O104*'Pawn Weights'!$B$31)+(P104*'Pawn Weights'!$B$32)+(Q104*'Pawn Weights'!$B$33)-8+7.68+2, 2)</f>
        <v>59.76</v>
      </c>
      <c r="E104" s="298">
        <v>40.0</v>
      </c>
      <c r="F104" s="298">
        <v>28.0</v>
      </c>
      <c r="G104" s="297"/>
      <c r="H104" s="297"/>
      <c r="I104" s="298">
        <v>24.0</v>
      </c>
      <c r="J104" s="297"/>
      <c r="K104" s="297"/>
      <c r="L104" s="297"/>
      <c r="M104" s="297"/>
      <c r="N104" s="297"/>
      <c r="O104" s="297"/>
      <c r="P104" s="298">
        <v>1.0</v>
      </c>
      <c r="Q104" s="297"/>
      <c r="R104" s="298" t="s">
        <v>784</v>
      </c>
      <c r="S104" s="137"/>
      <c r="T104" s="361" t="s">
        <v>793</v>
      </c>
      <c r="U104" s="137"/>
      <c r="V104" s="137"/>
      <c r="W104" s="137"/>
      <c r="X104" s="137"/>
      <c r="Y104" s="137"/>
      <c r="Z104" s="137"/>
    </row>
    <row r="105">
      <c r="A105" s="137"/>
      <c r="B105" s="296" t="s">
        <v>795</v>
      </c>
      <c r="C105" s="297" t="s">
        <v>691</v>
      </c>
      <c r="D105" s="289">
        <f>ROUND((F105*'Pawn Weights'!$B$22)+(G105*'Pawn Weights'!$B$23)+(H105*'Pawn Weights'!$B$24)+(I105*'Pawn Weights'!$B$25)+(J105*'Pawn Weights'!$B$26)+(K105*'Pawn Weights'!$B$27)+(L105*'Pawn Weights'!$B$28)+(M105*'Pawn Weights'!$B$29)+(N105*'Pawn Weights'!$B$30)+(O105*'Pawn Weights'!$B$31)+(P105*'Pawn Weights'!$B$32)+(Q105*'Pawn Weights'!$B$33), 2)</f>
        <v>58.79</v>
      </c>
      <c r="E105" s="298">
        <v>22.0</v>
      </c>
      <c r="F105" s="297"/>
      <c r="G105" s="298">
        <v>17.0</v>
      </c>
      <c r="H105" s="298">
        <v>50.0</v>
      </c>
      <c r="I105" s="298">
        <v>18.0</v>
      </c>
      <c r="J105" s="297"/>
      <c r="K105" s="297"/>
      <c r="L105" s="297"/>
      <c r="M105" s="297"/>
      <c r="N105" s="297"/>
      <c r="O105" s="297"/>
      <c r="P105" s="298">
        <v>1.0</v>
      </c>
      <c r="Q105" s="297"/>
      <c r="R105" s="298" t="s">
        <v>736</v>
      </c>
      <c r="S105" s="137"/>
      <c r="T105" s="137"/>
      <c r="U105" s="137"/>
      <c r="V105" s="137"/>
      <c r="W105" s="137"/>
      <c r="X105" s="137"/>
      <c r="Y105" s="137"/>
      <c r="Z105" s="137"/>
    </row>
    <row r="106">
      <c r="A106" s="281"/>
      <c r="B106" s="288" t="s">
        <v>789</v>
      </c>
      <c r="C106" s="280" t="s">
        <v>790</v>
      </c>
      <c r="D106" s="289">
        <f>ROUND((F106*'Pawn Weights'!$B$22)+(G106*'Pawn Weights'!$B$23)+(H106*'Pawn Weights'!$B$24)+(I106*'Pawn Weights'!$B$25)+(J106*'Pawn Weights'!$B$26)+(K106*'Pawn Weights'!$B$27)+(L106*'Pawn Weights'!$B$28)+(M106*'Pawn Weights'!$B$29)+(N106*'Pawn Weights'!$B$30)+(O106*'Pawn Weights'!$B$31)+(P106*'Pawn Weights'!$B$32)+(Q106*'Pawn Weights'!$B$33), 2)</f>
        <v>58.08</v>
      </c>
      <c r="E106" s="280">
        <v>16.0</v>
      </c>
      <c r="F106" s="280">
        <v>20.0</v>
      </c>
      <c r="G106" s="280"/>
      <c r="H106" s="280"/>
      <c r="I106" s="280">
        <v>24.0</v>
      </c>
      <c r="J106" s="280"/>
      <c r="K106" s="280"/>
      <c r="L106" s="280"/>
      <c r="M106" s="280"/>
      <c r="N106" s="280"/>
      <c r="O106" s="280">
        <v>1.0</v>
      </c>
      <c r="P106" s="280"/>
      <c r="Q106" s="280">
        <v>1.0</v>
      </c>
      <c r="R106" s="290" t="s">
        <v>698</v>
      </c>
      <c r="S106" s="281"/>
      <c r="T106" s="222"/>
      <c r="U106" s="281"/>
      <c r="V106" s="281"/>
      <c r="W106" s="281"/>
      <c r="X106" s="281"/>
    </row>
    <row r="107">
      <c r="A107" s="137"/>
      <c r="B107" s="296" t="s">
        <v>794</v>
      </c>
      <c r="C107" s="297" t="s">
        <v>691</v>
      </c>
      <c r="D107">
        <f>ROUND((F107*'Pawn Weights'!$B$22)+(G107*'Pawn Weights'!$B$23)+(H107*'Pawn Weights'!$B$24)+(I107*'Pawn Weights'!$B$25)+(J107*'Pawn Weights'!$B$26)+(K107*'Pawn Weights'!$B$27)+(L107*'Pawn Weights'!$B$28)+(M107*'Pawn Weights'!$B$29)+(N107*'Pawn Weights'!$B$30)+(O107*'Pawn Weights'!$B$31)+(P107*'Pawn Weights'!$B$32)+(Q107*'Pawn Weights'!$B$33), 2)</f>
        <v>54.5</v>
      </c>
      <c r="E107" s="298">
        <v>32.0</v>
      </c>
      <c r="F107" s="298">
        <v>32.0</v>
      </c>
      <c r="G107" s="297"/>
      <c r="H107" s="297"/>
      <c r="I107" s="297"/>
      <c r="J107" s="297"/>
      <c r="K107" s="297"/>
      <c r="L107" s="297"/>
      <c r="M107" s="298">
        <v>150.0</v>
      </c>
      <c r="N107" s="297"/>
      <c r="O107" s="297"/>
      <c r="P107" s="297"/>
      <c r="Q107" s="297"/>
      <c r="R107" s="298"/>
      <c r="S107" s="137"/>
      <c r="T107" s="137"/>
      <c r="U107" s="137"/>
      <c r="V107" s="137"/>
      <c r="W107" s="137"/>
      <c r="X107" s="137"/>
      <c r="Y107" s="137"/>
      <c r="Z107" s="137"/>
    </row>
    <row r="108">
      <c r="A108" s="137" t="s">
        <v>627</v>
      </c>
      <c r="B108" s="296" t="s">
        <v>787</v>
      </c>
      <c r="C108" s="297" t="s">
        <v>788</v>
      </c>
      <c r="D108" s="289">
        <f>ROUND((F108*'Pawn Weights'!$B$22)+(G108*'Pawn Weights'!$B$23)+(H108*'Pawn Weights'!$B$24)+(I108*'Pawn Weights'!$B$25)+(J108*'Pawn Weights'!$B$26)+(K108*'Pawn Weights'!$B$27)+(L108*'Pawn Weights'!$B$28)+(M108*'Pawn Weights'!$B$29)+(N108*'Pawn Weights'!$B$30)+(O108*'Pawn Weights'!$B$31)+(P108*'Pawn Weights'!$B$32)+(Q108*'Pawn Weights'!$B$33), 2)</f>
        <v>54.25</v>
      </c>
      <c r="E108" s="298">
        <v>15.0</v>
      </c>
      <c r="F108" s="297"/>
      <c r="G108" s="298">
        <v>21.0</v>
      </c>
      <c r="H108" s="298">
        <v>56.0</v>
      </c>
      <c r="I108" s="297"/>
      <c r="J108" s="297"/>
      <c r="K108" s="298">
        <v>27.0</v>
      </c>
      <c r="L108" s="297"/>
      <c r="M108" s="297"/>
      <c r="N108" s="297"/>
      <c r="O108" s="297"/>
      <c r="P108" s="297"/>
      <c r="Q108" s="297"/>
      <c r="R108" s="295"/>
      <c r="S108" s="137"/>
      <c r="T108" s="137"/>
      <c r="U108" s="137"/>
      <c r="V108" s="137"/>
      <c r="W108" s="137"/>
      <c r="X108" s="137"/>
      <c r="Y108" s="137"/>
      <c r="Z108" s="137"/>
    </row>
    <row r="109">
      <c r="A109" s="137" t="s">
        <v>991</v>
      </c>
      <c r="B109" s="296" t="s">
        <v>1089</v>
      </c>
      <c r="C109" s="363" t="s">
        <v>1090</v>
      </c>
      <c r="D109" s="289">
        <f>ROUND((F109*'Pawn Weights'!$B$22)+(G109*'Pawn Weights'!$B$23)+(H109*'Pawn Weights'!$B$24)+(I109*'Pawn Weights'!$B$25)+(J109*'Pawn Weights'!$B$26)+(K109*'Pawn Weights'!$B$27)+(L109*'Pawn Weights'!$B$28)+(M109*'Pawn Weights'!$B$29)+(N109*'Pawn Weights'!$B$30)+(O109*'Pawn Weights'!$B$31)+(P109*'Pawn Weights'!$B$32)+(Q109*'Pawn Weights'!$B$33)-8+7.68+2, 2)</f>
        <v>54</v>
      </c>
      <c r="E109" s="298">
        <v>36.0</v>
      </c>
      <c r="F109" s="298">
        <v>25.0</v>
      </c>
      <c r="G109" s="295"/>
      <c r="H109" s="295"/>
      <c r="I109" s="298">
        <v>21.0</v>
      </c>
      <c r="J109" s="295"/>
      <c r="K109" s="295"/>
      <c r="L109" s="295"/>
      <c r="M109" s="295"/>
      <c r="N109" s="295"/>
      <c r="O109" s="295"/>
      <c r="P109" s="298">
        <v>1.0</v>
      </c>
      <c r="Q109" s="295"/>
      <c r="R109" s="298" t="s">
        <v>784</v>
      </c>
      <c r="S109" s="137"/>
      <c r="T109" s="361" t="s">
        <v>793</v>
      </c>
      <c r="U109" s="137"/>
      <c r="V109" s="137"/>
      <c r="W109" s="137"/>
      <c r="X109" s="137"/>
      <c r="Y109" s="137"/>
      <c r="Z109" s="137"/>
    </row>
    <row r="110">
      <c r="A110" s="281"/>
      <c r="B110" s="288" t="s">
        <v>1092</v>
      </c>
      <c r="C110" s="280" t="s">
        <v>957</v>
      </c>
      <c r="D110" s="289">
        <f>ROUND((F110*'Pawn Weights'!$B$22)+(G110*'Pawn Weights'!$B$23)+(H110*'Pawn Weights'!$B$24)+(I110*'Pawn Weights'!$B$25)+(J110*'Pawn Weights'!$B$26)+(K110*'Pawn Weights'!$B$27)+(L110*'Pawn Weights'!$B$28)+(M110*'Pawn Weights'!$B$29)+(N110*'Pawn Weights'!$B$30)+(O110*'Pawn Weights'!$B$31)+(P110*'Pawn Weights'!$B$32)+(Q110*'Pawn Weights'!$B$33), 2)</f>
        <v>52.81</v>
      </c>
      <c r="E110" s="280">
        <v>18.0</v>
      </c>
      <c r="F110" s="280"/>
      <c r="G110" s="280"/>
      <c r="H110" s="280">
        <v>50.0</v>
      </c>
      <c r="I110" s="280">
        <v>24.0</v>
      </c>
      <c r="J110" s="280"/>
      <c r="K110" s="280"/>
      <c r="L110" s="280"/>
      <c r="M110" s="280"/>
      <c r="N110" s="280"/>
      <c r="O110" s="280"/>
      <c r="P110" s="280">
        <v>1.0</v>
      </c>
      <c r="Q110" s="280"/>
      <c r="R110" s="290" t="s">
        <v>674</v>
      </c>
      <c r="S110" s="281"/>
      <c r="T110" s="294"/>
      <c r="U110" s="281"/>
      <c r="V110" s="281"/>
      <c r="W110" s="281"/>
      <c r="X110" s="281"/>
    </row>
    <row r="111">
      <c r="A111" s="137" t="s">
        <v>627</v>
      </c>
      <c r="B111" s="296" t="s">
        <v>796</v>
      </c>
      <c r="C111" s="297" t="s">
        <v>788</v>
      </c>
      <c r="D111" s="289">
        <f>ROUND((F111*'Pawn Weights'!$B$22)+(G111*'Pawn Weights'!$B$23)+(H111*'Pawn Weights'!$B$24)+(I111*'Pawn Weights'!$B$25)+(J111*'Pawn Weights'!$B$26)+(K111*'Pawn Weights'!$B$27)+(L111*'Pawn Weights'!$B$28)+(M111*'Pawn Weights'!$B$29)+(N111*'Pawn Weights'!$B$30)+(O111*'Pawn Weights'!$B$31)+(P111*'Pawn Weights'!$B$32)+(Q111*'Pawn Weights'!$B$33), 2)</f>
        <v>50.85</v>
      </c>
      <c r="E111" s="298">
        <v>34.0</v>
      </c>
      <c r="F111" s="297"/>
      <c r="G111" s="298">
        <v>20.0</v>
      </c>
      <c r="H111" s="298">
        <v>50.0</v>
      </c>
      <c r="I111" s="297"/>
      <c r="J111" s="297"/>
      <c r="K111" s="298">
        <v>27.0</v>
      </c>
      <c r="L111" s="297"/>
      <c r="M111" s="297"/>
      <c r="N111" s="297"/>
      <c r="O111" s="297"/>
      <c r="P111" s="297"/>
      <c r="Q111" s="297"/>
      <c r="R111" s="295"/>
      <c r="S111" s="137"/>
      <c r="T111" s="295"/>
      <c r="U111" s="137"/>
      <c r="V111" s="137"/>
      <c r="W111" s="137"/>
      <c r="X111" s="137"/>
      <c r="Y111" s="137"/>
      <c r="Z111" s="137"/>
    </row>
    <row r="112">
      <c r="A112" s="137"/>
      <c r="B112" s="296" t="s">
        <v>799</v>
      </c>
      <c r="C112" s="297" t="s">
        <v>691</v>
      </c>
      <c r="D112" s="289">
        <f>ROUND((F112*'Pawn Weights'!$B$22)+(G112*'Pawn Weights'!$B$23)+(H112*'Pawn Weights'!$B$24)+(I112*'Pawn Weights'!$B$25)+(J112*'Pawn Weights'!$B$26)+(K112*'Pawn Weights'!$B$27)+(L112*'Pawn Weights'!$B$28)+(M112*'Pawn Weights'!$B$29)+(N112*'Pawn Weights'!$B$30)+(O112*'Pawn Weights'!$B$31)+(P112*'Pawn Weights'!$B$32)+(Q112*'Pawn Weights'!$B$33), 2)</f>
        <v>50.66</v>
      </c>
      <c r="E112" s="298">
        <v>21.0</v>
      </c>
      <c r="F112" s="297"/>
      <c r="G112" s="298">
        <v>18.0</v>
      </c>
      <c r="H112" s="298">
        <v>50.0</v>
      </c>
      <c r="I112" s="297"/>
      <c r="J112" s="297"/>
      <c r="K112" s="297"/>
      <c r="L112" s="297"/>
      <c r="M112" s="298">
        <v>105.0</v>
      </c>
      <c r="N112" s="297"/>
      <c r="O112" s="297"/>
      <c r="P112" s="297"/>
      <c r="Q112" s="297"/>
      <c r="R112" s="295"/>
      <c r="S112" s="137"/>
      <c r="T112" s="137"/>
      <c r="U112" s="137"/>
      <c r="V112" s="137"/>
      <c r="W112" s="137"/>
      <c r="X112" s="137"/>
      <c r="Y112" s="137"/>
      <c r="Z112" s="137"/>
    </row>
    <row r="113">
      <c r="A113" s="137" t="s">
        <v>627</v>
      </c>
      <c r="B113" s="296" t="s">
        <v>797</v>
      </c>
      <c r="C113" s="297" t="s">
        <v>798</v>
      </c>
      <c r="D113" s="289">
        <f>ROUND((F113*'Pawn Weights'!$B$22)+(G113*'Pawn Weights'!$B$23)+(H113*'Pawn Weights'!$B$24)+(I113*'Pawn Weights'!$B$25)+(J113*'Pawn Weights'!$B$26)+(K113*'Pawn Weights'!$B$27)+(L113*'Pawn Weights'!$B$28)+(M113*'Pawn Weights'!$B$29)+(N113*'Pawn Weights'!$B$30)+(O113*'Pawn Weights'!$B$31)+(P113*'Pawn Weights'!$B$32)+(Q113*'Pawn Weights'!$B$33), 2)</f>
        <v>49.58</v>
      </c>
      <c r="E113" s="298">
        <v>32.0</v>
      </c>
      <c r="F113" s="298">
        <v>35.0</v>
      </c>
      <c r="G113" s="297"/>
      <c r="H113" s="297"/>
      <c r="I113" s="297"/>
      <c r="J113" s="297"/>
      <c r="K113" s="298">
        <v>27.0</v>
      </c>
      <c r="L113" s="297"/>
      <c r="M113" s="297"/>
      <c r="N113" s="297"/>
      <c r="O113" s="297"/>
      <c r="P113" s="297"/>
      <c r="Q113" s="297"/>
      <c r="R113" s="295"/>
      <c r="S113" s="137"/>
      <c r="T113" s="137"/>
      <c r="U113" s="137"/>
      <c r="V113" s="137"/>
      <c r="W113" s="137"/>
      <c r="X113" s="137"/>
      <c r="Y113" s="137"/>
      <c r="Z113" s="137"/>
    </row>
    <row r="114">
      <c r="A114" s="281"/>
      <c r="B114" s="288" t="s">
        <v>1337</v>
      </c>
      <c r="C114" s="307" t="s">
        <v>1338</v>
      </c>
      <c r="D114" s="289">
        <f>ROUND((F114*'Pawn Weights'!$B$22)+(G114*'Pawn Weights'!$B$23)+(H114*'Pawn Weights'!$B$24)+(I114*'Pawn Weights'!$B$25)+(J114*'Pawn Weights'!$B$26)+(K114*'Pawn Weights'!$B$27)+(L114*'Pawn Weights'!$B$28)+(M114*'Pawn Weights'!$B$29)+(N114*'Pawn Weights'!$B$30)+(O114*'Pawn Weights'!$B$31)+(P114*'Pawn Weights'!$B$32)+(Q114*'Pawn Weights'!$B$33), 2)</f>
        <v>48.97</v>
      </c>
      <c r="E114" s="280"/>
      <c r="F114" s="280"/>
      <c r="G114" s="280">
        <v>17.0</v>
      </c>
      <c r="H114" s="280">
        <v>48.0</v>
      </c>
      <c r="I114" s="280">
        <v>17.0</v>
      </c>
      <c r="J114" s="280"/>
      <c r="K114" s="280"/>
      <c r="L114" s="280"/>
      <c r="M114" s="280"/>
      <c r="N114" s="280"/>
      <c r="O114" s="280"/>
      <c r="P114" s="280"/>
      <c r="Q114" s="280"/>
      <c r="R114" s="290"/>
      <c r="S114" s="281"/>
      <c r="T114" s="294"/>
      <c r="U114" s="281"/>
      <c r="V114" s="281"/>
      <c r="W114" s="281"/>
      <c r="X114" s="281"/>
    </row>
    <row r="115">
      <c r="A115" s="281"/>
      <c r="B115" s="288" t="s">
        <v>1207</v>
      </c>
      <c r="C115" s="307" t="s">
        <v>871</v>
      </c>
      <c r="D115" s="289">
        <f>ROUND((F115*'Pawn Weights'!$B$22)+(G115*'Pawn Weights'!$B$23)+(H115*'Pawn Weights'!$B$24)+(I115*'Pawn Weights'!$B$25)+(J115*'Pawn Weights'!$B$26)+(K115*'Pawn Weights'!$B$27)+(L115*'Pawn Weights'!$B$28)+(M115*'Pawn Weights'!$B$29)+(N115*'Pawn Weights'!$B$30)+(O115*'Pawn Weights'!$B$31)+(P115*'Pawn Weights'!$B$32)+(Q115*'Pawn Weights'!$B$33), 2)</f>
        <v>47.88</v>
      </c>
      <c r="E115" s="280">
        <v>24.0</v>
      </c>
      <c r="F115" s="280"/>
      <c r="G115" s="280">
        <v>24.0</v>
      </c>
      <c r="H115" s="280">
        <v>52.0</v>
      </c>
      <c r="I115" s="280"/>
      <c r="J115" s="280"/>
      <c r="K115" s="280"/>
      <c r="L115" s="280"/>
      <c r="M115" s="280"/>
      <c r="N115" s="280"/>
      <c r="O115" s="280"/>
      <c r="P115" s="280"/>
      <c r="Q115" s="280">
        <v>1.0</v>
      </c>
      <c r="R115" s="290" t="s">
        <v>660</v>
      </c>
      <c r="S115" s="281"/>
      <c r="T115" s="294"/>
      <c r="U115" s="281"/>
      <c r="V115" s="281"/>
      <c r="W115" s="281"/>
      <c r="X115" s="281"/>
    </row>
    <row r="116">
      <c r="A116" s="137" t="s">
        <v>1559</v>
      </c>
      <c r="B116" s="296" t="s">
        <v>1560</v>
      </c>
      <c r="C116" s="297" t="s">
        <v>1561</v>
      </c>
      <c r="D116" s="289">
        <f>ROUND((F116*'Pawn Weights'!$B$22)+(G116*'Pawn Weights'!$B$23)+(H116*'Pawn Weights'!$B$24)+(I116*'Pawn Weights'!$B$25)+(J116*'Pawn Weights'!$B$26)+(K116*'Pawn Weights'!$B$27)+(L116*'Pawn Weights'!$B$28)+(M116*'Pawn Weights'!$B$29)+(N116*'Pawn Weights'!$B$30)+(O116*'Pawn Weights'!$B$31)+(P116*'Pawn Weights'!$B$32)+(Q116*'Pawn Weights'!$B$33), 2)</f>
        <v>46.24</v>
      </c>
      <c r="E116" s="298">
        <v>15.0</v>
      </c>
      <c r="F116" s="298">
        <v>26.0</v>
      </c>
      <c r="G116" s="297"/>
      <c r="H116" s="297"/>
      <c r="I116" s="298">
        <v>22.0</v>
      </c>
      <c r="J116" s="297"/>
      <c r="K116" s="297"/>
      <c r="L116" s="297"/>
      <c r="M116" s="297"/>
      <c r="N116" s="297"/>
      <c r="O116" s="297"/>
      <c r="P116" s="297"/>
      <c r="Q116" s="297"/>
      <c r="R116" s="295"/>
      <c r="S116" s="137"/>
      <c r="T116" s="295"/>
      <c r="U116" s="137"/>
      <c r="V116" s="137"/>
      <c r="W116" s="137"/>
      <c r="X116" s="137"/>
      <c r="Y116" s="137"/>
      <c r="Z116" s="137"/>
    </row>
    <row r="117">
      <c r="A117" s="137" t="s">
        <v>995</v>
      </c>
      <c r="B117" s="296" t="s">
        <v>1562</v>
      </c>
      <c r="C117" s="363" t="s">
        <v>1563</v>
      </c>
      <c r="D117" s="289">
        <f>ROUND((F117*'Pawn Weights'!$B$22)+(G117*'Pawn Weights'!$B$23)+(H117*'Pawn Weights'!$B$24)+(I117*'Pawn Weights'!$B$25)+(J117*'Pawn Weights'!$B$26)+(K117*'Pawn Weights'!$B$27)+(L117*'Pawn Weights'!$B$28)+(M117*'Pawn Weights'!$B$29)+(N117*'Pawn Weights'!$B$30)+(O117*'Pawn Weights'!$B$31)+(P117*'Pawn Weights'!$B$32)+(Q117*'Pawn Weights'!$B$33), 2)</f>
        <v>44.64</v>
      </c>
      <c r="E117" s="298">
        <v>30.0</v>
      </c>
      <c r="F117" s="298">
        <v>21.0</v>
      </c>
      <c r="G117" s="297"/>
      <c r="H117" s="297"/>
      <c r="I117" s="298">
        <v>17.0</v>
      </c>
      <c r="J117" s="297"/>
      <c r="K117" s="297"/>
      <c r="L117" s="297"/>
      <c r="M117" s="297"/>
      <c r="N117" s="297"/>
      <c r="O117" s="297"/>
      <c r="P117" s="298">
        <v>1.0</v>
      </c>
      <c r="Q117" s="297"/>
      <c r="R117" s="298" t="s">
        <v>1564</v>
      </c>
      <c r="S117" s="137"/>
      <c r="T117" s="295"/>
      <c r="U117" s="361" t="s">
        <v>793</v>
      </c>
      <c r="V117" s="137"/>
      <c r="W117" s="137"/>
      <c r="X117" s="137"/>
      <c r="Y117" s="137"/>
      <c r="Z117" s="137"/>
    </row>
    <row r="118">
      <c r="A118" s="137"/>
      <c r="B118" s="296" t="s">
        <v>1565</v>
      </c>
      <c r="C118" s="297" t="s">
        <v>1566</v>
      </c>
      <c r="D118" s="289">
        <f>ROUND((F118*'Pawn Weights'!$B$22)+(G118*'Pawn Weights'!$B$23)+(H118*'Pawn Weights'!$B$24)+(I118*'Pawn Weights'!$B$25)+(J118*'Pawn Weights'!$B$26)+(K118*'Pawn Weights'!$B$27)+(L118*'Pawn Weights'!$B$28)+(M118*'Pawn Weights'!$B$29)+(N118*'Pawn Weights'!$B$30)+(O118*'Pawn Weights'!$B$31)+(P118*'Pawn Weights'!$B$32)+(Q118*'Pawn Weights'!$B$33), 2)</f>
        <v>42.97</v>
      </c>
      <c r="E118" s="298">
        <v>25.0</v>
      </c>
      <c r="F118" s="297"/>
      <c r="G118" s="297"/>
      <c r="H118" s="298">
        <v>50.0</v>
      </c>
      <c r="I118" s="298">
        <v>22.0</v>
      </c>
      <c r="J118" s="297"/>
      <c r="K118" s="297"/>
      <c r="L118" s="297"/>
      <c r="M118" s="297"/>
      <c r="N118" s="297"/>
      <c r="O118" s="297"/>
      <c r="P118" s="297"/>
      <c r="Q118" s="297"/>
      <c r="R118" s="298"/>
      <c r="S118" s="137"/>
      <c r="T118" s="295"/>
      <c r="U118" s="137"/>
      <c r="V118" s="137"/>
      <c r="W118" s="137"/>
      <c r="X118" s="137"/>
      <c r="Y118" s="137"/>
      <c r="Z118" s="137"/>
    </row>
    <row r="119">
      <c r="A119" s="137"/>
      <c r="B119" s="296" t="s">
        <v>1208</v>
      </c>
      <c r="C119" s="297" t="s">
        <v>1209</v>
      </c>
      <c r="D119" s="289">
        <f>ROUND((F119*'Pawn Weights'!$B$22)+(G119*'Pawn Weights'!$B$23)+(H119*'Pawn Weights'!$B$24)+(I119*'Pawn Weights'!$B$25)+(J119*'Pawn Weights'!$B$26)+(K119*'Pawn Weights'!$B$27)+(L119*'Pawn Weights'!$B$28)+(M119*'Pawn Weights'!$B$29)+(N119*'Pawn Weights'!$B$30)+(O119*'Pawn Weights'!$B$31)+(P119*'Pawn Weights'!$B$32)+(Q119*'Pawn Weights'!$B$33), 2)</f>
        <v>40.63</v>
      </c>
      <c r="E119" s="298">
        <v>18.0</v>
      </c>
      <c r="F119" s="297"/>
      <c r="G119" s="298">
        <v>20.0</v>
      </c>
      <c r="H119" s="298">
        <v>42.0</v>
      </c>
      <c r="I119" s="297"/>
      <c r="J119" s="297"/>
      <c r="K119" s="297"/>
      <c r="L119" s="297"/>
      <c r="M119" s="297"/>
      <c r="N119" s="297"/>
      <c r="O119" s="297"/>
      <c r="P119" s="297"/>
      <c r="Q119" s="298">
        <v>1.0</v>
      </c>
      <c r="R119" s="298" t="s">
        <v>660</v>
      </c>
      <c r="S119" s="137"/>
      <c r="T119" s="295"/>
      <c r="U119" s="137"/>
      <c r="V119" s="137"/>
      <c r="W119" s="137"/>
      <c r="X119" s="137"/>
      <c r="Y119" s="137"/>
      <c r="Z119" s="137"/>
    </row>
    <row r="120">
      <c r="A120" s="137"/>
      <c r="B120" s="296" t="s">
        <v>1567</v>
      </c>
      <c r="C120" s="363" t="s">
        <v>1568</v>
      </c>
      <c r="D120" s="289">
        <f>ROUND((F120*'Pawn Weights'!$B$22)+(G120*'Pawn Weights'!$B$23)+(H120*'Pawn Weights'!$B$24)+(I120*'Pawn Weights'!$B$25)+(J120*'Pawn Weights'!$B$26)+(K120*'Pawn Weights'!$B$27)+(L120*'Pawn Weights'!$B$28)+(M120*'Pawn Weights'!$B$29)+(N120*'Pawn Weights'!$B$30)+(O120*'Pawn Weights'!$B$31)+(P120*'Pawn Weights'!$B$32)+(Q120*'Pawn Weights'!$B$33), 2)</f>
        <v>39.88</v>
      </c>
      <c r="E120" s="298">
        <v>25.0</v>
      </c>
      <c r="F120" s="298">
        <v>19.0</v>
      </c>
      <c r="G120" s="297"/>
      <c r="H120" s="297"/>
      <c r="I120" s="298">
        <v>14.0</v>
      </c>
      <c r="J120" s="297"/>
      <c r="K120" s="297"/>
      <c r="L120" s="297"/>
      <c r="M120" s="297"/>
      <c r="N120" s="297"/>
      <c r="O120" s="297"/>
      <c r="P120" s="298">
        <v>1.0</v>
      </c>
      <c r="Q120" s="297"/>
      <c r="R120" s="298" t="s">
        <v>1569</v>
      </c>
      <c r="S120" s="137"/>
      <c r="T120" s="295"/>
      <c r="U120" s="361" t="s">
        <v>1570</v>
      </c>
      <c r="V120" s="137"/>
      <c r="W120" s="137"/>
      <c r="X120" s="137"/>
      <c r="Y120" s="137"/>
      <c r="Z120" s="137"/>
    </row>
    <row r="121">
      <c r="A121" s="137" t="s">
        <v>627</v>
      </c>
      <c r="B121" s="296" t="s">
        <v>1215</v>
      </c>
      <c r="C121" s="429" t="s">
        <v>1697</v>
      </c>
      <c r="D121" s="289">
        <f>ROUND((F121*'Pawn Weights'!$B$22)+(G121*'Pawn Weights'!$B$23)+(H121*'Pawn Weights'!$B$24)+(I121*'Pawn Weights'!$B$25)+(J121*'Pawn Weights'!$B$26)+(K121*'Pawn Weights'!$B$27)+(L121*'Pawn Weights'!$B$28)+(M121*'Pawn Weights'!$B$29)+(N121*'Pawn Weights'!$B$30)+(O121*'Pawn Weights'!$B$31)+(P121*'Pawn Weights'!$B$32)+(Q121*'Pawn Weights'!$B$33), 2)</f>
        <v>39.24</v>
      </c>
      <c r="E121" s="298">
        <v>21.0</v>
      </c>
      <c r="F121" s="297"/>
      <c r="G121" s="298">
        <v>15.0</v>
      </c>
      <c r="H121" s="298">
        <v>64.0</v>
      </c>
      <c r="I121" s="297"/>
      <c r="J121" s="297"/>
      <c r="K121" s="297"/>
      <c r="L121" s="297"/>
      <c r="M121" s="297"/>
      <c r="N121" s="297"/>
      <c r="O121" s="297"/>
      <c r="P121" s="297"/>
      <c r="Q121" s="297"/>
      <c r="R121" s="298"/>
      <c r="S121" s="137"/>
      <c r="T121" s="295"/>
      <c r="U121" s="361"/>
      <c r="V121" s="137"/>
      <c r="W121" s="137"/>
      <c r="X121" s="137"/>
      <c r="Y121" s="137"/>
      <c r="Z121" s="137"/>
    </row>
    <row r="122">
      <c r="A122" s="137" t="s">
        <v>627</v>
      </c>
      <c r="B122" s="383" t="s">
        <v>1470</v>
      </c>
      <c r="C122" s="297" t="s">
        <v>904</v>
      </c>
      <c r="D122" s="289">
        <f>ROUND((F122*'Pawn Weights'!$B$22)+(G122*'Pawn Weights'!$B$23)+(H122*'Pawn Weights'!$B$24)+(I122*'Pawn Weights'!$B$25)+(J122*'Pawn Weights'!$B$26)+(K122*'Pawn Weights'!$B$27)+(L122*'Pawn Weights'!$B$28)+(M122*'Pawn Weights'!$B$29)+(N122*'Pawn Weights'!$B$30)+(O122*'Pawn Weights'!$B$31)+(P122*'Pawn Weights'!$B$32)+(Q122*'Pawn Weights'!$B$33), 2)</f>
        <v>37.46</v>
      </c>
      <c r="E122" s="297"/>
      <c r="F122" s="297"/>
      <c r="G122" s="298">
        <v>18.0</v>
      </c>
      <c r="H122" s="298">
        <v>38.0</v>
      </c>
      <c r="I122" s="297"/>
      <c r="J122" s="297"/>
      <c r="K122" s="297"/>
      <c r="L122" s="297"/>
      <c r="M122" s="297"/>
      <c r="N122" s="297"/>
      <c r="O122" s="297"/>
      <c r="P122" s="297"/>
      <c r="Q122" s="298">
        <v>1.0</v>
      </c>
      <c r="R122" s="298" t="s">
        <v>674</v>
      </c>
      <c r="S122" s="137"/>
      <c r="T122" s="295"/>
      <c r="U122" s="137"/>
      <c r="V122" s="137"/>
      <c r="W122" s="137"/>
      <c r="X122" s="137"/>
      <c r="Y122" s="137"/>
      <c r="Z122" s="137"/>
    </row>
    <row r="123">
      <c r="A123" s="137"/>
      <c r="B123" s="296" t="s">
        <v>1213</v>
      </c>
      <c r="C123" s="297" t="s">
        <v>1214</v>
      </c>
      <c r="D123" s="289">
        <f>ROUND((F123*'Pawn Weights'!$B$22)+(G123*'Pawn Weights'!$B$23)+(H123*'Pawn Weights'!$B$24)+(I123*'Pawn Weights'!$B$25)+(J123*'Pawn Weights'!$B$26)+(K123*'Pawn Weights'!$B$27)+(L123*'Pawn Weights'!$B$28)+(M123*'Pawn Weights'!$B$29)+(N123*'Pawn Weights'!$B$30)+(O123*'Pawn Weights'!$B$31)+(P123*'Pawn Weights'!$B$32)+(Q123*'Pawn Weights'!$B$33), 2)</f>
        <v>37.16</v>
      </c>
      <c r="E123" s="298">
        <v>22.0</v>
      </c>
      <c r="F123" s="297"/>
      <c r="G123" s="298">
        <v>24.0</v>
      </c>
      <c r="H123" s="298">
        <v>46.0</v>
      </c>
      <c r="I123" s="297"/>
      <c r="J123" s="297"/>
      <c r="K123" s="297"/>
      <c r="L123" s="297"/>
      <c r="M123" s="297"/>
      <c r="N123" s="297"/>
      <c r="O123" s="297"/>
      <c r="P123" s="297"/>
      <c r="Q123" s="297"/>
      <c r="R123" s="295"/>
      <c r="S123" s="137"/>
      <c r="T123" s="295"/>
      <c r="U123" s="137"/>
      <c r="V123" s="137"/>
      <c r="W123" s="137"/>
      <c r="X123" s="137"/>
      <c r="Y123" s="137"/>
      <c r="Z123" s="137"/>
    </row>
    <row r="124">
      <c r="A124" s="137"/>
      <c r="B124" s="431" t="s">
        <v>1571</v>
      </c>
      <c r="C124" s="297" t="s">
        <v>1572</v>
      </c>
      <c r="D124" s="289">
        <f>ROUND((F124*'Pawn Weights'!$B$22)+(G124*'Pawn Weights'!$B$23)+(H124*'Pawn Weights'!$B$24)+(I124*'Pawn Weights'!$B$25)+(J124*'Pawn Weights'!$B$26)+(K124*'Pawn Weights'!$B$27)+(L124*'Pawn Weights'!$B$28)+(M124*'Pawn Weights'!$B$29)+(N124*'Pawn Weights'!$B$30)+(O124*'Pawn Weights'!$B$31)+(P124*'Pawn Weights'!$B$32)+(Q124*'Pawn Weights'!$B$33), 2)</f>
        <v>33.33</v>
      </c>
      <c r="E124" s="297"/>
      <c r="F124" s="297"/>
      <c r="G124" s="298">
        <v>12.0</v>
      </c>
      <c r="H124" s="298">
        <v>42.0</v>
      </c>
      <c r="I124" s="297"/>
      <c r="J124" s="298">
        <v>9.0</v>
      </c>
      <c r="K124" s="297"/>
      <c r="L124" s="297"/>
      <c r="M124" s="297"/>
      <c r="N124" s="297"/>
      <c r="O124" s="297"/>
      <c r="P124" s="297"/>
      <c r="Q124" s="297"/>
      <c r="R124" s="295"/>
      <c r="S124" s="137"/>
      <c r="T124" s="295"/>
      <c r="U124" s="137"/>
      <c r="V124" s="137"/>
      <c r="W124" s="137"/>
      <c r="X124" s="137"/>
      <c r="Y124" s="137"/>
      <c r="Z124" s="137"/>
    </row>
    <row r="125">
      <c r="A125" s="137"/>
      <c r="B125" s="383" t="s">
        <v>1210</v>
      </c>
      <c r="C125" s="297" t="s">
        <v>1211</v>
      </c>
      <c r="D125" s="289">
        <f>ROUND((F125*'Pawn Weights'!$B$22)+(G125*'Pawn Weights'!$B$23)+(H125*'Pawn Weights'!$B$24)+(I125*'Pawn Weights'!$B$25)+(J125*'Pawn Weights'!$B$26)+(K125*'Pawn Weights'!$B$27)+(L125*'Pawn Weights'!$B$28)+(M125*'Pawn Weights'!$B$29)+(N125*'Pawn Weights'!$B$30)+(O125*'Pawn Weights'!$B$31)+(P125*'Pawn Weights'!$B$32)+(Q125*'Pawn Weights'!$B$33), 2)</f>
        <v>30.39</v>
      </c>
      <c r="E125" s="298">
        <v>15.0</v>
      </c>
      <c r="F125" s="297"/>
      <c r="G125" s="298">
        <v>18.0</v>
      </c>
      <c r="H125" s="297"/>
      <c r="I125" s="297"/>
      <c r="J125" s="298">
        <v>15.0</v>
      </c>
      <c r="K125" s="297"/>
      <c r="L125" s="297"/>
      <c r="M125" s="297"/>
      <c r="N125" s="297"/>
      <c r="O125" s="298">
        <v>1.0</v>
      </c>
      <c r="P125" s="297"/>
      <c r="Q125" s="297"/>
      <c r="R125" s="295"/>
      <c r="S125" s="137"/>
      <c r="T125" s="295"/>
      <c r="U125" s="361" t="s">
        <v>1573</v>
      </c>
      <c r="V125" s="137"/>
      <c r="W125" s="137"/>
      <c r="X125" s="137"/>
      <c r="Y125" s="137"/>
      <c r="Z125" s="137"/>
    </row>
    <row r="126">
      <c r="A126" s="272" t="s">
        <v>800</v>
      </c>
      <c r="B126" s="281"/>
      <c r="C126" s="281"/>
      <c r="D126" s="360"/>
      <c r="E126" s="281"/>
      <c r="F126" s="281"/>
      <c r="G126" s="281"/>
      <c r="H126" s="281"/>
      <c r="I126" s="281"/>
      <c r="J126" s="281"/>
      <c r="K126" s="281"/>
      <c r="L126" s="281"/>
      <c r="M126" s="281"/>
      <c r="N126" s="281"/>
      <c r="O126" s="281"/>
      <c r="P126" s="281"/>
      <c r="Q126" s="281"/>
      <c r="R126" s="282"/>
      <c r="S126" s="281"/>
      <c r="T126" s="285"/>
      <c r="U126" s="281"/>
      <c r="V126" s="281"/>
      <c r="W126" s="281"/>
    </row>
    <row r="127">
      <c r="A127" s="137" t="s">
        <v>627</v>
      </c>
      <c r="B127" s="341" t="s">
        <v>801</v>
      </c>
      <c r="C127" s="361" t="s">
        <v>802</v>
      </c>
      <c r="D127" s="289">
        <f>ROUND((F127*'Pawn Weights'!$B$22)+(G127*'Pawn Weights'!$B$23)+(H127*'Pawn Weights'!$B$24)+(I127*'Pawn Weights'!$B$25)+(J127*'Pawn Weights'!$B$26)+(K127*'Pawn Weights'!$B$27)+(L127*'Pawn Weights'!$B$28)+(M127*'Pawn Weights'!$B$29)+(N127*'Pawn Weights'!$B$30)+(O127*'Pawn Weights'!$B$31)+(P127*'Pawn Weights'!$B$32)+(Q127*'Pawn Weights'!$B$33)+2.76, 2)</f>
        <v>130.68</v>
      </c>
      <c r="E127" s="359">
        <v>33.0</v>
      </c>
      <c r="F127" s="361"/>
      <c r="G127" s="359">
        <v>30.0</v>
      </c>
      <c r="H127" s="359">
        <v>90.0</v>
      </c>
      <c r="I127" s="359">
        <v>30.0</v>
      </c>
      <c r="J127" s="361"/>
      <c r="K127" s="361"/>
      <c r="L127" s="361"/>
      <c r="M127" s="359">
        <v>154.0</v>
      </c>
      <c r="N127" s="361"/>
      <c r="O127" s="359">
        <v>2.0</v>
      </c>
      <c r="P127" s="361"/>
      <c r="Q127" s="361"/>
      <c r="R127" s="359" t="s">
        <v>702</v>
      </c>
      <c r="S127" s="137"/>
      <c r="T127" s="137"/>
      <c r="U127" s="137"/>
      <c r="V127" s="137"/>
      <c r="W127" s="137"/>
      <c r="X127" s="137"/>
      <c r="Y127" s="137"/>
      <c r="Z127" s="137"/>
    </row>
    <row r="128">
      <c r="A128" s="137" t="s">
        <v>627</v>
      </c>
      <c r="B128" s="341" t="s">
        <v>805</v>
      </c>
      <c r="C128" s="361" t="s">
        <v>806</v>
      </c>
      <c r="D128" s="289">
        <f>ROUND((F128*'Pawn Weights'!$B$22)+(G128*'Pawn Weights'!$B$23)+(H128*'Pawn Weights'!$B$24)+(I128*'Pawn Weights'!$B$25)+(J128*'Pawn Weights'!$B$26)+(K128*'Pawn Weights'!$B$27)+(L128*'Pawn Weights'!$B$28)+(M128*'Pawn Weights'!$B$29)+(N128*'Pawn Weights'!$B$30)+(O128*'Pawn Weights'!$B$31)+(P128*'Pawn Weights'!$B$32)+(Q128*'Pawn Weights'!$B$33)-8+7.68+3, 2)</f>
        <v>98.76</v>
      </c>
      <c r="E128" s="359">
        <v>45.0</v>
      </c>
      <c r="F128" s="359">
        <v>45.0</v>
      </c>
      <c r="G128" s="361"/>
      <c r="H128" s="361"/>
      <c r="I128" s="361"/>
      <c r="J128" s="359">
        <v>23.0</v>
      </c>
      <c r="K128" s="359">
        <v>36.0</v>
      </c>
      <c r="L128" s="361"/>
      <c r="M128" s="137"/>
      <c r="N128" s="361"/>
      <c r="O128" s="359">
        <v>1.0</v>
      </c>
      <c r="P128" s="359">
        <v>1.0</v>
      </c>
      <c r="Q128" s="361"/>
      <c r="R128" s="359" t="s">
        <v>698</v>
      </c>
      <c r="S128" s="137"/>
      <c r="T128" s="137"/>
      <c r="U128" s="137"/>
      <c r="V128" s="137"/>
      <c r="W128" s="137"/>
      <c r="X128" s="137"/>
      <c r="Y128" s="137"/>
      <c r="Z128" s="137"/>
    </row>
    <row r="129">
      <c r="A129" s="137" t="s">
        <v>627</v>
      </c>
      <c r="B129" s="341" t="s">
        <v>808</v>
      </c>
      <c r="C129" s="361" t="s">
        <v>802</v>
      </c>
      <c r="D129" s="289">
        <f>ROUND((F129*'Pawn Weights'!$B$22)+(G129*'Pawn Weights'!$B$23)+(H129*'Pawn Weights'!$B$24)+(I129*'Pawn Weights'!$B$25)+(J129*'Pawn Weights'!$B$26)+(K129*'Pawn Weights'!$B$27)+(L129*'Pawn Weights'!$B$28)+(M129*'Pawn Weights'!$B$29)+(N129*'Pawn Weights'!$B$30)+(O129*'Pawn Weights'!$B$31)+(P129*'Pawn Weights'!$B$32)+(Q129*'Pawn Weights'!$B$33)-16+15.36+2.727, 2)</f>
        <v>91.3</v>
      </c>
      <c r="E129" s="359">
        <v>33.0</v>
      </c>
      <c r="F129" s="361"/>
      <c r="G129" s="359">
        <v>30.0</v>
      </c>
      <c r="H129" s="359">
        <v>76.0</v>
      </c>
      <c r="I129" s="361"/>
      <c r="J129" s="361"/>
      <c r="K129" s="359">
        <v>34.0</v>
      </c>
      <c r="L129" s="361"/>
      <c r="M129" s="137"/>
      <c r="N129" s="361"/>
      <c r="O129" s="361"/>
      <c r="P129" s="359">
        <v>2.0</v>
      </c>
      <c r="Q129" s="361"/>
      <c r="R129" s="359" t="s">
        <v>809</v>
      </c>
      <c r="S129" s="137"/>
      <c r="T129" s="137"/>
      <c r="U129" s="137"/>
      <c r="V129" s="137"/>
      <c r="W129" s="137"/>
      <c r="X129" s="137"/>
      <c r="Y129" s="137"/>
      <c r="Z129" s="137"/>
    </row>
    <row r="130">
      <c r="A130" s="137"/>
      <c r="B130" s="341" t="s">
        <v>817</v>
      </c>
      <c r="C130" s="361" t="s">
        <v>818</v>
      </c>
      <c r="D130" s="289">
        <f>ROUND((F130*'Pawn Weights'!$B$22)+(G130*'Pawn Weights'!$B$23)+(H130*'Pawn Weights'!$B$24)+(I130*'Pawn Weights'!$B$25)+(J130*'Pawn Weights'!$B$26)+(K130*'Pawn Weights'!$B$27)+(L130*'Pawn Weights'!$B$28)+(M130*'Pawn Weights'!$B$29)+(N130*'Pawn Weights'!$B$30)+(O130*'Pawn Weights'!$B$31)+(P130*'Pawn Weights'!$B$32)+(Q130*'Pawn Weights'!$B$33)-8+7.68+1.354, 2)</f>
        <v>82.22</v>
      </c>
      <c r="E130" s="359">
        <v>30.0</v>
      </c>
      <c r="F130" s="361"/>
      <c r="G130" s="359">
        <v>34.0</v>
      </c>
      <c r="H130" s="359">
        <v>78.0</v>
      </c>
      <c r="I130" s="359">
        <v>16.0</v>
      </c>
      <c r="J130" s="361"/>
      <c r="K130" s="361"/>
      <c r="L130" s="361"/>
      <c r="M130" s="137"/>
      <c r="N130" s="361"/>
      <c r="O130" s="361"/>
      <c r="P130" s="359">
        <v>1.0</v>
      </c>
      <c r="Q130" s="361"/>
      <c r="R130" s="359" t="s">
        <v>711</v>
      </c>
      <c r="S130" s="137"/>
      <c r="T130" s="137"/>
      <c r="U130" s="137"/>
      <c r="V130" s="137"/>
      <c r="W130" s="137"/>
      <c r="X130" s="137"/>
      <c r="Y130" s="137"/>
      <c r="Z130" s="137"/>
    </row>
    <row r="131">
      <c r="A131" s="137" t="s">
        <v>635</v>
      </c>
      <c r="B131" s="296" t="s">
        <v>826</v>
      </c>
      <c r="C131" s="297" t="s">
        <v>637</v>
      </c>
      <c r="D131" s="289">
        <f>ROUND((F131*'Pawn Weights'!$B$22)+(G131*'Pawn Weights'!$B$23)+(H131*'Pawn Weights'!$B$24)+(I131*'Pawn Weights'!$B$25)+(J131*'Pawn Weights'!$B$26)+(K131*'Pawn Weights'!$B$27)+(L131*'Pawn Weights'!$B$28)+(M131*'Pawn Weights'!$B$29)+(N131*'Pawn Weights'!$B$30)+(O131*'Pawn Weights'!$B$31)+(P131*'Pawn Weights'!$B$32)+(Q131*'Pawn Weights'!$B$33), 2)</f>
        <v>76.04</v>
      </c>
      <c r="E131" s="298">
        <v>59.0</v>
      </c>
      <c r="F131" s="298">
        <v>42.0</v>
      </c>
      <c r="G131" s="297"/>
      <c r="H131" s="297"/>
      <c r="I131" s="298">
        <v>37.0</v>
      </c>
      <c r="J131" s="297"/>
      <c r="K131" s="297"/>
      <c r="L131" s="297"/>
      <c r="M131" s="137"/>
      <c r="N131" s="297"/>
      <c r="O131" s="297"/>
      <c r="P131" s="297"/>
      <c r="Q131" s="297"/>
      <c r="R131" s="295"/>
      <c r="S131" s="137"/>
      <c r="T131" s="297" t="s">
        <v>827</v>
      </c>
      <c r="U131" s="137"/>
      <c r="V131" s="137"/>
      <c r="W131" s="137"/>
      <c r="X131" s="137"/>
      <c r="Y131" s="137"/>
      <c r="Z131" s="137"/>
    </row>
    <row r="132">
      <c r="B132" s="288" t="s">
        <v>1094</v>
      </c>
      <c r="C132" s="280" t="s">
        <v>1025</v>
      </c>
      <c r="D132" s="289">
        <f>ROUND((F132*'Pawn Weights'!$B$22)+(G132*'Pawn Weights'!$B$23)+(H132*'Pawn Weights'!$B$24)+(I132*'Pawn Weights'!$B$25)+(J132*'Pawn Weights'!$B$26)+(K132*'Pawn Weights'!$B$27)+(L132*'Pawn Weights'!$B$28)+(M132*'Pawn Weights'!$B$29)+(N132*'Pawn Weights'!$B$30)+(O132*'Pawn Weights'!$B$31)+(P132*'Pawn Weights'!$B$32)+(Q132*'Pawn Weights'!$B$33), 2)</f>
        <v>74.12</v>
      </c>
      <c r="E132" s="280">
        <v>37.0</v>
      </c>
      <c r="F132" s="280"/>
      <c r="G132" s="280">
        <v>33.0</v>
      </c>
      <c r="H132" s="280">
        <v>66.0</v>
      </c>
      <c r="I132" s="280"/>
      <c r="J132" s="280"/>
      <c r="K132" s="280"/>
      <c r="L132" s="280">
        <v>18.0</v>
      </c>
      <c r="M132" s="281"/>
      <c r="N132" s="280"/>
      <c r="O132" s="280"/>
      <c r="P132" s="280"/>
      <c r="Q132" s="280"/>
      <c r="R132" s="290"/>
      <c r="S132" s="281"/>
      <c r="T132" s="291" t="s">
        <v>1079</v>
      </c>
      <c r="U132" s="281"/>
      <c r="V132" s="281"/>
      <c r="W132" s="281"/>
    </row>
    <row r="133">
      <c r="A133" s="25"/>
      <c r="B133" s="288" t="s">
        <v>822</v>
      </c>
      <c r="C133" s="280" t="s">
        <v>823</v>
      </c>
      <c r="D133" s="289">
        <f>ROUND((F133*'Pawn Weights'!$B$22)+(G133*'Pawn Weights'!$B$23)+(H133*'Pawn Weights'!$B$24)+(I133*'Pawn Weights'!$B$25)+(J133*'Pawn Weights'!$B$26)+(K133*'Pawn Weights'!$B$27)+(L133*'Pawn Weights'!$B$28)+(M133*'Pawn Weights'!$B$29)+(N133*'Pawn Weights'!$B$30)+(O133*'Pawn Weights'!$B$31)+(P133*'Pawn Weights'!$B$32)+(Q133*'Pawn Weights'!$B$33), 2)</f>
        <v>73.16</v>
      </c>
      <c r="E133" s="280">
        <v>34.0</v>
      </c>
      <c r="F133" s="280">
        <v>36.0</v>
      </c>
      <c r="G133" s="280"/>
      <c r="H133" s="280"/>
      <c r="I133" s="280">
        <v>23.0</v>
      </c>
      <c r="J133" s="280"/>
      <c r="K133" s="280"/>
      <c r="L133" s="280"/>
      <c r="M133" s="281"/>
      <c r="N133" s="280"/>
      <c r="O133" s="280"/>
      <c r="P133" s="280">
        <v>1.0</v>
      </c>
      <c r="Q133" s="280">
        <v>1.0</v>
      </c>
      <c r="R133" s="290" t="s">
        <v>698</v>
      </c>
      <c r="S133" s="281"/>
      <c r="T133" s="291"/>
      <c r="U133" s="281"/>
      <c r="V133" s="281"/>
      <c r="W133" s="281"/>
    </row>
    <row r="134" ht="16.5" customHeight="1">
      <c r="A134" s="301"/>
      <c r="B134" s="288" t="s">
        <v>824</v>
      </c>
      <c r="C134" s="280" t="s">
        <v>825</v>
      </c>
      <c r="D134" s="289">
        <f>ROUND((F134*'Pawn Weights'!$B$22)+(G134*'Pawn Weights'!$B$23)+(H134*'Pawn Weights'!$B$24)+(I134*'Pawn Weights'!$B$25)+(J134*'Pawn Weights'!$B$26)+(K134*'Pawn Weights'!$B$27)+(L134*'Pawn Weights'!$B$28)+(M134*'Pawn Weights'!$B$29)+(N134*'Pawn Weights'!$B$30)+(O134*'Pawn Weights'!$B$31)+(P134*'Pawn Weights'!$B$32)+(Q134*'Pawn Weights'!$B$33), 2)</f>
        <v>72.64</v>
      </c>
      <c r="E134" s="280">
        <v>31.0</v>
      </c>
      <c r="F134" s="280"/>
      <c r="G134" s="280"/>
      <c r="H134" s="280">
        <v>72.0</v>
      </c>
      <c r="I134" s="280">
        <v>26.0</v>
      </c>
      <c r="J134" s="280"/>
      <c r="K134" s="280"/>
      <c r="L134" s="280"/>
      <c r="M134" s="281"/>
      <c r="N134" s="280"/>
      <c r="O134" s="280"/>
      <c r="P134" s="280"/>
      <c r="Q134" s="280">
        <v>2.0</v>
      </c>
      <c r="R134" s="290" t="s">
        <v>702</v>
      </c>
      <c r="S134" s="281"/>
      <c r="T134" s="291"/>
      <c r="U134" s="281"/>
      <c r="V134" s="281"/>
      <c r="W134" s="281"/>
    </row>
    <row r="135">
      <c r="A135" s="25" t="s">
        <v>647</v>
      </c>
      <c r="B135" s="288" t="s">
        <v>1098</v>
      </c>
      <c r="C135" s="280" t="s">
        <v>957</v>
      </c>
      <c r="D135" s="289">
        <f>ROUND((F135*'Pawn Weights'!$B$22)+(G135*'Pawn Weights'!$B$23)+(H135*'Pawn Weights'!$B$24)+(I135*'Pawn Weights'!$B$25)+(J135*'Pawn Weights'!$B$26)+(K135*'Pawn Weights'!$B$27)+(L135*'Pawn Weights'!$B$28)+(M135*'Pawn Weights'!$B$29)+(N135*'Pawn Weights'!$B$30)+(O135*'Pawn Weights'!$B$31)+(P135*'Pawn Weights'!$B$32)+(Q135*'Pawn Weights'!$B$33), 2)</f>
        <v>71.6</v>
      </c>
      <c r="E135" s="280">
        <v>46.0</v>
      </c>
      <c r="F135" s="280">
        <v>44.0</v>
      </c>
      <c r="G135" s="280"/>
      <c r="H135" s="280"/>
      <c r="I135" s="280">
        <v>30.0</v>
      </c>
      <c r="J135" s="280"/>
      <c r="K135" s="280"/>
      <c r="L135" s="280"/>
      <c r="M135" s="281"/>
      <c r="N135" s="280"/>
      <c r="O135" s="280"/>
      <c r="P135" s="280"/>
      <c r="Q135" s="280"/>
      <c r="R135" s="290"/>
      <c r="S135" s="281"/>
      <c r="T135" s="291"/>
      <c r="U135" s="281"/>
      <c r="V135" s="281"/>
      <c r="W135" s="281"/>
    </row>
    <row r="136">
      <c r="A136" s="137"/>
      <c r="B136" s="296" t="s">
        <v>1095</v>
      </c>
      <c r="C136" s="297" t="s">
        <v>889</v>
      </c>
      <c r="D136" s="289">
        <f>ROUND((F136*'Pawn Weights'!$B$22)+(G136*'Pawn Weights'!$B$23)+(H136*'Pawn Weights'!$B$24)+(I136*'Pawn Weights'!$B$25)+(J136*'Pawn Weights'!$B$26)+(K136*'Pawn Weights'!$B$27)+(L136*'Pawn Weights'!$B$28)+(M136*'Pawn Weights'!$B$29)+(N136*'Pawn Weights'!$B$30)+(O136*'Pawn Weights'!$B$31)+(P136*'Pawn Weights'!$B$32)+(Q136*'Pawn Weights'!$B$33)-8+7.68+2.727, 2)</f>
        <v>71.23</v>
      </c>
      <c r="E136" s="298">
        <v>27.0</v>
      </c>
      <c r="F136" s="297"/>
      <c r="G136" s="298">
        <v>20.0</v>
      </c>
      <c r="H136" s="298">
        <v>58.0</v>
      </c>
      <c r="I136" s="297"/>
      <c r="J136" s="298">
        <v>19.0</v>
      </c>
      <c r="K136" s="297"/>
      <c r="L136" s="297"/>
      <c r="M136" s="137"/>
      <c r="N136" s="297"/>
      <c r="O136" s="298">
        <v>1.0</v>
      </c>
      <c r="P136" s="298">
        <v>1.0</v>
      </c>
      <c r="Q136" s="297"/>
      <c r="R136" s="298" t="s">
        <v>809</v>
      </c>
      <c r="S136" s="137"/>
      <c r="T136" s="295"/>
      <c r="U136" s="137"/>
      <c r="V136" s="137"/>
      <c r="W136" s="137"/>
      <c r="X136" s="137"/>
      <c r="Y136" s="137"/>
      <c r="Z136" s="137"/>
    </row>
    <row r="137">
      <c r="A137" s="137"/>
      <c r="B137" s="296" t="s">
        <v>1096</v>
      </c>
      <c r="C137" s="297" t="s">
        <v>889</v>
      </c>
      <c r="D137" s="289">
        <f>ROUND((F137*'Pawn Weights'!$B$22)+(G137*'Pawn Weights'!$B$23)+(H137*'Pawn Weights'!$B$24)+(I137*'Pawn Weights'!$B$25)+(J137*'Pawn Weights'!$B$26)+(K137*'Pawn Weights'!$B$27)+(L137*'Pawn Weights'!$B$28)+(M137*'Pawn Weights'!$B$29)+(N137*'Pawn Weights'!$B$30)+(O137*'Pawn Weights'!$B$31)+(P137*'Pawn Weights'!$B$32)+(Q137*'Pawn Weights'!$B$33)-8+7.68+3, 2)</f>
        <v>69.68</v>
      </c>
      <c r="E137" s="298">
        <v>37.0</v>
      </c>
      <c r="F137" s="298">
        <v>34.0</v>
      </c>
      <c r="G137" s="297"/>
      <c r="H137" s="297"/>
      <c r="I137" s="297"/>
      <c r="J137" s="298">
        <v>25.0</v>
      </c>
      <c r="K137" s="297"/>
      <c r="L137" s="297"/>
      <c r="M137" s="137"/>
      <c r="N137" s="297"/>
      <c r="O137" s="298">
        <v>1.0</v>
      </c>
      <c r="P137" s="298">
        <v>1.0</v>
      </c>
      <c r="Q137" s="297"/>
      <c r="R137" s="298" t="s">
        <v>698</v>
      </c>
      <c r="S137" s="137"/>
      <c r="T137" s="295"/>
      <c r="U137" s="137"/>
      <c r="V137" s="137"/>
      <c r="W137" s="137"/>
      <c r="X137" s="137"/>
      <c r="Y137" s="137"/>
      <c r="Z137" s="137"/>
    </row>
    <row r="138">
      <c r="A138" s="25" t="s">
        <v>627</v>
      </c>
      <c r="B138" s="311" t="s">
        <v>1097</v>
      </c>
      <c r="C138" s="280" t="s">
        <v>904</v>
      </c>
      <c r="D138" s="289">
        <f>ROUND((F138*'Pawn Weights'!$B$22)+(G138*'Pawn Weights'!$B$23)+(H138*'Pawn Weights'!$B$24)+(I138*'Pawn Weights'!$B$25)+(J138*'Pawn Weights'!$B$26)+(K138*'Pawn Weights'!$B$27)+(L138*'Pawn Weights'!$B$28)+(M138*'Pawn Weights'!$B$29)+(N138*'Pawn Weights'!$B$30)+(O138*'Pawn Weights'!$B$31)+(P138*'Pawn Weights'!$B$32)+(Q138*'Pawn Weights'!$B$33)-8+7.68+2.727, 2)</f>
        <v>68.41</v>
      </c>
      <c r="E138" s="280"/>
      <c r="F138" s="280"/>
      <c r="G138" s="280"/>
      <c r="H138" s="280">
        <v>36.0</v>
      </c>
      <c r="I138" s="280">
        <v>24.0</v>
      </c>
      <c r="J138" s="280">
        <v>17.0</v>
      </c>
      <c r="K138" s="280"/>
      <c r="L138" s="280"/>
      <c r="M138" s="281"/>
      <c r="N138" s="280"/>
      <c r="O138" s="280">
        <v>1.0</v>
      </c>
      <c r="P138" s="280">
        <v>1.0</v>
      </c>
      <c r="Q138" s="280"/>
      <c r="R138" s="290" t="s">
        <v>809</v>
      </c>
      <c r="S138" s="281"/>
      <c r="T138" s="291"/>
      <c r="U138" s="281"/>
      <c r="V138" s="281"/>
      <c r="W138" s="281"/>
    </row>
    <row r="139">
      <c r="A139" s="295" t="s">
        <v>644</v>
      </c>
      <c r="B139" s="296" t="s">
        <v>1406</v>
      </c>
      <c r="C139" s="297" t="s">
        <v>646</v>
      </c>
      <c r="D139" s="289">
        <f>ROUND((F139*'Pawn Weights'!$B$22)+(G139*'Pawn Weights'!$B$23)+(H139*'Pawn Weights'!$B$24)+(I139*'Pawn Weights'!$B$25)+(J139*'Pawn Weights'!$B$26)+(K139*'Pawn Weights'!$B$27)+(L139*'Pawn Weights'!$B$28)+(M139*'Pawn Weights'!$B$29)+(N139*'Pawn Weights'!$B$30)+(O139*'Pawn Weights'!$B$31)+(P139*'Pawn Weights'!$B$32)+(Q139*'Pawn Weights'!$B$33), 2)</f>
        <v>66.44</v>
      </c>
      <c r="E139" s="298">
        <v>52.0</v>
      </c>
      <c r="F139" s="298">
        <v>37.0</v>
      </c>
      <c r="G139" s="297"/>
      <c r="H139" s="297"/>
      <c r="I139" s="298">
        <v>32.0</v>
      </c>
      <c r="J139" s="297"/>
      <c r="K139" s="297"/>
      <c r="L139" s="297"/>
      <c r="M139" s="137"/>
      <c r="N139" s="297"/>
      <c r="O139" s="297"/>
      <c r="P139" s="297"/>
      <c r="Q139" s="297"/>
      <c r="R139" s="295"/>
      <c r="S139" s="137"/>
      <c r="T139" s="297" t="s">
        <v>827</v>
      </c>
      <c r="U139" s="137"/>
      <c r="V139" s="137"/>
      <c r="W139" s="137"/>
      <c r="X139" s="137"/>
      <c r="Y139" s="137"/>
      <c r="Z139" s="137"/>
    </row>
    <row r="140">
      <c r="A140" s="295"/>
      <c r="B140" s="296" t="s">
        <v>1223</v>
      </c>
      <c r="C140" s="297" t="s">
        <v>1224</v>
      </c>
      <c r="D140" s="289">
        <f>ROUND((F140*'Pawn Weights'!$B$22)+(G140*'Pawn Weights'!$B$23)+(H140*'Pawn Weights'!$B$24)+(I140*'Pawn Weights'!$B$25)+(J140*'Pawn Weights'!$B$26)+(K140*'Pawn Weights'!$B$27)+(L140*'Pawn Weights'!$B$28)+(M140*'Pawn Weights'!$B$29)+(N140*'Pawn Weights'!$B$30)+(O140*'Pawn Weights'!$B$31)+(P140*'Pawn Weights'!$B$32)+(Q140*'Pawn Weights'!$B$33), 2)</f>
        <v>65.05</v>
      </c>
      <c r="E140" s="298">
        <v>34.0</v>
      </c>
      <c r="F140" s="297"/>
      <c r="G140" s="298">
        <v>29.0</v>
      </c>
      <c r="H140" s="298">
        <v>60.0</v>
      </c>
      <c r="I140" s="297"/>
      <c r="J140" s="297"/>
      <c r="K140" s="297"/>
      <c r="L140" s="298">
        <v>15.0</v>
      </c>
      <c r="M140" s="137"/>
      <c r="N140" s="297"/>
      <c r="O140" s="297"/>
      <c r="P140" s="297"/>
      <c r="Q140" s="297"/>
      <c r="R140" s="295"/>
      <c r="S140" s="137"/>
      <c r="T140" s="295"/>
      <c r="U140" s="137"/>
      <c r="V140" s="137"/>
      <c r="W140" s="137"/>
      <c r="X140" s="137"/>
      <c r="Y140" s="137"/>
      <c r="Z140" s="137"/>
    </row>
    <row r="141">
      <c r="A141" s="295"/>
      <c r="B141" s="296" t="s">
        <v>1405</v>
      </c>
      <c r="C141" s="297" t="s">
        <v>889</v>
      </c>
      <c r="D141" s="289">
        <f>ROUND((F141*'Pawn Weights'!$B$22)+(G141*'Pawn Weights'!$B$23)+(H141*'Pawn Weights'!$B$24)+(I141*'Pawn Weights'!$B$25)+(J141*'Pawn Weights'!$B$26)+(K141*'Pawn Weights'!$B$27)+(L141*'Pawn Weights'!$B$28)+(M141*'Pawn Weights'!$B$29)+(N141*'Pawn Weights'!$B$30)+(O141*'Pawn Weights'!$B$31)+(P141*'Pawn Weights'!$B$32)+(Q141*'Pawn Weights'!$B$33), 2)</f>
        <v>64.72</v>
      </c>
      <c r="E141" s="298">
        <v>28.0</v>
      </c>
      <c r="F141" s="297"/>
      <c r="G141" s="298">
        <v>30.0</v>
      </c>
      <c r="H141" s="298">
        <v>68.0</v>
      </c>
      <c r="I141" s="297"/>
      <c r="J141" s="297"/>
      <c r="K141" s="298">
        <v>25.0</v>
      </c>
      <c r="L141" s="297"/>
      <c r="M141" s="137"/>
      <c r="N141" s="297"/>
      <c r="O141" s="297"/>
      <c r="P141" s="297"/>
      <c r="Q141" s="297"/>
      <c r="R141" s="295"/>
      <c r="S141" s="137"/>
      <c r="T141" s="295"/>
      <c r="U141" s="137"/>
      <c r="V141" s="137"/>
      <c r="W141" s="137"/>
      <c r="X141" s="137"/>
      <c r="Y141" s="137"/>
      <c r="Z141" s="137"/>
    </row>
    <row r="142">
      <c r="A142" s="295" t="s">
        <v>654</v>
      </c>
      <c r="B142" s="296" t="s">
        <v>1574</v>
      </c>
      <c r="C142" s="297" t="s">
        <v>1116</v>
      </c>
      <c r="D142" s="289">
        <f>ROUND((F142*'Pawn Weights'!$B$22)+(G142*'Pawn Weights'!$B$23)+(H142*'Pawn Weights'!$B$24)+(I142*'Pawn Weights'!$B$25)+(J142*'Pawn Weights'!$B$26)+(K142*'Pawn Weights'!$B$27)+(L142*'Pawn Weights'!$B$28)+(M142*'Pawn Weights'!$B$29)+(N142*'Pawn Weights'!$B$30)+(O142*'Pawn Weights'!$B$31)+(P142*'Pawn Weights'!$B$32)+(Q142*'Pawn Weights'!$B$33), 2)</f>
        <v>61.81</v>
      </c>
      <c r="E142" s="298">
        <v>33.0</v>
      </c>
      <c r="F142" s="298">
        <v>34.0</v>
      </c>
      <c r="G142" s="298">
        <v>23.0</v>
      </c>
      <c r="H142" s="297"/>
      <c r="I142" s="297"/>
      <c r="J142" s="298">
        <v>18.0</v>
      </c>
      <c r="K142" s="297"/>
      <c r="L142" s="297"/>
      <c r="M142" s="137"/>
      <c r="N142" s="297"/>
      <c r="O142" s="297"/>
      <c r="P142" s="297"/>
      <c r="Q142" s="297"/>
      <c r="R142" s="295"/>
      <c r="S142" s="137"/>
      <c r="T142" s="295"/>
      <c r="U142" s="137"/>
      <c r="V142" s="137"/>
      <c r="W142" s="137"/>
      <c r="X142" s="137"/>
      <c r="Y142" s="137"/>
      <c r="Z142" s="137"/>
    </row>
    <row r="143">
      <c r="A143" s="295" t="s">
        <v>627</v>
      </c>
      <c r="B143" s="383" t="s">
        <v>1575</v>
      </c>
      <c r="C143" s="318" t="s">
        <v>1561</v>
      </c>
      <c r="D143" s="289">
        <f>ROUND((F143*'Pawn Weights'!$B$22)+(G143*'Pawn Weights'!$B$23)+(H143*'Pawn Weights'!$B$24)+(I143*'Pawn Weights'!$B$25)+(J143*'Pawn Weights'!$B$26)+(K143*'Pawn Weights'!$B$27)+(L143*'Pawn Weights'!$B$28)+(M143*'Pawn Weights'!$B$29)+(N143*'Pawn Weights'!$B$30)+(O143*'Pawn Weights'!$B$31)+(P143*'Pawn Weights'!$B$32)+(Q143*'Pawn Weights'!$B$33), 2)</f>
        <v>59.84</v>
      </c>
      <c r="E143" s="297"/>
      <c r="F143" s="298">
        <v>35.0</v>
      </c>
      <c r="G143" s="297"/>
      <c r="H143" s="297"/>
      <c r="I143" s="298">
        <v>27.0</v>
      </c>
      <c r="J143" s="297"/>
      <c r="K143" s="297"/>
      <c r="L143" s="297"/>
      <c r="M143" s="137"/>
      <c r="N143" s="297"/>
      <c r="O143" s="297"/>
      <c r="P143" s="297"/>
      <c r="Q143" s="297"/>
      <c r="R143" s="295"/>
      <c r="S143" s="137"/>
      <c r="T143" s="295"/>
      <c r="U143" s="137" t="s">
        <v>1577</v>
      </c>
      <c r="V143" s="137"/>
      <c r="W143" s="137"/>
      <c r="X143" s="137"/>
      <c r="Y143" s="137"/>
      <c r="Z143" s="137"/>
    </row>
    <row r="144">
      <c r="A144" s="295"/>
      <c r="B144" s="296" t="s">
        <v>1473</v>
      </c>
      <c r="C144" s="297" t="s">
        <v>904</v>
      </c>
      <c r="D144" s="289">
        <f>ROUND((F144*'Pawn Weights'!$B$22)+(G144*'Pawn Weights'!$B$23)+(H144*'Pawn Weights'!$B$24)+(I144*'Pawn Weights'!$B$25)+(J144*'Pawn Weights'!$B$26)+(K144*'Pawn Weights'!$B$27)+(L144*'Pawn Weights'!$B$28)+(M144*'Pawn Weights'!$B$29)+(N144*'Pawn Weights'!$B$30)+(O144*'Pawn Weights'!$B$31)+(P144*'Pawn Weights'!$B$32)+(Q144*'Pawn Weights'!$B$33), 2)</f>
        <v>59.75</v>
      </c>
      <c r="E144" s="298">
        <v>25.0</v>
      </c>
      <c r="F144" s="298">
        <v>36.0</v>
      </c>
      <c r="G144" s="298">
        <v>18.0</v>
      </c>
      <c r="H144" s="297"/>
      <c r="I144" s="297"/>
      <c r="J144" s="298">
        <v>17.0</v>
      </c>
      <c r="K144" s="297"/>
      <c r="L144" s="297"/>
      <c r="M144" s="137"/>
      <c r="N144" s="297"/>
      <c r="O144" s="297"/>
      <c r="P144" s="297"/>
      <c r="Q144" s="297"/>
      <c r="R144" s="295"/>
      <c r="S144" s="137"/>
      <c r="T144" s="295"/>
      <c r="U144" s="137"/>
      <c r="V144" s="137"/>
      <c r="W144" s="137"/>
      <c r="X144" s="137"/>
      <c r="Y144" s="137"/>
      <c r="Z144" s="137"/>
    </row>
    <row r="145">
      <c r="A145" s="25" t="s">
        <v>1068</v>
      </c>
      <c r="B145" s="288" t="s">
        <v>1426</v>
      </c>
      <c r="C145" s="280" t="s">
        <v>997</v>
      </c>
      <c r="D145" s="289">
        <f>ROUND((F145*'Pawn Weights'!$B$22)+(G145*'Pawn Weights'!$B$23)+(H145*'Pawn Weights'!$B$24)+(I145*'Pawn Weights'!$B$25)+(J145*'Pawn Weights'!$B$26)+(K145*'Pawn Weights'!$B$27)+(L145*'Pawn Weights'!$B$28)+(M145*'Pawn Weights'!$B$29)+(N145*'Pawn Weights'!$B$30)+(O145*'Pawn Weights'!$B$31)+(P145*'Pawn Weights'!$B$32)+(Q145*'Pawn Weights'!$B$33), 2)</f>
        <v>59.68</v>
      </c>
      <c r="E145" s="280">
        <v>46.0</v>
      </c>
      <c r="F145" s="280">
        <v>33.0</v>
      </c>
      <c r="G145" s="280"/>
      <c r="H145" s="280"/>
      <c r="I145" s="280">
        <v>29.0</v>
      </c>
      <c r="J145" s="280"/>
      <c r="K145" s="280"/>
      <c r="L145" s="280"/>
      <c r="M145" s="281"/>
      <c r="N145" s="280"/>
      <c r="O145" s="280"/>
      <c r="P145" s="280"/>
      <c r="Q145" s="280"/>
      <c r="R145" s="290"/>
      <c r="S145" s="281"/>
      <c r="T145" s="291" t="s">
        <v>827</v>
      </c>
      <c r="U145" s="281"/>
      <c r="V145" s="281"/>
      <c r="W145" s="281"/>
    </row>
    <row r="146">
      <c r="A146" s="295" t="s">
        <v>627</v>
      </c>
      <c r="B146" s="296" t="s">
        <v>1477</v>
      </c>
      <c r="C146" s="297" t="s">
        <v>904</v>
      </c>
      <c r="D146" s="289">
        <f>ROUND((F146*'Pawn Weights'!$B$22)+(G146*'Pawn Weights'!$B$23)+(H146*'Pawn Weights'!$B$24)+(I146*'Pawn Weights'!$B$25)+(J146*'Pawn Weights'!$B$26)+(K146*'Pawn Weights'!$B$27)+(L146*'Pawn Weights'!$B$28)+(M146*'Pawn Weights'!$B$29)+(N146*'Pawn Weights'!$B$30)+(O146*'Pawn Weights'!$B$31)+(P146*'Pawn Weights'!$B$32)+(Q146*'Pawn Weights'!$B$33), 2)</f>
        <v>59.33</v>
      </c>
      <c r="E146" s="298">
        <v>33.0</v>
      </c>
      <c r="F146" s="297"/>
      <c r="G146" s="297"/>
      <c r="H146" s="298">
        <v>50.0</v>
      </c>
      <c r="I146" s="298">
        <v>25.0</v>
      </c>
      <c r="J146" s="298">
        <v>20.0</v>
      </c>
      <c r="K146" s="297"/>
      <c r="L146" s="297"/>
      <c r="M146" s="137"/>
      <c r="N146" s="297"/>
      <c r="O146" s="297"/>
      <c r="P146" s="297"/>
      <c r="Q146" s="297"/>
      <c r="R146" s="295"/>
      <c r="S146" s="137"/>
      <c r="T146" s="295"/>
      <c r="U146" s="137"/>
      <c r="V146" s="137"/>
      <c r="W146" s="137"/>
      <c r="X146" s="137"/>
      <c r="Y146" s="137"/>
      <c r="Z146" s="137"/>
    </row>
    <row r="147">
      <c r="A147" s="432" t="s">
        <v>1439</v>
      </c>
      <c r="B147" s="383" t="s">
        <v>1578</v>
      </c>
      <c r="C147" s="318" t="s">
        <v>1698</v>
      </c>
      <c r="D147" s="289">
        <f>ROUND((F147*'Pawn Weights'!$B$22)+(G147*'Pawn Weights'!$B$23)+(H147*'Pawn Weights'!$B$24)+(I147*'Pawn Weights'!$B$25)+(J147*'Pawn Weights'!$B$26)+(K147*'Pawn Weights'!$B$27)+(L147*'Pawn Weights'!$B$28)+(M147*'Pawn Weights'!$B$29)+(N147*'Pawn Weights'!$B$30)+(O147*'Pawn Weights'!$B$31)+(P147*'Pawn Weights'!$B$32)+(Q147*'Pawn Weights'!$B$33), 2)</f>
        <v>55</v>
      </c>
      <c r="E147" s="298">
        <v>25.0</v>
      </c>
      <c r="F147" s="298">
        <v>31.0</v>
      </c>
      <c r="G147" s="297"/>
      <c r="H147" s="297"/>
      <c r="I147" s="297"/>
      <c r="J147" s="297"/>
      <c r="K147" s="297"/>
      <c r="L147" s="297"/>
      <c r="M147" s="137"/>
      <c r="N147" s="297"/>
      <c r="O147" s="297"/>
      <c r="P147" s="298">
        <v>2.0</v>
      </c>
      <c r="Q147" s="298">
        <v>1.0</v>
      </c>
      <c r="R147" s="298" t="s">
        <v>832</v>
      </c>
      <c r="S147" s="137"/>
      <c r="T147" s="295"/>
      <c r="U147" s="137" t="s">
        <v>1580</v>
      </c>
      <c r="V147" s="137"/>
      <c r="W147" s="137"/>
      <c r="X147" s="137"/>
      <c r="Y147" s="137"/>
      <c r="Z147" s="137"/>
    </row>
    <row r="148">
      <c r="A148" s="295" t="s">
        <v>965</v>
      </c>
      <c r="B148" s="296" t="s">
        <v>1581</v>
      </c>
      <c r="C148" s="297" t="s">
        <v>1582</v>
      </c>
      <c r="D148" s="289">
        <f>ROUND((F148*'Pawn Weights'!$B$22)+(G148*'Pawn Weights'!$B$23)+(H148*'Pawn Weights'!$B$24)+(I148*'Pawn Weights'!$B$25)+(J148*'Pawn Weights'!$B$26)+(K148*'Pawn Weights'!$B$27)+(L148*'Pawn Weights'!$B$28)+(M148*'Pawn Weights'!$B$29)+(N148*'Pawn Weights'!$B$30)+(O148*'Pawn Weights'!$B$31)+(P148*'Pawn Weights'!$B$32)+(Q148*'Pawn Weights'!$B$33), 2)</f>
        <v>54.68</v>
      </c>
      <c r="E148" s="298">
        <v>15.0</v>
      </c>
      <c r="F148" s="298">
        <v>35.0</v>
      </c>
      <c r="G148" s="297"/>
      <c r="H148" s="297"/>
      <c r="I148" s="298">
        <v>14.0</v>
      </c>
      <c r="J148" s="298">
        <v>10.0</v>
      </c>
      <c r="K148" s="297"/>
      <c r="L148" s="297"/>
      <c r="M148" s="137"/>
      <c r="N148" s="297"/>
      <c r="O148" s="297"/>
      <c r="P148" s="297"/>
      <c r="Q148" s="297"/>
      <c r="R148" s="295"/>
      <c r="S148" s="137"/>
      <c r="T148" s="295"/>
      <c r="U148" s="137"/>
      <c r="V148" s="137"/>
      <c r="W148" s="137"/>
      <c r="X148" s="137"/>
      <c r="Y148" s="137"/>
      <c r="Z148" s="137"/>
    </row>
    <row r="149">
      <c r="A149" s="295"/>
      <c r="B149" s="383" t="s">
        <v>1583</v>
      </c>
      <c r="C149" s="297" t="s">
        <v>1584</v>
      </c>
      <c r="D149" s="289">
        <f>ROUND((F149*'Pawn Weights'!$B$22)+(G149*'Pawn Weights'!$B$23)+(H149*'Pawn Weights'!$B$24)+(I149*'Pawn Weights'!$B$25)+(J149*'Pawn Weights'!$B$26)+(K149*'Pawn Weights'!$B$27)+(L149*'Pawn Weights'!$B$28)+(M149*'Pawn Weights'!$B$29)+(N149*'Pawn Weights'!$B$30)+(O149*'Pawn Weights'!$B$31)+(P149*'Pawn Weights'!$B$32)+(Q149*'Pawn Weights'!$B$33), 2)</f>
        <v>54.06</v>
      </c>
      <c r="E149" s="298">
        <v>16.0</v>
      </c>
      <c r="F149" s="297"/>
      <c r="G149" s="297"/>
      <c r="H149" s="298">
        <v>48.0</v>
      </c>
      <c r="I149" s="298">
        <v>21.0</v>
      </c>
      <c r="J149" s="298">
        <v>19.0</v>
      </c>
      <c r="K149" s="297"/>
      <c r="L149" s="297"/>
      <c r="M149" s="137"/>
      <c r="N149" s="297"/>
      <c r="O149" s="297"/>
      <c r="P149" s="297"/>
      <c r="Q149" s="297"/>
      <c r="R149" s="295"/>
      <c r="S149" s="137"/>
      <c r="T149" s="295"/>
      <c r="U149" s="137"/>
      <c r="V149" s="137"/>
      <c r="W149" s="137"/>
      <c r="X149" s="137"/>
      <c r="Y149" s="137"/>
      <c r="Z149" s="137"/>
    </row>
    <row r="150">
      <c r="A150" s="295" t="s">
        <v>1499</v>
      </c>
      <c r="B150" s="296" t="s">
        <v>1585</v>
      </c>
      <c r="C150" s="297" t="s">
        <v>1159</v>
      </c>
      <c r="D150" s="289">
        <f>ROUND((F150*'Pawn Weights'!$B$22)+(G150*'Pawn Weights'!$B$23)+(H150*'Pawn Weights'!$B$24)+(I150*'Pawn Weights'!$B$25)+(J150*'Pawn Weights'!$B$26)+(K150*'Pawn Weights'!$B$27)+(L150*'Pawn Weights'!$B$28)+(M150*'Pawn Weights'!$B$29)+(N150*'Pawn Weights'!$B$30)+(O150*'Pawn Weights'!$B$31)+(P150*'Pawn Weights'!$B$32)+(Q150*'Pawn Weights'!$B$33), 2)</f>
        <v>51.92</v>
      </c>
      <c r="E150" s="298">
        <v>42.0</v>
      </c>
      <c r="F150" s="298">
        <v>28.0</v>
      </c>
      <c r="G150" s="297"/>
      <c r="H150" s="297"/>
      <c r="I150" s="298">
        <v>26.0</v>
      </c>
      <c r="J150" s="297"/>
      <c r="K150" s="297"/>
      <c r="L150" s="297"/>
      <c r="M150" s="137"/>
      <c r="N150" s="297"/>
      <c r="O150" s="297"/>
      <c r="P150" s="297"/>
      <c r="Q150" s="297"/>
      <c r="R150" s="295"/>
      <c r="S150" s="137"/>
      <c r="T150" s="295"/>
      <c r="U150" s="137" t="s">
        <v>1586</v>
      </c>
      <c r="V150" s="137"/>
      <c r="W150" s="137"/>
      <c r="X150" s="137"/>
      <c r="Y150" s="137"/>
      <c r="Z150" s="137"/>
    </row>
    <row r="151">
      <c r="A151" s="272" t="s">
        <v>828</v>
      </c>
      <c r="B151" s="281"/>
      <c r="C151" s="281"/>
      <c r="D151" s="360"/>
      <c r="E151" s="281"/>
      <c r="F151" s="281"/>
      <c r="G151" s="281"/>
      <c r="H151" s="281"/>
      <c r="I151" s="281"/>
      <c r="J151" s="281"/>
      <c r="K151" s="281"/>
      <c r="L151" s="281"/>
      <c r="M151" s="281"/>
      <c r="N151" s="281"/>
      <c r="O151" s="281"/>
      <c r="P151" s="281"/>
      <c r="Q151" s="281"/>
      <c r="R151" s="282"/>
      <c r="S151" s="281"/>
      <c r="T151" s="285"/>
      <c r="U151" s="281"/>
      <c r="V151" s="281"/>
      <c r="W151" s="281"/>
    </row>
    <row r="152">
      <c r="A152" s="292"/>
      <c r="B152" s="288" t="s">
        <v>830</v>
      </c>
      <c r="C152" s="280" t="s">
        <v>649</v>
      </c>
      <c r="D152" s="289">
        <f>ROUND((F152*'Pawn Weights'!$B$22)+(G152*'Pawn Weights'!$B$23)+(H152*'Pawn Weights'!$B$24)+(I152*'Pawn Weights'!$B$25)+(J152*'Pawn Weights'!$B$26)+(K152*'Pawn Weights'!$B$27)+(L152*'Pawn Weights'!$B$28)+(M152*'Pawn Weights'!$B$29)+(N152*'Pawn Weights'!$B$30)+(O152*'Pawn Weights'!$B$31)+(P152*'Pawn Weights'!$B$32)+(Q152*'Pawn Weights'!$B$33), 2)</f>
        <v>99.52</v>
      </c>
      <c r="E152" s="280">
        <v>25.0</v>
      </c>
      <c r="F152" s="280"/>
      <c r="G152" s="280">
        <v>29.0</v>
      </c>
      <c r="H152" s="280">
        <v>74.0</v>
      </c>
      <c r="I152" s="280"/>
      <c r="J152" s="280"/>
      <c r="K152" s="280"/>
      <c r="L152" s="280">
        <v>25.0</v>
      </c>
      <c r="M152" s="281"/>
      <c r="N152" s="280"/>
      <c r="O152" s="280">
        <v>1.0</v>
      </c>
      <c r="P152" s="280"/>
      <c r="Q152" s="280">
        <v>1.0</v>
      </c>
      <c r="R152" s="290" t="s">
        <v>695</v>
      </c>
      <c r="S152" s="281"/>
      <c r="T152" s="291" t="s">
        <v>1079</v>
      </c>
      <c r="U152" s="281"/>
      <c r="V152" s="281"/>
      <c r="W152" s="281"/>
    </row>
    <row r="153">
      <c r="A153" s="292" t="s">
        <v>627</v>
      </c>
      <c r="B153" s="288" t="s">
        <v>836</v>
      </c>
      <c r="C153" s="280" t="s">
        <v>837</v>
      </c>
      <c r="D153" s="289">
        <f>ROUND((F153*'Pawn Weights'!$B$22)+(G153*'Pawn Weights'!$B$23)+(H153*'Pawn Weights'!$B$24)+(I153*'Pawn Weights'!$B$25)+(J153*'Pawn Weights'!$B$26)+(K153*'Pawn Weights'!$B$27)+(L153*'Pawn Weights'!$B$28)+(M153*'Pawn Weights'!$B$29)+(N153*'Pawn Weights'!$B$30)+(O153*'Pawn Weights'!$B$31)+(P153*'Pawn Weights'!$B$32)+(Q153*'Pawn Weights'!$B$33), 2)</f>
        <v>88.6</v>
      </c>
      <c r="E153" s="280">
        <v>21.0</v>
      </c>
      <c r="F153" s="280">
        <v>41.0</v>
      </c>
      <c r="G153" s="280"/>
      <c r="H153" s="280"/>
      <c r="I153" s="280">
        <v>24.0</v>
      </c>
      <c r="J153" s="280">
        <v>14.0</v>
      </c>
      <c r="K153" s="280"/>
      <c r="L153" s="280"/>
      <c r="M153" s="281"/>
      <c r="N153" s="280"/>
      <c r="O153" s="280"/>
      <c r="P153" s="280">
        <v>1.0</v>
      </c>
      <c r="Q153" s="280">
        <v>1.0</v>
      </c>
      <c r="R153" s="290" t="s">
        <v>702</v>
      </c>
      <c r="S153" s="281"/>
      <c r="T153" s="291"/>
      <c r="U153" s="281"/>
      <c r="V153" s="281"/>
      <c r="W153" s="281"/>
    </row>
    <row r="154">
      <c r="A154" s="295"/>
      <c r="B154" s="296" t="s">
        <v>831</v>
      </c>
      <c r="C154" s="297" t="s">
        <v>718</v>
      </c>
      <c r="D154" s="289">
        <f>ROUND((F154*'Pawn Weights'!$B$22)+(G154*'Pawn Weights'!$B$23)+(H154*'Pawn Weights'!$B$24)+(I154*'Pawn Weights'!$B$25)+(J154*'Pawn Weights'!$B$26)+(K154*'Pawn Weights'!$B$27)+(L154*'Pawn Weights'!$B$28)+(M154*'Pawn Weights'!$B$29)+(N154*'Pawn Weights'!$B$30)+(O154*'Pawn Weights'!$B$31)+(P154*'Pawn Weights'!$B$32)+(Q154*'Pawn Weights'!$B$33), 2)</f>
        <v>82.62</v>
      </c>
      <c r="E154" s="298">
        <v>37.0</v>
      </c>
      <c r="F154" s="298">
        <v>34.0</v>
      </c>
      <c r="G154" s="297"/>
      <c r="H154" s="297"/>
      <c r="I154" s="297"/>
      <c r="J154" s="298">
        <v>14.0</v>
      </c>
      <c r="K154" s="297"/>
      <c r="L154" s="297"/>
      <c r="M154" s="359">
        <v>154.0</v>
      </c>
      <c r="N154" s="297"/>
      <c r="O154" s="298">
        <v>1.0</v>
      </c>
      <c r="P154" s="297"/>
      <c r="Q154" s="298">
        <v>1.0</v>
      </c>
      <c r="R154" s="298" t="s">
        <v>832</v>
      </c>
      <c r="S154" s="137"/>
      <c r="T154" s="295"/>
      <c r="U154" s="137"/>
      <c r="V154" s="137"/>
      <c r="W154" s="137"/>
      <c r="X154" s="137"/>
      <c r="Y154" s="137"/>
      <c r="Z154" s="137"/>
    </row>
    <row r="155">
      <c r="A155" s="295"/>
      <c r="B155" s="296" t="s">
        <v>843</v>
      </c>
      <c r="C155" s="297" t="s">
        <v>844</v>
      </c>
      <c r="D155" s="289">
        <f>ROUND((F155*'Pawn Weights'!$B$22)+(G155*'Pawn Weights'!$B$23)+(H155*'Pawn Weights'!$B$24)+(I155*'Pawn Weights'!$B$25)+(J155*'Pawn Weights'!$B$26)+(K155*'Pawn Weights'!$B$27)+(L155*'Pawn Weights'!$B$28)+(M155*'Pawn Weights'!$B$29)+(N155*'Pawn Weights'!$B$30)+(O155*'Pawn Weights'!$B$31)+(P155*'Pawn Weights'!$B$32)+(Q155*'Pawn Weights'!$B$33), 2)</f>
        <v>82.11</v>
      </c>
      <c r="E155" s="298">
        <v>33.0</v>
      </c>
      <c r="F155" s="297"/>
      <c r="G155" s="298">
        <v>34.0</v>
      </c>
      <c r="H155" s="298">
        <v>78.0</v>
      </c>
      <c r="I155" s="297"/>
      <c r="J155" s="298">
        <v>23.0</v>
      </c>
      <c r="K155" s="297"/>
      <c r="L155" s="297"/>
      <c r="M155" s="137"/>
      <c r="N155" s="297"/>
      <c r="O155" s="297"/>
      <c r="P155" s="298">
        <v>1.0</v>
      </c>
      <c r="Q155" s="297"/>
      <c r="R155" s="298" t="s">
        <v>711</v>
      </c>
      <c r="S155" s="137"/>
      <c r="T155" s="295"/>
      <c r="U155" s="137"/>
      <c r="V155" s="137"/>
      <c r="W155" s="137"/>
      <c r="X155" s="137"/>
      <c r="Y155" s="137"/>
      <c r="Z155" s="137"/>
    </row>
    <row r="156">
      <c r="A156" s="292" t="s">
        <v>627</v>
      </c>
      <c r="B156" s="288" t="s">
        <v>845</v>
      </c>
      <c r="C156" s="280" t="s">
        <v>846</v>
      </c>
      <c r="D156" s="289">
        <f>ROUND((F156*'Pawn Weights'!$B$22)+(G156*'Pawn Weights'!$B$23)+(H156*'Pawn Weights'!$B$24)+(I156*'Pawn Weights'!$B$25)+(J156*'Pawn Weights'!$B$26)+(K156*'Pawn Weights'!$B$27)+(L156*'Pawn Weights'!$B$28)+(M156*'Pawn Weights'!$B$29)+(N156*'Pawn Weights'!$B$30)+(O156*'Pawn Weights'!$B$31)+(P156*'Pawn Weights'!$B$32)+(Q156*'Pawn Weights'!$B$33), 2)</f>
        <v>79.9</v>
      </c>
      <c r="E156" s="280">
        <v>14.0</v>
      </c>
      <c r="F156" s="280"/>
      <c r="G156" s="280">
        <v>32.0</v>
      </c>
      <c r="H156" s="280">
        <v>66.0</v>
      </c>
      <c r="I156" s="280"/>
      <c r="J156" s="280">
        <v>18.0</v>
      </c>
      <c r="K156" s="280"/>
      <c r="L156" s="280"/>
      <c r="M156" s="281"/>
      <c r="N156" s="280"/>
      <c r="O156" s="280"/>
      <c r="P156" s="280"/>
      <c r="Q156" s="280">
        <v>2.0</v>
      </c>
      <c r="R156" s="290" t="s">
        <v>695</v>
      </c>
      <c r="S156" s="281"/>
      <c r="T156" s="291"/>
      <c r="U156" s="281"/>
      <c r="V156" s="281"/>
      <c r="W156" s="281"/>
    </row>
    <row r="157">
      <c r="A157" s="295" t="s">
        <v>671</v>
      </c>
      <c r="B157" s="296" t="s">
        <v>848</v>
      </c>
      <c r="C157" s="297" t="s">
        <v>849</v>
      </c>
      <c r="D157" s="289">
        <f>ROUND((F157*'Pawn Weights'!$B$22)+(G157*'Pawn Weights'!$B$23)+(H157*'Pawn Weights'!$B$24)+(I157*'Pawn Weights'!$B$25)+(J157*'Pawn Weights'!$B$26)+(K157*'Pawn Weights'!$B$27)+(L157*'Pawn Weights'!$B$28)+(M157*'Pawn Weights'!$B$29)+(N157*'Pawn Weights'!$B$30)+(O157*'Pawn Weights'!$B$31)+(P157*'Pawn Weights'!$B$32)+(Q157*'Pawn Weights'!$B$33), 2)</f>
        <v>76.8</v>
      </c>
      <c r="E157" s="298">
        <v>56.0</v>
      </c>
      <c r="F157" s="298">
        <v>40.0</v>
      </c>
      <c r="G157" s="297"/>
      <c r="H157" s="297"/>
      <c r="I157" s="298">
        <v>40.0</v>
      </c>
      <c r="J157" s="297"/>
      <c r="K157" s="297"/>
      <c r="L157" s="297"/>
      <c r="M157" s="137"/>
      <c r="N157" s="297"/>
      <c r="O157" s="297"/>
      <c r="P157" s="297"/>
      <c r="Q157" s="297"/>
      <c r="R157" s="295"/>
      <c r="S157" s="137"/>
      <c r="T157" s="297" t="s">
        <v>850</v>
      </c>
      <c r="U157" s="137"/>
      <c r="V157" s="137"/>
      <c r="W157" s="137"/>
      <c r="X157" s="137"/>
      <c r="Y157" s="137"/>
      <c r="Z157" s="137"/>
    </row>
    <row r="158">
      <c r="A158" s="281"/>
      <c r="B158" s="288" t="s">
        <v>847</v>
      </c>
      <c r="C158" s="280" t="s">
        <v>825</v>
      </c>
      <c r="D158" s="289">
        <f>ROUND((F158*'Pawn Weights'!$B$22)+(G158*'Pawn Weights'!$B$23)+(H158*'Pawn Weights'!$B$24)+(I158*'Pawn Weights'!$B$25)+(J158*'Pawn Weights'!$B$26)+(K158*'Pawn Weights'!$B$27)+(L158*'Pawn Weights'!$B$28)+(M158*'Pawn Weights'!$B$29)+(N158*'Pawn Weights'!$B$30)+(O158*'Pawn Weights'!$B$31)+(P158*'Pawn Weights'!$B$32)+(Q158*'Pawn Weights'!$B$33), 2)</f>
        <v>75.76</v>
      </c>
      <c r="E158" s="280">
        <v>30.0</v>
      </c>
      <c r="F158" s="280">
        <v>34.0</v>
      </c>
      <c r="G158" s="280"/>
      <c r="H158" s="280"/>
      <c r="I158" s="280">
        <v>28.0</v>
      </c>
      <c r="J158" s="280"/>
      <c r="K158" s="280"/>
      <c r="L158" s="280"/>
      <c r="M158" s="281"/>
      <c r="N158" s="280"/>
      <c r="O158" s="280">
        <v>1.0</v>
      </c>
      <c r="P158" s="280"/>
      <c r="Q158" s="280">
        <v>1.0</v>
      </c>
      <c r="R158" s="290" t="s">
        <v>702</v>
      </c>
      <c r="S158" s="281"/>
      <c r="T158" s="291"/>
      <c r="U158" s="281"/>
      <c r="V158" s="281"/>
      <c r="W158" s="281"/>
    </row>
    <row r="159">
      <c r="A159" s="292" t="s">
        <v>627</v>
      </c>
      <c r="B159" s="288" t="s">
        <v>1099</v>
      </c>
      <c r="C159" s="280" t="s">
        <v>846</v>
      </c>
      <c r="D159" s="289">
        <f>ROUND((F159*'Pawn Weights'!$B$22)+(G159*'Pawn Weights'!$B$23)+(H159*'Pawn Weights'!$B$24)+(I159*'Pawn Weights'!$B$25)+(J159*'Pawn Weights'!$B$26)+(K159*'Pawn Weights'!$B$27)+(L159*'Pawn Weights'!$B$28)+(M159*'Pawn Weights'!$B$29)+(N159*'Pawn Weights'!$B$30)+(O159*'Pawn Weights'!$B$31)+(P159*'Pawn Weights'!$B$32)+(Q159*'Pawn Weights'!$B$33), 2)</f>
        <v>73.15</v>
      </c>
      <c r="E159" s="280">
        <v>20.0</v>
      </c>
      <c r="F159" s="280"/>
      <c r="G159" s="280">
        <v>17.0</v>
      </c>
      <c r="H159" s="280">
        <v>66.0</v>
      </c>
      <c r="I159" s="280">
        <v>17.0</v>
      </c>
      <c r="J159" s="280"/>
      <c r="K159" s="280"/>
      <c r="L159" s="280"/>
      <c r="M159" s="281"/>
      <c r="N159" s="280"/>
      <c r="O159" s="280"/>
      <c r="P159" s="280">
        <v>1.0</v>
      </c>
      <c r="Q159" s="280">
        <v>1.0</v>
      </c>
      <c r="R159" s="290" t="s">
        <v>695</v>
      </c>
      <c r="S159" s="281"/>
      <c r="T159" s="291"/>
      <c r="U159" s="281"/>
      <c r="V159" s="281"/>
      <c r="W159" s="281"/>
    </row>
    <row r="160">
      <c r="A160" s="281"/>
      <c r="B160" s="288" t="s">
        <v>1100</v>
      </c>
      <c r="C160" s="280" t="s">
        <v>823</v>
      </c>
      <c r="D160" s="289">
        <f>ROUND((F160*'Pawn Weights'!$B$22)+(G160*'Pawn Weights'!$B$23)+(H160*'Pawn Weights'!$B$24)+(I160*'Pawn Weights'!$B$25)+(J160*'Pawn Weights'!$B$26)+(K160*'Pawn Weights'!$B$27)+(L160*'Pawn Weights'!$B$28)+(M160*'Pawn Weights'!$B$29)+(N160*'Pawn Weights'!$B$30)+(O160*'Pawn Weights'!$B$31)+(P160*'Pawn Weights'!$B$32)+(Q160*'Pawn Weights'!$B$33), 2)</f>
        <v>71.72</v>
      </c>
      <c r="E160" s="280">
        <v>27.0</v>
      </c>
      <c r="F160" s="280"/>
      <c r="G160" s="280"/>
      <c r="H160" s="280">
        <v>72.0</v>
      </c>
      <c r="I160" s="280">
        <v>25.0</v>
      </c>
      <c r="J160" s="280"/>
      <c r="K160" s="280"/>
      <c r="L160" s="280"/>
      <c r="M160" s="281"/>
      <c r="N160" s="280"/>
      <c r="O160" s="280"/>
      <c r="P160" s="280">
        <v>1.0</v>
      </c>
      <c r="Q160" s="280">
        <v>1.0</v>
      </c>
      <c r="R160" s="290" t="s">
        <v>702</v>
      </c>
      <c r="S160" s="281"/>
      <c r="T160" s="291"/>
      <c r="U160" s="281"/>
      <c r="V160" s="281"/>
      <c r="W160" s="281"/>
    </row>
    <row r="161">
      <c r="A161" s="137" t="s">
        <v>991</v>
      </c>
      <c r="B161" s="296" t="s">
        <v>1101</v>
      </c>
      <c r="C161" s="297" t="s">
        <v>1102</v>
      </c>
      <c r="D161" s="289">
        <f>ROUND((F161*'Pawn Weights'!$B$22)+(G161*'Pawn Weights'!$B$23)+(H161*'Pawn Weights'!$B$24)+(I161*'Pawn Weights'!$B$25)+(J161*'Pawn Weights'!$B$26)+(K161*'Pawn Weights'!$B$27)+(L161*'Pawn Weights'!$B$28)+(M161*'Pawn Weights'!$B$29)+(N161*'Pawn Weights'!$B$30)+(O161*'Pawn Weights'!$B$31)+(P161*'Pawn Weights'!$B$32)+(Q161*'Pawn Weights'!$B$33), 2)</f>
        <v>67.2</v>
      </c>
      <c r="E161" s="298">
        <v>49.0</v>
      </c>
      <c r="F161" s="298">
        <v>35.0</v>
      </c>
      <c r="G161" s="297"/>
      <c r="H161" s="297"/>
      <c r="I161" s="298">
        <v>35.0</v>
      </c>
      <c r="J161" s="297"/>
      <c r="K161" s="297"/>
      <c r="L161" s="297"/>
      <c r="M161" s="137"/>
      <c r="N161" s="297"/>
      <c r="O161" s="297"/>
      <c r="P161" s="297"/>
      <c r="Q161" s="297"/>
      <c r="R161" s="295"/>
      <c r="S161" s="137"/>
      <c r="T161" s="297" t="s">
        <v>850</v>
      </c>
      <c r="U161" s="137"/>
      <c r="V161" s="137"/>
      <c r="W161" s="137"/>
      <c r="X161" s="137"/>
      <c r="Y161" s="137"/>
      <c r="Z161" s="137"/>
    </row>
    <row r="162">
      <c r="A162" s="137"/>
      <c r="B162" s="296" t="s">
        <v>1587</v>
      </c>
      <c r="C162" s="297" t="s">
        <v>900</v>
      </c>
      <c r="D162" s="289">
        <f>ROUND((F162*'Pawn Weights'!$B$22)+(G162*'Pawn Weights'!$B$23)+(H162*'Pawn Weights'!$B$24)+(I162*'Pawn Weights'!$B$25)+(J162*'Pawn Weights'!$B$26)+(K162*'Pawn Weights'!$B$27)+(L162*'Pawn Weights'!$B$28)+(M162*'Pawn Weights'!$B$29)+(N162*'Pawn Weights'!$B$30)+(O162*'Pawn Weights'!$B$31)+(P162*'Pawn Weights'!$B$32)+(Q162*'Pawn Weights'!$B$33), 2)</f>
        <v>65.36</v>
      </c>
      <c r="E162" s="298">
        <v>30.0</v>
      </c>
      <c r="F162" s="298">
        <v>35.0</v>
      </c>
      <c r="G162" s="297"/>
      <c r="H162" s="297"/>
      <c r="I162" s="298">
        <v>33.0</v>
      </c>
      <c r="J162" s="297"/>
      <c r="K162" s="297"/>
      <c r="L162" s="297"/>
      <c r="M162" s="137"/>
      <c r="N162" s="297"/>
      <c r="O162" s="297"/>
      <c r="P162" s="297"/>
      <c r="Q162" s="297"/>
      <c r="R162" s="295"/>
      <c r="S162" s="137"/>
      <c r="T162" s="295"/>
      <c r="U162" s="137"/>
      <c r="V162" s="137"/>
      <c r="W162" s="137"/>
      <c r="X162" s="137"/>
      <c r="Y162" s="137"/>
      <c r="Z162" s="137"/>
    </row>
    <row r="163">
      <c r="A163" s="137"/>
      <c r="B163" s="296" t="s">
        <v>851</v>
      </c>
      <c r="C163" s="297" t="s">
        <v>844</v>
      </c>
      <c r="D163" s="289">
        <f>ROUND((F163*'Pawn Weights'!$B$22)+(G163*'Pawn Weights'!$B$23)+(H163*'Pawn Weights'!$B$24)+(I163*'Pawn Weights'!$B$25)+(J163*'Pawn Weights'!$B$26)+(K163*'Pawn Weights'!$B$27)+(L163*'Pawn Weights'!$B$28)+(M163*'Pawn Weights'!$B$29)+(N163*'Pawn Weights'!$B$30)+(O163*'Pawn Weights'!$B$31)+(P163*'Pawn Weights'!$B$32)+(Q163*'Pawn Weights'!$B$33), 2)</f>
        <v>64.2</v>
      </c>
      <c r="E163" s="298">
        <v>55.0</v>
      </c>
      <c r="F163" s="298">
        <v>40.0</v>
      </c>
      <c r="G163" s="297"/>
      <c r="H163" s="297"/>
      <c r="I163" s="297"/>
      <c r="J163" s="297"/>
      <c r="K163" s="298">
        <v>30.0</v>
      </c>
      <c r="L163" s="297"/>
      <c r="M163" s="137"/>
      <c r="N163" s="297"/>
      <c r="O163" s="297"/>
      <c r="P163" s="297"/>
      <c r="Q163" s="298">
        <v>1.0</v>
      </c>
      <c r="R163" s="298" t="s">
        <v>784</v>
      </c>
      <c r="S163" s="137"/>
      <c r="T163" s="297"/>
      <c r="U163" s="137"/>
      <c r="V163" s="137"/>
      <c r="W163" s="137"/>
      <c r="X163" s="137"/>
      <c r="Y163" s="137"/>
      <c r="Z163" s="137"/>
    </row>
    <row r="164">
      <c r="A164" s="137" t="s">
        <v>995</v>
      </c>
      <c r="B164" s="296" t="s">
        <v>1588</v>
      </c>
      <c r="C164" s="297" t="s">
        <v>1589</v>
      </c>
      <c r="D164" s="289">
        <f>ROUND((F164*'Pawn Weights'!$B$22)+(G164*'Pawn Weights'!$B$23)+(H164*'Pawn Weights'!$B$24)+(I164*'Pawn Weights'!$B$25)+(J164*'Pawn Weights'!$B$26)+(K164*'Pawn Weights'!$B$27)+(L164*'Pawn Weights'!$B$28)+(M164*'Pawn Weights'!$B$29)+(N164*'Pawn Weights'!$B$30)+(O164*'Pawn Weights'!$B$31)+(P164*'Pawn Weights'!$B$32)+(Q164*'Pawn Weights'!$B$33), 2)</f>
        <v>59.52</v>
      </c>
      <c r="E164" s="298">
        <v>45.0</v>
      </c>
      <c r="F164" s="298">
        <v>31.0</v>
      </c>
      <c r="G164" s="297"/>
      <c r="H164" s="297"/>
      <c r="I164" s="298">
        <v>31.0</v>
      </c>
      <c r="J164" s="297"/>
      <c r="K164" s="297"/>
      <c r="L164" s="297"/>
      <c r="M164" s="137"/>
      <c r="N164" s="297"/>
      <c r="O164" s="297"/>
      <c r="P164" s="297"/>
      <c r="Q164" s="297"/>
      <c r="R164" s="295"/>
      <c r="S164" s="137"/>
      <c r="T164" s="295"/>
      <c r="U164" s="137" t="s">
        <v>850</v>
      </c>
      <c r="V164" s="137"/>
      <c r="W164" s="137"/>
      <c r="X164" s="137"/>
      <c r="Y164" s="137"/>
      <c r="Z164" s="137"/>
    </row>
    <row r="165">
      <c r="A165" s="137"/>
      <c r="B165" s="296" t="s">
        <v>1228</v>
      </c>
      <c r="C165" s="297" t="s">
        <v>1229</v>
      </c>
      <c r="D165" s="289">
        <f>ROUND((F165*'Pawn Weights'!$B$22)+(G165*'Pawn Weights'!$B$23)+(H165*'Pawn Weights'!$B$24)+(I165*'Pawn Weights'!$B$25)+(J165*'Pawn Weights'!$B$26)+(K165*'Pawn Weights'!$B$27)+(L165*'Pawn Weights'!$B$28)+(M165*'Pawn Weights'!$B$29)+(N165*'Pawn Weights'!$B$30)+(O165*'Pawn Weights'!$B$31)+(P165*'Pawn Weights'!$B$32)+(Q165*'Pawn Weights'!$B$33), 2)</f>
        <v>58.01</v>
      </c>
      <c r="E165" s="298">
        <v>28.0</v>
      </c>
      <c r="F165" s="297"/>
      <c r="G165" s="298">
        <v>28.0</v>
      </c>
      <c r="H165" s="298">
        <v>56.0</v>
      </c>
      <c r="I165" s="297"/>
      <c r="J165" s="298">
        <v>20.0</v>
      </c>
      <c r="K165" s="297"/>
      <c r="L165" s="297"/>
      <c r="M165" s="137"/>
      <c r="N165" s="297"/>
      <c r="O165" s="297"/>
      <c r="P165" s="297"/>
      <c r="Q165" s="297"/>
      <c r="R165" s="295"/>
      <c r="S165" s="137"/>
      <c r="T165" s="295"/>
      <c r="U165" s="137"/>
      <c r="V165" s="137"/>
      <c r="W165" s="137"/>
      <c r="X165" s="137"/>
      <c r="Y165" s="137"/>
      <c r="Z165" s="137"/>
    </row>
    <row r="166">
      <c r="A166" s="137"/>
      <c r="B166" s="296" t="s">
        <v>1590</v>
      </c>
      <c r="C166" s="297" t="s">
        <v>1278</v>
      </c>
      <c r="D166" s="289">
        <f>ROUND((F166*'Pawn Weights'!$B$22)+(G166*'Pawn Weights'!$B$23)+(H166*'Pawn Weights'!$B$24)+(I166*'Pawn Weights'!$B$25)+(J166*'Pawn Weights'!$B$26)+(K166*'Pawn Weights'!$B$27)+(L166*'Pawn Weights'!$B$28)+(M166*'Pawn Weights'!$B$29)+(N166*'Pawn Weights'!$B$30)+(O166*'Pawn Weights'!$B$31)+(P166*'Pawn Weights'!$B$32)+(Q166*'Pawn Weights'!$B$33)+2.031, 2)</f>
        <v>56.58</v>
      </c>
      <c r="E166" s="298">
        <v>37.0</v>
      </c>
      <c r="F166" s="297"/>
      <c r="G166" s="298">
        <v>18.0</v>
      </c>
      <c r="H166" s="298">
        <v>58.0</v>
      </c>
      <c r="I166" s="297"/>
      <c r="J166" s="297"/>
      <c r="K166" s="297"/>
      <c r="L166" s="297"/>
      <c r="M166" s="137"/>
      <c r="N166" s="297"/>
      <c r="O166" s="298">
        <v>2.0</v>
      </c>
      <c r="P166" s="297"/>
      <c r="Q166" s="297"/>
      <c r="R166" s="295" t="s">
        <v>695</v>
      </c>
      <c r="S166" s="137"/>
      <c r="T166" s="295"/>
      <c r="U166" s="137"/>
      <c r="V166" s="137"/>
      <c r="W166" s="137"/>
      <c r="X166" s="137"/>
      <c r="Y166" s="137"/>
      <c r="Z166" s="137"/>
    </row>
    <row r="167">
      <c r="A167" s="137"/>
      <c r="B167" s="383" t="s">
        <v>1591</v>
      </c>
      <c r="C167" s="297" t="s">
        <v>1592</v>
      </c>
      <c r="D167" s="289">
        <f>ROUND((F167*'Pawn Weights'!$B$22)+(G167*'Pawn Weights'!$B$23)+(H167*'Pawn Weights'!$B$24)+(I167*'Pawn Weights'!$B$25)+(J167*'Pawn Weights'!$B$26)+(K167*'Pawn Weights'!$B$27)+(L167*'Pawn Weights'!$B$28)+(M167*'Pawn Weights'!$B$29)+(N167*'Pawn Weights'!$B$30)+(O167*'Pawn Weights'!$B$31)+(P167*'Pawn Weights'!$B$32)+(Q167*'Pawn Weights'!$B$33), 2)</f>
        <v>56.4</v>
      </c>
      <c r="E167" s="298">
        <v>25.0</v>
      </c>
      <c r="F167" s="298">
        <v>22.0</v>
      </c>
      <c r="G167" s="297"/>
      <c r="H167" s="297"/>
      <c r="I167" s="298">
        <v>20.0</v>
      </c>
      <c r="J167" s="297"/>
      <c r="K167" s="297"/>
      <c r="L167" s="297"/>
      <c r="M167" s="137"/>
      <c r="N167" s="297"/>
      <c r="O167" s="298">
        <v>1.0</v>
      </c>
      <c r="P167" s="297"/>
      <c r="Q167" s="298">
        <v>1.0</v>
      </c>
      <c r="R167" s="295" t="s">
        <v>695</v>
      </c>
      <c r="S167" s="137"/>
      <c r="T167" s="295"/>
      <c r="U167" s="137"/>
      <c r="V167" s="137"/>
      <c r="W167" s="137"/>
      <c r="X167" s="137"/>
      <c r="Y167" s="137"/>
      <c r="Z167" s="137"/>
    </row>
    <row r="168">
      <c r="A168" s="137" t="s">
        <v>965</v>
      </c>
      <c r="B168" s="296" t="s">
        <v>1593</v>
      </c>
      <c r="C168" s="297" t="s">
        <v>1594</v>
      </c>
      <c r="D168" s="289">
        <f>ROUND((F168*'Pawn Weights'!$B$22)+(G168*'Pawn Weights'!$B$23)+(H168*'Pawn Weights'!$B$24)+(I168*'Pawn Weights'!$B$25)+(J168*'Pawn Weights'!$B$26)+(K168*'Pawn Weights'!$B$27)+(L168*'Pawn Weights'!$B$28)+(M168*'Pawn Weights'!$B$29)+(N168*'Pawn Weights'!$B$30)+(O168*'Pawn Weights'!$B$31)+(P168*'Pawn Weights'!$B$32)+(Q168*'Pawn Weights'!$B$33), 2)</f>
        <v>54.22</v>
      </c>
      <c r="E168" s="298">
        <v>21.0</v>
      </c>
      <c r="F168" s="298">
        <v>21.0</v>
      </c>
      <c r="G168" s="298">
        <v>20.0</v>
      </c>
      <c r="H168" s="297"/>
      <c r="I168" s="298">
        <v>14.0</v>
      </c>
      <c r="J168" s="298">
        <v>10.0</v>
      </c>
      <c r="K168" s="297"/>
      <c r="L168" s="297"/>
      <c r="M168" s="137"/>
      <c r="N168" s="297"/>
      <c r="O168" s="297"/>
      <c r="P168" s="297"/>
      <c r="Q168" s="297"/>
      <c r="R168" s="295"/>
      <c r="S168" s="137"/>
      <c r="T168" s="295"/>
      <c r="U168" s="137"/>
      <c r="V168" s="137"/>
      <c r="W168" s="137"/>
      <c r="X168" s="137"/>
      <c r="Y168" s="137"/>
      <c r="Z168" s="137"/>
    </row>
    <row r="169">
      <c r="A169" s="137"/>
      <c r="B169" s="383" t="s">
        <v>1595</v>
      </c>
      <c r="C169" s="297" t="s">
        <v>1596</v>
      </c>
      <c r="D169" s="289">
        <f>ROUND((F169*'Pawn Weights'!$B$22)+(G169*'Pawn Weights'!$B$23)+(H169*'Pawn Weights'!$B$24)+(I169*'Pawn Weights'!$B$25)+(J169*'Pawn Weights'!$B$26)+(K169*'Pawn Weights'!$B$27)+(L169*'Pawn Weights'!$B$28)+(M169*'Pawn Weights'!$B$29)+(N169*'Pawn Weights'!$B$30)+(O169*'Pawn Weights'!$B$31)+(P169*'Pawn Weights'!$B$32)+(Q169*'Pawn Weights'!$B$33), 2)</f>
        <v>52.94</v>
      </c>
      <c r="E169" s="298">
        <v>16.0</v>
      </c>
      <c r="F169" s="297"/>
      <c r="G169" s="298">
        <v>21.0</v>
      </c>
      <c r="H169" s="298">
        <v>50.0</v>
      </c>
      <c r="I169" s="297"/>
      <c r="J169" s="297"/>
      <c r="K169" s="297"/>
      <c r="L169" s="297"/>
      <c r="M169" s="137"/>
      <c r="N169" s="297"/>
      <c r="O169" s="298">
        <v>1.0</v>
      </c>
      <c r="P169" s="297"/>
      <c r="Q169" s="298">
        <v>1.0</v>
      </c>
      <c r="R169" s="295" t="s">
        <v>695</v>
      </c>
      <c r="S169" s="137"/>
      <c r="T169" s="295"/>
      <c r="U169" s="137"/>
      <c r="V169" s="137"/>
      <c r="W169" s="137"/>
      <c r="X169" s="137"/>
      <c r="Y169" s="137"/>
      <c r="Z169" s="137"/>
    </row>
    <row r="170">
      <c r="A170" s="137"/>
      <c r="B170" s="383" t="s">
        <v>1597</v>
      </c>
      <c r="C170" s="297" t="s">
        <v>1598</v>
      </c>
      <c r="D170" s="289">
        <f>ROUND((F170*'Pawn Weights'!$B$22)+(G170*'Pawn Weights'!$B$23)+(H170*'Pawn Weights'!$B$24)+(I170*'Pawn Weights'!$B$25)+(J170*'Pawn Weights'!$B$26)+(K170*'Pawn Weights'!$B$27)+(L170*'Pawn Weights'!$B$28)+(M170*'Pawn Weights'!$B$29)+(N170*'Pawn Weights'!$B$30)+(O170*'Pawn Weights'!$B$31)+(P170*'Pawn Weights'!$B$32)+(Q170*'Pawn Weights'!$B$33), 2)</f>
        <v>52.51</v>
      </c>
      <c r="E170" s="298">
        <v>22.0</v>
      </c>
      <c r="F170" s="298">
        <v>25.0</v>
      </c>
      <c r="G170" s="298">
        <v>17.0</v>
      </c>
      <c r="H170" s="297"/>
      <c r="I170" s="297"/>
      <c r="J170" s="297"/>
      <c r="K170" s="297"/>
      <c r="L170" s="297"/>
      <c r="M170" s="137"/>
      <c r="N170" s="297"/>
      <c r="O170" s="298">
        <v>1.0</v>
      </c>
      <c r="P170" s="297"/>
      <c r="Q170" s="298">
        <v>1.0</v>
      </c>
      <c r="R170" s="295" t="s">
        <v>695</v>
      </c>
      <c r="S170" s="137"/>
      <c r="T170" s="295"/>
      <c r="U170" s="137"/>
      <c r="V170" s="137"/>
      <c r="W170" s="137"/>
      <c r="X170" s="137"/>
      <c r="Y170" s="137"/>
      <c r="Z170" s="137"/>
    </row>
    <row r="171">
      <c r="A171" s="137"/>
      <c r="B171" s="383" t="s">
        <v>1599</v>
      </c>
      <c r="C171" s="297" t="s">
        <v>1596</v>
      </c>
      <c r="D171" s="289">
        <f>ROUND((F171*'Pawn Weights'!$B$22)+(G171*'Pawn Weights'!$B$23)+(H171*'Pawn Weights'!$B$24)+(I171*'Pawn Weights'!$B$25)+(J171*'Pawn Weights'!$B$26)+(K171*'Pawn Weights'!$B$27)+(L171*'Pawn Weights'!$B$28)+(M171*'Pawn Weights'!$B$29)+(N171*'Pawn Weights'!$B$30)+(O171*'Pawn Weights'!$B$31)+(P171*'Pawn Weights'!$B$32)+(Q171*'Pawn Weights'!$B$33), 2)</f>
        <v>52.48</v>
      </c>
      <c r="E171" s="298">
        <v>22.0</v>
      </c>
      <c r="F171" s="298">
        <v>27.0</v>
      </c>
      <c r="G171" s="298">
        <v>14.0</v>
      </c>
      <c r="H171" s="297"/>
      <c r="I171" s="297"/>
      <c r="J171" s="297"/>
      <c r="K171" s="297"/>
      <c r="L171" s="297"/>
      <c r="M171" s="137"/>
      <c r="N171" s="297"/>
      <c r="O171" s="298">
        <v>1.0</v>
      </c>
      <c r="P171" s="298">
        <v>1.0</v>
      </c>
      <c r="Q171" s="297"/>
      <c r="R171" s="295" t="s">
        <v>1189</v>
      </c>
      <c r="S171" s="137"/>
      <c r="T171" s="295"/>
      <c r="U171" s="137"/>
      <c r="V171" s="137"/>
      <c r="W171" s="137"/>
      <c r="X171" s="137"/>
      <c r="Y171" s="137"/>
      <c r="Z171" s="137"/>
    </row>
    <row r="172">
      <c r="A172" s="137"/>
      <c r="B172" s="383" t="s">
        <v>1603</v>
      </c>
      <c r="C172" s="297" t="s">
        <v>1604</v>
      </c>
      <c r="D172" s="289">
        <f>ROUND((F172*'Pawn Weights'!$B$22)+(G172*'Pawn Weights'!$B$23)+(H172*'Pawn Weights'!$B$24)+(I172*'Pawn Weights'!$B$25)+(J172*'Pawn Weights'!$B$26)+(K172*'Pawn Weights'!$B$27)+(L172*'Pawn Weights'!$B$28)+(M172*'Pawn Weights'!$B$29)+(N172*'Pawn Weights'!$B$30)+(O172*'Pawn Weights'!$B$31)+(P172*'Pawn Weights'!$B$32)+(Q172*'Pawn Weights'!$B$33), 2)</f>
        <v>52.25</v>
      </c>
      <c r="E172" s="297"/>
      <c r="F172" s="297"/>
      <c r="G172" s="297"/>
      <c r="H172" s="298">
        <v>50.0</v>
      </c>
      <c r="I172" s="298">
        <v>21.0</v>
      </c>
      <c r="J172" s="298">
        <v>15.0</v>
      </c>
      <c r="K172" s="297"/>
      <c r="L172" s="297"/>
      <c r="M172" s="137"/>
      <c r="N172" s="297"/>
      <c r="O172" s="297"/>
      <c r="P172" s="297"/>
      <c r="Q172" s="297"/>
      <c r="R172" s="295"/>
      <c r="S172" s="137"/>
      <c r="T172" s="295"/>
      <c r="U172" s="137"/>
      <c r="V172" s="137"/>
      <c r="W172" s="137"/>
      <c r="X172" s="137"/>
      <c r="Y172" s="137"/>
      <c r="Z172" s="137"/>
    </row>
    <row r="173">
      <c r="A173" s="137"/>
      <c r="B173" s="296" t="s">
        <v>1600</v>
      </c>
      <c r="C173" s="297" t="s">
        <v>1601</v>
      </c>
      <c r="D173" s="289">
        <f>ROUND((F173*'Pawn Weights'!$B$22)+(G173*'Pawn Weights'!$B$23)+(H173*'Pawn Weights'!$B$24)+(I173*'Pawn Weights'!$B$25)+(J173*'Pawn Weights'!$B$26)+(K173*'Pawn Weights'!$B$27)+(L173*'Pawn Weights'!$B$28)+(M173*'Pawn Weights'!$B$29)+(N173*'Pawn Weights'!$B$30)+(O173*'Pawn Weights'!$B$31)+(P173*'Pawn Weights'!$B$32)+(Q173*'Pawn Weights'!$B$33), 2)</f>
        <v>51.84</v>
      </c>
      <c r="E173" s="298">
        <v>40.0</v>
      </c>
      <c r="F173" s="298">
        <v>27.0</v>
      </c>
      <c r="G173" s="297"/>
      <c r="H173" s="297"/>
      <c r="I173" s="298">
        <v>27.0</v>
      </c>
      <c r="J173" s="297"/>
      <c r="K173" s="297"/>
      <c r="L173" s="297"/>
      <c r="M173" s="137"/>
      <c r="N173" s="297"/>
      <c r="O173" s="297"/>
      <c r="P173" s="297"/>
      <c r="Q173" s="297"/>
      <c r="R173" s="295"/>
      <c r="S173" s="137"/>
      <c r="T173" s="295"/>
      <c r="U173" s="137" t="s">
        <v>1602</v>
      </c>
      <c r="V173" s="137"/>
      <c r="W173" s="137"/>
      <c r="X173" s="137"/>
      <c r="Y173" s="137"/>
      <c r="Z173" s="137"/>
    </row>
    <row r="174">
      <c r="A174" s="137" t="s">
        <v>1559</v>
      </c>
      <c r="B174" s="296" t="s">
        <v>1605</v>
      </c>
      <c r="C174" s="318" t="s">
        <v>1697</v>
      </c>
      <c r="D174" s="289">
        <f>ROUND((F174*'Pawn Weights'!$B$22)+(G174*'Pawn Weights'!$B$23)+(H174*'Pawn Weights'!$B$24)+(I174*'Pawn Weights'!$B$25)+(J174*'Pawn Weights'!$B$26)+(K174*'Pawn Weights'!$B$27)+(L174*'Pawn Weights'!$B$28)+(M174*'Pawn Weights'!$B$29)+(N174*'Pawn Weights'!$B$30)+(O174*'Pawn Weights'!$B$31)+(P174*'Pawn Weights'!$B$32)+(Q174*'Pawn Weights'!$B$33), 2)</f>
        <v>51.72</v>
      </c>
      <c r="E174" s="298">
        <v>32.0</v>
      </c>
      <c r="F174" s="297"/>
      <c r="G174" s="298">
        <v>20.0</v>
      </c>
      <c r="H174" s="298">
        <v>84.0</v>
      </c>
      <c r="I174" s="297"/>
      <c r="J174" s="297"/>
      <c r="K174" s="297"/>
      <c r="L174" s="297"/>
      <c r="M174" s="137"/>
      <c r="N174" s="297"/>
      <c r="O174" s="297"/>
      <c r="P174" s="297"/>
      <c r="Q174" s="297"/>
      <c r="R174" s="295"/>
      <c r="S174" s="137"/>
      <c r="T174" s="295"/>
      <c r="U174" s="137"/>
      <c r="V174" s="137"/>
      <c r="W174" s="137"/>
      <c r="X174" s="137"/>
      <c r="Y174" s="137"/>
      <c r="Z174" s="137"/>
    </row>
    <row r="175">
      <c r="A175" s="137" t="s">
        <v>627</v>
      </c>
      <c r="B175" s="383" t="s">
        <v>1607</v>
      </c>
      <c r="C175" s="297" t="s">
        <v>904</v>
      </c>
      <c r="D175" s="289">
        <f>ROUND((F175*'Pawn Weights'!$B$22)+(G175*'Pawn Weights'!$B$23)+(H175*'Pawn Weights'!$B$24)+(I175*'Pawn Weights'!$B$25)+(J175*'Pawn Weights'!$B$26)+(K175*'Pawn Weights'!$B$27)+(L175*'Pawn Weights'!$B$28)+(M175*'Pawn Weights'!$B$29)+(N175*'Pawn Weights'!$B$30)+(O175*'Pawn Weights'!$B$31)+(P175*'Pawn Weights'!$B$32)+(Q175*'Pawn Weights'!$B$33), 2)</f>
        <v>50.91</v>
      </c>
      <c r="E175" s="297"/>
      <c r="F175" s="297"/>
      <c r="G175" s="298">
        <v>18.0</v>
      </c>
      <c r="H175" s="298">
        <v>50.0</v>
      </c>
      <c r="I175" s="297"/>
      <c r="J175" s="297"/>
      <c r="K175" s="297"/>
      <c r="L175" s="297"/>
      <c r="M175" s="137"/>
      <c r="N175" s="297"/>
      <c r="O175" s="298">
        <v>1.0</v>
      </c>
      <c r="P175" s="297"/>
      <c r="Q175" s="298">
        <v>1.0</v>
      </c>
      <c r="R175" s="295" t="s">
        <v>812</v>
      </c>
      <c r="S175" s="137"/>
      <c r="T175" s="295"/>
      <c r="U175" s="137" t="s">
        <v>1472</v>
      </c>
      <c r="V175" s="137"/>
      <c r="W175" s="137"/>
      <c r="X175" s="137"/>
      <c r="Y175" s="137"/>
      <c r="Z175" s="137"/>
    </row>
    <row r="176">
      <c r="A176" s="137" t="s">
        <v>965</v>
      </c>
      <c r="B176" s="296" t="s">
        <v>1608</v>
      </c>
      <c r="C176" s="297" t="s">
        <v>1609</v>
      </c>
      <c r="D176" s="289">
        <f>ROUND((F176*'Pawn Weights'!$B$22)+(G176*'Pawn Weights'!$B$23)+(H176*'Pawn Weights'!$B$24)+(I176*'Pawn Weights'!$B$25)+(J176*'Pawn Weights'!$B$26)+(K176*'Pawn Weights'!$B$27)+(L176*'Pawn Weights'!$B$28)+(M176*'Pawn Weights'!$B$29)+(N176*'Pawn Weights'!$B$30)+(O176*'Pawn Weights'!$B$31)+(P176*'Pawn Weights'!$B$32)+(Q176*'Pawn Weights'!$B$33), 2)</f>
        <v>50.68</v>
      </c>
      <c r="E176" s="298">
        <v>11.0</v>
      </c>
      <c r="F176" s="298">
        <v>31.0</v>
      </c>
      <c r="G176" s="297"/>
      <c r="H176" s="297"/>
      <c r="I176" s="298">
        <v>14.0</v>
      </c>
      <c r="J176" s="298">
        <v>10.0</v>
      </c>
      <c r="K176" s="297"/>
      <c r="L176" s="297"/>
      <c r="M176" s="137"/>
      <c r="N176" s="297"/>
      <c r="O176" s="297"/>
      <c r="P176" s="297"/>
      <c r="Q176" s="297"/>
      <c r="R176" s="295"/>
      <c r="S176" s="137"/>
      <c r="T176" s="295"/>
      <c r="U176" s="137"/>
      <c r="V176" s="137"/>
      <c r="W176" s="137"/>
      <c r="X176" s="137"/>
      <c r="Y176" s="137"/>
      <c r="Z176" s="137"/>
    </row>
    <row r="177">
      <c r="A177" s="137"/>
      <c r="B177" s="431" t="s">
        <v>1610</v>
      </c>
      <c r="C177" s="297" t="s">
        <v>1611</v>
      </c>
      <c r="D177" s="289">
        <f>ROUND((F177*'Pawn Weights'!$B$22)+(G177*'Pawn Weights'!$B$23)+(H177*'Pawn Weights'!$B$24)+(I177*'Pawn Weights'!$B$25)+(J177*'Pawn Weights'!$B$26)+(K177*'Pawn Weights'!$B$27)+(L177*'Pawn Weights'!$B$28)+(M177*'Pawn Weights'!$B$29)+(N177*'Pawn Weights'!$B$30)+(O177*'Pawn Weights'!$B$31)+(P177*'Pawn Weights'!$B$32)+(Q177*'Pawn Weights'!$B$33), 2)</f>
        <v>50.15</v>
      </c>
      <c r="E177" s="297"/>
      <c r="F177" s="297"/>
      <c r="G177" s="297"/>
      <c r="H177" s="298">
        <v>60.0</v>
      </c>
      <c r="I177" s="298">
        <v>16.0</v>
      </c>
      <c r="J177" s="298">
        <v>12.0</v>
      </c>
      <c r="K177" s="297"/>
      <c r="L177" s="297"/>
      <c r="M177" s="137"/>
      <c r="N177" s="297"/>
      <c r="O177" s="297"/>
      <c r="P177" s="297"/>
      <c r="Q177" s="297"/>
      <c r="R177" s="295"/>
      <c r="S177" s="137"/>
      <c r="T177" s="295"/>
      <c r="U177" s="137" t="s">
        <v>1612</v>
      </c>
      <c r="V177" s="137"/>
      <c r="W177" s="137"/>
      <c r="X177" s="137"/>
      <c r="Y177" s="137"/>
      <c r="Z177" s="137"/>
    </row>
    <row r="178">
      <c r="A178" s="272" t="s">
        <v>852</v>
      </c>
      <c r="B178" s="281"/>
      <c r="C178" s="281"/>
      <c r="D178" s="360"/>
      <c r="E178" s="281"/>
      <c r="F178" s="281"/>
      <c r="G178" s="281"/>
      <c r="H178" s="281"/>
      <c r="I178" s="281"/>
      <c r="J178" s="281"/>
      <c r="K178" s="281"/>
      <c r="L178" s="281"/>
      <c r="M178" s="281"/>
      <c r="N178" s="281"/>
      <c r="O178" s="281"/>
      <c r="P178" s="281"/>
      <c r="Q178" s="281"/>
      <c r="R178" s="282"/>
      <c r="S178" s="281"/>
      <c r="T178" s="285"/>
      <c r="U178" s="281"/>
      <c r="V178" s="281"/>
      <c r="W178" s="281"/>
    </row>
    <row r="179">
      <c r="A179" s="137" t="s">
        <v>635</v>
      </c>
      <c r="B179" s="341" t="s">
        <v>860</v>
      </c>
      <c r="C179" s="361" t="s">
        <v>637</v>
      </c>
      <c r="D179" s="289">
        <f>ROUND((F179*'Pawn Weights'!$B$22)+(G179*'Pawn Weights'!$B$23)+(H179*'Pawn Weights'!$B$24)+(I179*'Pawn Weights'!$B$25)+(J179*'Pawn Weights'!$B$26)+(K179*'Pawn Weights'!$B$27)+(L179*'Pawn Weights'!$B$28)+(M179*'Pawn Weights'!$B$29)+(N179*'Pawn Weights'!$B$30)+(O179*'Pawn Weights'!$B$31)+(P179*'Pawn Weights'!$B$32)+(Q179*'Pawn Weights'!$B$33), 2)</f>
        <v>130.6</v>
      </c>
      <c r="E179" s="359">
        <v>77.0</v>
      </c>
      <c r="F179" s="359">
        <v>57.0</v>
      </c>
      <c r="G179" s="361"/>
      <c r="H179" s="361"/>
      <c r="I179" s="359">
        <v>53.0</v>
      </c>
      <c r="J179" s="359">
        <v>18.0</v>
      </c>
      <c r="K179" s="361"/>
      <c r="L179" s="361"/>
      <c r="M179" s="359">
        <v>84.0</v>
      </c>
      <c r="N179" s="361"/>
      <c r="O179" s="361"/>
      <c r="P179" s="361"/>
      <c r="Q179" s="361"/>
      <c r="R179" s="137"/>
      <c r="S179" s="137"/>
      <c r="T179" s="361" t="s">
        <v>861</v>
      </c>
      <c r="U179" s="137"/>
      <c r="V179" s="137"/>
      <c r="W179" s="137"/>
      <c r="X179" s="137"/>
      <c r="Y179" s="137"/>
      <c r="Z179" s="137"/>
    </row>
    <row r="180">
      <c r="A180" s="137" t="s">
        <v>644</v>
      </c>
      <c r="B180" s="341" t="s">
        <v>867</v>
      </c>
      <c r="C180" s="361" t="s">
        <v>646</v>
      </c>
      <c r="D180" s="289">
        <f>ROUND((F180*'Pawn Weights'!$B$22)+(G180*'Pawn Weights'!$B$23)+(H180*'Pawn Weights'!$B$24)+(I180*'Pawn Weights'!$B$25)+(J180*'Pawn Weights'!$B$26)+(K180*'Pawn Weights'!$B$27)+(L180*'Pawn Weights'!$B$28)+(M180*'Pawn Weights'!$B$29)+(N180*'Pawn Weights'!$B$30)+(O180*'Pawn Weights'!$B$31)+(P180*'Pawn Weights'!$B$32)+(Q180*'Pawn Weights'!$B$33), 2)</f>
        <v>115</v>
      </c>
      <c r="E180" s="359">
        <v>70.0</v>
      </c>
      <c r="F180" s="359">
        <v>51.0</v>
      </c>
      <c r="G180" s="361"/>
      <c r="H180" s="361"/>
      <c r="I180" s="359">
        <v>47.0</v>
      </c>
      <c r="J180" s="359">
        <v>12.0</v>
      </c>
      <c r="K180" s="361"/>
      <c r="L180" s="361"/>
      <c r="M180" s="359">
        <v>84.0</v>
      </c>
      <c r="N180" s="361"/>
      <c r="O180" s="361"/>
      <c r="P180" s="361"/>
      <c r="Q180" s="361"/>
      <c r="R180" s="137"/>
      <c r="S180" s="137"/>
      <c r="T180" s="137"/>
      <c r="U180" s="137"/>
      <c r="V180" s="137"/>
      <c r="W180" s="137"/>
      <c r="X180" s="137"/>
      <c r="Y180" s="137"/>
      <c r="Z180" s="137"/>
    </row>
    <row r="181">
      <c r="A181" s="137"/>
      <c r="B181" s="341" t="s">
        <v>869</v>
      </c>
      <c r="C181" s="361" t="s">
        <v>865</v>
      </c>
      <c r="D181" s="289">
        <f>ROUND((F181*'Pawn Weights'!$B$22)+(G181*'Pawn Weights'!$B$23)+(H181*'Pawn Weights'!$B$24)+(I181*'Pawn Weights'!$B$25)+(J181*'Pawn Weights'!$B$26)+(K181*'Pawn Weights'!$B$27)+(L181*'Pawn Weights'!$B$28)+(M181*'Pawn Weights'!$B$29)+(N181*'Pawn Weights'!$B$30)+(O181*'Pawn Weights'!$B$31)+(P181*'Pawn Weights'!$B$32)+(Q181*'Pawn Weights'!$B$33), 2)</f>
        <v>112.78</v>
      </c>
      <c r="E181" s="359">
        <v>45.0</v>
      </c>
      <c r="F181" s="361"/>
      <c r="G181" s="359">
        <v>43.0</v>
      </c>
      <c r="H181" s="359">
        <v>104.0</v>
      </c>
      <c r="I181" s="361"/>
      <c r="J181" s="359">
        <v>30.0</v>
      </c>
      <c r="K181" s="361"/>
      <c r="L181" s="361"/>
      <c r="M181" s="361"/>
      <c r="N181" s="361"/>
      <c r="O181" s="361"/>
      <c r="P181" s="359">
        <v>1.0</v>
      </c>
      <c r="Q181" s="359">
        <v>1.0</v>
      </c>
      <c r="R181" s="359" t="s">
        <v>832</v>
      </c>
      <c r="S181" s="137"/>
      <c r="T181" s="137"/>
      <c r="U181" s="137"/>
      <c r="V181" s="137"/>
      <c r="W181" s="137"/>
      <c r="X181" s="137"/>
      <c r="Y181" s="137"/>
      <c r="Z181" s="137"/>
    </row>
    <row r="182">
      <c r="A182" s="137"/>
      <c r="B182" s="341" t="s">
        <v>864</v>
      </c>
      <c r="C182" s="361" t="s">
        <v>865</v>
      </c>
      <c r="D182" s="289">
        <f>ROUND((F182*'Pawn Weights'!$B$22)+(G182*'Pawn Weights'!$B$23)+(H182*'Pawn Weights'!$B$24)+(I182*'Pawn Weights'!$B$25)+(J182*'Pawn Weights'!$B$26)+(K182*'Pawn Weights'!$B$27)+(L182*'Pawn Weights'!$B$28)+(M182*'Pawn Weights'!$B$29)+(N182*'Pawn Weights'!$B$30)+(O182*'Pawn Weights'!$B$31)+(P182*'Pawn Weights'!$B$32)+(Q182*'Pawn Weights'!$B$33), 2)</f>
        <v>108.22</v>
      </c>
      <c r="E182" s="359">
        <v>48.0</v>
      </c>
      <c r="F182" s="359">
        <v>52.0</v>
      </c>
      <c r="G182" s="361"/>
      <c r="H182" s="361"/>
      <c r="I182" s="361"/>
      <c r="J182" s="359">
        <v>25.0</v>
      </c>
      <c r="K182" s="359">
        <v>43.0</v>
      </c>
      <c r="L182" s="361"/>
      <c r="M182" s="361"/>
      <c r="N182" s="361"/>
      <c r="O182" s="361"/>
      <c r="P182" s="359">
        <v>1.0</v>
      </c>
      <c r="Q182" s="359">
        <v>1.0</v>
      </c>
      <c r="R182" s="359" t="s">
        <v>698</v>
      </c>
      <c r="S182" s="137"/>
      <c r="T182" s="137"/>
      <c r="U182" s="137"/>
      <c r="V182" s="137"/>
      <c r="W182" s="137"/>
      <c r="X182" s="137"/>
      <c r="Y182" s="137"/>
      <c r="Z182" s="137"/>
    </row>
    <row r="183">
      <c r="A183" s="301"/>
      <c r="B183" s="288" t="s">
        <v>874</v>
      </c>
      <c r="C183" s="280" t="s">
        <v>741</v>
      </c>
      <c r="D183" s="289">
        <f>ROUND((F183*'Pawn Weights'!$B$22)+(G183*'Pawn Weights'!$B$23)+(H183*'Pawn Weights'!$B$24)+(I183*'Pawn Weights'!$B$25)+(J183*'Pawn Weights'!$B$26)+(K183*'Pawn Weights'!$B$27)+(L183*'Pawn Weights'!$B$28)+(M183*'Pawn Weights'!$B$29)+(N183*'Pawn Weights'!$B$30)+(O183*'Pawn Weights'!$B$31)+(P183*'Pawn Weights'!$B$32)+(Q183*'Pawn Weights'!$B$33), 2)</f>
        <v>106.32</v>
      </c>
      <c r="E183" s="280">
        <v>31.0</v>
      </c>
      <c r="F183" s="280"/>
      <c r="G183" s="280">
        <v>45.0</v>
      </c>
      <c r="H183" s="280">
        <v>92.0</v>
      </c>
      <c r="I183" s="280">
        <v>37.0</v>
      </c>
      <c r="J183" s="280"/>
      <c r="K183" s="280"/>
      <c r="L183" s="280"/>
      <c r="M183" s="280"/>
      <c r="N183" s="280"/>
      <c r="O183" s="280"/>
      <c r="P183" s="280"/>
      <c r="Q183" s="280"/>
      <c r="R183" s="290"/>
      <c r="S183" s="281"/>
      <c r="T183" s="294"/>
      <c r="U183" s="281"/>
      <c r="V183" s="281"/>
      <c r="W183" s="281"/>
      <c r="X183" s="281"/>
    </row>
    <row r="184">
      <c r="A184" s="301" t="s">
        <v>647</v>
      </c>
      <c r="B184" s="288" t="s">
        <v>872</v>
      </c>
      <c r="C184" s="280" t="s">
        <v>873</v>
      </c>
      <c r="D184" s="289">
        <f>ROUND((F184*'Pawn Weights'!$B$22)+(G184*'Pawn Weights'!$B$23)+(H184*'Pawn Weights'!$B$24)+(I184*'Pawn Weights'!$B$25)+(J184*'Pawn Weights'!$B$26)+(K184*'Pawn Weights'!$B$27)+(L184*'Pawn Weights'!$B$28)+(M184*'Pawn Weights'!$B$29)+(N184*'Pawn Weights'!$B$30)+(O184*'Pawn Weights'!$B$31)+(P184*'Pawn Weights'!$B$32)+(Q184*'Pawn Weights'!$B$33)+1.84, 2)</f>
        <v>106.24</v>
      </c>
      <c r="E184" s="280">
        <v>57.0</v>
      </c>
      <c r="F184" s="280">
        <v>52.0</v>
      </c>
      <c r="G184" s="280"/>
      <c r="H184" s="280"/>
      <c r="I184" s="280">
        <v>32.0</v>
      </c>
      <c r="J184" s="280">
        <v>22.0</v>
      </c>
      <c r="K184" s="280"/>
      <c r="L184" s="280"/>
      <c r="M184" s="280"/>
      <c r="N184" s="280"/>
      <c r="O184" s="280">
        <v>1.0</v>
      </c>
      <c r="P184" s="280"/>
      <c r="Q184" s="280"/>
      <c r="R184" s="290" t="s">
        <v>736</v>
      </c>
      <c r="S184" s="281"/>
      <c r="T184" s="294"/>
      <c r="U184" s="281"/>
      <c r="V184" s="281"/>
      <c r="W184" s="281"/>
      <c r="X184" s="281"/>
    </row>
    <row r="185">
      <c r="A185" s="295"/>
      <c r="B185" s="296" t="s">
        <v>875</v>
      </c>
      <c r="C185" s="297" t="s">
        <v>865</v>
      </c>
      <c r="D185" s="289">
        <f>ROUND((F185*'Pawn Weights'!$B$22)+(G185*'Pawn Weights'!$B$23)+(H185*'Pawn Weights'!$B$24)+(I185*'Pawn Weights'!$B$25)+(J185*'Pawn Weights'!$B$26)+(K185*'Pawn Weights'!$B$27)+(L185*'Pawn Weights'!$B$28)+(M185*'Pawn Weights'!$B$29)+(N185*'Pawn Weights'!$B$30)+(O185*'Pawn Weights'!$B$31)+(P185*'Pawn Weights'!$B$32)+(Q185*'Pawn Weights'!$B$33), 2)</f>
        <v>103.26</v>
      </c>
      <c r="E185" s="298">
        <v>36.0</v>
      </c>
      <c r="F185" s="297"/>
      <c r="G185" s="298">
        <v>44.0</v>
      </c>
      <c r="H185" s="298">
        <v>104.0</v>
      </c>
      <c r="I185" s="297"/>
      <c r="J185" s="298">
        <v>15.0</v>
      </c>
      <c r="K185" s="297"/>
      <c r="L185" s="297"/>
      <c r="M185" s="297"/>
      <c r="N185" s="297"/>
      <c r="O185" s="297"/>
      <c r="P185" s="298">
        <v>1.0</v>
      </c>
      <c r="Q185" s="298">
        <v>1.0</v>
      </c>
      <c r="R185" s="298" t="s">
        <v>695</v>
      </c>
      <c r="S185" s="137"/>
      <c r="T185" s="295"/>
      <c r="U185" s="137"/>
      <c r="V185" s="137"/>
      <c r="W185" s="137"/>
      <c r="X185" s="137"/>
      <c r="Y185" s="137"/>
      <c r="Z185" s="137"/>
    </row>
    <row r="186">
      <c r="A186" s="301"/>
      <c r="B186" s="288" t="s">
        <v>870</v>
      </c>
      <c r="C186" s="280" t="s">
        <v>871</v>
      </c>
      <c r="D186" s="289">
        <f>ROUND((F186*'Pawn Weights'!$B$22)+(G186*'Pawn Weights'!$B$23)+(H186*'Pawn Weights'!$B$24)+(I186*'Pawn Weights'!$B$25)+(J186*'Pawn Weights'!$B$26)+(K186*'Pawn Weights'!$B$27)+(L186*'Pawn Weights'!$B$28)+(M186*'Pawn Weights'!$B$29)+(N186*'Pawn Weights'!$B$30)+(O186*'Pawn Weights'!$B$31)+(P186*'Pawn Weights'!$B$32)+(Q186*'Pawn Weights'!$B$33), 2)</f>
        <v>101.52</v>
      </c>
      <c r="E186" s="280">
        <v>46.0</v>
      </c>
      <c r="F186" s="280">
        <v>49.0</v>
      </c>
      <c r="G186" s="280"/>
      <c r="H186" s="280"/>
      <c r="I186" s="280">
        <v>31.0</v>
      </c>
      <c r="J186" s="280"/>
      <c r="K186" s="280"/>
      <c r="L186" s="280"/>
      <c r="M186" s="280"/>
      <c r="N186" s="280"/>
      <c r="O186" s="280">
        <v>1.0</v>
      </c>
      <c r="P186" s="280">
        <v>1.0</v>
      </c>
      <c r="Q186" s="280">
        <v>1.0</v>
      </c>
      <c r="R186" s="290" t="s">
        <v>643</v>
      </c>
      <c r="S186" s="281"/>
      <c r="T186" s="294"/>
      <c r="U186" s="281"/>
      <c r="V186" s="281"/>
      <c r="W186" s="281"/>
      <c r="X186" s="281"/>
    </row>
    <row r="187">
      <c r="A187" s="301"/>
      <c r="B187" s="288" t="s">
        <v>877</v>
      </c>
      <c r="C187" s="280" t="s">
        <v>708</v>
      </c>
      <c r="D187" s="289">
        <f>ROUND((F187*'Pawn Weights'!$B$22)+(G187*'Pawn Weights'!$B$23)+(H187*'Pawn Weights'!$B$24)+(I187*'Pawn Weights'!$B$25)+(J187*'Pawn Weights'!$B$26)+(K187*'Pawn Weights'!$B$27)+(L187*'Pawn Weights'!$B$28)+(M187*'Pawn Weights'!$B$29)+(N187*'Pawn Weights'!$B$30)+(O187*'Pawn Weights'!$B$31)+(P187*'Pawn Weights'!$B$32)+(Q187*'Pawn Weights'!$B$33)+2.708, 2)</f>
        <v>97.18</v>
      </c>
      <c r="E187" s="280"/>
      <c r="F187" s="280"/>
      <c r="G187" s="280">
        <v>37.0</v>
      </c>
      <c r="H187" s="280">
        <v>76.0</v>
      </c>
      <c r="I187" s="280"/>
      <c r="J187" s="280">
        <v>16.0</v>
      </c>
      <c r="K187" s="280"/>
      <c r="L187" s="280"/>
      <c r="M187" s="280"/>
      <c r="N187" s="280"/>
      <c r="O187" s="280">
        <v>3.0</v>
      </c>
      <c r="P187" s="280"/>
      <c r="Q187" s="280"/>
      <c r="R187" s="290" t="s">
        <v>622</v>
      </c>
      <c r="S187" s="290"/>
      <c r="T187" s="285"/>
      <c r="U187" s="310"/>
      <c r="V187" s="281"/>
      <c r="W187" s="281"/>
      <c r="X187" s="281"/>
      <c r="Y187" s="281"/>
    </row>
    <row r="188">
      <c r="A188" s="295"/>
      <c r="B188" s="296" t="s">
        <v>876</v>
      </c>
      <c r="C188" s="297" t="s">
        <v>865</v>
      </c>
      <c r="D188">
        <v>97.03</v>
      </c>
      <c r="E188" s="298">
        <v>52.0</v>
      </c>
      <c r="F188" s="298">
        <v>39.0</v>
      </c>
      <c r="G188" s="298">
        <v>45.0</v>
      </c>
      <c r="H188" s="297"/>
      <c r="I188" s="297"/>
      <c r="J188" s="298">
        <v>17.0</v>
      </c>
      <c r="K188" s="297"/>
      <c r="L188" s="297"/>
      <c r="M188" s="295"/>
      <c r="N188" s="297"/>
      <c r="O188" s="298">
        <v>1.0</v>
      </c>
      <c r="P188" s="298">
        <v>1.0</v>
      </c>
      <c r="Q188" s="297"/>
      <c r="R188" s="298" t="s">
        <v>812</v>
      </c>
      <c r="S188" s="137"/>
      <c r="T188" s="295"/>
      <c r="U188" s="137"/>
      <c r="V188" s="137"/>
      <c r="W188" s="137"/>
      <c r="X188" s="137"/>
      <c r="Y188" s="137"/>
      <c r="Z188" s="137"/>
    </row>
    <row r="189">
      <c r="A189" s="301" t="s">
        <v>1068</v>
      </c>
      <c r="B189" s="288" t="s">
        <v>1410</v>
      </c>
      <c r="C189" s="280" t="s">
        <v>997</v>
      </c>
      <c r="D189" s="289">
        <f>ROUND((F189*'Pawn Weights'!$B$22)+(G189*'Pawn Weights'!$B$23)+(H189*'Pawn Weights'!$B$24)+(I189*'Pawn Weights'!$B$25)+(J189*'Pawn Weights'!$B$26)+(K189*'Pawn Weights'!$B$27)+(L189*'Pawn Weights'!$B$28)+(M189*'Pawn Weights'!$B$29)+(N189*'Pawn Weights'!$B$30)+(O189*'Pawn Weights'!$B$31)+(P189*'Pawn Weights'!$B$32)+(Q189*'Pawn Weights'!$B$33), 2)</f>
        <v>96.08</v>
      </c>
      <c r="E189" s="280">
        <v>63.0</v>
      </c>
      <c r="F189" s="280">
        <v>47.0</v>
      </c>
      <c r="G189" s="280"/>
      <c r="H189" s="280"/>
      <c r="I189" s="280">
        <v>43.0</v>
      </c>
      <c r="J189" s="280">
        <v>14.0</v>
      </c>
      <c r="K189" s="280"/>
      <c r="L189" s="280"/>
      <c r="M189" s="280"/>
      <c r="N189" s="280"/>
      <c r="O189" s="280"/>
      <c r="P189" s="280"/>
      <c r="Q189" s="280"/>
      <c r="R189" s="290"/>
      <c r="S189" s="281"/>
      <c r="T189" s="294" t="s">
        <v>861</v>
      </c>
      <c r="U189" s="281"/>
      <c r="V189" s="281"/>
      <c r="W189" s="281"/>
      <c r="X189" s="281"/>
    </row>
    <row r="190">
      <c r="A190" s="295"/>
      <c r="B190" s="296" t="s">
        <v>878</v>
      </c>
      <c r="C190" s="297" t="s">
        <v>879</v>
      </c>
      <c r="D190" s="289">
        <f>ROUND((F190*'Pawn Weights'!$B$22)+(G190*'Pawn Weights'!$B$23)+(H190*'Pawn Weights'!$B$24)+(I190*'Pawn Weights'!$B$25)+(J190*'Pawn Weights'!$B$26)+(K190*'Pawn Weights'!$B$27)+(L190*'Pawn Weights'!$B$28)+(M190*'Pawn Weights'!$B$29)+(N190*'Pawn Weights'!$B$30)+(O190*'Pawn Weights'!$B$31)+(P190*'Pawn Weights'!$B$32)+(Q190*'Pawn Weights'!$B$33), 2)</f>
        <v>95.84</v>
      </c>
      <c r="E190" s="298">
        <v>43.0</v>
      </c>
      <c r="F190" s="298">
        <v>46.0</v>
      </c>
      <c r="G190" s="297"/>
      <c r="H190" s="297"/>
      <c r="I190" s="297"/>
      <c r="J190" s="298">
        <v>38.0</v>
      </c>
      <c r="K190" s="297"/>
      <c r="L190" s="297"/>
      <c r="M190" s="295"/>
      <c r="N190" s="297"/>
      <c r="O190" s="298">
        <v>1.0</v>
      </c>
      <c r="P190" s="298">
        <v>1.0</v>
      </c>
      <c r="Q190" s="298">
        <v>1.0</v>
      </c>
      <c r="R190" s="298" t="s">
        <v>643</v>
      </c>
      <c r="S190" s="137"/>
      <c r="T190" s="295"/>
      <c r="U190" s="137"/>
      <c r="V190" s="137"/>
      <c r="W190" s="137"/>
      <c r="X190" s="137"/>
      <c r="Y190" s="137"/>
      <c r="Z190" s="137"/>
    </row>
    <row r="191">
      <c r="A191" s="301"/>
      <c r="B191" s="288" t="s">
        <v>880</v>
      </c>
      <c r="C191" s="280" t="s">
        <v>881</v>
      </c>
      <c r="D191" s="289">
        <f>ROUND((F191*'Pawn Weights'!$B$22)+(G191*'Pawn Weights'!$B$23)+(H191*'Pawn Weights'!$B$24)+(I191*'Pawn Weights'!$B$25)+(J191*'Pawn Weights'!$B$26)+(K191*'Pawn Weights'!$B$27)+(L191*'Pawn Weights'!$B$28)+(M191*'Pawn Weights'!$B$29)+(N191*'Pawn Weights'!$B$30)+(O191*'Pawn Weights'!$B$31)+(P191*'Pawn Weights'!$B$32)+(Q191*'Pawn Weights'!$B$33), 2)</f>
        <v>93.79</v>
      </c>
      <c r="E191" s="280">
        <v>28.0</v>
      </c>
      <c r="F191" s="280"/>
      <c r="G191" s="280">
        <v>32.0</v>
      </c>
      <c r="H191" s="280">
        <v>64.0</v>
      </c>
      <c r="I191" s="280"/>
      <c r="J191" s="280">
        <v>28.0</v>
      </c>
      <c r="K191" s="280"/>
      <c r="L191" s="280"/>
      <c r="M191" s="280"/>
      <c r="N191" s="280"/>
      <c r="O191" s="280">
        <v>2.0</v>
      </c>
      <c r="P191" s="280"/>
      <c r="Q191" s="280">
        <v>1.0</v>
      </c>
      <c r="R191" s="290" t="s">
        <v>882</v>
      </c>
      <c r="S191" s="281"/>
      <c r="T191" s="294"/>
      <c r="U191" s="281"/>
      <c r="V191" s="281"/>
      <c r="W191" s="281"/>
      <c r="X191" s="281"/>
    </row>
    <row r="192">
      <c r="A192" s="301" t="s">
        <v>627</v>
      </c>
      <c r="B192" s="311" t="s">
        <v>1235</v>
      </c>
      <c r="C192" s="280" t="s">
        <v>904</v>
      </c>
      <c r="D192" s="289">
        <f>ROUND((F192*'Pawn Weights'!$B$22)+(G192*'Pawn Weights'!$B$23)+(H192*'Pawn Weights'!$B$24)+(I192*'Pawn Weights'!$B$25)+(J192*'Pawn Weights'!$B$26)+(K192*'Pawn Weights'!$B$27)+(L192*'Pawn Weights'!$B$28)+(M192*'Pawn Weights'!$B$29)+(N192*'Pawn Weights'!$B$30)+(O192*'Pawn Weights'!$B$31)+(P192*'Pawn Weights'!$B$32)+(Q192*'Pawn Weights'!$B$33)-16+15.36+3.636, 2)</f>
        <v>90.63</v>
      </c>
      <c r="E192" s="280"/>
      <c r="F192" s="280"/>
      <c r="G192" s="280"/>
      <c r="H192" s="280">
        <v>52.0</v>
      </c>
      <c r="I192" s="280">
        <v>25.0</v>
      </c>
      <c r="J192" s="280">
        <v>25.0</v>
      </c>
      <c r="K192" s="280"/>
      <c r="L192" s="280"/>
      <c r="M192" s="280"/>
      <c r="N192" s="280"/>
      <c r="O192" s="280">
        <v>1.0</v>
      </c>
      <c r="P192" s="280">
        <v>2.0</v>
      </c>
      <c r="Q192" s="280"/>
      <c r="R192" s="290" t="s">
        <v>745</v>
      </c>
      <c r="S192" s="281"/>
      <c r="T192" s="294"/>
      <c r="U192" s="281"/>
      <c r="V192" s="281"/>
      <c r="W192" s="281"/>
      <c r="X192" s="281"/>
    </row>
    <row r="193">
      <c r="A193" s="309"/>
      <c r="B193" s="288" t="s">
        <v>1238</v>
      </c>
      <c r="C193" s="280" t="s">
        <v>1239</v>
      </c>
      <c r="D193" s="289">
        <f>ROUND((F193*'Pawn Weights'!$B$22)+(G193*'Pawn Weights'!$B$23)+(H193*'Pawn Weights'!$B$24)+(I193*'Pawn Weights'!$B$25)+(J193*'Pawn Weights'!$B$26)+(K193*'Pawn Weights'!$B$27)+(L193*'Pawn Weights'!$B$28)+(M193*'Pawn Weights'!$B$29)+(N193*'Pawn Weights'!$B$30)+(O193*'Pawn Weights'!$B$31)+(P193*'Pawn Weights'!$B$32)+(Q193*'Pawn Weights'!$B$33), 2)</f>
        <v>89.49</v>
      </c>
      <c r="E193" s="280">
        <v>30.0</v>
      </c>
      <c r="F193" s="280"/>
      <c r="G193" s="280"/>
      <c r="H193" s="280">
        <v>64.0</v>
      </c>
      <c r="I193" s="280">
        <v>27.0</v>
      </c>
      <c r="J193" s="280">
        <v>17.0</v>
      </c>
      <c r="K193" s="280"/>
      <c r="L193" s="280"/>
      <c r="M193" s="281"/>
      <c r="N193" s="280"/>
      <c r="O193" s="280">
        <v>2.0</v>
      </c>
      <c r="P193" s="280"/>
      <c r="Q193" s="280">
        <v>1.0</v>
      </c>
      <c r="R193" s="290" t="s">
        <v>626</v>
      </c>
      <c r="S193" s="281"/>
      <c r="T193" s="291"/>
      <c r="U193" s="281"/>
      <c r="V193" s="281"/>
      <c r="W193" s="281"/>
    </row>
    <row r="194">
      <c r="A194" s="137"/>
      <c r="B194" s="296" t="s">
        <v>1349</v>
      </c>
      <c r="C194" s="297" t="s">
        <v>1195</v>
      </c>
      <c r="D194" s="289">
        <f>ROUND((F194*'Pawn Weights'!$B$22)+(G194*'Pawn Weights'!$B$23)+(H194*'Pawn Weights'!$B$24)+(I194*'Pawn Weights'!$B$25)+(J194*'Pawn Weights'!$B$26)+(K194*'Pawn Weights'!$B$27)+(L194*'Pawn Weights'!$B$28)+(M194*'Pawn Weights'!$B$29)+(N194*'Pawn Weights'!$B$30)+(O194*'Pawn Weights'!$B$31)+(P194*'Pawn Weights'!$B$32)+(Q194*'Pawn Weights'!$B$33), 2)</f>
        <v>89.05</v>
      </c>
      <c r="E194" s="298">
        <v>33.0</v>
      </c>
      <c r="F194" s="297"/>
      <c r="G194" s="298">
        <v>37.0</v>
      </c>
      <c r="H194" s="298">
        <v>88.0</v>
      </c>
      <c r="I194" s="297"/>
      <c r="J194" s="297"/>
      <c r="K194" s="297"/>
      <c r="L194" s="297"/>
      <c r="M194" s="361"/>
      <c r="N194" s="297"/>
      <c r="O194" s="298">
        <v>1.0</v>
      </c>
      <c r="P194" s="298">
        <v>1.0</v>
      </c>
      <c r="Q194" s="298">
        <v>1.0</v>
      </c>
      <c r="R194" s="298" t="s">
        <v>622</v>
      </c>
      <c r="S194" s="359"/>
      <c r="T194" s="295"/>
      <c r="U194" s="137"/>
      <c r="V194" s="137"/>
      <c r="W194" s="137"/>
      <c r="X194" s="137"/>
      <c r="Y194" s="137"/>
      <c r="Z194" s="137"/>
    </row>
    <row r="195">
      <c r="A195" s="137"/>
      <c r="B195" s="296" t="s">
        <v>1234</v>
      </c>
      <c r="C195" s="297" t="s">
        <v>879</v>
      </c>
      <c r="D195" s="289">
        <f>ROUND((F195*'Pawn Weights'!$B$22)+(G195*'Pawn Weights'!$B$23)+(H195*'Pawn Weights'!$B$24)+(I195*'Pawn Weights'!$B$25)+(J195*'Pawn Weights'!$B$26)+(K195*'Pawn Weights'!$B$27)+(L195*'Pawn Weights'!$B$28)+(M195*'Pawn Weights'!$B$29)+(N195*'Pawn Weights'!$B$30)+(O195*'Pawn Weights'!$B$31)+(P195*'Pawn Weights'!$B$32)+(Q195*'Pawn Weights'!$B$33), 2)</f>
        <v>88.48</v>
      </c>
      <c r="E195" s="298">
        <v>46.0</v>
      </c>
      <c r="F195" s="297"/>
      <c r="G195" s="298">
        <v>45.0</v>
      </c>
      <c r="H195" s="298">
        <v>92.0</v>
      </c>
      <c r="I195" s="297"/>
      <c r="J195" s="297"/>
      <c r="K195" s="298">
        <v>30.0</v>
      </c>
      <c r="L195" s="297"/>
      <c r="M195" s="137"/>
      <c r="N195" s="297"/>
      <c r="O195" s="297"/>
      <c r="P195" s="297"/>
      <c r="Q195" s="297"/>
      <c r="R195" s="295"/>
      <c r="S195" s="137"/>
      <c r="T195" s="295"/>
      <c r="U195" s="137"/>
      <c r="V195" s="137"/>
      <c r="W195" s="137"/>
      <c r="X195" s="137"/>
      <c r="Y195" s="137"/>
      <c r="Z195" s="137"/>
    </row>
    <row r="196">
      <c r="A196" s="137" t="s">
        <v>654</v>
      </c>
      <c r="B196" s="296" t="s">
        <v>1613</v>
      </c>
      <c r="C196" s="297" t="s">
        <v>823</v>
      </c>
      <c r="D196" s="289">
        <f>ROUND((F196*'Pawn Weights'!$B$22)+(G196*'Pawn Weights'!$B$23)+(H196*'Pawn Weights'!$B$24)+(I196*'Pawn Weights'!$B$25)+(J196*'Pawn Weights'!$B$26)+(K196*'Pawn Weights'!$B$27)+(L196*'Pawn Weights'!$B$28)+(M196*'Pawn Weights'!$B$29)+(N196*'Pawn Weights'!$B$30)+(O196*'Pawn Weights'!$B$31)+(P196*'Pawn Weights'!$B$32)+(Q196*'Pawn Weights'!$B$33), 2)</f>
        <v>85.04</v>
      </c>
      <c r="E196" s="298">
        <v>54.0</v>
      </c>
      <c r="F196" s="298">
        <v>51.0</v>
      </c>
      <c r="G196" s="297"/>
      <c r="H196" s="297"/>
      <c r="I196" s="298">
        <v>37.0</v>
      </c>
      <c r="J196" s="297"/>
      <c r="K196" s="297"/>
      <c r="L196" s="297"/>
      <c r="M196" s="361"/>
      <c r="N196" s="297"/>
      <c r="O196" s="297"/>
      <c r="P196" s="297"/>
      <c r="Q196" s="297"/>
      <c r="R196" s="298"/>
      <c r="S196" s="359"/>
      <c r="T196" s="295"/>
      <c r="U196" s="137"/>
      <c r="V196" s="137"/>
      <c r="W196" s="137"/>
      <c r="X196" s="137"/>
      <c r="Y196" s="137"/>
      <c r="Z196" s="137"/>
    </row>
    <row r="197">
      <c r="A197" s="137"/>
      <c r="B197" s="383" t="s">
        <v>1479</v>
      </c>
      <c r="C197" s="297" t="s">
        <v>1480</v>
      </c>
      <c r="D197" s="289">
        <f>ROUND((F197*'Pawn Weights'!$B$22)+(G197*'Pawn Weights'!$B$23)+(H197*'Pawn Weights'!$B$24)+(I197*'Pawn Weights'!$B$25)+(J197*'Pawn Weights'!$B$26)+(K197*'Pawn Weights'!$B$27)+(L197*'Pawn Weights'!$B$28)+(M197*'Pawn Weights'!$B$29)+(N197*'Pawn Weights'!$B$30)+(O197*'Pawn Weights'!$B$31)+(P197*'Pawn Weights'!$B$32)+(Q197*'Pawn Weights'!$B$33), 2)</f>
        <v>83.65</v>
      </c>
      <c r="E197" s="298">
        <v>24.0</v>
      </c>
      <c r="F197" s="298">
        <v>30.0</v>
      </c>
      <c r="G197" s="298">
        <v>30.0</v>
      </c>
      <c r="H197" s="297"/>
      <c r="I197" s="297"/>
      <c r="J197" s="298">
        <v>17.0</v>
      </c>
      <c r="K197" s="297"/>
      <c r="L197" s="298">
        <v>18.0</v>
      </c>
      <c r="M197" s="361"/>
      <c r="N197" s="297"/>
      <c r="O197" s="297"/>
      <c r="P197" s="297"/>
      <c r="Q197" s="297"/>
      <c r="R197" s="298"/>
      <c r="S197" s="359"/>
      <c r="T197" s="295"/>
      <c r="U197" s="137" t="s">
        <v>1521</v>
      </c>
      <c r="V197" s="137"/>
      <c r="W197" s="137"/>
      <c r="X197" s="137"/>
      <c r="Y197" s="137"/>
      <c r="Z197" s="137"/>
    </row>
    <row r="198">
      <c r="A198" s="137" t="s">
        <v>1499</v>
      </c>
      <c r="B198" s="296" t="s">
        <v>1616</v>
      </c>
      <c r="C198" s="297" t="s">
        <v>1159</v>
      </c>
      <c r="D198" s="289">
        <f>ROUND((F198*'Pawn Weights'!$B$22)+(G198*'Pawn Weights'!$B$23)+(H198*'Pawn Weights'!$B$24)+(I198*'Pawn Weights'!$B$25)+(J198*'Pawn Weights'!$B$26)+(K198*'Pawn Weights'!$B$27)+(L198*'Pawn Weights'!$B$28)+(M198*'Pawn Weights'!$B$29)+(N198*'Pawn Weights'!$B$30)+(O198*'Pawn Weights'!$B$31)+(P198*'Pawn Weights'!$B$32)+(Q198*'Pawn Weights'!$B$33), 2)</f>
        <v>81.28</v>
      </c>
      <c r="E198" s="298">
        <v>55.0</v>
      </c>
      <c r="F198" s="298">
        <v>40.0</v>
      </c>
      <c r="G198" s="297"/>
      <c r="H198" s="297"/>
      <c r="I198" s="298">
        <v>36.0</v>
      </c>
      <c r="J198" s="298">
        <v>12.0</v>
      </c>
      <c r="K198" s="297"/>
      <c r="L198" s="297"/>
      <c r="M198" s="137"/>
      <c r="N198" s="297"/>
      <c r="O198" s="297"/>
      <c r="P198" s="297"/>
      <c r="Q198" s="297"/>
      <c r="R198" s="298"/>
      <c r="S198" s="359"/>
      <c r="T198" s="295"/>
      <c r="U198" s="137" t="s">
        <v>1325</v>
      </c>
      <c r="V198" s="137"/>
      <c r="W198" s="137"/>
      <c r="X198" s="137"/>
      <c r="Y198" s="137"/>
      <c r="Z198" s="137"/>
    </row>
    <row r="199">
      <c r="A199" s="137"/>
      <c r="B199" s="296" t="s">
        <v>1614</v>
      </c>
      <c r="C199" s="297" t="s">
        <v>1615</v>
      </c>
      <c r="D199" s="289">
        <f>ROUND((F199*'Pawn Weights'!$B$22)+(G199*'Pawn Weights'!$B$23)+(H199*'Pawn Weights'!$B$24)+(I199*'Pawn Weights'!$B$25)+(J199*'Pawn Weights'!$B$26)+(K199*'Pawn Weights'!$B$27)+(L199*'Pawn Weights'!$B$28)+(M199*'Pawn Weights'!$B$29)+(N199*'Pawn Weights'!$B$30)+(O199*'Pawn Weights'!$B$31)+(P199*'Pawn Weights'!$B$32)+(Q199*'Pawn Weights'!$B$33), 2)</f>
        <v>81.16</v>
      </c>
      <c r="E199" s="298">
        <v>36.0</v>
      </c>
      <c r="F199" s="298">
        <v>36.0</v>
      </c>
      <c r="G199" s="297"/>
      <c r="H199" s="297"/>
      <c r="I199" s="298">
        <v>23.0</v>
      </c>
      <c r="J199" s="297"/>
      <c r="K199" s="297"/>
      <c r="L199" s="297"/>
      <c r="M199" s="361"/>
      <c r="N199" s="297"/>
      <c r="O199" s="298">
        <v>2.0</v>
      </c>
      <c r="P199" s="297"/>
      <c r="Q199" s="298">
        <v>1.0</v>
      </c>
      <c r="R199" s="298" t="s">
        <v>626</v>
      </c>
      <c r="S199" s="359"/>
      <c r="T199" s="295"/>
      <c r="U199" s="137"/>
      <c r="V199" s="137"/>
      <c r="W199" s="137"/>
      <c r="X199" s="137"/>
      <c r="Y199" s="137"/>
      <c r="Z199" s="137"/>
    </row>
    <row r="200">
      <c r="A200" s="137"/>
      <c r="B200" s="383" t="s">
        <v>1617</v>
      </c>
      <c r="C200" s="297" t="s">
        <v>1618</v>
      </c>
      <c r="D200" s="289">
        <f>ROUND((F200*'Pawn Weights'!$B$22)+(G200*'Pawn Weights'!$B$23)+(H200*'Pawn Weights'!$B$24)+(I200*'Pawn Weights'!$B$25)+(J200*'Pawn Weights'!$B$26)+(K200*'Pawn Weights'!$B$27)+(L200*'Pawn Weights'!$B$28)+(M200*'Pawn Weights'!$B$29)+(N200*'Pawn Weights'!$B$30)+(O200*'Pawn Weights'!$B$31)+(P200*'Pawn Weights'!$B$32)+(Q200*'Pawn Weights'!$B$33), 2)</f>
        <v>78.55</v>
      </c>
      <c r="E200" s="298">
        <v>27.0</v>
      </c>
      <c r="F200" s="298">
        <v>35.0</v>
      </c>
      <c r="G200" s="298">
        <v>25.0</v>
      </c>
      <c r="H200" s="297"/>
      <c r="I200" s="297"/>
      <c r="J200" s="297"/>
      <c r="K200" s="297"/>
      <c r="L200" s="298">
        <v>22.0</v>
      </c>
      <c r="M200" s="361"/>
      <c r="N200" s="297"/>
      <c r="O200" s="297"/>
      <c r="P200" s="297"/>
      <c r="Q200" s="297"/>
      <c r="R200" s="298"/>
      <c r="S200" s="359"/>
      <c r="T200" s="295"/>
      <c r="U200" s="137" t="s">
        <v>1619</v>
      </c>
      <c r="V200" s="137"/>
      <c r="W200" s="137"/>
      <c r="X200" s="137"/>
      <c r="Y200" s="137"/>
      <c r="Z200" s="137"/>
    </row>
    <row r="201">
      <c r="A201" s="137"/>
      <c r="B201" s="383" t="s">
        <v>1620</v>
      </c>
      <c r="C201" s="297" t="s">
        <v>1520</v>
      </c>
      <c r="D201" s="289">
        <f>ROUND((F201*'Pawn Weights'!$B$22)+(G201*'Pawn Weights'!$B$23)+(H201*'Pawn Weights'!$B$24)+(I201*'Pawn Weights'!$B$25)+(J201*'Pawn Weights'!$B$26)+(K201*'Pawn Weights'!$B$27)+(L201*'Pawn Weights'!$B$28)+(M201*'Pawn Weights'!$B$29)+(N201*'Pawn Weights'!$B$30)+(O201*'Pawn Weights'!$B$31)+(P201*'Pawn Weights'!$B$32)+(Q201*'Pawn Weights'!$B$33), 2)</f>
        <v>76.98</v>
      </c>
      <c r="E201" s="297"/>
      <c r="F201" s="298">
        <v>39.0</v>
      </c>
      <c r="G201" s="298">
        <v>32.0</v>
      </c>
      <c r="H201" s="297"/>
      <c r="I201" s="297"/>
      <c r="J201" s="298">
        <v>24.0</v>
      </c>
      <c r="K201" s="297"/>
      <c r="L201" s="297"/>
      <c r="M201" s="361"/>
      <c r="N201" s="297"/>
      <c r="O201" s="297"/>
      <c r="P201" s="297"/>
      <c r="Q201" s="297"/>
      <c r="R201" s="298"/>
      <c r="S201" s="359"/>
      <c r="T201" s="295"/>
      <c r="U201" s="137" t="s">
        <v>1621</v>
      </c>
      <c r="V201" s="137"/>
      <c r="W201" s="137"/>
      <c r="X201" s="137"/>
      <c r="Y201" s="137"/>
      <c r="Z201" s="137"/>
    </row>
    <row r="202">
      <c r="A202" s="137" t="s">
        <v>1439</v>
      </c>
      <c r="B202" s="383" t="s">
        <v>1624</v>
      </c>
      <c r="C202" s="318" t="s">
        <v>1699</v>
      </c>
      <c r="D202" s="289">
        <f>ROUND((F202*'Pawn Weights'!$B$22)+(G202*'Pawn Weights'!$B$23)+(H202*'Pawn Weights'!$B$24)+(I202*'Pawn Weights'!$B$25)+(J202*'Pawn Weights'!$B$26)+(K202*'Pawn Weights'!$B$27)+(L202*'Pawn Weights'!$B$28)+(M202*'Pawn Weights'!$B$29)+(N202*'Pawn Weights'!$B$30)+(O202*'Pawn Weights'!$B$31)+(P202*'Pawn Weights'!$B$32)+(Q202*'Pawn Weights'!$B$33), 2)</f>
        <v>72.4</v>
      </c>
      <c r="E202" s="298">
        <v>33.0</v>
      </c>
      <c r="F202" s="298">
        <v>36.0</v>
      </c>
      <c r="G202" s="297"/>
      <c r="H202" s="297"/>
      <c r="I202" s="298">
        <v>27.0</v>
      </c>
      <c r="J202" s="298">
        <v>17.0</v>
      </c>
      <c r="K202" s="297"/>
      <c r="L202" s="297"/>
      <c r="M202" s="361"/>
      <c r="N202" s="297"/>
      <c r="O202" s="297"/>
      <c r="P202" s="297"/>
      <c r="Q202" s="297"/>
      <c r="R202" s="298"/>
      <c r="S202" s="359"/>
      <c r="T202" s="295"/>
      <c r="U202" s="137" t="s">
        <v>1580</v>
      </c>
      <c r="V202" s="137"/>
      <c r="W202" s="137"/>
      <c r="X202" s="137"/>
      <c r="Y202" s="137"/>
      <c r="Z202" s="137"/>
    </row>
    <row r="203">
      <c r="A203" s="137"/>
      <c r="B203" s="383" t="s">
        <v>1622</v>
      </c>
      <c r="C203" s="297" t="s">
        <v>1623</v>
      </c>
      <c r="D203" s="289">
        <f>ROUND((F203*'Pawn Weights'!$B$22)+(G203*'Pawn Weights'!$B$23)+(H203*'Pawn Weights'!$B$24)+(I203*'Pawn Weights'!$B$25)+(J203*'Pawn Weights'!$B$26)+(K203*'Pawn Weights'!$B$27)+(L203*'Pawn Weights'!$B$28)+(M203*'Pawn Weights'!$B$29)+(N203*'Pawn Weights'!$B$30)+(O203*'Pawn Weights'!$B$31)+(P203*'Pawn Weights'!$B$32)+(Q203*'Pawn Weights'!$B$33), 2)</f>
        <v>72.12</v>
      </c>
      <c r="E203" s="298">
        <v>27.0</v>
      </c>
      <c r="F203" s="298">
        <v>38.0</v>
      </c>
      <c r="G203" s="297"/>
      <c r="H203" s="297"/>
      <c r="I203" s="298">
        <v>11.0</v>
      </c>
      <c r="J203" s="297"/>
      <c r="K203" s="297"/>
      <c r="L203" s="297"/>
      <c r="M203" s="361"/>
      <c r="N203" s="297"/>
      <c r="O203" s="298">
        <v>1.0</v>
      </c>
      <c r="P203" s="298">
        <v>1.0</v>
      </c>
      <c r="Q203" s="298">
        <v>1.0</v>
      </c>
      <c r="R203" s="298" t="s">
        <v>633</v>
      </c>
      <c r="S203" s="359"/>
      <c r="T203" s="295"/>
      <c r="U203" s="137"/>
      <c r="V203" s="137"/>
      <c r="W203" s="137"/>
      <c r="X203" s="137"/>
      <c r="Y203" s="137"/>
      <c r="Z203" s="137"/>
    </row>
    <row r="204">
      <c r="A204" s="137" t="s">
        <v>1439</v>
      </c>
      <c r="B204" s="383" t="s">
        <v>1626</v>
      </c>
      <c r="C204" s="318" t="s">
        <v>1584</v>
      </c>
      <c r="D204" s="289">
        <f>ROUND((F204*'Pawn Weights'!$B$22)+(G204*'Pawn Weights'!$B$23)+(H204*'Pawn Weights'!$B$24)+(I204*'Pawn Weights'!$B$25)+(J204*'Pawn Weights'!$B$26)+(K204*'Pawn Weights'!$B$27)+(L204*'Pawn Weights'!$B$28)+(M204*'Pawn Weights'!$B$29)+(N204*'Pawn Weights'!$B$30)+(O204*'Pawn Weights'!$B$31)+(P204*'Pawn Weights'!$B$32)+(Q204*'Pawn Weights'!$B$33), 2)</f>
        <v>70.63</v>
      </c>
      <c r="E204" s="298">
        <v>27.0</v>
      </c>
      <c r="F204" s="297"/>
      <c r="G204" s="298">
        <v>31.0</v>
      </c>
      <c r="H204" s="298">
        <v>28.0</v>
      </c>
      <c r="I204" s="297"/>
      <c r="J204" s="298">
        <v>19.0</v>
      </c>
      <c r="K204" s="297"/>
      <c r="L204" s="297"/>
      <c r="M204" s="361"/>
      <c r="N204" s="297"/>
      <c r="O204" s="298">
        <v>2.0</v>
      </c>
      <c r="P204" s="297"/>
      <c r="Q204" s="298">
        <v>1.0</v>
      </c>
      <c r="R204" s="316" t="s">
        <v>1179</v>
      </c>
      <c r="S204" s="359"/>
      <c r="T204" s="295"/>
      <c r="U204" s="137" t="s">
        <v>1580</v>
      </c>
      <c r="V204" s="137"/>
      <c r="W204" s="137"/>
      <c r="X204" s="137"/>
      <c r="Y204" s="137"/>
      <c r="Z204" s="137"/>
    </row>
    <row r="205">
      <c r="A205" s="272" t="s">
        <v>883</v>
      </c>
      <c r="B205" s="281"/>
      <c r="C205" s="281"/>
      <c r="D205" s="360"/>
      <c r="E205" s="281"/>
      <c r="F205" s="281"/>
      <c r="G205" s="281"/>
      <c r="H205" s="281"/>
      <c r="I205" s="281"/>
      <c r="J205" s="281"/>
      <c r="K205" s="281"/>
      <c r="L205" s="281"/>
      <c r="M205" s="281"/>
      <c r="N205" s="281"/>
      <c r="O205" s="281"/>
      <c r="P205" s="281"/>
      <c r="Q205" s="281"/>
      <c r="R205" s="282"/>
      <c r="S205" s="281"/>
      <c r="T205" s="285"/>
      <c r="U205" s="281"/>
      <c r="V205" s="281"/>
      <c r="W205" s="281"/>
    </row>
    <row r="206">
      <c r="A206" s="137"/>
      <c r="B206" s="341" t="s">
        <v>888</v>
      </c>
      <c r="C206" s="361" t="s">
        <v>889</v>
      </c>
      <c r="D206" s="289">
        <f>ROUND((F206*'Pawn Weights'!$B$22)+(G206*'Pawn Weights'!$B$23)+(H206*'Pawn Weights'!$B$24)+(I206*'Pawn Weights'!$B$25)+(J206*'Pawn Weights'!$B$26)+(K206*'Pawn Weights'!$B$27)+(L206*'Pawn Weights'!$B$28)+(M206*'Pawn Weights'!$B$29)+(N206*'Pawn Weights'!$B$30)+(O206*'Pawn Weights'!$B$31)+(P206*'Pawn Weights'!$B$32)+(Q206*'Pawn Weights'!$B$33), 2)</f>
        <v>77.86</v>
      </c>
      <c r="E206" s="359">
        <v>21.0</v>
      </c>
      <c r="F206" s="361"/>
      <c r="G206" s="359">
        <v>29.0</v>
      </c>
      <c r="H206" s="359">
        <v>60.0</v>
      </c>
      <c r="I206" s="361"/>
      <c r="J206" s="359">
        <v>22.0</v>
      </c>
      <c r="K206" s="361"/>
      <c r="L206" s="361"/>
      <c r="M206" s="137"/>
      <c r="N206" s="361"/>
      <c r="O206" s="359">
        <v>1.0</v>
      </c>
      <c r="P206" s="361"/>
      <c r="Q206" s="359">
        <v>1.0</v>
      </c>
      <c r="R206" s="359" t="s">
        <v>832</v>
      </c>
      <c r="S206" s="137"/>
      <c r="T206" s="137"/>
      <c r="U206" s="137"/>
      <c r="V206" s="137"/>
      <c r="W206" s="137"/>
      <c r="X206" s="137"/>
      <c r="Y206" s="137"/>
      <c r="Z206" s="137"/>
    </row>
    <row r="207">
      <c r="A207" s="295" t="s">
        <v>671</v>
      </c>
      <c r="B207" s="296" t="s">
        <v>891</v>
      </c>
      <c r="C207" s="297" t="s">
        <v>892</v>
      </c>
      <c r="D207" s="289">
        <f>ROUND((F207*'Pawn Weights'!$B$22)+(G207*'Pawn Weights'!$B$23)+(H207*'Pawn Weights'!$B$24)+(I207*'Pawn Weights'!$B$25)+(J207*'Pawn Weights'!$B$26)+(K207*'Pawn Weights'!$B$27)+(L207*'Pawn Weights'!$B$28)+(M207*'Pawn Weights'!$B$29)+(N207*'Pawn Weights'!$B$30)+(O207*'Pawn Weights'!$B$31)+(P207*'Pawn Weights'!$B$32)+(Q207*'Pawn Weights'!$B$33), 2)</f>
        <v>76.8</v>
      </c>
      <c r="E207" s="298">
        <v>56.0</v>
      </c>
      <c r="F207" s="298">
        <v>40.0</v>
      </c>
      <c r="G207" s="297"/>
      <c r="H207" s="297"/>
      <c r="I207" s="298">
        <v>40.0</v>
      </c>
      <c r="J207" s="297"/>
      <c r="K207" s="297"/>
      <c r="L207" s="297"/>
      <c r="M207" s="137"/>
      <c r="N207" s="297"/>
      <c r="O207" s="297"/>
      <c r="P207" s="297"/>
      <c r="Q207" s="297"/>
      <c r="R207" s="295"/>
      <c r="S207" s="137"/>
      <c r="T207" s="297" t="s">
        <v>850</v>
      </c>
      <c r="U207" s="137"/>
      <c r="V207" s="137"/>
      <c r="W207" s="137"/>
      <c r="X207" s="137"/>
      <c r="Y207" s="137"/>
      <c r="Z207" s="137"/>
    </row>
    <row r="208">
      <c r="A208" s="301" t="s">
        <v>627</v>
      </c>
      <c r="B208" s="288" t="s">
        <v>897</v>
      </c>
      <c r="C208" s="280" t="s">
        <v>898</v>
      </c>
      <c r="D208" s="289">
        <f>ROUND((F208*'Pawn Weights'!$B$22)+(G208*'Pawn Weights'!$B$23)+(H208*'Pawn Weights'!$B$24)+(I208*'Pawn Weights'!$B$25)+(J208*'Pawn Weights'!$B$26)+(K208*'Pawn Weights'!$B$27)+(L208*'Pawn Weights'!$B$28)+(M208*'Pawn Weights'!$B$29)+(N208*'Pawn Weights'!$B$30)+(O208*'Pawn Weights'!$B$31)+(P208*'Pawn Weights'!$B$32)+(Q208*'Pawn Weights'!$B$33), 2)</f>
        <v>75.08</v>
      </c>
      <c r="E208" s="280">
        <v>34.0</v>
      </c>
      <c r="F208" s="280"/>
      <c r="G208" s="280"/>
      <c r="H208" s="280">
        <v>66.0</v>
      </c>
      <c r="I208" s="280">
        <v>32.0</v>
      </c>
      <c r="J208" s="280">
        <v>23.0</v>
      </c>
      <c r="K208" s="280"/>
      <c r="L208" s="280"/>
      <c r="M208" s="281"/>
      <c r="N208" s="280"/>
      <c r="O208" s="280"/>
      <c r="P208" s="280"/>
      <c r="Q208" s="280"/>
      <c r="R208" s="290"/>
      <c r="S208" s="281"/>
      <c r="T208" s="291"/>
      <c r="U208" s="281"/>
      <c r="V208" s="281"/>
      <c r="W208" s="281"/>
    </row>
    <row r="209">
      <c r="A209" s="301"/>
      <c r="B209" s="288" t="s">
        <v>899</v>
      </c>
      <c r="C209" s="280" t="s">
        <v>900</v>
      </c>
      <c r="D209" s="289">
        <f>ROUND((F209*'Pawn Weights'!$B$22)+(G209*'Pawn Weights'!$B$23)+(H209*'Pawn Weights'!$B$24)+(I209*'Pawn Weights'!$B$25)+(J209*'Pawn Weights'!$B$26)+(K209*'Pawn Weights'!$B$27)+(L209*'Pawn Weights'!$B$28)+(M209*'Pawn Weights'!$B$29)+(N209*'Pawn Weights'!$B$30)+(O209*'Pawn Weights'!$B$31)+(P209*'Pawn Weights'!$B$32)+(Q209*'Pawn Weights'!$B$33), 2)</f>
        <v>72.52</v>
      </c>
      <c r="E209" s="280">
        <v>29.0</v>
      </c>
      <c r="F209" s="280">
        <v>44.0</v>
      </c>
      <c r="G209" s="280"/>
      <c r="H209" s="280"/>
      <c r="I209" s="280">
        <v>31.0</v>
      </c>
      <c r="J209" s="280"/>
      <c r="K209" s="280"/>
      <c r="L209" s="280"/>
      <c r="M209" s="281"/>
      <c r="N209" s="280"/>
      <c r="O209" s="280"/>
      <c r="P209" s="280"/>
      <c r="Q209" s="280"/>
      <c r="R209" s="290"/>
      <c r="S209" s="281"/>
      <c r="T209" s="291"/>
      <c r="U209" s="281"/>
      <c r="V209" s="281"/>
      <c r="W209" s="281"/>
    </row>
    <row r="210">
      <c r="A210" s="137"/>
      <c r="B210" s="341" t="s">
        <v>890</v>
      </c>
      <c r="C210" s="361" t="s">
        <v>773</v>
      </c>
      <c r="D210" s="289">
        <f>ROUND((F210*'Pawn Weights'!$B$22)+(G210*'Pawn Weights'!$B$23)+(H210*'Pawn Weights'!$B$24)+(I210*'Pawn Weights'!$B$25)+(J210*'Pawn Weights'!$B$26)+(K210*'Pawn Weights'!$B$27)+(L210*'Pawn Weights'!$B$28)+(M210*'Pawn Weights'!$B$29)+(N210*'Pawn Weights'!$B$30)+(O210*'Pawn Weights'!$B$31)+(P210*'Pawn Weights'!$B$32)+(Q210*'Pawn Weights'!$B$33), 2)</f>
        <v>72.22</v>
      </c>
      <c r="E210" s="359">
        <v>28.0</v>
      </c>
      <c r="F210" s="361"/>
      <c r="G210" s="359">
        <v>28.0</v>
      </c>
      <c r="H210" s="359">
        <v>58.0</v>
      </c>
      <c r="I210" s="361"/>
      <c r="J210" s="361"/>
      <c r="K210" s="361"/>
      <c r="L210" s="361"/>
      <c r="M210" s="359">
        <v>126.0</v>
      </c>
      <c r="N210" s="361"/>
      <c r="O210" s="359">
        <v>1.0</v>
      </c>
      <c r="P210" s="361"/>
      <c r="Q210" s="361"/>
      <c r="R210" s="359" t="s">
        <v>674</v>
      </c>
      <c r="S210" s="137"/>
      <c r="T210" s="137"/>
      <c r="U210" s="137"/>
      <c r="V210" s="137"/>
      <c r="W210" s="137"/>
      <c r="X210" s="137"/>
      <c r="Y210" s="137"/>
      <c r="Z210" s="137"/>
    </row>
    <row r="211">
      <c r="A211" s="301"/>
      <c r="B211" s="288" t="s">
        <v>901</v>
      </c>
      <c r="C211" s="280" t="s">
        <v>649</v>
      </c>
      <c r="D211" s="289">
        <f>ROUND((F211*'Pawn Weights'!$B$22)+(G211*'Pawn Weights'!$B$23)+(H211*'Pawn Weights'!$B$24)+(I211*'Pawn Weights'!$B$25)+(J211*'Pawn Weights'!$B$26)+(K211*'Pawn Weights'!$B$27)+(L211*'Pawn Weights'!$B$28)+(M211*'Pawn Weights'!$B$29)+(N211*'Pawn Weights'!$B$30)+(O211*'Pawn Weights'!$B$31)+(P211*'Pawn Weights'!$B$32)+(Q211*'Pawn Weights'!$B$33), 2)</f>
        <v>68.34</v>
      </c>
      <c r="E211" s="280">
        <v>25.0</v>
      </c>
      <c r="F211" s="280"/>
      <c r="G211" s="280">
        <v>33.0</v>
      </c>
      <c r="H211" s="280">
        <v>66.0</v>
      </c>
      <c r="I211" s="280"/>
      <c r="J211" s="280"/>
      <c r="K211" s="280"/>
      <c r="L211" s="280"/>
      <c r="M211" s="281"/>
      <c r="N211" s="280"/>
      <c r="O211" s="280">
        <v>1.0</v>
      </c>
      <c r="P211" s="280"/>
      <c r="Q211" s="280">
        <v>1.0</v>
      </c>
      <c r="R211" s="290" t="s">
        <v>695</v>
      </c>
      <c r="S211" s="281"/>
      <c r="T211" s="291"/>
      <c r="U211" s="281"/>
      <c r="V211" s="281"/>
      <c r="W211" s="281"/>
    </row>
    <row r="212">
      <c r="A212" s="301"/>
      <c r="B212" s="288" t="s">
        <v>902</v>
      </c>
      <c r="C212" s="280" t="s">
        <v>871</v>
      </c>
      <c r="D212" s="289">
        <f>ROUND((F212*'Pawn Weights'!$B$22)+(G212*'Pawn Weights'!$B$23)+(H212*'Pawn Weights'!$B$24)+(I212*'Pawn Weights'!$B$25)+(J212*'Pawn Weights'!$B$26)+(K212*'Pawn Weights'!$B$27)+(L212*'Pawn Weights'!$B$28)+(M212*'Pawn Weights'!$B$29)+(N212*'Pawn Weights'!$B$30)+(O212*'Pawn Weights'!$B$31)+(P212*'Pawn Weights'!$B$32)+(Q212*'Pawn Weights'!$B$33), 2)</f>
        <v>68.34</v>
      </c>
      <c r="E212" s="280">
        <v>13.0</v>
      </c>
      <c r="F212" s="280"/>
      <c r="G212" s="280">
        <v>33.0</v>
      </c>
      <c r="H212" s="280">
        <v>66.0</v>
      </c>
      <c r="I212" s="280"/>
      <c r="J212" s="280"/>
      <c r="K212" s="280"/>
      <c r="L212" s="280"/>
      <c r="M212" s="281"/>
      <c r="N212" s="280"/>
      <c r="O212" s="280"/>
      <c r="P212" s="280"/>
      <c r="Q212" s="280">
        <v>2.0</v>
      </c>
      <c r="R212" s="290" t="s">
        <v>809</v>
      </c>
      <c r="S212" s="281"/>
      <c r="T212" s="291"/>
      <c r="U212" s="281"/>
      <c r="V212" s="281"/>
      <c r="W212" s="281"/>
    </row>
    <row r="213">
      <c r="A213" s="301" t="s">
        <v>627</v>
      </c>
      <c r="B213" s="311" t="s">
        <v>903</v>
      </c>
      <c r="C213" s="280" t="s">
        <v>904</v>
      </c>
      <c r="D213" s="289">
        <f>ROUND((F213*'Pawn Weights'!$B$22)+(G213*'Pawn Weights'!$B$23)+(H213*'Pawn Weights'!$B$24)+(I213*'Pawn Weights'!$B$25)+(J213*'Pawn Weights'!$B$26)+(K213*'Pawn Weights'!$B$27)+(L213*'Pawn Weights'!$B$28)+(M213*'Pawn Weights'!$B$29)+(N213*'Pawn Weights'!$B$30)+(O213*'Pawn Weights'!$B$31)+(P213*'Pawn Weights'!$B$32)+(Q213*'Pawn Weights'!$B$33)-8+7.68+2.727, 2)</f>
        <v>67.41</v>
      </c>
      <c r="E213" s="280"/>
      <c r="F213" s="280"/>
      <c r="G213" s="280"/>
      <c r="H213" s="280">
        <v>36.0</v>
      </c>
      <c r="I213" s="280">
        <v>17.0</v>
      </c>
      <c r="J213" s="280">
        <v>25.0</v>
      </c>
      <c r="K213" s="280"/>
      <c r="L213" s="280"/>
      <c r="M213" s="281"/>
      <c r="N213" s="280"/>
      <c r="O213" s="280">
        <v>1.0</v>
      </c>
      <c r="P213" s="280">
        <v>1.0</v>
      </c>
      <c r="Q213" s="280"/>
      <c r="R213" s="290" t="s">
        <v>809</v>
      </c>
      <c r="S213" s="281"/>
      <c r="T213" s="291"/>
      <c r="U213" s="281"/>
      <c r="V213" s="281"/>
      <c r="W213" s="281"/>
    </row>
    <row r="214">
      <c r="A214" s="137" t="s">
        <v>991</v>
      </c>
      <c r="B214" s="296" t="s">
        <v>1108</v>
      </c>
      <c r="C214" s="297" t="s">
        <v>892</v>
      </c>
      <c r="D214" s="289">
        <f>ROUND((F214*'Pawn Weights'!$B$22)+(G214*'Pawn Weights'!$B$23)+(H214*'Pawn Weights'!$B$24)+(I214*'Pawn Weights'!$B$25)+(J214*'Pawn Weights'!$B$26)+(K214*'Pawn Weights'!$B$27)+(L214*'Pawn Weights'!$B$28)+(M214*'Pawn Weights'!$B$29)+(N214*'Pawn Weights'!$B$30)+(O214*'Pawn Weights'!$B$31)+(P214*'Pawn Weights'!$B$32)+(Q214*'Pawn Weights'!$B$33), 2)</f>
        <v>67.2</v>
      </c>
      <c r="E214" s="298">
        <v>49.0</v>
      </c>
      <c r="F214" s="298">
        <v>35.0</v>
      </c>
      <c r="G214" s="297"/>
      <c r="H214" s="297"/>
      <c r="I214" s="298">
        <v>35.0</v>
      </c>
      <c r="J214" s="297"/>
      <c r="K214" s="297"/>
      <c r="L214" s="297"/>
      <c r="M214" s="137"/>
      <c r="N214" s="297"/>
      <c r="O214" s="297"/>
      <c r="P214" s="297"/>
      <c r="Q214" s="297"/>
      <c r="R214" s="295"/>
      <c r="S214" s="137"/>
      <c r="T214" s="297" t="s">
        <v>850</v>
      </c>
      <c r="U214" s="137"/>
      <c r="V214" s="137"/>
      <c r="W214" s="137"/>
      <c r="X214" s="137"/>
      <c r="Y214" s="137"/>
      <c r="Z214" s="137"/>
    </row>
    <row r="215">
      <c r="A215" s="309"/>
      <c r="B215" s="288" t="s">
        <v>1103</v>
      </c>
      <c r="C215" s="280" t="s">
        <v>1104</v>
      </c>
      <c r="D215" s="289">
        <f>ROUND((F215*'Pawn Weights'!$B$22)+(G215*'Pawn Weights'!$B$23)+(H215*'Pawn Weights'!$B$24)+(I215*'Pawn Weights'!$B$25)+(J215*'Pawn Weights'!$B$26)+(K215*'Pawn Weights'!$B$27)+(L215*'Pawn Weights'!$B$28)+(M215*'Pawn Weights'!$B$29)+(N215*'Pawn Weights'!$B$30)+(O215*'Pawn Weights'!$B$31)+(P215*'Pawn Weights'!$B$32)+(Q215*'Pawn Weights'!$B$33)-8+7.68+2.04, 2)</f>
        <v>66.19</v>
      </c>
      <c r="E215" s="280">
        <v>28.0</v>
      </c>
      <c r="F215" s="280"/>
      <c r="G215" s="280">
        <v>29.0</v>
      </c>
      <c r="H215" s="280">
        <v>44.0</v>
      </c>
      <c r="I215" s="280"/>
      <c r="J215" s="280">
        <v>13.0</v>
      </c>
      <c r="K215" s="280"/>
      <c r="L215" s="280"/>
      <c r="M215" s="281"/>
      <c r="N215" s="280"/>
      <c r="O215" s="280">
        <v>1.0</v>
      </c>
      <c r="P215" s="280">
        <v>1.0</v>
      </c>
      <c r="Q215" s="280"/>
      <c r="R215" s="290" t="s">
        <v>832</v>
      </c>
      <c r="S215" s="281"/>
      <c r="T215" s="291"/>
      <c r="U215" s="281"/>
      <c r="V215" s="281"/>
      <c r="W215" s="281"/>
    </row>
    <row r="216">
      <c r="A216" s="137"/>
      <c r="B216" s="341" t="s">
        <v>895</v>
      </c>
      <c r="C216" s="361" t="s">
        <v>773</v>
      </c>
      <c r="D216" s="289">
        <f>ROUND((F216*'Pawn Weights'!$B$22)+(G216*'Pawn Weights'!$B$23)+(H216*'Pawn Weights'!$B$24)+(I216*'Pawn Weights'!$B$25)+(J216*'Pawn Weights'!$B$26)+(K216*'Pawn Weights'!$B$27)+(L216*'Pawn Weights'!$B$28)+(M216*'Pawn Weights'!$B$29)+(N216*'Pawn Weights'!$B$30)+(O216*'Pawn Weights'!$B$31)+(P216*'Pawn Weights'!$B$32)+(Q216*'Pawn Weights'!$B$33), 2)</f>
        <v>66</v>
      </c>
      <c r="E216" s="359">
        <v>30.0</v>
      </c>
      <c r="F216" s="359">
        <v>29.0</v>
      </c>
      <c r="G216" s="361"/>
      <c r="H216" s="361"/>
      <c r="I216" s="361"/>
      <c r="J216" s="361"/>
      <c r="K216" s="361"/>
      <c r="L216" s="361"/>
      <c r="M216" s="359">
        <v>140.0</v>
      </c>
      <c r="N216" s="361"/>
      <c r="O216" s="359">
        <v>1.0</v>
      </c>
      <c r="P216" s="361"/>
      <c r="Q216" s="359">
        <v>1.0</v>
      </c>
      <c r="R216" s="359" t="s">
        <v>698</v>
      </c>
      <c r="S216" s="137"/>
      <c r="T216" s="137"/>
      <c r="U216" s="137"/>
      <c r="V216" s="137"/>
      <c r="W216" s="137"/>
      <c r="X216" s="137"/>
      <c r="Y216" s="137"/>
      <c r="Z216" s="137"/>
    </row>
    <row r="217">
      <c r="A217" s="309"/>
      <c r="B217" s="288" t="s">
        <v>1105</v>
      </c>
      <c r="C217" s="280" t="s">
        <v>1106</v>
      </c>
      <c r="D217" s="289">
        <f>ROUND((F217*'Pawn Weights'!$B$22)+(G217*'Pawn Weights'!$B$23)+(H217*'Pawn Weights'!$B$24)+(I217*'Pawn Weights'!$B$25)+(J217*'Pawn Weights'!$B$26)+(K217*'Pawn Weights'!$B$27)+(L217*'Pawn Weights'!$B$28)+(M217*'Pawn Weights'!$B$29)+(N217*'Pawn Weights'!$B$30)+(O217*'Pawn Weights'!$B$31)+(P217*'Pawn Weights'!$B$32)+(Q217*'Pawn Weights'!$B$33)-8+7.68+3, 2)</f>
        <v>65.22</v>
      </c>
      <c r="E217" s="280">
        <v>28.0</v>
      </c>
      <c r="F217" s="280">
        <v>33.0</v>
      </c>
      <c r="G217" s="280">
        <v>20.0</v>
      </c>
      <c r="H217" s="280"/>
      <c r="I217" s="280"/>
      <c r="J217" s="280"/>
      <c r="K217" s="280"/>
      <c r="L217" s="280"/>
      <c r="M217" s="281"/>
      <c r="N217" s="280"/>
      <c r="O217" s="280">
        <v>1.0</v>
      </c>
      <c r="P217" s="280">
        <v>1.0</v>
      </c>
      <c r="Q217" s="280"/>
      <c r="R217" s="290" t="s">
        <v>698</v>
      </c>
      <c r="S217" s="281"/>
      <c r="T217" s="291"/>
      <c r="U217" s="281"/>
      <c r="V217" s="281"/>
      <c r="W217" s="281"/>
    </row>
    <row r="218">
      <c r="A218" s="137"/>
      <c r="B218" s="296" t="s">
        <v>1629</v>
      </c>
      <c r="C218" s="297" t="s">
        <v>1630</v>
      </c>
      <c r="D218" s="289">
        <f>ROUND((F218*'Pawn Weights'!$B$22)+(G218*'Pawn Weights'!$B$23)+(H218*'Pawn Weights'!$B$24)+(I218*'Pawn Weights'!$B$25)+(J218*'Pawn Weights'!$B$26)+(K218*'Pawn Weights'!$B$27)+(L218*'Pawn Weights'!$B$28)+(M218*'Pawn Weights'!$B$29)+(N218*'Pawn Weights'!$B$30)+(O218*'Pawn Weights'!$B$31)+(P218*'Pawn Weights'!$B$32)+(Q218*'Pawn Weights'!$B$33), 2)</f>
        <v>61.48</v>
      </c>
      <c r="E218" s="298">
        <v>28.0</v>
      </c>
      <c r="F218" s="298">
        <v>28.0</v>
      </c>
      <c r="G218" s="297"/>
      <c r="H218" s="297"/>
      <c r="I218" s="298">
        <v>19.0</v>
      </c>
      <c r="J218" s="297"/>
      <c r="K218" s="297"/>
      <c r="L218" s="297"/>
      <c r="M218" s="137"/>
      <c r="N218" s="297"/>
      <c r="O218" s="297"/>
      <c r="P218" s="298">
        <v>1.0</v>
      </c>
      <c r="Q218" s="298">
        <v>1.0</v>
      </c>
      <c r="R218" s="298" t="s">
        <v>698</v>
      </c>
      <c r="S218" s="359"/>
      <c r="T218" s="295"/>
      <c r="U218" s="137"/>
      <c r="V218" s="137"/>
      <c r="W218" s="137"/>
      <c r="X218" s="137"/>
      <c r="Y218" s="137"/>
      <c r="Z218" s="137"/>
    </row>
    <row r="219">
      <c r="A219" s="137" t="s">
        <v>995</v>
      </c>
      <c r="B219" s="296" t="s">
        <v>1631</v>
      </c>
      <c r="C219" s="297" t="s">
        <v>1589</v>
      </c>
      <c r="D219" s="289">
        <f>ROUND((F219*'Pawn Weights'!$B$22)+(G219*'Pawn Weights'!$B$23)+(H219*'Pawn Weights'!$B$24)+(I219*'Pawn Weights'!$B$25)+(J219*'Pawn Weights'!$B$26)+(K219*'Pawn Weights'!$B$27)+(L219*'Pawn Weights'!$B$28)+(M219*'Pawn Weights'!$B$29)+(N219*'Pawn Weights'!$B$30)+(O219*'Pawn Weights'!$B$31)+(P219*'Pawn Weights'!$B$32)+(Q219*'Pawn Weights'!$B$33), 2)</f>
        <v>59.52</v>
      </c>
      <c r="E219" s="298">
        <v>45.0</v>
      </c>
      <c r="F219" s="298">
        <v>31.0</v>
      </c>
      <c r="G219" s="297"/>
      <c r="H219" s="297"/>
      <c r="I219" s="298">
        <v>31.0</v>
      </c>
      <c r="J219" s="297"/>
      <c r="K219" s="297"/>
      <c r="L219" s="297"/>
      <c r="M219" s="137"/>
      <c r="N219" s="297"/>
      <c r="O219" s="297"/>
      <c r="P219" s="297"/>
      <c r="Q219" s="297"/>
      <c r="R219" s="298"/>
      <c r="S219" s="359"/>
      <c r="T219" s="295"/>
      <c r="U219" s="137" t="s">
        <v>850</v>
      </c>
      <c r="V219" s="137"/>
      <c r="W219" s="137"/>
      <c r="X219" s="137"/>
      <c r="Y219" s="137"/>
      <c r="Z219" s="137"/>
    </row>
    <row r="220">
      <c r="A220" s="137"/>
      <c r="B220" s="383" t="s">
        <v>1632</v>
      </c>
      <c r="C220" s="297" t="s">
        <v>1633</v>
      </c>
      <c r="D220" s="289">
        <f>ROUND((F220*'Pawn Weights'!$B$22)+(G220*'Pawn Weights'!$B$23)+(H220*'Pawn Weights'!$B$24)+(I220*'Pawn Weights'!$B$25)+(J220*'Pawn Weights'!$B$26)+(K220*'Pawn Weights'!$B$27)+(L220*'Pawn Weights'!$B$28)+(M220*'Pawn Weights'!$B$29)+(N220*'Pawn Weights'!$B$30)+(O220*'Pawn Weights'!$B$31)+(P220*'Pawn Weights'!$B$32)+(Q220*'Pawn Weights'!$B$33), 2)</f>
        <v>54.22</v>
      </c>
      <c r="E220" s="298">
        <v>22.0</v>
      </c>
      <c r="F220" s="298">
        <v>24.0</v>
      </c>
      <c r="G220" s="298">
        <v>21.0</v>
      </c>
      <c r="H220" s="297"/>
      <c r="I220" s="297"/>
      <c r="J220" s="297"/>
      <c r="K220" s="297"/>
      <c r="L220" s="297"/>
      <c r="M220" s="137"/>
      <c r="N220" s="297"/>
      <c r="O220" s="298">
        <v>1.0</v>
      </c>
      <c r="P220" s="297"/>
      <c r="Q220" s="298">
        <v>1.0</v>
      </c>
      <c r="R220" s="298" t="s">
        <v>1634</v>
      </c>
      <c r="S220" s="359"/>
      <c r="T220" s="295"/>
      <c r="U220" s="137" t="s">
        <v>1635</v>
      </c>
      <c r="V220" s="137"/>
      <c r="W220" s="137"/>
      <c r="X220" s="137"/>
      <c r="Y220" s="137"/>
      <c r="Z220" s="137"/>
    </row>
    <row r="221">
      <c r="A221" s="137"/>
      <c r="B221" s="296" t="s">
        <v>1636</v>
      </c>
      <c r="C221" s="297" t="s">
        <v>1637</v>
      </c>
      <c r="D221" s="289">
        <f>ROUND((F221*'Pawn Weights'!$B$22)+(G221*'Pawn Weights'!$B$23)+(H221*'Pawn Weights'!$B$24)+(I221*'Pawn Weights'!$B$25)+(J221*'Pawn Weights'!$B$26)+(K221*'Pawn Weights'!$B$27)+(L221*'Pawn Weights'!$B$28)+(M221*'Pawn Weights'!$B$29)+(N221*'Pawn Weights'!$B$30)+(O221*'Pawn Weights'!$B$31)+(P221*'Pawn Weights'!$B$32)+(Q221*'Pawn Weights'!$B$33), 2)</f>
        <v>51.84</v>
      </c>
      <c r="E221" s="298">
        <v>40.0</v>
      </c>
      <c r="F221" s="298">
        <v>27.0</v>
      </c>
      <c r="G221" s="297"/>
      <c r="H221" s="297"/>
      <c r="I221" s="298">
        <v>27.0</v>
      </c>
      <c r="J221" s="297"/>
      <c r="K221" s="297"/>
      <c r="L221" s="297"/>
      <c r="M221" s="137"/>
      <c r="N221" s="297"/>
      <c r="O221" s="297"/>
      <c r="P221" s="297"/>
      <c r="Q221" s="297"/>
      <c r="R221" s="298"/>
      <c r="S221" s="359"/>
      <c r="T221" s="295"/>
      <c r="U221" s="137" t="s">
        <v>1602</v>
      </c>
      <c r="V221" s="137"/>
      <c r="W221" s="137"/>
      <c r="X221" s="137"/>
      <c r="Y221" s="137"/>
      <c r="Z221" s="137"/>
    </row>
    <row r="222">
      <c r="A222" s="224" t="s">
        <v>905</v>
      </c>
      <c r="B222" s="281"/>
      <c r="C222" s="281"/>
      <c r="D222" s="360"/>
      <c r="E222" s="281"/>
      <c r="F222" s="281"/>
      <c r="G222" s="281"/>
      <c r="H222" s="281"/>
      <c r="I222" s="281"/>
      <c r="J222" s="281"/>
      <c r="K222" s="281"/>
      <c r="L222" s="281"/>
      <c r="M222" s="281"/>
      <c r="N222" s="281"/>
      <c r="O222" s="281"/>
      <c r="P222" s="281"/>
      <c r="Q222" s="281"/>
      <c r="R222" s="282"/>
      <c r="S222" s="281"/>
      <c r="T222" s="285"/>
      <c r="U222" s="281"/>
      <c r="V222" s="281"/>
      <c r="W222" s="281"/>
    </row>
    <row r="223">
      <c r="A223" s="295"/>
      <c r="B223" s="341" t="s">
        <v>908</v>
      </c>
      <c r="C223" s="361" t="s">
        <v>909</v>
      </c>
      <c r="D223" s="289">
        <f>ROUND((F223*'Pawn Weights'!$B$22)+(G223*'Pawn Weights'!$B$23)+(H223*'Pawn Weights'!$B$24)+(I223*'Pawn Weights'!$B$25)+(J223*'Pawn Weights'!$B$26)+(K223*'Pawn Weights'!$B$27)+(L223*'Pawn Weights'!$B$28)+(M223*'Pawn Weights'!$B$29)+(N223*'Pawn Weights'!$B$30)+(O223*'Pawn Weights'!$B$31)+(P223*'Pawn Weights'!$B$32)+(Q223*'Pawn Weights'!$B$33), 2)</f>
        <v>64.89</v>
      </c>
      <c r="E223" s="359">
        <v>28.0</v>
      </c>
      <c r="F223" s="361"/>
      <c r="G223" s="359">
        <v>29.0</v>
      </c>
      <c r="H223" s="359">
        <v>58.0</v>
      </c>
      <c r="I223" s="361"/>
      <c r="J223" s="361"/>
      <c r="K223" s="361"/>
      <c r="L223" s="361"/>
      <c r="M223" s="359">
        <v>126.0</v>
      </c>
      <c r="N223" s="361"/>
      <c r="O223" s="361"/>
      <c r="P223" s="361"/>
      <c r="Q223" s="361"/>
      <c r="R223" s="137"/>
      <c r="S223" s="137"/>
      <c r="T223" s="137"/>
      <c r="U223" s="137"/>
      <c r="V223" s="137"/>
      <c r="W223" s="137"/>
      <c r="X223" s="137"/>
      <c r="Y223" s="137"/>
      <c r="Z223" s="137"/>
    </row>
    <row r="224">
      <c r="A224" s="281"/>
      <c r="B224" s="288" t="s">
        <v>917</v>
      </c>
      <c r="C224" s="280" t="s">
        <v>741</v>
      </c>
      <c r="D224" s="289">
        <f>ROUND((F224*'Pawn Weights'!$B$22)+(G224*'Pawn Weights'!$B$23)+(H224*'Pawn Weights'!$B$24)+(I224*'Pawn Weights'!$B$25)+(J224*'Pawn Weights'!$B$26)+(K224*'Pawn Weights'!$B$27)+(L224*'Pawn Weights'!$B$28)+(M224*'Pawn Weights'!$B$29)+(N224*'Pawn Weights'!$B$30)+(O224*'Pawn Weights'!$B$31)+(P224*'Pawn Weights'!$B$32)+(Q224*'Pawn Weights'!$B$33), 2)</f>
        <v>63.45</v>
      </c>
      <c r="E224" s="280">
        <v>27.0</v>
      </c>
      <c r="F224" s="280"/>
      <c r="G224" s="280"/>
      <c r="H224" s="280">
        <v>56.0</v>
      </c>
      <c r="I224" s="280">
        <v>28.0</v>
      </c>
      <c r="J224" s="280">
        <v>18.0</v>
      </c>
      <c r="K224" s="280"/>
      <c r="L224" s="280"/>
      <c r="M224" s="281"/>
      <c r="N224" s="280"/>
      <c r="O224" s="280"/>
      <c r="P224" s="280"/>
      <c r="Q224" s="280"/>
      <c r="R224" s="290"/>
      <c r="S224" s="281"/>
      <c r="T224" s="291"/>
      <c r="U224" s="281"/>
      <c r="V224" s="281"/>
      <c r="W224" s="281"/>
    </row>
    <row r="225">
      <c r="A225" s="137" t="s">
        <v>627</v>
      </c>
      <c r="B225" s="296" t="s">
        <v>910</v>
      </c>
      <c r="C225" s="297" t="s">
        <v>911</v>
      </c>
      <c r="D225" s="289">
        <f>ROUND((F225*'Pawn Weights'!$B$22)+(G225*'Pawn Weights'!$B$23)+(H225*'Pawn Weights'!$B$24)+(I225*'Pawn Weights'!$B$25)+(J225*'Pawn Weights'!$B$26)+(K225*'Pawn Weights'!$B$27)+(L225*'Pawn Weights'!$B$28)+(M225*'Pawn Weights'!$B$29)+(N225*'Pawn Weights'!$B$30)+(O225*'Pawn Weights'!$B$31)+(P225*'Pawn Weights'!$B$32)+(Q225*'Pawn Weights'!$B$33), 2)</f>
        <v>61.79</v>
      </c>
      <c r="E225" s="298">
        <v>42.0</v>
      </c>
      <c r="F225" s="297"/>
      <c r="G225" s="298">
        <v>30.0</v>
      </c>
      <c r="H225" s="298">
        <v>58.0</v>
      </c>
      <c r="I225" s="297"/>
      <c r="J225" s="297"/>
      <c r="K225" s="298">
        <v>28.0</v>
      </c>
      <c r="L225" s="297"/>
      <c r="M225" s="137"/>
      <c r="N225" s="297"/>
      <c r="O225" s="297"/>
      <c r="P225" s="297"/>
      <c r="Q225" s="297"/>
      <c r="R225" s="295"/>
      <c r="S225" s="137"/>
      <c r="T225" s="295"/>
      <c r="U225" s="137"/>
      <c r="V225" s="137"/>
      <c r="W225" s="137"/>
      <c r="X225" s="137"/>
      <c r="Y225" s="137"/>
      <c r="Z225" s="137"/>
    </row>
    <row r="226">
      <c r="A226" s="137" t="s">
        <v>671</v>
      </c>
      <c r="B226" s="296" t="s">
        <v>915</v>
      </c>
      <c r="C226" s="297" t="s">
        <v>916</v>
      </c>
      <c r="D226" s="289">
        <f>ROUND((F226*'Pawn Weights'!$B$22)+(G226*'Pawn Weights'!$B$23)+(H226*'Pawn Weights'!$B$24)+(I226*'Pawn Weights'!$B$25)+(J226*'Pawn Weights'!$B$26)+(K226*'Pawn Weights'!$B$27)+(L226*'Pawn Weights'!$B$28)+(M226*'Pawn Weights'!$B$29)+(N226*'Pawn Weights'!$B$30)+(O226*'Pawn Weights'!$B$31)+(P226*'Pawn Weights'!$B$32)+(Q226*'Pawn Weights'!$B$33), 2)</f>
        <v>59.63</v>
      </c>
      <c r="E226" s="298">
        <v>38.0</v>
      </c>
      <c r="F226" s="297"/>
      <c r="G226" s="297"/>
      <c r="H226" s="298">
        <v>52.0</v>
      </c>
      <c r="I226" s="298">
        <v>30.0</v>
      </c>
      <c r="J226" s="297"/>
      <c r="K226" s="297"/>
      <c r="L226" s="297"/>
      <c r="M226" s="359">
        <v>56.0</v>
      </c>
      <c r="N226" s="297"/>
      <c r="O226" s="297"/>
      <c r="P226" s="297"/>
      <c r="Q226" s="297"/>
      <c r="R226" s="295"/>
      <c r="S226" s="137"/>
      <c r="T226" s="297" t="s">
        <v>861</v>
      </c>
      <c r="U226" s="137"/>
      <c r="V226" s="137"/>
      <c r="W226" s="137"/>
      <c r="X226" s="137"/>
      <c r="Y226" s="137"/>
      <c r="Z226" s="137"/>
    </row>
    <row r="227">
      <c r="A227" s="281"/>
      <c r="B227" s="288" t="s">
        <v>922</v>
      </c>
      <c r="C227" s="280" t="s">
        <v>708</v>
      </c>
      <c r="D227" s="289">
        <f>ROUND((F227*'Pawn Weights'!$B$22)+(G227*'Pawn Weights'!$B$23)+(H227*'Pawn Weights'!$B$24)+(I227*'Pawn Weights'!$B$25)+(J227*'Pawn Weights'!$B$26)+(K227*'Pawn Weights'!$B$27)+(L227*'Pawn Weights'!$B$28)+(M227*'Pawn Weights'!$B$29)+(N227*'Pawn Weights'!$B$30)+(O227*'Pawn Weights'!$B$31)+(P227*'Pawn Weights'!$B$32)+(Q227*'Pawn Weights'!$B$33), 2)</f>
        <v>55.86</v>
      </c>
      <c r="E227" s="280"/>
      <c r="F227" s="280"/>
      <c r="G227" s="280"/>
      <c r="H227" s="280">
        <v>62.0</v>
      </c>
      <c r="I227" s="280">
        <v>19.0</v>
      </c>
      <c r="J227" s="280">
        <v>15.0</v>
      </c>
      <c r="K227" s="280"/>
      <c r="L227" s="280"/>
      <c r="M227" s="281"/>
      <c r="N227" s="280"/>
      <c r="O227" s="280"/>
      <c r="P227" s="280"/>
      <c r="Q227" s="280"/>
      <c r="R227" s="290"/>
      <c r="S227" s="281"/>
      <c r="T227" s="291"/>
      <c r="U227" s="281"/>
      <c r="V227" s="281"/>
      <c r="W227" s="281"/>
    </row>
    <row r="228">
      <c r="A228" s="281"/>
      <c r="B228" s="288" t="s">
        <v>923</v>
      </c>
      <c r="C228" s="280" t="s">
        <v>656</v>
      </c>
      <c r="D228" s="289">
        <f>ROUND((F228*'Pawn Weights'!$B$22)+(G228*'Pawn Weights'!$B$23)+(H228*'Pawn Weights'!$B$24)+(I228*'Pawn Weights'!$B$25)+(J228*'Pawn Weights'!$B$26)+(K228*'Pawn Weights'!$B$27)+(L228*'Pawn Weights'!$B$28)+(M228*'Pawn Weights'!$B$29)+(N228*'Pawn Weights'!$B$30)+(O228*'Pawn Weights'!$B$31)+(P228*'Pawn Weights'!$B$32)+(Q228*'Pawn Weights'!$B$33), 2)</f>
        <v>54.08</v>
      </c>
      <c r="E228" s="280">
        <v>21.0</v>
      </c>
      <c r="F228" s="280"/>
      <c r="G228" s="280"/>
      <c r="H228" s="280">
        <v>44.0</v>
      </c>
      <c r="I228" s="280">
        <v>23.0</v>
      </c>
      <c r="J228" s="280">
        <v>19.0</v>
      </c>
      <c r="K228" s="280"/>
      <c r="L228" s="280"/>
      <c r="M228" s="281"/>
      <c r="N228" s="280"/>
      <c r="O228" s="280"/>
      <c r="P228" s="280"/>
      <c r="Q228" s="280"/>
      <c r="R228" s="290"/>
      <c r="S228" s="281"/>
      <c r="T228" s="291"/>
      <c r="U228" s="281"/>
      <c r="V228" s="281"/>
      <c r="W228" s="281"/>
    </row>
    <row r="229">
      <c r="A229" s="137" t="s">
        <v>991</v>
      </c>
      <c r="B229" s="296" t="s">
        <v>1109</v>
      </c>
      <c r="C229" s="297" t="s">
        <v>1110</v>
      </c>
      <c r="D229" s="289">
        <f>ROUND((F229*'Pawn Weights'!$B$22)+(G229*'Pawn Weights'!$B$23)+(H229*'Pawn Weights'!$B$24)+(I229*'Pawn Weights'!$B$25)+(J229*'Pawn Weights'!$B$26)+(K229*'Pawn Weights'!$B$27)+(L229*'Pawn Weights'!$B$28)+(M229*'Pawn Weights'!$B$29)+(N229*'Pawn Weights'!$B$30)+(O229*'Pawn Weights'!$B$31)+(P229*'Pawn Weights'!$B$32)+(Q229*'Pawn Weights'!$B$33), 2)</f>
        <v>52.32</v>
      </c>
      <c r="E229" s="298">
        <v>34.0</v>
      </c>
      <c r="F229" s="297"/>
      <c r="G229" s="297"/>
      <c r="H229" s="298">
        <v>44.0</v>
      </c>
      <c r="I229" s="298">
        <v>26.0</v>
      </c>
      <c r="J229" s="297"/>
      <c r="K229" s="297"/>
      <c r="L229" s="297"/>
      <c r="M229" s="359">
        <v>56.0</v>
      </c>
      <c r="N229" s="297"/>
      <c r="O229" s="297"/>
      <c r="P229" s="297"/>
      <c r="Q229" s="295"/>
      <c r="R229" s="295"/>
      <c r="S229" s="137"/>
      <c r="T229" s="297" t="s">
        <v>861</v>
      </c>
      <c r="U229" s="137"/>
      <c r="V229" s="137"/>
      <c r="W229" s="137"/>
      <c r="X229" s="137"/>
      <c r="Y229" s="137"/>
      <c r="Z229" s="137"/>
    </row>
    <row r="230">
      <c r="A230" s="281"/>
      <c r="B230" s="288" t="s">
        <v>927</v>
      </c>
      <c r="C230" s="280" t="s">
        <v>710</v>
      </c>
      <c r="D230" s="289">
        <f>ROUND((F230*'Pawn Weights'!$B$22)+(G230*'Pawn Weights'!$B$23)+(H230*'Pawn Weights'!$B$24)+(I230*'Pawn Weights'!$B$25)+(J230*'Pawn Weights'!$B$26)+(K230*'Pawn Weights'!$B$27)+(L230*'Pawn Weights'!$B$28)+(M230*'Pawn Weights'!$B$29)+(N230*'Pawn Weights'!$B$30)+(O230*'Pawn Weights'!$B$31)+(P230*'Pawn Weights'!$B$32)+(Q230*'Pawn Weights'!$B$33), 2)</f>
        <v>51.89</v>
      </c>
      <c r="E230" s="280">
        <v>19.0</v>
      </c>
      <c r="F230" s="280"/>
      <c r="G230" s="280">
        <v>24.0</v>
      </c>
      <c r="H230" s="280">
        <v>50.0</v>
      </c>
      <c r="I230" s="280"/>
      <c r="J230" s="280">
        <v>19.0</v>
      </c>
      <c r="K230" s="280"/>
      <c r="L230" s="280"/>
      <c r="M230" s="281"/>
      <c r="N230" s="280"/>
      <c r="O230" s="280"/>
      <c r="P230" s="280"/>
      <c r="Q230" s="280"/>
      <c r="R230" s="290"/>
      <c r="S230" s="281"/>
      <c r="T230" s="291"/>
      <c r="U230" s="281"/>
      <c r="V230" s="281"/>
      <c r="W230" s="281"/>
    </row>
    <row r="231">
      <c r="A231" s="281"/>
      <c r="B231" s="288" t="s">
        <v>1111</v>
      </c>
      <c r="C231" s="280" t="s">
        <v>1112</v>
      </c>
      <c r="D231" s="289">
        <f>ROUND((F231*'Pawn Weights'!$B$22)+(G231*'Pawn Weights'!$B$23)+(H231*'Pawn Weights'!$B$24)+(I231*'Pawn Weights'!$B$25)+(J231*'Pawn Weights'!$B$26)+(K231*'Pawn Weights'!$B$27)+(L231*'Pawn Weights'!$B$28)+(M231*'Pawn Weights'!$B$29)+(N231*'Pawn Weights'!$B$30)+(O231*'Pawn Weights'!$B$31)+(P231*'Pawn Weights'!$B$32)+(Q231*'Pawn Weights'!$B$33), 2)</f>
        <v>49.5</v>
      </c>
      <c r="E231" s="280"/>
      <c r="F231" s="280"/>
      <c r="G231" s="280"/>
      <c r="H231" s="280">
        <v>40.0</v>
      </c>
      <c r="I231" s="280">
        <v>20.0</v>
      </c>
      <c r="J231" s="280">
        <v>19.0</v>
      </c>
      <c r="K231" s="280"/>
      <c r="L231" s="280"/>
      <c r="M231" s="281"/>
      <c r="N231" s="280"/>
      <c r="O231" s="280"/>
      <c r="P231" s="280"/>
      <c r="Q231" s="280"/>
      <c r="R231" s="290"/>
      <c r="S231" s="281"/>
      <c r="T231" s="291"/>
      <c r="U231" s="281"/>
      <c r="V231" s="281"/>
      <c r="W231" s="281"/>
    </row>
    <row r="232">
      <c r="A232" s="281"/>
      <c r="B232" s="288" t="s">
        <v>1113</v>
      </c>
      <c r="C232" s="280" t="s">
        <v>881</v>
      </c>
      <c r="D232" s="289">
        <f>ROUND((F232*'Pawn Weights'!$B$22)+(G232*'Pawn Weights'!$B$23)+(H232*'Pawn Weights'!$B$24)+(I232*'Pawn Weights'!$B$25)+(J232*'Pawn Weights'!$B$26)+(K232*'Pawn Weights'!$B$27)+(L232*'Pawn Weights'!$B$28)+(M232*'Pawn Weights'!$B$29)+(N232*'Pawn Weights'!$B$30)+(O232*'Pawn Weights'!$B$31)+(P232*'Pawn Weights'!$B$32)+(Q232*'Pawn Weights'!$B$33), 2)</f>
        <v>46.24</v>
      </c>
      <c r="E232" s="280">
        <v>24.0</v>
      </c>
      <c r="F232" s="280">
        <v>26.0</v>
      </c>
      <c r="G232" s="280"/>
      <c r="H232" s="280"/>
      <c r="I232" s="280">
        <v>22.0</v>
      </c>
      <c r="J232" s="280"/>
      <c r="K232" s="280"/>
      <c r="L232" s="280"/>
      <c r="M232" s="281"/>
      <c r="N232" s="280"/>
      <c r="O232" s="280"/>
      <c r="P232" s="280"/>
      <c r="Q232" s="280"/>
      <c r="R232" s="290"/>
      <c r="S232" s="281"/>
      <c r="T232" s="291"/>
      <c r="U232" s="281"/>
      <c r="V232" s="281"/>
      <c r="W232" s="281"/>
    </row>
    <row r="233">
      <c r="A233" s="281"/>
      <c r="B233" s="288" t="s">
        <v>1114</v>
      </c>
      <c r="C233" s="280" t="s">
        <v>683</v>
      </c>
      <c r="D233" s="289">
        <f>ROUND((F233*'Pawn Weights'!$B$22)+(G233*'Pawn Weights'!$B$23)+(H233*'Pawn Weights'!$B$24)+(I233*'Pawn Weights'!$B$25)+(J233*'Pawn Weights'!$B$26)+(K233*'Pawn Weights'!$B$27)+(L233*'Pawn Weights'!$B$28)+(M233*'Pawn Weights'!$B$29)+(N233*'Pawn Weights'!$B$30)+(O233*'Pawn Weights'!$B$31)+(P233*'Pawn Weights'!$B$32)+(Q233*'Pawn Weights'!$B$33), 2)</f>
        <v>46.22</v>
      </c>
      <c r="E233" s="280">
        <v>30.0</v>
      </c>
      <c r="F233" s="280">
        <v>32.0</v>
      </c>
      <c r="G233" s="280">
        <v>21.0</v>
      </c>
      <c r="H233" s="280"/>
      <c r="I233" s="280"/>
      <c r="J233" s="280"/>
      <c r="K233" s="280"/>
      <c r="L233" s="280"/>
      <c r="M233" s="281"/>
      <c r="N233" s="280"/>
      <c r="O233" s="280"/>
      <c r="P233" s="280"/>
      <c r="Q233" s="280"/>
      <c r="R233" s="290"/>
      <c r="S233" s="281"/>
      <c r="T233" s="291"/>
      <c r="U233" s="281"/>
      <c r="V233" s="281"/>
      <c r="W233" s="281"/>
    </row>
    <row r="234">
      <c r="A234" s="281"/>
      <c r="B234" s="288" t="s">
        <v>1115</v>
      </c>
      <c r="C234" s="280" t="s">
        <v>1116</v>
      </c>
      <c r="D234" s="289">
        <f>ROUND((F234*'Pawn Weights'!$B$22)+(G234*'Pawn Weights'!$B$23)+(H234*'Pawn Weights'!$B$24)+(I234*'Pawn Weights'!$B$25)+(J234*'Pawn Weights'!$B$26)+(K234*'Pawn Weights'!$B$27)+(L234*'Pawn Weights'!$B$28)+(M234*'Pawn Weights'!$B$29)+(N234*'Pawn Weights'!$B$30)+(O234*'Pawn Weights'!$B$31)+(P234*'Pawn Weights'!$B$32)+(Q234*'Pawn Weights'!$B$33), 2)</f>
        <v>43.96</v>
      </c>
      <c r="E234" s="280">
        <v>25.0</v>
      </c>
      <c r="F234" s="280"/>
      <c r="G234" s="280">
        <v>20.0</v>
      </c>
      <c r="H234" s="280">
        <v>40.0</v>
      </c>
      <c r="I234" s="280"/>
      <c r="J234" s="280">
        <v>18.0</v>
      </c>
      <c r="K234" s="280"/>
      <c r="L234" s="280"/>
      <c r="M234" s="281"/>
      <c r="N234" s="280"/>
      <c r="O234" s="280"/>
      <c r="P234" s="280"/>
      <c r="Q234" s="280"/>
      <c r="R234" s="290"/>
      <c r="S234" s="281"/>
      <c r="T234" s="291"/>
      <c r="U234" s="281"/>
      <c r="V234" s="281"/>
      <c r="W234" s="281"/>
    </row>
    <row r="235">
      <c r="A235" s="292" t="s">
        <v>965</v>
      </c>
      <c r="B235" s="288" t="s">
        <v>1427</v>
      </c>
      <c r="C235" s="280" t="s">
        <v>1428</v>
      </c>
      <c r="D235" s="289">
        <f>ROUND((F235*'Pawn Weights'!$B$22)+(G235*'Pawn Weights'!$B$23)+(H235*'Pawn Weights'!$B$24)+(I235*'Pawn Weights'!$B$25)+(J235*'Pawn Weights'!$B$26)+(K235*'Pawn Weights'!$B$27)+(L235*'Pawn Weights'!$B$28)+(M235*'Pawn Weights'!$B$29)+(N235*'Pawn Weights'!$B$30)+(O235*'Pawn Weights'!$B$31)+(P235*'Pawn Weights'!$B$32)+(Q235*'Pawn Weights'!$B$33), 2)</f>
        <v>43.31</v>
      </c>
      <c r="E235" s="280"/>
      <c r="F235" s="280"/>
      <c r="G235" s="280"/>
      <c r="H235" s="280">
        <v>52.0</v>
      </c>
      <c r="I235" s="280">
        <v>14.0</v>
      </c>
      <c r="J235" s="280">
        <v>10.0</v>
      </c>
      <c r="K235" s="280"/>
      <c r="L235" s="280"/>
      <c r="M235" s="281"/>
      <c r="N235" s="280"/>
      <c r="O235" s="280"/>
      <c r="P235" s="280"/>
      <c r="Q235" s="280"/>
      <c r="R235" s="290"/>
      <c r="S235" s="281"/>
      <c r="T235" s="291"/>
      <c r="U235" s="281"/>
      <c r="V235" s="281"/>
      <c r="W235" s="281"/>
    </row>
    <row r="236">
      <c r="A236" s="281"/>
      <c r="B236" s="288" t="s">
        <v>1242</v>
      </c>
      <c r="C236" s="280" t="s">
        <v>1243</v>
      </c>
      <c r="D236" s="289">
        <f>ROUND((F236*'Pawn Weights'!$B$22)+(G236*'Pawn Weights'!$B$23)+(H236*'Pawn Weights'!$B$24)+(I236*'Pawn Weights'!$B$25)+(J236*'Pawn Weights'!$B$26)+(K236*'Pawn Weights'!$B$27)+(L236*'Pawn Weights'!$B$28)+(M236*'Pawn Weights'!$B$29)+(N236*'Pawn Weights'!$B$30)+(O236*'Pawn Weights'!$B$31)+(P236*'Pawn Weights'!$B$32)+(Q236*'Pawn Weights'!$B$33), 2)</f>
        <v>42.45</v>
      </c>
      <c r="E236" s="280">
        <v>28.0</v>
      </c>
      <c r="F236" s="280"/>
      <c r="G236" s="280"/>
      <c r="H236" s="280">
        <v>56.0</v>
      </c>
      <c r="I236" s="280"/>
      <c r="J236" s="280">
        <v>25.0</v>
      </c>
      <c r="K236" s="280"/>
      <c r="L236" s="280"/>
      <c r="M236" s="280"/>
      <c r="N236" s="280"/>
      <c r="O236" s="280"/>
      <c r="P236" s="280"/>
      <c r="Q236" s="290"/>
      <c r="R236" s="290"/>
      <c r="S236" s="281"/>
      <c r="T236" s="285"/>
      <c r="U236" s="281"/>
      <c r="V236" s="281"/>
      <c r="W236" s="281"/>
    </row>
    <row r="237">
      <c r="A237" s="281"/>
      <c r="B237" s="288" t="s">
        <v>1244</v>
      </c>
      <c r="C237" s="280" t="s">
        <v>1245</v>
      </c>
      <c r="D237" s="289">
        <f>ROUND((F237*'Pawn Weights'!$B$22)+(G237*'Pawn Weights'!$B$23)+(H237*'Pawn Weights'!$B$24)+(I237*'Pawn Weights'!$B$25)+(J237*'Pawn Weights'!$B$26)+(K237*'Pawn Weights'!$B$27)+(L237*'Pawn Weights'!$B$28)+(M237*'Pawn Weights'!$B$29)+(N237*'Pawn Weights'!$B$30)+(O237*'Pawn Weights'!$B$31)+(P237*'Pawn Weights'!$B$32)+(Q237*'Pawn Weights'!$B$33), 2)</f>
        <v>41.13</v>
      </c>
      <c r="E237" s="280">
        <v>18.0</v>
      </c>
      <c r="F237" s="280"/>
      <c r="G237" s="280">
        <v>25.0</v>
      </c>
      <c r="H237" s="280"/>
      <c r="I237" s="280"/>
      <c r="J237" s="280"/>
      <c r="K237" s="280"/>
      <c r="L237" s="280">
        <v>20.0</v>
      </c>
      <c r="M237" s="281"/>
      <c r="N237" s="280"/>
      <c r="O237" s="280"/>
      <c r="P237" s="280"/>
      <c r="Q237" s="280"/>
      <c r="R237" s="290"/>
      <c r="S237" s="281"/>
      <c r="T237" s="291"/>
      <c r="U237" s="281"/>
      <c r="V237" s="281"/>
      <c r="W237" s="281"/>
    </row>
    <row r="238">
      <c r="A238" s="281"/>
      <c r="B238" s="288" t="s">
        <v>1429</v>
      </c>
      <c r="C238" s="280" t="s">
        <v>1430</v>
      </c>
      <c r="D238" s="289">
        <f>ROUND((F238*'Pawn Weights'!$B$22)+(G238*'Pawn Weights'!$B$23)+(H238*'Pawn Weights'!$B$24)+(I238*'Pawn Weights'!$B$25)+(J238*'Pawn Weights'!$B$26)+(K238*'Pawn Weights'!$B$27)+(L238*'Pawn Weights'!$B$28)+(M238*'Pawn Weights'!$B$29)+(N238*'Pawn Weights'!$B$30)+(O238*'Pawn Weights'!$B$31)+(P238*'Pawn Weights'!$B$32)+(Q238*'Pawn Weights'!$B$33), 2)</f>
        <v>42.07</v>
      </c>
      <c r="E238" s="280">
        <v>24.0</v>
      </c>
      <c r="F238" s="280"/>
      <c r="G238" s="280"/>
      <c r="H238" s="280">
        <v>46.0</v>
      </c>
      <c r="I238" s="280">
        <v>23.0</v>
      </c>
      <c r="J238" s="280"/>
      <c r="K238" s="280"/>
      <c r="L238" s="280"/>
      <c r="M238" s="281"/>
      <c r="N238" s="280"/>
      <c r="O238" s="280"/>
      <c r="P238" s="280"/>
      <c r="Q238" s="280"/>
      <c r="R238" s="290"/>
      <c r="S238" s="281"/>
      <c r="T238" s="291"/>
      <c r="U238" s="281"/>
      <c r="V238" s="281"/>
      <c r="W238" s="281"/>
    </row>
    <row r="239">
      <c r="A239" s="137"/>
      <c r="B239" s="383" t="s">
        <v>1638</v>
      </c>
      <c r="C239" s="297" t="s">
        <v>1639</v>
      </c>
      <c r="D239" s="289">
        <f>ROUND((F239*'Pawn Weights'!$B$22)+(G239*'Pawn Weights'!$B$23)+(H239*'Pawn Weights'!$B$24)+(I239*'Pawn Weights'!$B$25)+(J239*'Pawn Weights'!$B$26)+(K239*'Pawn Weights'!$B$27)+(L239*'Pawn Weights'!$B$28)+(M239*'Pawn Weights'!$B$29)+(N239*'Pawn Weights'!$B$30)+(O239*'Pawn Weights'!$B$31)+(P239*'Pawn Weights'!$B$32)+(Q239*'Pawn Weights'!$B$33), 2)</f>
        <v>41.96</v>
      </c>
      <c r="E239" s="297"/>
      <c r="F239" s="298">
        <v>25.0</v>
      </c>
      <c r="G239" s="298">
        <v>15.0</v>
      </c>
      <c r="H239" s="297"/>
      <c r="I239" s="297"/>
      <c r="J239" s="298">
        <v>10.0</v>
      </c>
      <c r="K239" s="297"/>
      <c r="L239" s="297"/>
      <c r="M239" s="137"/>
      <c r="N239" s="297"/>
      <c r="O239" s="297"/>
      <c r="P239" s="297"/>
      <c r="Q239" s="297"/>
      <c r="R239" s="295"/>
      <c r="S239" s="137"/>
      <c r="T239" s="295"/>
      <c r="U239" s="137"/>
      <c r="V239" s="137"/>
      <c r="W239" s="137"/>
      <c r="X239" s="137"/>
      <c r="Y239" s="137"/>
      <c r="Z239" s="137"/>
    </row>
    <row r="240">
      <c r="A240" s="137"/>
      <c r="B240" s="296" t="s">
        <v>1640</v>
      </c>
      <c r="C240" s="297" t="s">
        <v>1641</v>
      </c>
      <c r="D240" s="289">
        <f>ROUND((F240*'Pawn Weights'!$B$22)+(G240*'Pawn Weights'!$B$23)+(H240*'Pawn Weights'!$B$24)+(I240*'Pawn Weights'!$B$25)+(J240*'Pawn Weights'!$B$26)+(K240*'Pawn Weights'!$B$27)+(L240*'Pawn Weights'!$B$28)+(M240*'Pawn Weights'!$B$29)+(N240*'Pawn Weights'!$B$30)+(O240*'Pawn Weights'!$B$31)+(P240*'Pawn Weights'!$B$32)+(Q240*'Pawn Weights'!$B$33), 2)</f>
        <v>40.79</v>
      </c>
      <c r="E240" s="298">
        <v>27.0</v>
      </c>
      <c r="F240" s="297"/>
      <c r="G240" s="298">
        <v>24.0</v>
      </c>
      <c r="H240" s="298">
        <v>54.0</v>
      </c>
      <c r="I240" s="297"/>
      <c r="J240" s="297"/>
      <c r="K240" s="297"/>
      <c r="L240" s="297"/>
      <c r="M240" s="137"/>
      <c r="N240" s="297"/>
      <c r="O240" s="297"/>
      <c r="P240" s="297"/>
      <c r="Q240" s="297"/>
      <c r="R240" s="295"/>
      <c r="S240" s="137"/>
      <c r="T240" s="295"/>
      <c r="U240" s="137"/>
      <c r="V240" s="137"/>
      <c r="W240" s="137"/>
      <c r="X240" s="137"/>
      <c r="Y240" s="137"/>
      <c r="Z240" s="137"/>
    </row>
    <row r="241">
      <c r="A241" s="137"/>
      <c r="B241" s="296" t="s">
        <v>1642</v>
      </c>
      <c r="C241" s="297" t="s">
        <v>1643</v>
      </c>
      <c r="D241" s="289">
        <f>ROUND((F241*'Pawn Weights'!$B$22)+(G241*'Pawn Weights'!$B$23)+(H241*'Pawn Weights'!$B$24)+(I241*'Pawn Weights'!$B$25)+(J241*'Pawn Weights'!$B$26)+(K241*'Pawn Weights'!$B$27)+(L241*'Pawn Weights'!$B$28)+(M241*'Pawn Weights'!$B$29)+(N241*'Pawn Weights'!$B$30)+(O241*'Pawn Weights'!$B$31)+(P241*'Pawn Weights'!$B$32)+(Q241*'Pawn Weights'!$B$33), 2)</f>
        <v>39.83</v>
      </c>
      <c r="E241" s="298">
        <v>18.0</v>
      </c>
      <c r="F241" s="298">
        <v>29.0</v>
      </c>
      <c r="G241" s="298">
        <v>16.0</v>
      </c>
      <c r="H241" s="297"/>
      <c r="I241" s="297"/>
      <c r="J241" s="297"/>
      <c r="K241" s="297"/>
      <c r="L241" s="297"/>
      <c r="M241" s="137"/>
      <c r="N241" s="297"/>
      <c r="O241" s="297"/>
      <c r="P241" s="297"/>
      <c r="Q241" s="297"/>
      <c r="R241" s="295"/>
      <c r="S241" s="137"/>
      <c r="T241" s="295"/>
      <c r="U241" s="137"/>
      <c r="V241" s="137"/>
      <c r="W241" s="137"/>
      <c r="X241" s="137"/>
      <c r="Y241" s="137"/>
      <c r="Z241" s="137"/>
    </row>
    <row r="242">
      <c r="A242" s="137"/>
      <c r="B242" s="383" t="s">
        <v>1646</v>
      </c>
      <c r="C242" s="297" t="s">
        <v>1647</v>
      </c>
      <c r="D242" s="289">
        <f>ROUND((F242*'Pawn Weights'!$B$22)+(G242*'Pawn Weights'!$B$23)+(H242*'Pawn Weights'!$B$24)+(I242*'Pawn Weights'!$B$25)+(J242*'Pawn Weights'!$B$26)+(K242*'Pawn Weights'!$B$27)+(L242*'Pawn Weights'!$B$28)+(M242*'Pawn Weights'!$B$29)+(N242*'Pawn Weights'!$B$30)+(O242*'Pawn Weights'!$B$31)+(P242*'Pawn Weights'!$B$32)+(Q242*'Pawn Weights'!$B$33), 2)</f>
        <v>39.68</v>
      </c>
      <c r="E242" s="297"/>
      <c r="F242" s="297"/>
      <c r="G242" s="298">
        <v>15.0</v>
      </c>
      <c r="H242" s="298">
        <v>50.0</v>
      </c>
      <c r="I242" s="297"/>
      <c r="J242" s="298">
        <v>10.0</v>
      </c>
      <c r="K242" s="297"/>
      <c r="L242" s="297"/>
      <c r="M242" s="137"/>
      <c r="N242" s="297"/>
      <c r="O242" s="297"/>
      <c r="P242" s="297"/>
      <c r="Q242" s="297"/>
      <c r="R242" s="295"/>
      <c r="S242" s="137"/>
      <c r="T242" s="295"/>
      <c r="U242" s="137"/>
      <c r="V242" s="137"/>
      <c r="W242" s="137"/>
      <c r="X242" s="137"/>
      <c r="Y242" s="137"/>
      <c r="Z242" s="137"/>
    </row>
    <row r="243">
      <c r="A243" s="137"/>
      <c r="B243" s="383" t="s">
        <v>1644</v>
      </c>
      <c r="C243" s="297" t="s">
        <v>1645</v>
      </c>
      <c r="D243" s="289">
        <f>ROUND((F243*'Pawn Weights'!$B$22)+(G243*'Pawn Weights'!$B$23)+(H243*'Pawn Weights'!$B$24)+(I243*'Pawn Weights'!$B$25)+(J243*'Pawn Weights'!$B$26)+(K243*'Pawn Weights'!$B$27)+(L243*'Pawn Weights'!$B$28)+(M243*'Pawn Weights'!$B$29)+(N243*'Pawn Weights'!$B$30)+(O243*'Pawn Weights'!$B$31)+(P243*'Pawn Weights'!$B$32)+(Q243*'Pawn Weights'!$B$33), 2)</f>
        <v>39.56</v>
      </c>
      <c r="E243" s="298">
        <v>18.0</v>
      </c>
      <c r="F243" s="298">
        <v>23.0</v>
      </c>
      <c r="G243" s="297"/>
      <c r="H243" s="297"/>
      <c r="I243" s="298">
        <v>18.0</v>
      </c>
      <c r="J243" s="297"/>
      <c r="K243" s="297"/>
      <c r="L243" s="297"/>
      <c r="M243" s="137"/>
      <c r="N243" s="297"/>
      <c r="O243" s="297"/>
      <c r="P243" s="297"/>
      <c r="Q243" s="297"/>
      <c r="R243" s="295"/>
      <c r="S243" s="137"/>
      <c r="T243" s="295"/>
      <c r="U243" s="137"/>
      <c r="V243" s="137"/>
      <c r="W243" s="137"/>
      <c r="X243" s="137"/>
      <c r="Y243" s="137"/>
      <c r="Z243" s="137"/>
    </row>
    <row r="244">
      <c r="A244" s="137"/>
      <c r="B244" s="296" t="s">
        <v>1648</v>
      </c>
      <c r="C244" s="297" t="s">
        <v>1649</v>
      </c>
      <c r="D244" s="289">
        <f>ROUND((F244*'Pawn Weights'!$B$22)+(G244*'Pawn Weights'!$B$23)+(H244*'Pawn Weights'!$B$24)+(I244*'Pawn Weights'!$B$25)+(J244*'Pawn Weights'!$B$26)+(K244*'Pawn Weights'!$B$27)+(L244*'Pawn Weights'!$B$28)+(M244*'Pawn Weights'!$B$29)+(N244*'Pawn Weights'!$B$30)+(O244*'Pawn Weights'!$B$31)+(P244*'Pawn Weights'!$B$32)+(Q244*'Pawn Weights'!$B$33), 2)</f>
        <v>39.33</v>
      </c>
      <c r="E244" s="298">
        <v>30.0</v>
      </c>
      <c r="F244" s="297"/>
      <c r="G244" s="297"/>
      <c r="H244" s="298">
        <v>42.0</v>
      </c>
      <c r="I244" s="298">
        <v>22.0</v>
      </c>
      <c r="J244" s="297"/>
      <c r="K244" s="297"/>
      <c r="L244" s="297"/>
      <c r="M244" s="137"/>
      <c r="N244" s="297"/>
      <c r="O244" s="297"/>
      <c r="P244" s="297"/>
      <c r="Q244" s="297"/>
      <c r="R244" s="295"/>
      <c r="S244" s="137"/>
      <c r="T244" s="295"/>
      <c r="U244" s="137"/>
      <c r="V244" s="137"/>
      <c r="W244" s="137"/>
      <c r="X244" s="137"/>
      <c r="Y244" s="137"/>
      <c r="Z244" s="137"/>
    </row>
    <row r="245">
      <c r="A245" s="137"/>
      <c r="B245" s="296" t="s">
        <v>1650</v>
      </c>
      <c r="C245" s="297" t="s">
        <v>1651</v>
      </c>
      <c r="D245" s="289">
        <f>ROUND((F245*'Pawn Weights'!$B$22)+(G245*'Pawn Weights'!$B$23)+(H245*'Pawn Weights'!$B$24)+(I245*'Pawn Weights'!$B$25)+(J245*'Pawn Weights'!$B$26)+(K245*'Pawn Weights'!$B$27)+(L245*'Pawn Weights'!$B$28)+(M245*'Pawn Weights'!$B$29)+(N245*'Pawn Weights'!$B$30)+(O245*'Pawn Weights'!$B$31)+(P245*'Pawn Weights'!$B$32)+(Q245*'Pawn Weights'!$B$33), 2)</f>
        <v>37.65</v>
      </c>
      <c r="E245" s="298">
        <v>24.0</v>
      </c>
      <c r="F245" s="297"/>
      <c r="G245" s="297"/>
      <c r="H245" s="298">
        <v>34.0</v>
      </c>
      <c r="I245" s="298">
        <v>16.0</v>
      </c>
      <c r="J245" s="298">
        <v>11.0</v>
      </c>
      <c r="K245" s="297"/>
      <c r="L245" s="297"/>
      <c r="M245" s="137"/>
      <c r="N245" s="297"/>
      <c r="O245" s="297"/>
      <c r="P245" s="297"/>
      <c r="Q245" s="297"/>
      <c r="R245" s="295"/>
      <c r="S245" s="137"/>
      <c r="T245" s="295"/>
      <c r="U245" s="137"/>
      <c r="V245" s="137"/>
      <c r="W245" s="137"/>
      <c r="X245" s="137"/>
      <c r="Y245" s="137"/>
      <c r="Z245" s="137"/>
    </row>
    <row r="246">
      <c r="A246" s="224" t="s">
        <v>928</v>
      </c>
      <c r="B246" s="312" t="s">
        <v>929</v>
      </c>
      <c r="C246" s="281"/>
      <c r="D246" s="360"/>
      <c r="E246" s="313" t="s">
        <v>607</v>
      </c>
      <c r="F246" s="314" t="s">
        <v>608</v>
      </c>
      <c r="G246" s="314" t="s">
        <v>561</v>
      </c>
      <c r="H246" s="314" t="s">
        <v>930</v>
      </c>
      <c r="I246" s="314" t="s">
        <v>330</v>
      </c>
      <c r="J246" s="314" t="s">
        <v>344</v>
      </c>
      <c r="K246" s="314" t="s">
        <v>356</v>
      </c>
      <c r="L246" s="314" t="s">
        <v>563</v>
      </c>
      <c r="M246" s="314" t="s">
        <v>564</v>
      </c>
      <c r="N246" s="281"/>
      <c r="O246" s="281"/>
      <c r="P246" s="281"/>
      <c r="Q246" s="281"/>
      <c r="R246" s="282"/>
      <c r="S246" s="281"/>
      <c r="T246" s="285"/>
      <c r="U246" s="281"/>
      <c r="V246" s="281"/>
      <c r="W246" s="281"/>
    </row>
    <row r="247">
      <c r="A247" s="292" t="s">
        <v>931</v>
      </c>
      <c r="B247" s="288" t="s">
        <v>932</v>
      </c>
      <c r="C247" s="280" t="s">
        <v>871</v>
      </c>
      <c r="D247" s="301"/>
      <c r="E247" s="280">
        <v>30.0</v>
      </c>
      <c r="F247" s="280"/>
      <c r="G247" s="280"/>
      <c r="H247" s="280"/>
      <c r="I247" s="280"/>
      <c r="J247" s="280"/>
      <c r="K247" s="280"/>
      <c r="L247" s="280"/>
      <c r="M247" s="281"/>
      <c r="N247" s="280"/>
      <c r="O247" s="280"/>
      <c r="P247" s="280"/>
      <c r="Q247" s="280"/>
      <c r="R247" s="290"/>
      <c r="S247" s="281"/>
      <c r="T247" s="291" t="s">
        <v>1118</v>
      </c>
      <c r="U247" s="281"/>
      <c r="V247" s="281"/>
      <c r="W247" s="281"/>
    </row>
    <row r="248">
      <c r="A248" s="295"/>
      <c r="B248" s="296" t="s">
        <v>938</v>
      </c>
      <c r="C248" s="297" t="s">
        <v>939</v>
      </c>
      <c r="D248" s="289">
        <f>ROUND((F248*'Pawn Weights'!$B$22)+(G248*'Pawn Weights'!$B$23)+(H248*'Pawn Weights'!$B$24)+(I248*'Pawn Weights'!$B$25)+(J248*'Pawn Weights'!$B$26)+(K248*'Pawn Weights'!$B$27)+(L248*'Pawn Weights'!$B$28)+(M248*'Pawn Weights'!$B$29)+(N248*'Pawn Weights'!$B$30)+(O248*'Pawn Weights'!$B$31)+(P248*'Pawn Weights'!$B$32)+(Q248*'Pawn Weights'!$B$33), 2)</f>
        <v>95.05</v>
      </c>
      <c r="E248" s="297"/>
      <c r="F248" s="297"/>
      <c r="G248" s="297"/>
      <c r="H248" s="298">
        <v>92.0</v>
      </c>
      <c r="I248" s="297"/>
      <c r="J248" s="297"/>
      <c r="K248" s="297"/>
      <c r="L248" s="298">
        <v>44.0</v>
      </c>
      <c r="M248" s="137"/>
      <c r="N248" s="297"/>
      <c r="O248" s="297"/>
      <c r="P248" s="297"/>
      <c r="Q248" s="297"/>
      <c r="R248" s="295"/>
      <c r="S248" s="137"/>
      <c r="T248" s="297" t="s">
        <v>940</v>
      </c>
      <c r="U248" s="137"/>
      <c r="V248" s="137"/>
      <c r="W248" s="137"/>
      <c r="X248" s="137"/>
      <c r="Y248" s="137"/>
      <c r="Z248" s="137"/>
    </row>
    <row r="249">
      <c r="A249" s="281"/>
      <c r="B249" s="288" t="s">
        <v>936</v>
      </c>
      <c r="C249" s="280" t="s">
        <v>823</v>
      </c>
      <c r="D249" s="289">
        <f>ROUND((F249*'Pawn Weights'!$B$22)+(G249*'Pawn Weights'!$B$23)+(H249*'Pawn Weights'!$B$24)+(I249*'Pawn Weights'!$B$25)+(J249*'Pawn Weights'!$B$26)+(K249*'Pawn Weights'!$B$27)+(L249*'Pawn Weights'!$B$28)+(M249*'Pawn Weights'!$B$29)+(N249*'Pawn Weights'!$B$30)+(O249*'Pawn Weights'!$B$31)+(P249*'Pawn Weights'!$B$32)+(Q249*'Pawn Weights'!$B$33), 2)</f>
        <v>69.08</v>
      </c>
      <c r="E249" s="280"/>
      <c r="F249" s="280"/>
      <c r="G249" s="280"/>
      <c r="H249" s="280">
        <v>40.0</v>
      </c>
      <c r="I249" s="280"/>
      <c r="J249" s="280"/>
      <c r="K249" s="280">
        <v>94.25</v>
      </c>
      <c r="L249" s="280"/>
      <c r="M249" s="281"/>
      <c r="N249" s="280"/>
      <c r="O249" s="280"/>
      <c r="P249" s="280"/>
      <c r="Q249" s="280"/>
      <c r="R249" s="290"/>
      <c r="S249" s="281"/>
      <c r="T249" s="291" t="s">
        <v>1700</v>
      </c>
      <c r="U249" s="281"/>
      <c r="V249" s="281"/>
      <c r="W249" s="281"/>
    </row>
    <row r="250">
      <c r="A250" s="292" t="s">
        <v>949</v>
      </c>
      <c r="B250" s="288" t="s">
        <v>950</v>
      </c>
      <c r="C250" s="280" t="s">
        <v>951</v>
      </c>
      <c r="D250" s="289">
        <f>ROUND((F250*'Pawn Weights'!$B$22)+(G250*'Pawn Weights'!$B$23)+(H250*'Pawn Weights'!$B$24)+(I250*'Pawn Weights'!$B$25)+(J250*'Pawn Weights'!$B$26)+(K250*'Pawn Weights'!$B$27)+(L250*'Pawn Weights'!$B$28)+(M250*'Pawn Weights'!$B$29)+(N250*'Pawn Weights'!$B$30)+(O250*'Pawn Weights'!$B$31)+(P250*'Pawn Weights'!$B$32)+(Q250*'Pawn Weights'!$B$33), 2)</f>
        <v>68.18</v>
      </c>
      <c r="E250" s="280"/>
      <c r="F250" s="280"/>
      <c r="G250" s="280"/>
      <c r="H250" s="280">
        <v>150.0</v>
      </c>
      <c r="I250" s="280"/>
      <c r="J250" s="280"/>
      <c r="K250" s="280"/>
      <c r="L250" s="280"/>
      <c r="M250" s="281"/>
      <c r="N250" s="280"/>
      <c r="O250" s="280"/>
      <c r="P250" s="280"/>
      <c r="Q250" s="280"/>
      <c r="R250" s="290"/>
      <c r="S250" s="281"/>
      <c r="T250" s="291" t="s">
        <v>952</v>
      </c>
      <c r="U250" s="281"/>
      <c r="V250" s="281"/>
      <c r="W250" s="281"/>
    </row>
    <row r="251">
      <c r="A251" s="281"/>
      <c r="B251" s="288" t="s">
        <v>956</v>
      </c>
      <c r="C251" s="280" t="s">
        <v>957</v>
      </c>
      <c r="D251" s="289">
        <f>ROUND((F251*'Pawn Weights'!$B$22)+(G251*'Pawn Weights'!$B$23)+(H251*'Pawn Weights'!$B$24)+(I251*'Pawn Weights'!$B$25)+(J251*'Pawn Weights'!$B$26)+(K251*'Pawn Weights'!$B$27)+(L251*'Pawn Weights'!$B$28)+(M251*'Pawn Weights'!$B$29)+(N251*'Pawn Weights'!$B$30)+(O251*'Pawn Weights'!$B$31)+(P251*'Pawn Weights'!$B$32)+(Q251*'Pawn Weights'!$B$33), 2)</f>
        <v>61.76</v>
      </c>
      <c r="E251" s="280"/>
      <c r="F251" s="280"/>
      <c r="G251" s="280"/>
      <c r="H251" s="280">
        <v>44.0</v>
      </c>
      <c r="I251" s="280">
        <v>38.0</v>
      </c>
      <c r="J251" s="280">
        <v>10.0</v>
      </c>
      <c r="K251" s="280"/>
      <c r="L251" s="280"/>
      <c r="M251" s="281"/>
      <c r="N251" s="280"/>
      <c r="O251" s="280"/>
      <c r="P251" s="280"/>
      <c r="Q251" s="280"/>
      <c r="R251" s="290"/>
      <c r="S251" s="281"/>
      <c r="T251" s="291" t="s">
        <v>958</v>
      </c>
      <c r="U251" s="281"/>
      <c r="V251" s="281"/>
      <c r="W251" s="281"/>
    </row>
    <row r="252">
      <c r="A252" s="137" t="s">
        <v>627</v>
      </c>
      <c r="B252" s="296" t="s">
        <v>953</v>
      </c>
      <c r="C252" s="297" t="s">
        <v>954</v>
      </c>
      <c r="D252" s="289">
        <f>ROUND((F252*'Pawn Weights'!$B$22)+(G252*'Pawn Weights'!$B$23)+(H252*'Pawn Weights'!$B$24)+(I252*'Pawn Weights'!$B$25)+(J252*'Pawn Weights'!$B$26)+(K252*'Pawn Weights'!$B$27)+(L252*'Pawn Weights'!$B$28)+(M252*'Pawn Weights'!$B$29)+(N252*'Pawn Weights'!$B$30)+(O252*'Pawn Weights'!$B$31)+(P252*'Pawn Weights'!$B$32)+(Q252*'Pawn Weights'!$B$33), 2)</f>
        <v>60.6</v>
      </c>
      <c r="E252" s="295"/>
      <c r="F252" s="295"/>
      <c r="G252" s="295"/>
      <c r="H252" s="298">
        <v>133.33</v>
      </c>
      <c r="I252" s="295"/>
      <c r="J252" s="295"/>
      <c r="K252" s="295"/>
      <c r="L252" s="295"/>
      <c r="M252" s="137"/>
      <c r="N252" s="295"/>
      <c r="O252" s="295"/>
      <c r="P252" s="295"/>
      <c r="Q252" s="295"/>
      <c r="R252" s="295"/>
      <c r="S252" s="137"/>
      <c r="T252" s="297" t="s">
        <v>955</v>
      </c>
      <c r="U252" s="137"/>
      <c r="V252" s="137"/>
      <c r="W252" s="137"/>
      <c r="X252" s="137"/>
      <c r="Y252" s="137"/>
      <c r="Z252" s="137"/>
    </row>
    <row r="253">
      <c r="A253" s="281"/>
      <c r="B253" s="288" t="s">
        <v>959</v>
      </c>
      <c r="C253" s="154" t="s">
        <v>960</v>
      </c>
      <c r="D253" s="289">
        <f>ROUND((F253*'Pawn Weights'!$B$22)+(G253*'Pawn Weights'!$B$23)+(H253*'Pawn Weights'!$B$24)+(I253*'Pawn Weights'!$B$25)+(J253*'Pawn Weights'!$B$26)+(K253*'Pawn Weights'!$B$27)+(L253*'Pawn Weights'!$B$28)+(M253*'Pawn Weights'!$B$29)+(N253*'Pawn Weights'!$B$30)+(O253*'Pawn Weights'!$B$31)+(P253*'Pawn Weights'!$B$32)+(Q253*'Pawn Weights'!$B$33), 2)</f>
        <v>54.54</v>
      </c>
      <c r="E253" s="280"/>
      <c r="F253" s="280"/>
      <c r="G253" s="280"/>
      <c r="H253" s="280">
        <v>120.0</v>
      </c>
      <c r="I253" s="280"/>
      <c r="J253" s="280"/>
      <c r="K253" s="280"/>
      <c r="L253" s="280"/>
      <c r="M253" s="280"/>
      <c r="N253" s="280"/>
      <c r="O253" s="280"/>
      <c r="P253" s="280"/>
      <c r="Q253" s="280"/>
      <c r="R253" s="290"/>
      <c r="S253" s="281"/>
      <c r="T253" s="291" t="s">
        <v>961</v>
      </c>
      <c r="U253" s="281"/>
      <c r="V253" s="281"/>
      <c r="W253" s="281"/>
      <c r="X253" s="281"/>
    </row>
    <row r="254">
      <c r="A254" s="281"/>
      <c r="B254" s="288" t="s">
        <v>962</v>
      </c>
      <c r="C254" s="280" t="s">
        <v>963</v>
      </c>
      <c r="D254" s="289">
        <f>ROUND((F254*'Pawn Weights'!$B$22)+(G254*'Pawn Weights'!$B$23)+(H254*'Pawn Weights'!$B$24)+(I254*'Pawn Weights'!$B$25)+(J254*'Pawn Weights'!$B$26)+(K254*'Pawn Weights'!$B$27)+(L254*'Pawn Weights'!$B$28)+(M254*'Pawn Weights'!$B$29)+(N254*'Pawn Weights'!$B$30)+(O254*'Pawn Weights'!$B$31)+(P254*'Pawn Weights'!$B$32)+(Q254*'Pawn Weights'!$B$33), 2)</f>
        <v>53.63</v>
      </c>
      <c r="E254" s="280"/>
      <c r="F254" s="280"/>
      <c r="G254" s="280"/>
      <c r="H254" s="280">
        <v>118.0</v>
      </c>
      <c r="I254" s="280"/>
      <c r="J254" s="280"/>
      <c r="K254" s="280"/>
      <c r="L254" s="280"/>
      <c r="M254" s="280"/>
      <c r="N254" s="280"/>
      <c r="O254" s="280"/>
      <c r="P254" s="280"/>
      <c r="Q254" s="280"/>
      <c r="R254" s="290"/>
      <c r="S254" s="281"/>
      <c r="T254" s="291" t="s">
        <v>964</v>
      </c>
      <c r="U254" s="281"/>
      <c r="V254" s="281"/>
      <c r="W254" s="281"/>
      <c r="X254" s="281"/>
    </row>
    <row r="255">
      <c r="A255" s="292" t="s">
        <v>965</v>
      </c>
      <c r="B255" s="288" t="s">
        <v>966</v>
      </c>
      <c r="C255" s="280" t="s">
        <v>967</v>
      </c>
      <c r="D255" s="289">
        <f>ROUND((F255*'Pawn Weights'!$B$22)+(G255*'Pawn Weights'!$B$23)+(H255*'Pawn Weights'!$B$24)+(I255*'Pawn Weights'!$B$25)+(J255*'Pawn Weights'!$B$26)+(K255*'Pawn Weights'!$B$27)+(L255*'Pawn Weights'!$B$28)+(M255*'Pawn Weights'!$B$29)+(N255*'Pawn Weights'!$B$30)+(O255*'Pawn Weights'!$B$31)+(P255*'Pawn Weights'!$B$32)+(Q255*'Pawn Weights'!$B$33), 2)</f>
        <v>48.63</v>
      </c>
      <c r="E255" s="280"/>
      <c r="F255" s="280"/>
      <c r="G255" s="280"/>
      <c r="H255" s="280">
        <v>107.0</v>
      </c>
      <c r="I255" s="280"/>
      <c r="J255" s="280"/>
      <c r="K255" s="280"/>
      <c r="L255" s="280"/>
      <c r="M255" s="281"/>
      <c r="N255" s="280"/>
      <c r="O255" s="280"/>
      <c r="P255" s="280"/>
      <c r="Q255" s="280"/>
      <c r="R255" s="290"/>
      <c r="S255" s="281"/>
      <c r="T255" s="291" t="s">
        <v>968</v>
      </c>
      <c r="U255" s="281"/>
      <c r="V255" s="281"/>
      <c r="W255" s="281"/>
    </row>
    <row r="256">
      <c r="A256" s="281"/>
      <c r="B256" s="311" t="s">
        <v>969</v>
      </c>
      <c r="C256" s="280" t="s">
        <v>970</v>
      </c>
      <c r="D256" s="289">
        <f>ROUND((F256*'Pawn Weights'!$B$22)+(G256*'Pawn Weights'!$B$23)+(H256*'Pawn Weights'!$B$24)+(I256*'Pawn Weights'!$B$25)+(J256*'Pawn Weights'!$B$26)+(K256*'Pawn Weights'!$B$27)+(L256*'Pawn Weights'!$B$28)+(M256*'Pawn Weights'!$B$29)+(N256*'Pawn Weights'!$B$30)+(O256*'Pawn Weights'!$B$31)+(P256*'Pawn Weights'!$B$32)+(Q256*'Pawn Weights'!$B$33), 2)</f>
        <v>47.17</v>
      </c>
      <c r="E256" s="280"/>
      <c r="F256" s="280"/>
      <c r="G256" s="280"/>
      <c r="H256" s="280">
        <v>39.0</v>
      </c>
      <c r="I256" s="280">
        <v>32.0</v>
      </c>
      <c r="J256" s="280"/>
      <c r="K256" s="280"/>
      <c r="L256" s="280"/>
      <c r="M256" s="280"/>
      <c r="N256" s="280"/>
      <c r="O256" s="280"/>
      <c r="P256" s="280"/>
      <c r="Q256" s="280"/>
      <c r="R256" s="290"/>
      <c r="S256" s="281"/>
      <c r="T256" s="291" t="s">
        <v>971</v>
      </c>
      <c r="U256" s="281"/>
      <c r="V256" s="281"/>
      <c r="W256" s="281"/>
      <c r="X256" s="281"/>
    </row>
    <row r="257">
      <c r="A257" s="137"/>
      <c r="B257" s="383" t="s">
        <v>1357</v>
      </c>
      <c r="C257" s="297" t="s">
        <v>1358</v>
      </c>
      <c r="D257" s="289">
        <f>ROUND((F257*'Pawn Weights'!$B$22)+(G257*'Pawn Weights'!$B$23)+(H257*'Pawn Weights'!$B$24)+(I257*'Pawn Weights'!$B$25)+(J257*'Pawn Weights'!$B$26)+(K257*'Pawn Weights'!$B$27)+(L257*'Pawn Weights'!$B$28)+(M257*'Pawn Weights'!$B$29)+(N257*'Pawn Weights'!$B$30)+(O257*'Pawn Weights'!$B$31)+(P257*'Pawn Weights'!$B$32)+(Q257*'Pawn Weights'!$B$33), 2)</f>
        <v>40.78</v>
      </c>
      <c r="E257" s="297"/>
      <c r="F257" s="297"/>
      <c r="G257" s="297"/>
      <c r="H257" s="298">
        <v>64.0</v>
      </c>
      <c r="I257" s="297"/>
      <c r="J257" s="297"/>
      <c r="K257" s="298">
        <v>21.65</v>
      </c>
      <c r="L257" s="297"/>
      <c r="M257" s="295"/>
      <c r="N257" s="297"/>
      <c r="O257" s="297"/>
      <c r="P257" s="297"/>
      <c r="Q257" s="297"/>
      <c r="R257" s="295"/>
      <c r="S257" s="137"/>
      <c r="T257" s="295"/>
      <c r="U257" s="361" t="s">
        <v>1359</v>
      </c>
      <c r="V257" s="137"/>
      <c r="W257" s="137"/>
      <c r="X257" s="137"/>
      <c r="Y257" s="137"/>
      <c r="Z257" s="137"/>
    </row>
    <row r="258">
      <c r="A258" s="137" t="s">
        <v>965</v>
      </c>
      <c r="B258" s="296" t="s">
        <v>1658</v>
      </c>
      <c r="C258" s="297" t="s">
        <v>1659</v>
      </c>
      <c r="D258" s="289">
        <f>ROUND((F258*'Pawn Weights'!$B$22)+(G258*'Pawn Weights'!$B$23)+(H258*'Pawn Weights'!$B$24)+(I258*'Pawn Weights'!$B$25)+(J258*'Pawn Weights'!$B$26)+(K258*'Pawn Weights'!$B$27)+(L258*'Pawn Weights'!$B$28)+(M258*'Pawn Weights'!$B$29)+(N258*'Pawn Weights'!$B$30)+(O258*'Pawn Weights'!$B$31)+(P258*'Pawn Weights'!$B$32)+(Q258*'Pawn Weights'!$B$33), 2)</f>
        <v>39.05</v>
      </c>
      <c r="E258" s="297"/>
      <c r="F258" s="297"/>
      <c r="G258" s="297"/>
      <c r="H258" s="298">
        <v>56.0</v>
      </c>
      <c r="I258" s="297"/>
      <c r="J258" s="298">
        <v>20.0</v>
      </c>
      <c r="K258" s="297"/>
      <c r="L258" s="297"/>
      <c r="M258" s="295"/>
      <c r="N258" s="297"/>
      <c r="O258" s="297"/>
      <c r="P258" s="297"/>
      <c r="Q258" s="297"/>
      <c r="R258" s="295"/>
      <c r="S258" s="137"/>
      <c r="T258" s="295"/>
      <c r="U258" s="361" t="s">
        <v>1660</v>
      </c>
      <c r="V258" s="137"/>
      <c r="W258" s="137"/>
      <c r="X258" s="137"/>
      <c r="Y258" s="137"/>
      <c r="Z258" s="137"/>
    </row>
    <row r="259">
      <c r="A259" s="137"/>
      <c r="B259" s="383" t="s">
        <v>1652</v>
      </c>
      <c r="C259" s="297" t="s">
        <v>1653</v>
      </c>
      <c r="D259" s="289">
        <f>ROUND((F259*'Pawn Weights'!$B$22)+(G259*'Pawn Weights'!$B$23)+(H259*'Pawn Weights'!$B$24)+(I259*'Pawn Weights'!$B$25)+(J259*'Pawn Weights'!$B$26)+(K259*'Pawn Weights'!$B$27)+(L259*'Pawn Weights'!$B$28)+(M259*'Pawn Weights'!$B$29)+(N259*'Pawn Weights'!$B$30)+(O259*'Pawn Weights'!$B$31)+(P259*'Pawn Weights'!$B$32)+(Q259*'Pawn Weights'!$B$33), 2)</f>
        <v>38.92</v>
      </c>
      <c r="E259" s="297"/>
      <c r="F259" s="297"/>
      <c r="G259" s="297"/>
      <c r="H259" s="298">
        <v>33.0</v>
      </c>
      <c r="I259" s="298">
        <v>26.0</v>
      </c>
      <c r="J259" s="297"/>
      <c r="K259" s="297"/>
      <c r="L259" s="297"/>
      <c r="M259" s="295"/>
      <c r="N259" s="297"/>
      <c r="O259" s="297"/>
      <c r="P259" s="297"/>
      <c r="Q259" s="297"/>
      <c r="R259" s="295"/>
      <c r="S259" s="137"/>
      <c r="T259" s="295"/>
      <c r="U259" s="361" t="s">
        <v>1654</v>
      </c>
      <c r="V259" s="137"/>
      <c r="W259" s="137"/>
      <c r="X259" s="137"/>
      <c r="Y259" s="137"/>
      <c r="Z259" s="137"/>
    </row>
    <row r="260">
      <c r="A260" s="137"/>
      <c r="B260" s="431" t="s">
        <v>1655</v>
      </c>
      <c r="C260" s="297" t="s">
        <v>1656</v>
      </c>
      <c r="D260" s="289">
        <f>ROUND((F260*'Pawn Weights'!$B$22)+(G260*'Pawn Weights'!$B$23)+(H260*'Pawn Weights'!$B$24)+(I260*'Pawn Weights'!$B$25)+(J260*'Pawn Weights'!$B$26)+(K260*'Pawn Weights'!$B$27)+(L260*'Pawn Weights'!$B$28)+(M260*'Pawn Weights'!$B$29)+(N260*'Pawn Weights'!$B$30)+(O260*'Pawn Weights'!$B$31)+(P260*'Pawn Weights'!$B$32)+(Q260*'Pawn Weights'!$B$33), 2)</f>
        <v>38.63</v>
      </c>
      <c r="E260" s="297"/>
      <c r="F260" s="297"/>
      <c r="G260" s="297"/>
      <c r="H260" s="298">
        <v>85.0</v>
      </c>
      <c r="I260" s="297"/>
      <c r="J260" s="297"/>
      <c r="K260" s="297"/>
      <c r="L260" s="297"/>
      <c r="M260" s="295"/>
      <c r="N260" s="297"/>
      <c r="O260" s="297"/>
      <c r="P260" s="297"/>
      <c r="Q260" s="297"/>
      <c r="R260" s="295"/>
      <c r="S260" s="137"/>
      <c r="T260" s="295"/>
      <c r="U260" s="361" t="s">
        <v>1657</v>
      </c>
      <c r="V260" s="137"/>
      <c r="W260" s="137"/>
      <c r="X260" s="137"/>
      <c r="Y260" s="137"/>
      <c r="Z260" s="137"/>
    </row>
    <row r="261">
      <c r="A261" s="137"/>
      <c r="B261" s="383" t="s">
        <v>1664</v>
      </c>
      <c r="C261" s="297" t="s">
        <v>1665</v>
      </c>
      <c r="D261" s="289">
        <f>ROUND((F261*'Pawn Weights'!$B$22)+(G261*'Pawn Weights'!$B$23)+(H261*'Pawn Weights'!$B$24)+(I261*'Pawn Weights'!$B$25)+(J261*'Pawn Weights'!$B$26)+(K261*'Pawn Weights'!$B$27)+(L261*'Pawn Weights'!$B$28)+(M261*'Pawn Weights'!$B$29)+(N261*'Pawn Weights'!$B$30)+(O261*'Pawn Weights'!$B$31)+(P261*'Pawn Weights'!$B$32)+(Q261*'Pawn Weights'!$B$33), 2)</f>
        <v>35.4</v>
      </c>
      <c r="E261" s="297"/>
      <c r="F261" s="297"/>
      <c r="G261" s="297"/>
      <c r="H261" s="297"/>
      <c r="I261" s="297"/>
      <c r="J261" s="298">
        <v>30.0</v>
      </c>
      <c r="K261" s="297"/>
      <c r="L261" s="297"/>
      <c r="M261" s="298">
        <v>100.0</v>
      </c>
      <c r="N261" s="297"/>
      <c r="O261" s="297"/>
      <c r="P261" s="297"/>
      <c r="Q261" s="297"/>
      <c r="R261" s="295"/>
      <c r="S261" s="137"/>
      <c r="T261" s="295"/>
      <c r="U261" s="361" t="s">
        <v>1666</v>
      </c>
      <c r="V261" s="137"/>
      <c r="W261" s="137"/>
      <c r="X261" s="137"/>
      <c r="Y261" s="137"/>
      <c r="Z261" s="137"/>
    </row>
    <row r="262">
      <c r="A262" s="137" t="s">
        <v>965</v>
      </c>
      <c r="B262" s="296" t="s">
        <v>1661</v>
      </c>
      <c r="C262" s="297" t="s">
        <v>1662</v>
      </c>
      <c r="D262" s="289">
        <f>ROUND((F262*'Pawn Weights'!$B$22)+(G262*'Pawn Weights'!$B$23)+(H262*'Pawn Weights'!$B$24)+(I262*'Pawn Weights'!$B$25)+(J262*'Pawn Weights'!$B$26)+(K262*'Pawn Weights'!$B$27)+(L262*'Pawn Weights'!$B$28)+(M262*'Pawn Weights'!$B$29)+(N262*'Pawn Weights'!$B$30)+(O262*'Pawn Weights'!$B$31)+(P262*'Pawn Weights'!$B$32)+(Q262*'Pawn Weights'!$B$33), 2)</f>
        <v>33.18</v>
      </c>
      <c r="E262" s="297"/>
      <c r="F262" s="297"/>
      <c r="G262" s="297"/>
      <c r="H262" s="297"/>
      <c r="I262" s="298">
        <v>14.0</v>
      </c>
      <c r="J262" s="298">
        <v>10.0</v>
      </c>
      <c r="K262" s="298">
        <v>25.0</v>
      </c>
      <c r="L262" s="297"/>
      <c r="M262" s="295"/>
      <c r="N262" s="297"/>
      <c r="O262" s="297"/>
      <c r="P262" s="297"/>
      <c r="Q262" s="297"/>
      <c r="R262" s="295"/>
      <c r="S262" s="137"/>
      <c r="T262" s="295"/>
      <c r="U262" s="361" t="s">
        <v>1663</v>
      </c>
      <c r="V262" s="137"/>
      <c r="W262" s="137"/>
      <c r="X262" s="137"/>
      <c r="Y262" s="137"/>
      <c r="Z262" s="137"/>
    </row>
    <row r="263">
      <c r="A263" s="272" t="s">
        <v>972</v>
      </c>
      <c r="B263" s="281"/>
      <c r="C263" s="281"/>
      <c r="D263" s="301"/>
      <c r="E263" s="281"/>
      <c r="F263" s="281"/>
      <c r="G263" s="281"/>
      <c r="H263" s="281"/>
      <c r="I263" s="281"/>
      <c r="J263" s="281"/>
      <c r="K263" s="281"/>
      <c r="L263" s="281"/>
      <c r="M263" s="281"/>
      <c r="N263" s="281"/>
      <c r="O263" s="281"/>
      <c r="P263" s="281"/>
      <c r="Q263" s="281"/>
      <c r="R263" s="282"/>
      <c r="S263" s="281"/>
      <c r="T263" s="285"/>
      <c r="U263" s="281"/>
      <c r="V263" s="281"/>
      <c r="W263" s="281"/>
    </row>
    <row r="264">
      <c r="A264" s="137"/>
      <c r="B264" s="341" t="s">
        <v>979</v>
      </c>
      <c r="C264" s="361" t="s">
        <v>980</v>
      </c>
      <c r="D264" s="289">
        <f>ROUND((F264*'Pawn Weights'!$B$22)+(G264*'Pawn Weights'!$B$23)+(H264*'Pawn Weights'!$B$24)+(I264*'Pawn Weights'!$B$25)+(J264*'Pawn Weights'!$B$26)+(K264*'Pawn Weights'!$B$27)+(L264*'Pawn Weights'!$B$28)+(M264*'Pawn Weights'!$B$29)+(N264*'Pawn Weights'!$B$30)+(O264*'Pawn Weights'!$B$31)+(P264*'Pawn Weights'!$B$32)+(Q264*'Pawn Weights'!$B$33), 2)</f>
        <v>40.62</v>
      </c>
      <c r="E264" s="137"/>
      <c r="F264" s="137"/>
      <c r="G264" s="137"/>
      <c r="H264" s="359">
        <v>32.0</v>
      </c>
      <c r="I264" s="359">
        <v>18.0</v>
      </c>
      <c r="J264" s="359">
        <v>14.0</v>
      </c>
      <c r="K264" s="137"/>
      <c r="L264" s="137"/>
      <c r="M264" s="137"/>
      <c r="N264" s="137"/>
      <c r="O264" s="137"/>
      <c r="P264" s="137"/>
      <c r="Q264" s="137"/>
      <c r="R264" s="137"/>
      <c r="S264" s="137"/>
      <c r="T264" s="137"/>
      <c r="U264" s="137"/>
      <c r="V264" s="137"/>
      <c r="W264" s="137"/>
      <c r="X264" s="137"/>
      <c r="Y264" s="137"/>
      <c r="Z264" s="137"/>
    </row>
    <row r="265">
      <c r="A265" s="137" t="s">
        <v>671</v>
      </c>
      <c r="B265" s="341" t="s">
        <v>985</v>
      </c>
      <c r="C265" s="361" t="s">
        <v>637</v>
      </c>
      <c r="D265" s="289">
        <f>ROUND((F265*'Pawn Weights'!$B$22)+(G265*'Pawn Weights'!$B$23)+(H265*'Pawn Weights'!$B$24)+(I265*'Pawn Weights'!$B$25)+(J265*'Pawn Weights'!$B$26)+(K265*'Pawn Weights'!$B$27)+(L265*'Pawn Weights'!$B$28)+(M265*'Pawn Weights'!$B$29)+(N265*'Pawn Weights'!$B$30)+(O265*'Pawn Weights'!$B$31)+(P265*'Pawn Weights'!$B$32)+(Q265*'Pawn Weights'!$B$33), 2)</f>
        <v>32.01</v>
      </c>
      <c r="E265" s="359">
        <v>27.0</v>
      </c>
      <c r="F265" s="137"/>
      <c r="G265" s="137"/>
      <c r="H265" s="359">
        <v>34.0</v>
      </c>
      <c r="I265" s="359">
        <v>18.0</v>
      </c>
      <c r="J265" s="137"/>
      <c r="K265" s="137"/>
      <c r="L265" s="137"/>
      <c r="M265" s="137"/>
      <c r="N265" s="137"/>
      <c r="O265" s="137"/>
      <c r="P265" s="137"/>
      <c r="Q265" s="137"/>
      <c r="R265" s="137"/>
      <c r="S265" s="137"/>
      <c r="T265" s="361" t="s">
        <v>986</v>
      </c>
      <c r="U265" s="137"/>
      <c r="V265" s="137"/>
      <c r="W265" s="137"/>
      <c r="X265" s="137"/>
      <c r="Y265" s="137"/>
      <c r="Z265" s="137"/>
    </row>
    <row r="266">
      <c r="A266" s="281"/>
      <c r="B266" s="288" t="s">
        <v>987</v>
      </c>
      <c r="C266" s="280" t="s">
        <v>649</v>
      </c>
      <c r="D266" s="289">
        <f>ROUND((F266*'Pawn Weights'!$B$22)+(G266*'Pawn Weights'!$B$23)+(H266*'Pawn Weights'!$B$24)+(I266*'Pawn Weights'!$B$25)+(J266*'Pawn Weights'!$B$26)+(K266*'Pawn Weights'!$B$27)+(L266*'Pawn Weights'!$B$28)+(M266*'Pawn Weights'!$B$29)+(N266*'Pawn Weights'!$B$30)+(O266*'Pawn Weights'!$B$31)+(P266*'Pawn Weights'!$B$32)+(Q266*'Pawn Weights'!$B$33), 2)</f>
        <v>31.99</v>
      </c>
      <c r="E266" s="280">
        <v>17.0</v>
      </c>
      <c r="F266" s="280"/>
      <c r="G266" s="280"/>
      <c r="H266" s="280">
        <v>38.0</v>
      </c>
      <c r="I266" s="280">
        <v>16.0</v>
      </c>
      <c r="J266" s="280"/>
      <c r="K266" s="320"/>
      <c r="L266" s="320"/>
      <c r="M266" s="281"/>
      <c r="N266" s="320"/>
      <c r="O266" s="280"/>
      <c r="P266" s="320"/>
      <c r="Q266" s="320"/>
      <c r="R266" s="290"/>
      <c r="S266" s="281"/>
      <c r="T266" s="291"/>
      <c r="U266" s="281"/>
      <c r="V266" s="281"/>
      <c r="W266" s="281"/>
    </row>
    <row r="267">
      <c r="A267" s="281"/>
      <c r="B267" s="288" t="s">
        <v>981</v>
      </c>
      <c r="C267" s="280" t="s">
        <v>982</v>
      </c>
      <c r="D267" s="289">
        <f>ROUND((F267*'Pawn Weights'!$B$22)+(G267*'Pawn Weights'!$B$23)+(H267*'Pawn Weights'!$B$24)+(I267*'Pawn Weights'!$B$25)+(J267*'Pawn Weights'!$B$26)+(K267*'Pawn Weights'!$B$27)+(L267*'Pawn Weights'!$B$28)+(M267*'Pawn Weights'!$B$29)+(N267*'Pawn Weights'!$B$30)+(O267*'Pawn Weights'!$B$31)+(P267*'Pawn Weights'!$B$32)+(Q267*'Pawn Weights'!$B$33)+2.76, 2)</f>
        <v>29.59</v>
      </c>
      <c r="E267" s="280"/>
      <c r="F267" s="280"/>
      <c r="G267" s="280">
        <v>16.0</v>
      </c>
      <c r="H267" s="280"/>
      <c r="I267" s="280"/>
      <c r="J267" s="280"/>
      <c r="K267" s="320"/>
      <c r="L267" s="320"/>
      <c r="M267" s="281"/>
      <c r="N267" s="320"/>
      <c r="O267" s="280">
        <v>2.0</v>
      </c>
      <c r="P267" s="320"/>
      <c r="Q267" s="320"/>
      <c r="R267" s="290" t="s">
        <v>702</v>
      </c>
      <c r="S267" s="281"/>
      <c r="T267" s="291"/>
      <c r="U267" s="281"/>
      <c r="V267" s="281"/>
      <c r="W267" s="281"/>
    </row>
    <row r="268" ht="14.25" customHeight="1">
      <c r="A268" s="219" t="s">
        <v>991</v>
      </c>
      <c r="B268" s="288" t="s">
        <v>992</v>
      </c>
      <c r="C268" s="154" t="s">
        <v>646</v>
      </c>
      <c r="D268" s="289">
        <f>ROUND((F268*'Pawn Weights'!$B$22)+(G268*'Pawn Weights'!$B$23)+(H268*'Pawn Weights'!$B$24)+(I268*'Pawn Weights'!$B$25)+(J268*'Pawn Weights'!$B$26)+(K268*'Pawn Weights'!$B$27)+(L268*'Pawn Weights'!$B$28)+(M268*'Pawn Weights'!$B$29)+(N268*'Pawn Weights'!$B$30)+(O268*'Pawn Weights'!$B$31)+(P268*'Pawn Weights'!$B$32)+(Q268*'Pawn Weights'!$B$33), 2)</f>
        <v>29.28</v>
      </c>
      <c r="E268" s="280">
        <v>24.0</v>
      </c>
      <c r="F268" s="280"/>
      <c r="G268" s="280"/>
      <c r="H268" s="280">
        <v>30.0</v>
      </c>
      <c r="I268" s="280">
        <v>17.0</v>
      </c>
      <c r="J268" s="280"/>
      <c r="K268" s="280"/>
      <c r="L268" s="280"/>
      <c r="M268" s="281"/>
      <c r="N268" s="280"/>
      <c r="O268" s="280"/>
      <c r="P268" s="280"/>
      <c r="Q268" s="280"/>
      <c r="R268" s="290"/>
      <c r="S268" s="281"/>
      <c r="T268" s="291" t="s">
        <v>986</v>
      </c>
      <c r="U268" s="281"/>
      <c r="V268" s="281"/>
      <c r="W268" s="281"/>
    </row>
    <row r="269">
      <c r="A269" s="281"/>
      <c r="B269" s="288" t="s">
        <v>994</v>
      </c>
      <c r="C269" s="280" t="s">
        <v>656</v>
      </c>
      <c r="D269" s="289">
        <f>ROUND((F269*'Pawn Weights'!$B$22)+(G269*'Pawn Weights'!$B$23)+(H269*'Pawn Weights'!$B$24)+(I269*'Pawn Weights'!$B$25)+(J269*'Pawn Weights'!$B$26)+(K269*'Pawn Weights'!$B$27)+(L269*'Pawn Weights'!$B$28)+(M269*'Pawn Weights'!$B$29)+(N269*'Pawn Weights'!$B$30)+(O269*'Pawn Weights'!$B$31)+(P269*'Pawn Weights'!$B$32)+(Q269*'Pawn Weights'!$B$33), 2)</f>
        <v>28.32</v>
      </c>
      <c r="E269" s="280"/>
      <c r="F269" s="280"/>
      <c r="G269" s="280">
        <v>19.0</v>
      </c>
      <c r="H269" s="280">
        <v>34.0</v>
      </c>
      <c r="I269" s="280"/>
      <c r="J269" s="280"/>
      <c r="K269" s="320"/>
      <c r="L269" s="320"/>
      <c r="M269" s="281"/>
      <c r="N269" s="320"/>
      <c r="O269" s="320"/>
      <c r="P269" s="320"/>
      <c r="Q269" s="320"/>
      <c r="R269" s="321"/>
      <c r="S269" s="281"/>
      <c r="T269" s="291"/>
      <c r="U269" s="281"/>
      <c r="V269" s="281"/>
      <c r="W269" s="281"/>
    </row>
    <row r="270" ht="14.25" customHeight="1">
      <c r="A270" s="219" t="s">
        <v>995</v>
      </c>
      <c r="B270" s="288" t="s">
        <v>996</v>
      </c>
      <c r="C270" s="154" t="s">
        <v>997</v>
      </c>
      <c r="D270" s="289">
        <f>ROUND((F270*'Pawn Weights'!$B$22)+(G270*'Pawn Weights'!$B$23)+(H270*'Pawn Weights'!$B$24)+(I270*'Pawn Weights'!$B$25)+(J270*'Pawn Weights'!$B$26)+(K270*'Pawn Weights'!$B$27)+(L270*'Pawn Weights'!$B$28)+(M270*'Pawn Weights'!$B$29)+(N270*'Pawn Weights'!$B$30)+(O270*'Pawn Weights'!$B$31)+(P270*'Pawn Weights'!$B$32)+(Q270*'Pawn Weights'!$B$33), 2)</f>
        <v>27.45</v>
      </c>
      <c r="E270" s="280">
        <v>21.0</v>
      </c>
      <c r="F270" s="280"/>
      <c r="G270" s="280"/>
      <c r="H270" s="280">
        <v>28.0</v>
      </c>
      <c r="I270" s="280">
        <v>16.0</v>
      </c>
      <c r="J270" s="280"/>
      <c r="K270" s="280"/>
      <c r="L270" s="280"/>
      <c r="M270" s="281"/>
      <c r="N270" s="280"/>
      <c r="O270" s="280"/>
      <c r="P270" s="280"/>
      <c r="Q270" s="280"/>
      <c r="R270" s="290"/>
      <c r="S270" s="281"/>
      <c r="T270" s="291" t="s">
        <v>986</v>
      </c>
      <c r="U270" s="281"/>
      <c r="V270" s="281"/>
      <c r="W270" s="281"/>
    </row>
    <row r="271">
      <c r="B271" s="322" t="s">
        <v>998</v>
      </c>
      <c r="C271" s="154" t="s">
        <v>999</v>
      </c>
      <c r="D271" s="289">
        <f>ROUND((F271*'Pawn Weights'!$B$22)+(G271*'Pawn Weights'!$B$23)+(H271*'Pawn Weights'!$B$24)+(I271*'Pawn Weights'!$B$25)+(J271*'Pawn Weights'!$B$26)+(K271*'Pawn Weights'!$B$27)+(L271*'Pawn Weights'!$B$28)+(M271*'Pawn Weights'!$B$29)+(N271*'Pawn Weights'!$B$30)+(O271*'Pawn Weights'!$B$31)+(P271*'Pawn Weights'!$B$32)+(Q271*'Pawn Weights'!$B$33), 2)</f>
        <v>26.83</v>
      </c>
      <c r="E271" s="280"/>
      <c r="F271" s="280"/>
      <c r="G271" s="280">
        <v>10.0</v>
      </c>
      <c r="H271" s="280">
        <v>32.0</v>
      </c>
      <c r="I271" s="280">
        <v>6.0</v>
      </c>
      <c r="J271" s="280"/>
      <c r="K271" s="280"/>
      <c r="L271" s="280"/>
      <c r="M271" s="281"/>
      <c r="N271" s="280"/>
      <c r="O271" s="280"/>
      <c r="P271" s="280"/>
      <c r="Q271" s="280"/>
      <c r="R271" s="290"/>
      <c r="S271" s="281"/>
      <c r="T271" s="291"/>
      <c r="U271" s="281"/>
      <c r="V271" s="281"/>
      <c r="W271" s="281"/>
    </row>
    <row r="272">
      <c r="A272" s="137"/>
      <c r="B272" s="296" t="s">
        <v>989</v>
      </c>
      <c r="C272" s="297" t="s">
        <v>990</v>
      </c>
      <c r="D272" s="289">
        <f>ROUND((F272*'Pawn Weights'!$B$22)+(G272*'Pawn Weights'!$B$23)+(H272*'Pawn Weights'!$B$24)+(I272*'Pawn Weights'!$B$25)+(J272*'Pawn Weights'!$B$26)+(K272*'Pawn Weights'!$B$27)+(L272*'Pawn Weights'!$B$28)+(M272*'Pawn Weights'!$B$29)+(N272*'Pawn Weights'!$B$30)+(O272*'Pawn Weights'!$B$31)+(P272*'Pawn Weights'!$B$32)+(Q272*'Pawn Weights'!$B$33), 2)</f>
        <v>26.7</v>
      </c>
      <c r="E272" s="295"/>
      <c r="F272" s="295"/>
      <c r="G272" s="298">
        <v>14.0</v>
      </c>
      <c r="H272" s="298">
        <v>26.0</v>
      </c>
      <c r="I272" s="295"/>
      <c r="J272" s="295"/>
      <c r="K272" s="298">
        <v>10.0</v>
      </c>
      <c r="L272" s="295"/>
      <c r="M272" s="137"/>
      <c r="N272" s="295"/>
      <c r="O272" s="295"/>
      <c r="P272" s="295"/>
      <c r="Q272" s="295"/>
      <c r="R272" s="295"/>
      <c r="S272" s="137"/>
      <c r="T272" s="295"/>
      <c r="U272" s="137"/>
      <c r="V272" s="137"/>
      <c r="W272" s="137"/>
      <c r="X272" s="137"/>
      <c r="Y272" s="137"/>
      <c r="Z272" s="137"/>
    </row>
    <row r="273">
      <c r="A273" s="281"/>
      <c r="B273" s="288" t="s">
        <v>1120</v>
      </c>
      <c r="C273" s="280" t="s">
        <v>681</v>
      </c>
      <c r="D273" s="289">
        <f>ROUND((F273*'Pawn Weights'!$B$22)+(G273*'Pawn Weights'!$B$23)+(H273*'Pawn Weights'!$B$24)+(I273*'Pawn Weights'!$B$25)+(J273*'Pawn Weights'!$B$26)+(K273*'Pawn Weights'!$B$27)+(L273*'Pawn Weights'!$B$28)+(M273*'Pawn Weights'!$B$29)+(N273*'Pawn Weights'!$B$30)+(O273*'Pawn Weights'!$B$31)+(P273*'Pawn Weights'!$B$32)+(Q273*'Pawn Weights'!$B$33), 2)</f>
        <v>26.56</v>
      </c>
      <c r="E273" s="280">
        <v>14.0</v>
      </c>
      <c r="F273" s="280"/>
      <c r="G273" s="280"/>
      <c r="H273" s="280"/>
      <c r="I273" s="280">
        <v>20.0</v>
      </c>
      <c r="J273" s="280">
        <v>12.0</v>
      </c>
      <c r="K273" s="320"/>
      <c r="L273" s="320"/>
      <c r="M273" s="281"/>
      <c r="N273" s="320"/>
      <c r="O273" s="280"/>
      <c r="P273" s="320"/>
      <c r="Q273" s="320"/>
      <c r="R273" s="290"/>
      <c r="S273" s="281"/>
      <c r="T273" s="291"/>
      <c r="U273" s="281"/>
      <c r="V273" s="281"/>
      <c r="W273" s="281"/>
    </row>
    <row r="274">
      <c r="A274" s="281"/>
      <c r="B274" s="288" t="s">
        <v>1121</v>
      </c>
      <c r="C274" s="280" t="s">
        <v>1122</v>
      </c>
      <c r="D274" s="289">
        <f>ROUND((F274*'Pawn Weights'!$B$22)+(G274*'Pawn Weights'!$B$23)+(H274*'Pawn Weights'!$B$24)+(I274*'Pawn Weights'!$B$25)+(J274*'Pawn Weights'!$B$26)+(K274*'Pawn Weights'!$B$27)+(L274*'Pawn Weights'!$B$28)+(M274*'Pawn Weights'!$B$29)+(N274*'Pawn Weights'!$B$30)+(O274*'Pawn Weights'!$B$31)+(P274*'Pawn Weights'!$B$32)+(Q274*'Pawn Weights'!$B$33), 2)</f>
        <v>26.56</v>
      </c>
      <c r="E274" s="280"/>
      <c r="F274" s="280"/>
      <c r="G274" s="280"/>
      <c r="H274" s="280"/>
      <c r="I274" s="280">
        <v>20.0</v>
      </c>
      <c r="J274" s="280">
        <v>12.0</v>
      </c>
      <c r="K274" s="280"/>
      <c r="L274" s="280"/>
      <c r="M274" s="281"/>
      <c r="N274" s="280"/>
      <c r="O274" s="280"/>
      <c r="P274" s="280"/>
      <c r="Q274" s="280"/>
      <c r="R274" s="290"/>
      <c r="S274" s="281"/>
      <c r="T274" s="291"/>
      <c r="U274" s="281"/>
      <c r="V274" s="281"/>
      <c r="W274" s="281"/>
    </row>
    <row r="275">
      <c r="A275" s="281"/>
      <c r="B275" s="288" t="s">
        <v>1123</v>
      </c>
      <c r="C275" s="280" t="s">
        <v>1025</v>
      </c>
      <c r="D275" s="289">
        <f>ROUND((F275*'Pawn Weights'!$B$22)+(G275*'Pawn Weights'!$B$23)+(H275*'Pawn Weights'!$B$24)+(I275*'Pawn Weights'!$B$25)+(J275*'Pawn Weights'!$B$26)+(K275*'Pawn Weights'!$B$27)+(L275*'Pawn Weights'!$B$28)+(M275*'Pawn Weights'!$B$29)+(N275*'Pawn Weights'!$B$30)+(O275*'Pawn Weights'!$B$31)+(P275*'Pawn Weights'!$B$32)+(Q275*'Pawn Weights'!$B$33), 2)</f>
        <v>26.46</v>
      </c>
      <c r="E275" s="280"/>
      <c r="F275" s="280"/>
      <c r="G275" s="280">
        <v>20.0</v>
      </c>
      <c r="H275" s="280"/>
      <c r="I275" s="280"/>
      <c r="J275" s="280">
        <v>19.0</v>
      </c>
      <c r="K275" s="320"/>
      <c r="L275" s="320"/>
      <c r="M275" s="281"/>
      <c r="N275" s="320"/>
      <c r="O275" s="280"/>
      <c r="P275" s="320"/>
      <c r="Q275" s="320"/>
      <c r="R275" s="290"/>
      <c r="S275" s="281"/>
      <c r="T275" s="291"/>
      <c r="U275" s="281"/>
      <c r="V275" s="281"/>
      <c r="W275" s="281"/>
    </row>
    <row r="276">
      <c r="A276" s="137"/>
      <c r="B276" s="296" t="s">
        <v>1251</v>
      </c>
      <c r="C276" s="297" t="s">
        <v>1252</v>
      </c>
      <c r="D276" s="289">
        <f>ROUND((F276*'Pawn Weights'!$B$22)+(G276*'Pawn Weights'!$B$23)+(H276*'Pawn Weights'!$B$24)+(I276*'Pawn Weights'!$B$25)+(J276*'Pawn Weights'!$B$26)+(K276*'Pawn Weights'!$B$27)+(L276*'Pawn Weights'!$B$28)+(M276*'Pawn Weights'!$B$29)+(N276*'Pawn Weights'!$B$30)+(O276*'Pawn Weights'!$B$31)+(P276*'Pawn Weights'!$B$32)+(Q276*'Pawn Weights'!$B$33), 2)</f>
        <v>25.6</v>
      </c>
      <c r="E276" s="297"/>
      <c r="F276" s="297"/>
      <c r="G276" s="298">
        <v>12.0</v>
      </c>
      <c r="H276" s="298">
        <v>22.0</v>
      </c>
      <c r="I276" s="295"/>
      <c r="J276" s="298">
        <v>11.0</v>
      </c>
      <c r="K276" s="137"/>
      <c r="L276" s="137"/>
      <c r="M276" s="137"/>
      <c r="N276" s="137"/>
      <c r="O276" s="295"/>
      <c r="P276" s="137"/>
      <c r="Q276" s="137"/>
      <c r="R276" s="295"/>
      <c r="S276" s="137"/>
      <c r="T276" s="295"/>
      <c r="U276" s="137"/>
      <c r="V276" s="137"/>
      <c r="W276" s="137"/>
      <c r="X276" s="137"/>
      <c r="Y276" s="137"/>
      <c r="Z276" s="137"/>
    </row>
    <row r="277">
      <c r="A277" s="137" t="s">
        <v>627</v>
      </c>
      <c r="B277" s="383" t="s">
        <v>1667</v>
      </c>
      <c r="C277" s="297" t="s">
        <v>1561</v>
      </c>
      <c r="D277" s="289">
        <f>ROUND((F277*'Pawn Weights'!$B$22)+(G277*'Pawn Weights'!$B$23)+(H277*'Pawn Weights'!$B$24)+(I277*'Pawn Weights'!$B$25)+(J277*'Pawn Weights'!$B$26)+(K277*'Pawn Weights'!$B$27)+(L277*'Pawn Weights'!$B$28)+(M277*'Pawn Weights'!$B$29)+(N277*'Pawn Weights'!$B$30)+(O277*'Pawn Weights'!$B$31)+(P277*'Pawn Weights'!$B$32)+(Q277*'Pawn Weights'!$B$33), 2)</f>
        <v>25.09</v>
      </c>
      <c r="E277" s="297"/>
      <c r="F277" s="297"/>
      <c r="G277" s="297"/>
      <c r="H277" s="298">
        <v>20.0</v>
      </c>
      <c r="I277" s="298">
        <v>10.0</v>
      </c>
      <c r="J277" s="298">
        <v>10.0</v>
      </c>
      <c r="K277" s="361"/>
      <c r="L277" s="361"/>
      <c r="M277" s="137"/>
      <c r="N277" s="361"/>
      <c r="O277" s="297"/>
      <c r="P277" s="361"/>
      <c r="Q277" s="361"/>
      <c r="R277" s="295"/>
      <c r="S277" s="137"/>
      <c r="T277" s="295"/>
      <c r="U277" s="137"/>
      <c r="V277" s="137"/>
      <c r="W277" s="137"/>
      <c r="X277" s="137"/>
      <c r="Y277" s="137"/>
      <c r="Z277" s="137"/>
    </row>
    <row r="278">
      <c r="A278" s="137"/>
      <c r="B278" s="296" t="s">
        <v>1668</v>
      </c>
      <c r="C278" s="297" t="s">
        <v>1294</v>
      </c>
      <c r="D278" s="289">
        <f>ROUND((F278*'Pawn Weights'!$B$22)+(G278*'Pawn Weights'!$B$23)+(H278*'Pawn Weights'!$B$24)+(I278*'Pawn Weights'!$B$25)+(J278*'Pawn Weights'!$B$26)+(K278*'Pawn Weights'!$B$27)+(L278*'Pawn Weights'!$B$28)+(M278*'Pawn Weights'!$B$29)+(N278*'Pawn Weights'!$B$30)+(O278*'Pawn Weights'!$B$31)+(P278*'Pawn Weights'!$B$32)+(Q278*'Pawn Weights'!$B$33), 2)</f>
        <v>24.7</v>
      </c>
      <c r="E278" s="297"/>
      <c r="F278" s="297"/>
      <c r="G278" s="298">
        <v>15.0</v>
      </c>
      <c r="H278" s="298">
        <v>32.0</v>
      </c>
      <c r="I278" s="297"/>
      <c r="J278" s="297"/>
      <c r="K278" s="137"/>
      <c r="L278" s="137"/>
      <c r="M278" s="137"/>
      <c r="N278" s="137"/>
      <c r="O278" s="295"/>
      <c r="P278" s="137"/>
      <c r="Q278" s="137"/>
      <c r="R278" s="295"/>
      <c r="S278" s="137"/>
      <c r="T278" s="295"/>
      <c r="U278" s="137"/>
      <c r="V278" s="137"/>
      <c r="W278" s="137"/>
      <c r="X278" s="137"/>
      <c r="Y278" s="137"/>
      <c r="Z278" s="137"/>
    </row>
    <row r="279">
      <c r="A279" s="137"/>
      <c r="B279" s="296" t="s">
        <v>1253</v>
      </c>
      <c r="C279" s="297" t="s">
        <v>1078</v>
      </c>
      <c r="D279" s="289">
        <f>ROUND((F279*'Pawn Weights'!$B$22)+(G279*'Pawn Weights'!$B$23)+(H279*'Pawn Weights'!$B$24)+(I279*'Pawn Weights'!$B$25)+(J279*'Pawn Weights'!$B$26)+(K279*'Pawn Weights'!$B$27)+(L279*'Pawn Weights'!$B$28)+(M279*'Pawn Weights'!$B$29)+(N279*'Pawn Weights'!$B$30)+(O279*'Pawn Weights'!$B$31)+(P279*'Pawn Weights'!$B$32)+(Q279*'Pawn Weights'!$B$33), 2)</f>
        <v>24.52</v>
      </c>
      <c r="E279" s="297"/>
      <c r="F279" s="297"/>
      <c r="G279" s="297"/>
      <c r="H279" s="298">
        <v>30.0</v>
      </c>
      <c r="I279" s="297"/>
      <c r="J279" s="298">
        <v>16.0</v>
      </c>
      <c r="K279" s="137"/>
      <c r="L279" s="137"/>
      <c r="M279" s="137"/>
      <c r="N279" s="137"/>
      <c r="O279" s="295"/>
      <c r="P279" s="137"/>
      <c r="Q279" s="137"/>
      <c r="R279" s="295"/>
      <c r="S279" s="137"/>
      <c r="T279" s="295"/>
      <c r="U279" s="137"/>
      <c r="V279" s="137"/>
      <c r="W279" s="137"/>
      <c r="X279" s="137"/>
      <c r="Y279" s="137"/>
      <c r="Z279" s="137"/>
    </row>
    <row r="280">
      <c r="A280" s="137" t="s">
        <v>965</v>
      </c>
      <c r="B280" s="296" t="s">
        <v>1669</v>
      </c>
      <c r="C280" s="297" t="s">
        <v>1670</v>
      </c>
      <c r="D280" s="289">
        <f>ROUND((F280*'Pawn Weights'!$B$22)+(G280*'Pawn Weights'!$B$23)+(H280*'Pawn Weights'!$B$24)+(I280*'Pawn Weights'!$B$25)+(J280*'Pawn Weights'!$B$26)+(K280*'Pawn Weights'!$B$27)+(L280*'Pawn Weights'!$B$28)+(M280*'Pawn Weights'!$B$29)+(N280*'Pawn Weights'!$B$30)+(O280*'Pawn Weights'!$B$31)+(P280*'Pawn Weights'!$B$32)+(Q280*'Pawn Weights'!$B$33), 2)</f>
        <v>23.79</v>
      </c>
      <c r="E280" s="297"/>
      <c r="F280" s="297"/>
      <c r="G280" s="297"/>
      <c r="H280" s="298">
        <v>24.0</v>
      </c>
      <c r="I280" s="298">
        <v>14.0</v>
      </c>
      <c r="J280" s="295"/>
      <c r="K280" s="361"/>
      <c r="L280" s="361"/>
      <c r="M280" s="137"/>
      <c r="N280" s="137"/>
      <c r="O280" s="295"/>
      <c r="P280" s="137"/>
      <c r="Q280" s="137"/>
      <c r="R280" s="295"/>
      <c r="S280" s="137"/>
      <c r="T280" s="295"/>
      <c r="U280" s="137"/>
      <c r="V280" s="137"/>
      <c r="W280" s="137"/>
      <c r="X280" s="137"/>
      <c r="Y280" s="137"/>
      <c r="Z280" s="137"/>
    </row>
    <row r="281">
      <c r="A281" s="137"/>
      <c r="B281" s="296" t="s">
        <v>1671</v>
      </c>
      <c r="C281" s="297" t="s">
        <v>1159</v>
      </c>
      <c r="D281" s="289">
        <f>ROUND((F281*'Pawn Weights'!$B$22)+(G281*'Pawn Weights'!$B$23)+(H281*'Pawn Weights'!$B$24)+(I281*'Pawn Weights'!$B$25)+(J281*'Pawn Weights'!$B$26)+(K281*'Pawn Weights'!$B$27)+(L281*'Pawn Weights'!$B$28)+(M281*'Pawn Weights'!$B$29)+(N281*'Pawn Weights'!$B$30)+(O281*'Pawn Weights'!$B$31)+(P281*'Pawn Weights'!$B$32)+(Q281*'Pawn Weights'!$B$33), 2)</f>
        <v>21.03</v>
      </c>
      <c r="E281" s="298">
        <v>15.0</v>
      </c>
      <c r="F281" s="297"/>
      <c r="G281" s="297"/>
      <c r="H281" s="298">
        <v>24.0</v>
      </c>
      <c r="I281" s="298">
        <v>11.0</v>
      </c>
      <c r="J281" s="297"/>
      <c r="K281" s="361"/>
      <c r="L281" s="361"/>
      <c r="M281" s="137"/>
      <c r="N281" s="361"/>
      <c r="O281" s="297"/>
      <c r="P281" s="361"/>
      <c r="Q281" s="361"/>
      <c r="R281" s="295"/>
      <c r="S281" s="137"/>
      <c r="T281" s="295"/>
      <c r="U281" s="137" t="s">
        <v>986</v>
      </c>
      <c r="V281" s="137"/>
      <c r="W281" s="137"/>
      <c r="X281" s="137"/>
      <c r="Y281" s="137"/>
      <c r="Z281" s="137"/>
    </row>
    <row r="282">
      <c r="A282" s="137"/>
      <c r="B282" s="383" t="s">
        <v>1000</v>
      </c>
      <c r="C282" s="297" t="s">
        <v>1001</v>
      </c>
      <c r="D282" s="289">
        <f>ROUND((F282*'Pawn Weights'!$B$22)+(G282*'Pawn Weights'!$B$23)+(H282*'Pawn Weights'!$B$24)+(I282*'Pawn Weights'!$B$25)+(J282*'Pawn Weights'!$B$26)+(K282*'Pawn Weights'!$B$27)+(L282*'Pawn Weights'!$B$28)+(M282*'Pawn Weights'!$B$29)+(N282*'Pawn Weights'!$B$30)+(O282*'Pawn Weights'!$B$31)+(P282*'Pawn Weights'!$B$32)+(Q282*'Pawn Weights'!$B$33), 2)</f>
        <v>18.9</v>
      </c>
      <c r="E282" s="298">
        <v>16.0</v>
      </c>
      <c r="F282" s="297"/>
      <c r="G282" s="297"/>
      <c r="H282" s="297"/>
      <c r="I282" s="297"/>
      <c r="J282" s="298">
        <v>10.0</v>
      </c>
      <c r="K282" s="137"/>
      <c r="L282" s="359">
        <v>10.0</v>
      </c>
      <c r="M282" s="137"/>
      <c r="N282" s="137"/>
      <c r="O282" s="297"/>
      <c r="P282" s="137"/>
      <c r="Q282" s="137"/>
      <c r="R282" s="295"/>
      <c r="S282" s="137"/>
      <c r="T282" s="297" t="s">
        <v>971</v>
      </c>
      <c r="U282" s="137"/>
      <c r="V282" s="137"/>
      <c r="W282" s="137"/>
      <c r="X282" s="137"/>
      <c r="Y282" s="137"/>
      <c r="Z282" s="137"/>
    </row>
    <row r="283">
      <c r="A283" s="224" t="s">
        <v>1124</v>
      </c>
      <c r="B283" s="323" t="s">
        <v>604</v>
      </c>
      <c r="C283" s="323" t="s">
        <v>605</v>
      </c>
      <c r="D283" s="365" t="s">
        <v>606</v>
      </c>
      <c r="E283" s="224" t="s">
        <v>1003</v>
      </c>
      <c r="F283" s="224" t="s">
        <v>1004</v>
      </c>
      <c r="G283" s="224" t="s">
        <v>561</v>
      </c>
      <c r="H283" s="224" t="s">
        <v>562</v>
      </c>
      <c r="I283" s="224" t="s">
        <v>330</v>
      </c>
      <c r="J283" s="224" t="s">
        <v>563</v>
      </c>
      <c r="K283" s="272" t="s">
        <v>344</v>
      </c>
      <c r="L283" s="224" t="s">
        <v>607</v>
      </c>
      <c r="M283" s="224" t="s">
        <v>564</v>
      </c>
      <c r="N283" s="224" t="s">
        <v>1006</v>
      </c>
      <c r="O283" s="274" t="s">
        <v>610</v>
      </c>
      <c r="P283" s="275" t="s">
        <v>611</v>
      </c>
      <c r="Q283" s="276" t="s">
        <v>612</v>
      </c>
      <c r="R283" s="277" t="s">
        <v>613</v>
      </c>
      <c r="S283" s="366" t="s">
        <v>356</v>
      </c>
      <c r="T283" s="224" t="s">
        <v>615</v>
      </c>
      <c r="U283" s="324"/>
      <c r="V283" s="324"/>
      <c r="W283" s="324"/>
    </row>
    <row r="284">
      <c r="A284" s="292"/>
      <c r="B284" s="325" t="s">
        <v>1125</v>
      </c>
      <c r="C284" s="326"/>
      <c r="D284" s="301"/>
      <c r="E284" s="326"/>
      <c r="F284" s="326"/>
      <c r="G284" s="154"/>
      <c r="H284" s="326"/>
      <c r="I284" s="326"/>
      <c r="J284" s="326"/>
      <c r="K284" s="326"/>
      <c r="L284" s="326"/>
      <c r="M284" s="326"/>
      <c r="N284" s="326"/>
      <c r="O284" s="326"/>
      <c r="P284" s="326"/>
      <c r="Q284" s="326"/>
      <c r="R284" s="327"/>
      <c r="S284" s="326"/>
      <c r="T284" s="328"/>
      <c r="U284" s="326"/>
      <c r="V284" s="326"/>
      <c r="W284" s="329"/>
    </row>
    <row r="285">
      <c r="A285" s="292" t="s">
        <v>583</v>
      </c>
      <c r="B285" s="288" t="s">
        <v>1137</v>
      </c>
      <c r="C285" s="326" t="s">
        <v>741</v>
      </c>
      <c r="D285" s="301">
        <f>ROUND((E285*'Pawn Weights'!$B$34)+(G285*'Pawn Weights'!$B$23)+(H285*'Pawn Weights'!$B$24)+(I285*'Pawn Weights'!$B$25)+(J285*'Pawn Weights'!$B$28)+(K285*'Pawn Weights'!$B$26)+(M285*'Pawn Weights'!$B$29)+(N285*'Pawn Weights'!$B$22)+(O285*'Pawn Weights'!$B$31)+(P285*'Pawn Weights'!$B$32)+(Q285*'Pawn Weights'!$B$33)+(F285*'Pawn Weights'!$B$35)+(S285*'Pawn Weights'!$B$27)+'Pawn Weights'!$B$36, 2)</f>
        <v>1327.24</v>
      </c>
      <c r="E285" s="326">
        <v>130.4</v>
      </c>
      <c r="F285" s="326">
        <v>3.6</v>
      </c>
      <c r="G285" s="326"/>
      <c r="H285" s="326">
        <v>110.0</v>
      </c>
      <c r="I285" s="326">
        <v>37.0</v>
      </c>
      <c r="J285" s="326"/>
      <c r="K285" s="326"/>
      <c r="L285" s="326">
        <v>53.0</v>
      </c>
      <c r="M285" s="326"/>
      <c r="N285" s="326"/>
      <c r="O285" s="326">
        <v>1.0</v>
      </c>
      <c r="P285" s="326">
        <v>1.0</v>
      </c>
      <c r="Q285" s="326">
        <v>1.0</v>
      </c>
      <c r="R285" s="327" t="s">
        <v>660</v>
      </c>
      <c r="S285" s="326"/>
      <c r="T285" s="328"/>
      <c r="U285" s="326"/>
      <c r="V285" s="326"/>
      <c r="W285" s="329"/>
    </row>
    <row r="286">
      <c r="A286" s="301" t="s">
        <v>1138</v>
      </c>
      <c r="B286" s="288" t="s">
        <v>1139</v>
      </c>
      <c r="C286" s="326" t="s">
        <v>1140</v>
      </c>
      <c r="D286" s="301">
        <f>ROUND((E286*'Pawn Weights'!$B$34)+(G286*'Pawn Weights'!$B$23)+(H286*'Pawn Weights'!$B$24)+(I286*'Pawn Weights'!$B$25)+(J286*'Pawn Weights'!$B$28)+(K286*'Pawn Weights'!$B$26)+(M286*'Pawn Weights'!$B$29)+(N286*'Pawn Weights'!$B$22)+(O286*'Pawn Weights'!$B$31)+(P286*'Pawn Weights'!$B$32)+(Q286*'Pawn Weights'!$B$33)+(F286*'Pawn Weights'!$B$35)+(S286*'Pawn Weights'!$B$27)+'Pawn Weights'!$B$36+(43*'Pawn Weights'!B22), 2)</f>
        <v>1315.99</v>
      </c>
      <c r="E286" s="326">
        <v>126.9</v>
      </c>
      <c r="F286" s="326">
        <v>3.6</v>
      </c>
      <c r="G286" s="326">
        <v>44.0</v>
      </c>
      <c r="H286" s="326"/>
      <c r="I286" s="326"/>
      <c r="J286" s="326"/>
      <c r="K286" s="326"/>
      <c r="L286" s="326"/>
      <c r="M286" s="326"/>
      <c r="N286" s="326">
        <v>52.0</v>
      </c>
      <c r="O286" s="326"/>
      <c r="P286" s="326"/>
      <c r="Q286" s="326"/>
      <c r="R286" s="327"/>
      <c r="S286" s="326"/>
      <c r="T286" s="328" t="s">
        <v>1141</v>
      </c>
      <c r="U286" s="326"/>
      <c r="V286" s="326"/>
      <c r="W286" s="329"/>
    </row>
    <row r="287">
      <c r="A287" s="292" t="s">
        <v>1146</v>
      </c>
      <c r="B287" s="288" t="s">
        <v>1147</v>
      </c>
      <c r="C287" s="326" t="s">
        <v>1148</v>
      </c>
      <c r="D287" s="301">
        <f>ROUND((E287*'Pawn Weights'!$B$34)+(G287*'Pawn Weights'!$B$23)+(H287*'Pawn Weights'!$B$24)+(I287*'Pawn Weights'!$B$25)+(J287*'Pawn Weights'!$B$28)+(K287*'Pawn Weights'!$B$26)+(M287*'Pawn Weights'!$B$29)+(N287*'Pawn Weights'!$B$22)+(O287*'Pawn Weights'!$B$31)+(P287*'Pawn Weights'!$B$32)+(Q287*'Pawn Weights'!$B$33)+(F287*'Pawn Weights'!$B$35)+(S287*'Pawn Weights'!$B$27), 2)</f>
        <v>1284.12</v>
      </c>
      <c r="E287" s="326">
        <v>126.9</v>
      </c>
      <c r="F287" s="326">
        <v>3.7</v>
      </c>
      <c r="G287" s="154"/>
      <c r="H287" s="326">
        <v>112.0</v>
      </c>
      <c r="I287" s="326">
        <v>56.0</v>
      </c>
      <c r="J287" s="326"/>
      <c r="K287" s="326"/>
      <c r="L287" s="326"/>
      <c r="M287" s="326"/>
      <c r="N287" s="326"/>
      <c r="O287" s="326"/>
      <c r="P287" s="326"/>
      <c r="Q287" s="326"/>
      <c r="R287" s="327"/>
      <c r="S287" s="326"/>
      <c r="T287" s="328"/>
      <c r="U287" s="326"/>
      <c r="V287" s="326"/>
      <c r="W287" s="329"/>
    </row>
    <row r="288">
      <c r="A288" s="301" t="s">
        <v>583</v>
      </c>
      <c r="B288" s="288" t="s">
        <v>1145</v>
      </c>
      <c r="C288" s="326" t="s">
        <v>997</v>
      </c>
      <c r="D288" s="301">
        <f>ROUND((E288*'Pawn Weights'!$B$34)+(G288*'Pawn Weights'!$B$23)+(H288*'Pawn Weights'!$B$24)+(I288*'Pawn Weights'!$B$25)+(J288*'Pawn Weights'!$B$28)+(K288*'Pawn Weights'!$B$26)+(M288*'Pawn Weights'!$B$29)+(N288*'Pawn Weights'!$B$22)+(O288*'Pawn Weights'!$B$31)+(P288*'Pawn Weights'!$B$32)+(Q288*'Pawn Weights'!$B$33)+(F288*'Pawn Weights'!$B$35)+(S288*'Pawn Weights'!$B$27)+'Pawn Weights'!$B$36, 2)</f>
        <v>1284.08</v>
      </c>
      <c r="E288" s="326">
        <v>126.9</v>
      </c>
      <c r="F288" s="326">
        <v>3.6</v>
      </c>
      <c r="G288" s="326"/>
      <c r="H288" s="326"/>
      <c r="I288" s="326">
        <v>42.0</v>
      </c>
      <c r="J288" s="326"/>
      <c r="K288" s="326">
        <v>18.0</v>
      </c>
      <c r="L288" s="326">
        <v>55.0</v>
      </c>
      <c r="M288" s="326"/>
      <c r="N288" s="326">
        <v>42.0</v>
      </c>
      <c r="O288" s="326"/>
      <c r="P288" s="326"/>
      <c r="Q288" s="326"/>
      <c r="R288" s="327"/>
      <c r="S288" s="326"/>
      <c r="T288" s="328"/>
      <c r="U288" s="326"/>
      <c r="V288" s="326"/>
      <c r="W288" s="329"/>
    </row>
    <row r="289">
      <c r="A289" s="301" t="s">
        <v>1133</v>
      </c>
      <c r="B289" s="288" t="s">
        <v>1701</v>
      </c>
      <c r="C289" s="326" t="s">
        <v>997</v>
      </c>
      <c r="D289" s="301">
        <f>ROUND((E289*'Pawn Weights'!$B$34)+(G289*'Pawn Weights'!$B$23)+(H289*'Pawn Weights'!$B$24)+(I289*'Pawn Weights'!$B$25)+(J289*'Pawn Weights'!$B$28)+(K289*'Pawn Weights'!$B$26)+(M289*'Pawn Weights'!$B$29)+(N289*'Pawn Weights'!$B$22)+(O289*'Pawn Weights'!$B$31)+(P289*'Pawn Weights'!$B$32)+(Q289*'Pawn Weights'!$B$33)+(F289*'Pawn Weights'!$B$35)+(S289*'Pawn Weights'!$B$27), 2)</f>
        <v>1266.26</v>
      </c>
      <c r="E289" s="326">
        <v>126.9</v>
      </c>
      <c r="F289" s="326">
        <v>3.6</v>
      </c>
      <c r="G289" s="326"/>
      <c r="H289" s="326">
        <v>84.0</v>
      </c>
      <c r="I289" s="326">
        <v>42.0</v>
      </c>
      <c r="J289" s="326"/>
      <c r="K289" s="326">
        <v>18.0</v>
      </c>
      <c r="L289" s="326">
        <v>55.0</v>
      </c>
      <c r="M289" s="326"/>
      <c r="N289" s="326"/>
      <c r="O289" s="326"/>
      <c r="P289" s="326"/>
      <c r="Q289" s="326"/>
      <c r="R289" s="327"/>
      <c r="S289" s="326"/>
      <c r="T289" s="328"/>
      <c r="U289" s="326"/>
      <c r="V289" s="326"/>
      <c r="W289" s="329"/>
    </row>
    <row r="290">
      <c r="A290" s="301" t="s">
        <v>1138</v>
      </c>
      <c r="B290" s="288" t="s">
        <v>1151</v>
      </c>
      <c r="C290" s="326" t="s">
        <v>1152</v>
      </c>
      <c r="D290" s="301">
        <f>ROUND((E290*'Pawn Weights'!$B$34)+(G290*'Pawn Weights'!$B$23)+(H290*'Pawn Weights'!$B$24)+(I290*'Pawn Weights'!$B$25)+(J290*'Pawn Weights'!$B$28)+(K290*'Pawn Weights'!$B$26)+(M290*'Pawn Weights'!$B$29)+(N290*'Pawn Weights'!$B$22)+(O290*'Pawn Weights'!$B$31)+(P290*'Pawn Weights'!$B$32)+(Q290*'Pawn Weights'!$B$33)+(F290*'Pawn Weights'!$B$35)+(S290*'Pawn Weights'!$B$27)+'Pawn Weights'!$B$36+(43*'Pawn Weights'!B22), 2)</f>
        <v>1246.59</v>
      </c>
      <c r="E290" s="326">
        <v>118.6</v>
      </c>
      <c r="F290" s="326">
        <v>3.6</v>
      </c>
      <c r="G290" s="326">
        <v>44.0</v>
      </c>
      <c r="H290" s="326"/>
      <c r="I290" s="326"/>
      <c r="J290" s="326"/>
      <c r="K290" s="326"/>
      <c r="L290" s="326"/>
      <c r="M290" s="326"/>
      <c r="N290" s="326">
        <v>49.0</v>
      </c>
      <c r="O290" s="326"/>
      <c r="P290" s="326"/>
      <c r="Q290" s="326"/>
      <c r="R290" s="327"/>
      <c r="S290" s="326"/>
      <c r="T290" s="328" t="s">
        <v>1141</v>
      </c>
      <c r="U290" s="326"/>
      <c r="V290" s="326"/>
      <c r="W290" s="329"/>
    </row>
    <row r="291">
      <c r="A291" s="301" t="s">
        <v>1146</v>
      </c>
      <c r="B291" s="288" t="s">
        <v>1156</v>
      </c>
      <c r="C291" s="326" t="s">
        <v>1157</v>
      </c>
      <c r="D291" s="301">
        <f>ROUND((E291*'Pawn Weights'!$B$34)+(G291*'Pawn Weights'!$B$23)+(H291*'Pawn Weights'!$B$24)+(I291*'Pawn Weights'!$B$25)+(J291*'Pawn Weights'!$B$28)+(K291*'Pawn Weights'!$B$26)+(M291*'Pawn Weights'!$B$29)+(N291*'Pawn Weights'!$B$22)+(O291*'Pawn Weights'!$B$31)+(P291*'Pawn Weights'!$B$32)+(Q291*'Pawn Weights'!$B$33)+(F291*'Pawn Weights'!$B$35)+(S291*'Pawn Weights'!$B$27), 2)</f>
        <v>1211.32</v>
      </c>
      <c r="E291" s="326">
        <v>118.6</v>
      </c>
      <c r="F291" s="326">
        <v>3.7</v>
      </c>
      <c r="G291" s="326"/>
      <c r="H291" s="326">
        <v>106.0</v>
      </c>
      <c r="I291" s="326">
        <v>52.0</v>
      </c>
      <c r="J291" s="326"/>
      <c r="K291" s="326"/>
      <c r="L291" s="326"/>
      <c r="M291" s="326"/>
      <c r="N291" s="326"/>
      <c r="O291" s="326"/>
      <c r="P291" s="326"/>
      <c r="Q291" s="326"/>
      <c r="R291" s="327"/>
      <c r="S291" s="326"/>
      <c r="T291" s="306"/>
      <c r="U291" s="326"/>
      <c r="V291" s="326"/>
      <c r="W291" s="329"/>
    </row>
    <row r="292">
      <c r="A292" s="301" t="s">
        <v>1133</v>
      </c>
      <c r="B292" s="288" t="s">
        <v>1153</v>
      </c>
      <c r="C292" s="326" t="s">
        <v>1154</v>
      </c>
      <c r="D292" s="301">
        <f>ROUND((E292*'Pawn Weights'!$B$34)+(G292*'Pawn Weights'!$B$23)+(H292*'Pawn Weights'!$B$24)+(I292*'Pawn Weights'!$B$25)+(J292*'Pawn Weights'!$B$28)+(K292*'Pawn Weights'!$B$26)+(M292*'Pawn Weights'!$B$29)+(N292*'Pawn Weights'!$B$22)+(O292*'Pawn Weights'!$B$31)+(P292*'Pawn Weights'!$B$32)+(Q292*'Pawn Weights'!$B$33)+(F292*'Pawn Weights'!$B$35)+(S292*'Pawn Weights'!$B$27), 2)</f>
        <v>1203.3</v>
      </c>
      <c r="E292" s="326">
        <v>116.9</v>
      </c>
      <c r="F292" s="326">
        <v>3.7</v>
      </c>
      <c r="G292" s="154"/>
      <c r="H292" s="326"/>
      <c r="I292" s="326">
        <v>30.0</v>
      </c>
      <c r="J292" s="326"/>
      <c r="K292" s="326"/>
      <c r="L292" s="326"/>
      <c r="M292" s="326"/>
      <c r="N292" s="326">
        <v>50.0</v>
      </c>
      <c r="O292" s="326">
        <v>1.0</v>
      </c>
      <c r="P292" s="326">
        <v>2.0</v>
      </c>
      <c r="Q292" s="326"/>
      <c r="R292" s="327" t="s">
        <v>1155</v>
      </c>
      <c r="S292" s="326"/>
      <c r="T292" s="328"/>
      <c r="U292" s="326"/>
      <c r="V292" s="326"/>
      <c r="W292" s="329"/>
    </row>
    <row r="293">
      <c r="A293" s="301" t="s">
        <v>583</v>
      </c>
      <c r="B293" s="288" t="s">
        <v>1158</v>
      </c>
      <c r="C293" s="326" t="s">
        <v>1159</v>
      </c>
      <c r="D293" s="301">
        <f>ROUND((E293*'Pawn Weights'!$B$34)+(G293*'Pawn Weights'!$B$23)+(H293*'Pawn Weights'!$B$24)+(I293*'Pawn Weights'!$B$25)+(J293*'Pawn Weights'!$B$28)+(K293*'Pawn Weights'!$B$26)+(M293*'Pawn Weights'!$B$29)+(N293*'Pawn Weights'!$B$22)+(O293*'Pawn Weights'!$B$31)+(P293*'Pawn Weights'!$B$32)+(Q293*'Pawn Weights'!$B$33)+(F293*'Pawn Weights'!$B$35)+(S293*'Pawn Weights'!$B$27)+'Pawn Weights'!$B$36, 2)</f>
        <v>1202.6</v>
      </c>
      <c r="E293" s="326">
        <v>118.6</v>
      </c>
      <c r="F293" s="326">
        <v>3.6</v>
      </c>
      <c r="G293" s="326"/>
      <c r="H293" s="326"/>
      <c r="I293" s="326">
        <v>35.0</v>
      </c>
      <c r="J293" s="326"/>
      <c r="K293" s="326">
        <v>20.0</v>
      </c>
      <c r="L293" s="326">
        <v>48.0</v>
      </c>
      <c r="M293" s="326"/>
      <c r="N293" s="326">
        <v>32.0</v>
      </c>
      <c r="O293" s="326"/>
      <c r="P293" s="326"/>
      <c r="Q293" s="326"/>
      <c r="R293" s="327"/>
      <c r="S293" s="326"/>
      <c r="T293" s="328"/>
      <c r="U293" s="326"/>
      <c r="V293" s="326"/>
      <c r="W293" s="329"/>
    </row>
    <row r="294">
      <c r="A294" s="301" t="s">
        <v>1133</v>
      </c>
      <c r="B294" s="288" t="s">
        <v>1160</v>
      </c>
      <c r="C294" s="326" t="s">
        <v>656</v>
      </c>
      <c r="D294" s="301">
        <f>ROUND((E294*'Pawn Weights'!$B$34)+(G294*'Pawn Weights'!$B$23)+(H294*'Pawn Weights'!$B$24)+(I294*'Pawn Weights'!$B$25)+(J294*'Pawn Weights'!$B$28)+(K294*'Pawn Weights'!$B$26)+(M294*'Pawn Weights'!$B$29)+(N294*'Pawn Weights'!$B$22)+(O294*'Pawn Weights'!$B$31)+(P294*'Pawn Weights'!$B$32)+(Q294*'Pawn Weights'!$B$33)+(F294*'Pawn Weights'!$B$35)+(S294*'Pawn Weights'!$B$27), 2)</f>
        <v>1199.31</v>
      </c>
      <c r="E294" s="326">
        <v>119.9</v>
      </c>
      <c r="F294" s="326">
        <v>3.6</v>
      </c>
      <c r="G294" s="326">
        <v>43.0</v>
      </c>
      <c r="H294" s="326"/>
      <c r="I294" s="326"/>
      <c r="J294" s="326"/>
      <c r="K294" s="326"/>
      <c r="L294" s="326">
        <v>51.0</v>
      </c>
      <c r="M294" s="326"/>
      <c r="N294" s="326">
        <v>49.0</v>
      </c>
      <c r="O294" s="326"/>
      <c r="P294" s="326"/>
      <c r="Q294" s="326"/>
      <c r="R294" s="327"/>
      <c r="S294" s="326"/>
      <c r="T294" s="328"/>
      <c r="U294" s="326"/>
      <c r="V294" s="326"/>
      <c r="W294" s="329"/>
    </row>
    <row r="295">
      <c r="A295" s="301" t="s">
        <v>1133</v>
      </c>
      <c r="B295" s="288" t="s">
        <v>1702</v>
      </c>
      <c r="C295" s="326" t="s">
        <v>1159</v>
      </c>
      <c r="D295" s="301">
        <f>ROUND((E295*'Pawn Weights'!$B$34)+(G295*'Pawn Weights'!$B$23)+(H295*'Pawn Weights'!$B$24)+(I295*'Pawn Weights'!$B$25)+(J295*'Pawn Weights'!$B$28)+(K295*'Pawn Weights'!$B$26)+(M295*'Pawn Weights'!$B$29)+(N295*'Pawn Weights'!$B$22)+(O295*'Pawn Weights'!$B$31)+(P295*'Pawn Weights'!$B$32)+(Q295*'Pawn Weights'!$B$33)+(F295*'Pawn Weights'!$B$35)+(S295*'Pawn Weights'!$B$27), 2)</f>
        <v>1185.69</v>
      </c>
      <c r="E295" s="326">
        <v>118.6</v>
      </c>
      <c r="F295" s="326">
        <v>3.6</v>
      </c>
      <c r="G295" s="326"/>
      <c r="H295" s="326">
        <v>64.0</v>
      </c>
      <c r="I295" s="326">
        <v>35.0</v>
      </c>
      <c r="J295" s="326"/>
      <c r="K295" s="326">
        <v>20.0</v>
      </c>
      <c r="L295" s="326">
        <v>48.0</v>
      </c>
      <c r="M295" s="326"/>
      <c r="N295" s="326"/>
      <c r="O295" s="326"/>
      <c r="P295" s="326"/>
      <c r="Q295" s="326"/>
      <c r="R295" s="327"/>
      <c r="S295" s="326"/>
      <c r="T295" s="328"/>
      <c r="U295" s="326"/>
      <c r="V295" s="326"/>
      <c r="W295" s="329"/>
    </row>
    <row r="296">
      <c r="A296" s="301" t="s">
        <v>1133</v>
      </c>
      <c r="B296" s="288" t="s">
        <v>1161</v>
      </c>
      <c r="C296" s="326" t="s">
        <v>823</v>
      </c>
      <c r="D296" s="301">
        <f>ROUND((E296*'Pawn Weights'!$B$34)+(G296*'Pawn Weights'!$B$23)+(H296*'Pawn Weights'!$B$24)+(I296*'Pawn Weights'!$B$25)+(J296*'Pawn Weights'!$B$28)+(K296*'Pawn Weights'!$B$26)+(M296*'Pawn Weights'!$B$29)+(N296*'Pawn Weights'!$B$22)+(O296*'Pawn Weights'!$B$31)+(P296*'Pawn Weights'!$B$32)+(Q296*'Pawn Weights'!$B$33)+(F296*'Pawn Weights'!$B$35)+(S296*'Pawn Weights'!$B$27), 2)</f>
        <v>1177.56</v>
      </c>
      <c r="E296" s="326">
        <v>119.9</v>
      </c>
      <c r="F296" s="326">
        <v>3.6</v>
      </c>
      <c r="G296" s="154"/>
      <c r="H296" s="326">
        <v>124.0</v>
      </c>
      <c r="I296" s="326"/>
      <c r="J296" s="326"/>
      <c r="K296" s="326"/>
      <c r="L296" s="326">
        <v>66.0</v>
      </c>
      <c r="M296" s="326"/>
      <c r="N296" s="326"/>
      <c r="O296" s="326"/>
      <c r="P296" s="326"/>
      <c r="Q296" s="326"/>
      <c r="R296" s="327"/>
      <c r="S296" s="326"/>
      <c r="T296" s="328"/>
      <c r="U296" s="326"/>
      <c r="V296" s="326"/>
      <c r="W296" s="329"/>
    </row>
    <row r="297" ht="14.25" customHeight="1">
      <c r="A297" s="292" t="s">
        <v>1138</v>
      </c>
      <c r="B297" s="288" t="s">
        <v>1703</v>
      </c>
      <c r="C297" s="326" t="s">
        <v>1561</v>
      </c>
      <c r="D297" s="301">
        <f>ROUND((E297*'Pawn Weights'!$B$34)+(G297*'Pawn Weights'!$B$23)+(H297*'Pawn Weights'!$B$24)+(I297*'Pawn Weights'!$B$25)+(J297*'Pawn Weights'!$B$28)+(K297*'Pawn Weights'!$B$26)+(M297*'Pawn Weights'!$B$29)+(N297*'Pawn Weights'!$B$22)+(O297*'Pawn Weights'!$B$31)+(P297*'Pawn Weights'!$B$32)+(Q297*'Pawn Weights'!$B$33)+(F297*'Pawn Weights'!$B$35)+(S297*'Pawn Weights'!$B$27)+'Pawn Weights'!$B$36, 2)</f>
        <v>1165.66</v>
      </c>
      <c r="E297" s="326">
        <v>108.5</v>
      </c>
      <c r="F297" s="326">
        <v>3.3</v>
      </c>
      <c r="G297" s="326"/>
      <c r="H297" s="326"/>
      <c r="I297" s="326"/>
      <c r="J297" s="326"/>
      <c r="K297" s="326">
        <v>37.0</v>
      </c>
      <c r="L297" s="326"/>
      <c r="M297" s="326"/>
      <c r="N297" s="326">
        <v>110.0</v>
      </c>
      <c r="O297" s="326"/>
      <c r="P297" s="326"/>
      <c r="Q297" s="326"/>
      <c r="R297" s="327"/>
      <c r="S297" s="326"/>
      <c r="T297" s="328" t="s">
        <v>1704</v>
      </c>
      <c r="U297" s="326"/>
      <c r="V297" s="326"/>
      <c r="W297" s="329"/>
    </row>
    <row r="298">
      <c r="A298" s="292" t="s">
        <v>1129</v>
      </c>
      <c r="B298" s="288" t="s">
        <v>1162</v>
      </c>
      <c r="C298" s="326" t="s">
        <v>1163</v>
      </c>
      <c r="D298" s="301">
        <f>ROUND((E298*'Pawn Weights'!$B$34)+(G298*'Pawn Weights'!$B$23)+(H298*'Pawn Weights'!$B$24)+(I298*'Pawn Weights'!$B$25)+(J298*'Pawn Weights'!$B$28)+(K298*'Pawn Weights'!$B$26)+(M298*'Pawn Weights'!$B$29)+(N298*'Pawn Weights'!$B$22)+(O298*'Pawn Weights'!$B$31)+(P298*'Pawn Weights'!$B$32)+(Q298*'Pawn Weights'!$B$33)+(F298*'Pawn Weights'!$B$35)+(S298*'Pawn Weights'!$B$27), 2)</f>
        <v>1151.78</v>
      </c>
      <c r="E298" s="326">
        <v>119.7</v>
      </c>
      <c r="F298" s="326">
        <v>3.7</v>
      </c>
      <c r="G298" s="154"/>
      <c r="H298" s="326"/>
      <c r="I298" s="326">
        <v>4.0</v>
      </c>
      <c r="J298" s="326"/>
      <c r="K298" s="326"/>
      <c r="L298" s="326"/>
      <c r="M298" s="326"/>
      <c r="N298" s="326"/>
      <c r="O298" s="326">
        <v>3.0</v>
      </c>
      <c r="P298" s="326"/>
      <c r="Q298" s="326"/>
      <c r="R298" s="327"/>
      <c r="S298" s="326"/>
      <c r="T298" s="328" t="s">
        <v>1164</v>
      </c>
      <c r="U298" s="326"/>
      <c r="V298" s="326"/>
      <c r="W298" s="329"/>
    </row>
    <row r="299">
      <c r="A299" s="224" t="s">
        <v>1124</v>
      </c>
      <c r="B299" s="323" t="s">
        <v>604</v>
      </c>
      <c r="C299" s="323" t="s">
        <v>605</v>
      </c>
      <c r="D299" s="365" t="s">
        <v>606</v>
      </c>
      <c r="E299" s="224" t="s">
        <v>1003</v>
      </c>
      <c r="F299" s="224" t="s">
        <v>1004</v>
      </c>
      <c r="G299" s="224" t="s">
        <v>561</v>
      </c>
      <c r="H299" s="224" t="s">
        <v>562</v>
      </c>
      <c r="I299" s="224" t="s">
        <v>330</v>
      </c>
      <c r="J299" s="224" t="s">
        <v>563</v>
      </c>
      <c r="K299" s="272" t="s">
        <v>344</v>
      </c>
      <c r="L299" s="224" t="s">
        <v>607</v>
      </c>
      <c r="M299" s="224" t="s">
        <v>564</v>
      </c>
      <c r="N299" s="224" t="s">
        <v>1006</v>
      </c>
      <c r="O299" s="274" t="s">
        <v>610</v>
      </c>
      <c r="P299" s="275" t="s">
        <v>611</v>
      </c>
      <c r="Q299" s="276" t="s">
        <v>612</v>
      </c>
      <c r="R299" s="277" t="s">
        <v>613</v>
      </c>
      <c r="S299" s="366" t="s">
        <v>356</v>
      </c>
      <c r="T299" s="224" t="s">
        <v>615</v>
      </c>
      <c r="U299" s="324"/>
      <c r="V299" s="324"/>
      <c r="W299" s="324"/>
    </row>
    <row r="300">
      <c r="A300" s="295" t="s">
        <v>583</v>
      </c>
      <c r="B300" s="296" t="s">
        <v>1127</v>
      </c>
      <c r="C300" s="330" t="s">
        <v>637</v>
      </c>
      <c r="D300" s="301">
        <f>ROUND((E300*'Pawn Weights'!$B$34)+(G300*'Pawn Weights'!$B$23)+(H300*'Pawn Weights'!$B$24)+(I300*'Pawn Weights'!$B$25)+(J300*'Pawn Weights'!$B$28)+(K300*'Pawn Weights'!$B$26)+(M300*'Pawn Weights'!$B$29)+(N300*'Pawn Weights'!$B$22)+(O300*'Pawn Weights'!$B$31)+(P300*'Pawn Weights'!$B$32)+(Q300*'Pawn Weights'!$B$33)+(F300*'Pawn Weights'!$B$35)+(S300*'Pawn Weights'!$B$27)+'Pawn Weights'!$B$36, 2)</f>
        <v>1422.02</v>
      </c>
      <c r="E300" s="332">
        <v>140.3</v>
      </c>
      <c r="F300" s="332">
        <v>3.6</v>
      </c>
      <c r="G300" s="330"/>
      <c r="H300" s="330"/>
      <c r="I300" s="332">
        <v>50.0</v>
      </c>
      <c r="J300" s="330"/>
      <c r="K300" s="343">
        <v>19.0</v>
      </c>
      <c r="L300" s="332">
        <v>66.0</v>
      </c>
      <c r="M300" s="332">
        <v>98.0</v>
      </c>
      <c r="N300" s="332">
        <v>50.0</v>
      </c>
      <c r="O300" s="330"/>
      <c r="P300" s="330"/>
      <c r="Q300" s="330"/>
      <c r="R300" s="332"/>
      <c r="S300" s="330"/>
      <c r="T300" s="295"/>
      <c r="U300" s="342"/>
      <c r="V300" s="342"/>
      <c r="W300" s="137"/>
      <c r="X300" s="137"/>
      <c r="Y300" s="137"/>
      <c r="Z300" s="137"/>
    </row>
    <row r="301">
      <c r="A301" s="295" t="s">
        <v>583</v>
      </c>
      <c r="B301" s="296" t="s">
        <v>1132</v>
      </c>
      <c r="C301" s="330" t="s">
        <v>646</v>
      </c>
      <c r="D301" s="301">
        <f>ROUND((E301*'Pawn Weights'!$B$34)+(G301*'Pawn Weights'!$B$23)+(H301*'Pawn Weights'!$B$24)+(I301*'Pawn Weights'!$B$25)+(J301*'Pawn Weights'!$B$28)+(K301*'Pawn Weights'!$B$26)+(M301*'Pawn Weights'!$B$29)+(N301*'Pawn Weights'!$B$22)+(O301*'Pawn Weights'!$B$31)+(P301*'Pawn Weights'!$B$32)+(Q301*'Pawn Weights'!$B$33)+(F301*'Pawn Weights'!$B$35)+(S301*'Pawn Weights'!$B$27)+'Pawn Weights'!$B$36, 2)</f>
        <v>1362.82</v>
      </c>
      <c r="E301" s="332">
        <v>134.2</v>
      </c>
      <c r="F301" s="332">
        <v>3.6</v>
      </c>
      <c r="G301" s="330"/>
      <c r="H301" s="330"/>
      <c r="I301" s="332">
        <v>46.0</v>
      </c>
      <c r="J301" s="330"/>
      <c r="K301" s="343">
        <v>15.0</v>
      </c>
      <c r="L301" s="332">
        <v>62.0</v>
      </c>
      <c r="M301" s="332">
        <v>98.0</v>
      </c>
      <c r="N301" s="332">
        <v>46.0</v>
      </c>
      <c r="O301" s="330"/>
      <c r="P301" s="330"/>
      <c r="Q301" s="330"/>
      <c r="R301" s="295"/>
      <c r="S301" s="330"/>
      <c r="T301" s="295"/>
      <c r="U301" s="342"/>
      <c r="V301" s="342"/>
      <c r="W301" s="137"/>
      <c r="X301" s="137"/>
      <c r="Y301" s="137"/>
      <c r="Z301" s="137"/>
    </row>
    <row r="302">
      <c r="A302" s="295" t="s">
        <v>1133</v>
      </c>
      <c r="B302" s="296" t="s">
        <v>1134</v>
      </c>
      <c r="C302" s="297" t="s">
        <v>980</v>
      </c>
      <c r="D302" s="301">
        <f>ROUND((E302*'Pawn Weights'!$B$34)+(G302*'Pawn Weights'!$B$23)+(H302*'Pawn Weights'!$B$24)+(I302*'Pawn Weights'!$B$25)+(J302*'Pawn Weights'!$B$28)+(K302*'Pawn Weights'!$B$26)+(M302*'Pawn Weights'!$B$29)+(N302*'Pawn Weights'!$B$22)+(O302*'Pawn Weights'!$B$31)+(P302*'Pawn Weights'!$B$32)+(Q302*'Pawn Weights'!$B$33)+(F302*'Pawn Weights'!$B$35)+(S302*'Pawn Weights'!$B$27), 2)</f>
        <v>1357.81</v>
      </c>
      <c r="E302" s="332">
        <v>134.0</v>
      </c>
      <c r="F302" s="332">
        <v>3.5</v>
      </c>
      <c r="G302" s="295"/>
      <c r="H302" s="332">
        <v>108.0</v>
      </c>
      <c r="I302" s="332">
        <v>55.0</v>
      </c>
      <c r="J302" s="295"/>
      <c r="K302" s="137"/>
      <c r="L302" s="295"/>
      <c r="M302" s="295"/>
      <c r="N302" s="295"/>
      <c r="O302" s="295"/>
      <c r="P302" s="295"/>
      <c r="Q302" s="295"/>
      <c r="R302" s="295"/>
      <c r="S302" s="332">
        <v>53.0</v>
      </c>
      <c r="T302" s="363" t="s">
        <v>1135</v>
      </c>
      <c r="U302" s="137"/>
      <c r="V302" s="137"/>
      <c r="W302" s="137"/>
      <c r="X302" s="137"/>
      <c r="Y302" s="137"/>
      <c r="Z302" s="137"/>
    </row>
    <row r="303">
      <c r="A303" s="301" t="s">
        <v>1705</v>
      </c>
      <c r="B303" s="288" t="s">
        <v>1706</v>
      </c>
      <c r="C303" s="326" t="s">
        <v>1707</v>
      </c>
      <c r="D303" s="301">
        <f>ROUND((E303*'Pawn Weights'!$B$34)+(G303*'Pawn Weights'!$B$23)+(H303*'Pawn Weights'!$B$24)+(I303*'Pawn Weights'!$B$25)+(J303*'Pawn Weights'!$B$28)+(K303*'Pawn Weights'!$B$26)+(M303*'Pawn Weights'!$B$29)+(N303*'Pawn Weights'!$B$22)+(O303*'Pawn Weights'!$B$31)+(P303*'Pawn Weights'!$B$32)+(Q303*'Pawn Weights'!$B$33)+(F303*'Pawn Weights'!$B$35)+(S303*'Pawn Weights'!$B$27)+'Pawn Weights'!$B$36, 2)</f>
        <v>1135.5</v>
      </c>
      <c r="E303" s="326">
        <v>114.0</v>
      </c>
      <c r="F303" s="326">
        <v>3.5</v>
      </c>
      <c r="G303" s="326"/>
      <c r="H303" s="326"/>
      <c r="I303" s="326"/>
      <c r="J303" s="326"/>
      <c r="K303" s="326"/>
      <c r="L303" s="326"/>
      <c r="M303" s="326"/>
      <c r="N303" s="326">
        <v>52.0</v>
      </c>
      <c r="O303" s="326"/>
      <c r="P303" s="326"/>
      <c r="Q303" s="326"/>
      <c r="R303" s="327"/>
      <c r="S303" s="326"/>
      <c r="T303" s="328" t="s">
        <v>1708</v>
      </c>
      <c r="U303" s="326"/>
      <c r="V303" s="326"/>
      <c r="W303" s="329"/>
    </row>
    <row r="304" ht="14.25" customHeight="1">
      <c r="A304" s="292" t="s">
        <v>1133</v>
      </c>
      <c r="B304" s="288" t="s">
        <v>1709</v>
      </c>
      <c r="C304" s="326" t="s">
        <v>1707</v>
      </c>
      <c r="D304" s="301">
        <f>ROUND((E304*'Pawn Weights'!$B$34)+(G304*'Pawn Weights'!$B$23)+(H304*'Pawn Weights'!$B$24)+(I304*'Pawn Weights'!$B$25)+(J304*'Pawn Weights'!$B$28)+(K304*'Pawn Weights'!$B$26)+(M304*'Pawn Weights'!$B$29)+(N304*'Pawn Weights'!$B$22)+(O304*'Pawn Weights'!$B$31)+(P304*'Pawn Weights'!$B$32)+(Q304*'Pawn Weights'!$B$33)+(F304*'Pawn Weights'!$B$35)+(S304*'Pawn Weights'!$B$27), 2)</f>
        <v>1132.94</v>
      </c>
      <c r="E304" s="326">
        <v>114.0</v>
      </c>
      <c r="F304" s="326">
        <v>3.5</v>
      </c>
      <c r="G304" s="326">
        <v>40.0</v>
      </c>
      <c r="H304" s="326">
        <v>80.0</v>
      </c>
      <c r="I304" s="326"/>
      <c r="J304" s="326"/>
      <c r="K304" s="326"/>
      <c r="L304" s="326">
        <v>46.0</v>
      </c>
      <c r="M304" s="326"/>
      <c r="N304" s="326"/>
      <c r="O304" s="326"/>
      <c r="P304" s="326"/>
      <c r="Q304" s="326"/>
      <c r="R304" s="327"/>
      <c r="S304" s="326"/>
      <c r="T304" s="306" t="s">
        <v>1710</v>
      </c>
      <c r="U304" s="326"/>
      <c r="V304" s="326"/>
      <c r="W304" s="329"/>
    </row>
    <row r="305">
      <c r="A305" s="292" t="s">
        <v>1146</v>
      </c>
      <c r="B305" s="288" t="s">
        <v>1167</v>
      </c>
      <c r="C305" s="326" t="s">
        <v>1168</v>
      </c>
      <c r="D305" s="301">
        <f>ROUND((E305*'Pawn Weights'!$B$34)+(G305*'Pawn Weights'!$B$23)+(H305*'Pawn Weights'!$B$24)+(I305*'Pawn Weights'!$B$25)+(J305*'Pawn Weights'!$B$28)+(K305*'Pawn Weights'!$B$26)+(M305*'Pawn Weights'!$B$29)+(N305*'Pawn Weights'!$B$22)+(O305*'Pawn Weights'!$B$31)+(P305*'Pawn Weights'!$B$32)+(Q305*'Pawn Weights'!$B$33)+(F305*'Pawn Weights'!$B$35)+(S305*'Pawn Weights'!$B$27), 2)</f>
        <v>1130.17</v>
      </c>
      <c r="E305" s="326">
        <v>109.6</v>
      </c>
      <c r="F305" s="326">
        <v>3.7</v>
      </c>
      <c r="G305" s="326"/>
      <c r="H305" s="326">
        <v>96.0</v>
      </c>
      <c r="I305" s="326">
        <v>47.0</v>
      </c>
      <c r="J305" s="326"/>
      <c r="K305" s="326"/>
      <c r="L305" s="326"/>
      <c r="M305" s="326"/>
      <c r="N305" s="326"/>
      <c r="O305" s="326"/>
      <c r="P305" s="326"/>
      <c r="Q305" s="326"/>
      <c r="R305" s="327"/>
      <c r="S305" s="326"/>
      <c r="T305" s="306" t="s">
        <v>1710</v>
      </c>
      <c r="U305" s="326"/>
      <c r="V305" s="326"/>
      <c r="W305" s="329"/>
    </row>
    <row r="306">
      <c r="A306" s="301" t="s">
        <v>1138</v>
      </c>
      <c r="B306" s="288" t="s">
        <v>1165</v>
      </c>
      <c r="C306" s="326" t="s">
        <v>1166</v>
      </c>
      <c r="D306" s="301">
        <f>ROUND((E306*'Pawn Weights'!$B$34)+(G306*'Pawn Weights'!$B$23)+(H306*'Pawn Weights'!$B$24)+(I306*'Pawn Weights'!$B$25)+(J306*'Pawn Weights'!$B$28)+(K306*'Pawn Weights'!$B$26)+(M306*'Pawn Weights'!$B$29)+(N306*'Pawn Weights'!$B$22)+(O306*'Pawn Weights'!$B$31)+(P306*'Pawn Weights'!$B$32)+(Q306*'Pawn Weights'!$B$33)+(F306*'Pawn Weights'!$B$35)+(S306*'Pawn Weights'!$B$27)+'Pawn Weights'!$B$36, 2)</f>
        <v>1128.23</v>
      </c>
      <c r="E306" s="326">
        <v>109.6</v>
      </c>
      <c r="F306" s="326">
        <v>3.6</v>
      </c>
      <c r="G306" s="326">
        <v>42.0</v>
      </c>
      <c r="H306" s="326"/>
      <c r="I306" s="326"/>
      <c r="J306" s="326"/>
      <c r="K306" s="326"/>
      <c r="L306" s="326"/>
      <c r="M306" s="326"/>
      <c r="N306" s="326">
        <v>47.0</v>
      </c>
      <c r="O306" s="326"/>
      <c r="P306" s="326"/>
      <c r="Q306" s="326"/>
      <c r="R306" s="327"/>
      <c r="S306" s="326"/>
      <c r="T306" s="328"/>
      <c r="U306" s="326"/>
      <c r="V306" s="326"/>
      <c r="W306" s="329"/>
    </row>
    <row r="307">
      <c r="A307" s="292" t="s">
        <v>583</v>
      </c>
      <c r="B307" s="288" t="s">
        <v>1711</v>
      </c>
      <c r="C307" s="326" t="s">
        <v>1712</v>
      </c>
      <c r="D307" s="301">
        <f>ROUND((E307*'Pawn Weights'!$B$34)+(G307*'Pawn Weights'!$B$23)+(H307*'Pawn Weights'!$B$24)+(I307*'Pawn Weights'!$B$25)+(J307*'Pawn Weights'!$B$28)+(K307*'Pawn Weights'!$B$26)+(M307*'Pawn Weights'!$B$29)+(N307*'Pawn Weights'!$B$22)+(O307*'Pawn Weights'!$B$31)+(P307*'Pawn Weights'!$B$32)+(Q307*'Pawn Weights'!$B$33)+(F307*'Pawn Weights'!$B$35)+(S307*'Pawn Weights'!$B$27)+'Pawn Weights'!$B$36, 2)</f>
        <v>1114.26</v>
      </c>
      <c r="E307" s="326">
        <v>108.6</v>
      </c>
      <c r="F307" s="326">
        <v>3.5</v>
      </c>
      <c r="G307" s="326"/>
      <c r="H307" s="326">
        <v>102.0</v>
      </c>
      <c r="I307" s="326">
        <v>30.0</v>
      </c>
      <c r="J307" s="326"/>
      <c r="K307" s="326"/>
      <c r="L307" s="326">
        <v>31.0</v>
      </c>
      <c r="M307" s="326"/>
      <c r="N307" s="326"/>
      <c r="O307" s="326"/>
      <c r="P307" s="326"/>
      <c r="Q307" s="326"/>
      <c r="R307" s="327"/>
      <c r="S307" s="326"/>
      <c r="T307" s="327"/>
      <c r="U307" s="326"/>
      <c r="V307" s="326"/>
      <c r="W307" s="329"/>
    </row>
    <row r="308" ht="14.25" customHeight="1">
      <c r="A308" s="292" t="s">
        <v>1146</v>
      </c>
      <c r="B308" s="288" t="s">
        <v>1713</v>
      </c>
      <c r="C308" s="326" t="s">
        <v>1561</v>
      </c>
      <c r="D308" s="301">
        <f>ROUND((E308*'Pawn Weights'!$B$34)+(G308*'Pawn Weights'!$B$23)+(H308*'Pawn Weights'!$B$24)+(I308*'Pawn Weights'!$B$25)+(J308*'Pawn Weights'!$B$28)+(K308*'Pawn Weights'!$B$26)+(M308*'Pawn Weights'!$B$29)+(N308*'Pawn Weights'!$B$22)+(O308*'Pawn Weights'!$B$31)+(P308*'Pawn Weights'!$B$32)+(Q308*'Pawn Weights'!$B$33)+(F308*'Pawn Weights'!$B$35)+(S308*'Pawn Weights'!$B$27), 2)</f>
        <v>1099.5</v>
      </c>
      <c r="E308" s="326">
        <v>108.5</v>
      </c>
      <c r="F308" s="326">
        <v>3.4</v>
      </c>
      <c r="G308" s="326"/>
      <c r="H308" s="326">
        <v>112.0</v>
      </c>
      <c r="I308" s="326">
        <v>30.0</v>
      </c>
      <c r="J308" s="326"/>
      <c r="K308" s="326"/>
      <c r="L308" s="326"/>
      <c r="M308" s="326"/>
      <c r="N308" s="326"/>
      <c r="O308" s="326"/>
      <c r="P308" s="326"/>
      <c r="Q308" s="326"/>
      <c r="R308" s="327"/>
      <c r="S308" s="326"/>
      <c r="T308" s="306" t="s">
        <v>1710</v>
      </c>
      <c r="U308" s="326"/>
      <c r="V308" s="326"/>
      <c r="W308" s="329"/>
    </row>
    <row r="309">
      <c r="A309" s="301" t="s">
        <v>1129</v>
      </c>
      <c r="B309" s="288" t="s">
        <v>1714</v>
      </c>
      <c r="C309" s="326" t="s">
        <v>1245</v>
      </c>
      <c r="D309" s="301">
        <f>ROUND((E309*'Pawn Weights'!$B$34)+(G309*'Pawn Weights'!$B$23)+(H309*'Pawn Weights'!$B$24)+(I309*'Pawn Weights'!$B$25)+(J309*'Pawn Weights'!$B$28)+(K309*'Pawn Weights'!$B$26)+(M309*'Pawn Weights'!$B$29)+(N309*'Pawn Weights'!$B$22)+(O309*'Pawn Weights'!$B$31)+(P309*'Pawn Weights'!$B$32)+(Q309*'Pawn Weights'!$B$33)+(F309*'Pawn Weights'!$B$35)+(S309*'Pawn Weights'!$B$27), 2)</f>
        <v>1050.28</v>
      </c>
      <c r="E309" s="326">
        <v>105.6</v>
      </c>
      <c r="F309" s="326">
        <v>3.2</v>
      </c>
      <c r="G309" s="326"/>
      <c r="H309" s="326"/>
      <c r="I309" s="326"/>
      <c r="J309" s="326"/>
      <c r="K309" s="326">
        <v>36.0</v>
      </c>
      <c r="L309" s="326">
        <v>54.0</v>
      </c>
      <c r="M309" s="326"/>
      <c r="N309" s="326">
        <v>37.0</v>
      </c>
      <c r="O309" s="326"/>
      <c r="P309" s="326"/>
      <c r="Q309" s="326"/>
      <c r="R309" s="327"/>
      <c r="S309" s="326"/>
      <c r="T309" s="373"/>
      <c r="U309" s="326"/>
      <c r="V309" s="326"/>
      <c r="W309" s="329"/>
    </row>
    <row r="310">
      <c r="A310" s="137" t="s">
        <v>1133</v>
      </c>
      <c r="B310" s="296" t="s">
        <v>1715</v>
      </c>
      <c r="C310" s="330" t="s">
        <v>1520</v>
      </c>
      <c r="D310" s="301">
        <f>ROUND((E310*'Pawn Weights'!$B$34)+(G310*'Pawn Weights'!$B$23)+(H310*'Pawn Weights'!$B$24)+(I310*'Pawn Weights'!$B$25)+(J310*'Pawn Weights'!$B$28)+(K310*'Pawn Weights'!$B$26)+(M310*'Pawn Weights'!$B$29)+(N310*'Pawn Weights'!$B$22)+(O310*'Pawn Weights'!$B$31)+(P310*'Pawn Weights'!$B$32)+(Q310*'Pawn Weights'!$B$33)+(F310*'Pawn Weights'!$B$35)+(S310*'Pawn Weights'!$B$27), 2)</f>
        <v>1038.48</v>
      </c>
      <c r="E310" s="332">
        <v>105.6</v>
      </c>
      <c r="F310" s="332">
        <v>3.5</v>
      </c>
      <c r="G310" s="330"/>
      <c r="H310" s="330"/>
      <c r="I310" s="330"/>
      <c r="J310" s="330"/>
      <c r="K310" s="330"/>
      <c r="L310" s="330"/>
      <c r="M310" s="330"/>
      <c r="N310" s="330"/>
      <c r="O310" s="330"/>
      <c r="P310" s="330"/>
      <c r="Q310" s="330"/>
      <c r="R310" s="295"/>
      <c r="S310" s="368">
        <v>67.0</v>
      </c>
      <c r="T310" s="318" t="s">
        <v>1716</v>
      </c>
      <c r="U310" s="330"/>
      <c r="V310" s="330"/>
      <c r="W310" s="137"/>
      <c r="X310" s="137"/>
      <c r="Y310" s="137"/>
      <c r="Z310" s="137"/>
    </row>
    <row r="311" ht="14.25" customHeight="1">
      <c r="A311" s="292" t="s">
        <v>583</v>
      </c>
      <c r="B311" s="311" t="s">
        <v>1717</v>
      </c>
      <c r="C311" s="326" t="s">
        <v>1718</v>
      </c>
      <c r="D311" s="301">
        <f>ROUND((E311*'Pawn Weights'!$B$34)+(G311*'Pawn Weights'!$B$23)+(H311*'Pawn Weights'!$B$24)+(I311*'Pawn Weights'!$B$25)+(J311*'Pawn Weights'!$B$28)+(K311*'Pawn Weights'!$B$26)+(M311*'Pawn Weights'!$B$29)+(N311*'Pawn Weights'!$B$22)+(O311*'Pawn Weights'!$B$31)+(P311*'Pawn Weights'!$B$32)+(Q311*'Pawn Weights'!$B$33)+(F311*'Pawn Weights'!$B$35)+(S311*'Pawn Weights'!$B$27)+'Pawn Weights'!$B$36, 2)</f>
        <v>983</v>
      </c>
      <c r="E311" s="326">
        <v>93.2</v>
      </c>
      <c r="F311" s="326">
        <v>3.4</v>
      </c>
      <c r="G311" s="326"/>
      <c r="H311" s="326"/>
      <c r="I311" s="326">
        <v>45.0</v>
      </c>
      <c r="J311" s="326"/>
      <c r="K311" s="326"/>
      <c r="L311" s="326">
        <v>28.0</v>
      </c>
      <c r="M311" s="326"/>
      <c r="N311" s="326">
        <v>29.0</v>
      </c>
      <c r="O311" s="326"/>
      <c r="P311" s="326"/>
      <c r="Q311" s="326"/>
      <c r="R311" s="327"/>
      <c r="S311" s="326"/>
      <c r="T311" s="327"/>
      <c r="U311" s="326"/>
      <c r="V311" s="326"/>
      <c r="W311" s="329"/>
    </row>
    <row r="312">
      <c r="A312" s="219" t="s">
        <v>1129</v>
      </c>
      <c r="B312" s="391" t="s">
        <v>1719</v>
      </c>
      <c r="C312" s="368" t="s">
        <v>1720</v>
      </c>
      <c r="D312" s="301">
        <f>ROUND((E312*'Pawn Weights'!$B$34)+(G312*'Pawn Weights'!$B$23)+(H312*'Pawn Weights'!$B$24)+(I312*'Pawn Weights'!$B$25)+(J312*'Pawn Weights'!$B$28)+(K312*'Pawn Weights'!$B$26)+(M312*'Pawn Weights'!$B$29)+(N312*'Pawn Weights'!$B$22)+(O312*'Pawn Weights'!$B$31)+(P312*'Pawn Weights'!$B$32)+(Q312*'Pawn Weights'!$B$33)+(F312*'Pawn Weights'!$B$35)+(S312*'Pawn Weights'!$B$27), 2)</f>
        <v>976.24</v>
      </c>
      <c r="E312" s="331">
        <v>93.3</v>
      </c>
      <c r="F312" s="331">
        <v>3.5</v>
      </c>
      <c r="G312" s="331">
        <v>26.0</v>
      </c>
      <c r="H312" s="331">
        <v>92.0</v>
      </c>
      <c r="I312" s="330"/>
      <c r="J312" s="330"/>
      <c r="K312" s="368">
        <v>19.0</v>
      </c>
      <c r="L312" s="330"/>
      <c r="M312" s="330"/>
      <c r="N312" s="330"/>
      <c r="O312" s="330"/>
      <c r="P312" s="330"/>
      <c r="Q312" s="330"/>
      <c r="R312" s="295"/>
      <c r="S312" s="330"/>
      <c r="T312" s="295"/>
      <c r="U312" s="330"/>
      <c r="V312" s="330"/>
      <c r="W312" s="137"/>
      <c r="X312" s="137"/>
      <c r="Y312" s="137"/>
      <c r="Z312" s="137"/>
    </row>
    <row r="313">
      <c r="A313" s="292" t="s">
        <v>1129</v>
      </c>
      <c r="B313" s="311" t="s">
        <v>1721</v>
      </c>
      <c r="C313" s="326" t="s">
        <v>1722</v>
      </c>
      <c r="D313" s="301">
        <f>ROUND((E313*'Pawn Weights'!$B$34)+(G313*'Pawn Weights'!$B$23)+(H313*'Pawn Weights'!$B$24)+(I313*'Pawn Weights'!$B$25)+(J313*'Pawn Weights'!$B$28)+(K313*'Pawn Weights'!$B$26)+(M313*'Pawn Weights'!$B$29)+(N313*'Pawn Weights'!$B$22)+(O313*'Pawn Weights'!$B$31)+(P313*'Pawn Weights'!$B$32)+(Q313*'Pawn Weights'!$B$33)+(F313*'Pawn Weights'!$B$35)+(S313*'Pawn Weights'!$B$27), 2)</f>
        <v>972.09</v>
      </c>
      <c r="E313" s="326">
        <v>93.3</v>
      </c>
      <c r="F313" s="326">
        <v>3.5</v>
      </c>
      <c r="G313" s="326">
        <v>35.0</v>
      </c>
      <c r="H313" s="326">
        <v>62.0</v>
      </c>
      <c r="I313" s="326"/>
      <c r="J313" s="326"/>
      <c r="K313" s="326">
        <v>24.0</v>
      </c>
      <c r="L313" s="326">
        <v>30.0</v>
      </c>
      <c r="M313" s="326"/>
      <c r="N313" s="326"/>
      <c r="O313" s="326"/>
      <c r="P313" s="326"/>
      <c r="Q313" s="326"/>
      <c r="R313" s="327"/>
      <c r="S313" s="326"/>
      <c r="T313" s="373"/>
      <c r="U313" s="326"/>
      <c r="V313" s="326"/>
      <c r="W313" s="329"/>
    </row>
    <row r="314" ht="17.25" customHeight="1">
      <c r="A314" s="219" t="s">
        <v>1133</v>
      </c>
      <c r="B314" s="391" t="s">
        <v>1723</v>
      </c>
      <c r="C314" s="368" t="s">
        <v>1724</v>
      </c>
      <c r="D314" s="301">
        <f>ROUND((E314*'Pawn Weights'!$B$34)+(G314*'Pawn Weights'!$B$23)+(H314*'Pawn Weights'!$B$24)+(I314*'Pawn Weights'!$B$25)+(J314*'Pawn Weights'!$B$28)+(K314*'Pawn Weights'!$B$26)+(M314*'Pawn Weights'!$B$29)+(N314*'Pawn Weights'!$B$22)+(O314*'Pawn Weights'!$B$31)+(P314*'Pawn Weights'!$B$32)+(Q314*'Pawn Weights'!$B$33)+(F314*'Pawn Weights'!$B$35)+(S314*'Pawn Weights'!$B$27), 2)</f>
        <v>971.08</v>
      </c>
      <c r="E314" s="331">
        <v>93.2</v>
      </c>
      <c r="F314" s="331">
        <v>3.6</v>
      </c>
      <c r="G314" s="330"/>
      <c r="H314" s="330"/>
      <c r="I314" s="368">
        <v>19.0</v>
      </c>
      <c r="J314" s="330"/>
      <c r="K314" s="330"/>
      <c r="L314" s="331">
        <v>39.0</v>
      </c>
      <c r="M314" s="330"/>
      <c r="N314" s="368">
        <v>46.0</v>
      </c>
      <c r="O314" s="330"/>
      <c r="P314" s="330"/>
      <c r="Q314" s="330"/>
      <c r="R314" s="295"/>
      <c r="S314" s="330"/>
      <c r="T314" s="306" t="s">
        <v>1710</v>
      </c>
      <c r="U314" s="330"/>
      <c r="V314" s="330"/>
      <c r="W314" s="137"/>
      <c r="X314" s="137"/>
      <c r="Y314" s="137"/>
      <c r="Z314" s="137"/>
    </row>
    <row r="315">
      <c r="A315" s="219" t="s">
        <v>1133</v>
      </c>
      <c r="B315" s="391" t="s">
        <v>1725</v>
      </c>
      <c r="C315" s="368" t="s">
        <v>1726</v>
      </c>
      <c r="D315" s="301">
        <f>ROUND((E315*'Pawn Weights'!$B$34)+(G315*'Pawn Weights'!$B$23)+(H315*'Pawn Weights'!$B$24)+(I315*'Pawn Weights'!$B$25)+(J315*'Pawn Weights'!$B$28)+(K315*'Pawn Weights'!$B$26)+(M315*'Pawn Weights'!$B$29)+(N315*'Pawn Weights'!$B$22)+(O315*'Pawn Weights'!$B$31)+(P315*'Pawn Weights'!$B$32)+(Q315*'Pawn Weights'!$B$33)+(F315*'Pawn Weights'!$B$35)+(S315*'Pawn Weights'!$B$27), 2)</f>
        <v>970.64</v>
      </c>
      <c r="E315" s="331">
        <v>93.3</v>
      </c>
      <c r="F315" s="331">
        <v>3.5</v>
      </c>
      <c r="G315" s="295"/>
      <c r="H315" s="368">
        <v>84.0</v>
      </c>
      <c r="I315" s="330"/>
      <c r="J315" s="330"/>
      <c r="K315" s="368">
        <v>42.0</v>
      </c>
      <c r="L315" s="332"/>
      <c r="M315" s="330"/>
      <c r="N315" s="330"/>
      <c r="O315" s="330"/>
      <c r="P315" s="330"/>
      <c r="Q315" s="330"/>
      <c r="R315" s="295"/>
      <c r="S315" s="330"/>
      <c r="T315" s="306" t="s">
        <v>1710</v>
      </c>
      <c r="U315" s="368"/>
      <c r="V315" s="330"/>
      <c r="W315" s="137"/>
      <c r="X315" s="137"/>
      <c r="Y315" s="137"/>
      <c r="Z315" s="137"/>
    </row>
    <row r="316">
      <c r="A316" s="219" t="s">
        <v>1133</v>
      </c>
      <c r="B316" s="311" t="s">
        <v>1727</v>
      </c>
      <c r="C316" s="326" t="s">
        <v>1728</v>
      </c>
      <c r="D316" s="301">
        <f>ROUND((E316*'Pawn Weights'!$B$34)+(G316*'Pawn Weights'!$B$23)+(H316*'Pawn Weights'!$B$24)+(I316*'Pawn Weights'!$B$25)+(J316*'Pawn Weights'!$B$28)+(K316*'Pawn Weights'!$B$26)+(M316*'Pawn Weights'!$B$29)+(N316*'Pawn Weights'!$B$22)+(O316*'Pawn Weights'!$B$31)+(P316*'Pawn Weights'!$B$32)+(Q316*'Pawn Weights'!$B$33)+(F316*'Pawn Weights'!$B$35)+(S316*'Pawn Weights'!$B$27), 2)</f>
        <v>962.11</v>
      </c>
      <c r="E316" s="326">
        <v>93.2</v>
      </c>
      <c r="F316" s="326">
        <v>3.4</v>
      </c>
      <c r="G316" s="326">
        <v>17.0</v>
      </c>
      <c r="H316" s="326"/>
      <c r="I316" s="326"/>
      <c r="J316" s="326"/>
      <c r="K316" s="326"/>
      <c r="L316" s="326">
        <v>33.0</v>
      </c>
      <c r="M316" s="326"/>
      <c r="N316" s="326">
        <v>28.0</v>
      </c>
      <c r="O316" s="326">
        <v>3.0</v>
      </c>
      <c r="P316" s="326"/>
      <c r="Q316" s="326"/>
      <c r="R316" s="327" t="s">
        <v>633</v>
      </c>
      <c r="S316" s="326"/>
      <c r="T316" s="306" t="s">
        <v>1710</v>
      </c>
      <c r="U316" s="326"/>
      <c r="V316" s="326"/>
      <c r="W316" s="329"/>
    </row>
    <row r="317">
      <c r="A317" s="301" t="s">
        <v>1705</v>
      </c>
      <c r="B317" s="311" t="s">
        <v>1729</v>
      </c>
      <c r="C317" s="326" t="s">
        <v>1730</v>
      </c>
      <c r="D317" s="301">
        <f>ROUND((E317*'Pawn Weights'!$B$34)+(G317*'Pawn Weights'!$B$23)+(H317*'Pawn Weights'!$B$24)+(I317*'Pawn Weights'!$B$25)+(J317*'Pawn Weights'!$B$28)+(K317*'Pawn Weights'!$B$26)+(M317*'Pawn Weights'!$B$29)+(N317*'Pawn Weights'!$B$22)+(O317*'Pawn Weights'!$B$31)+(P317*'Pawn Weights'!$B$32)+(Q317*'Pawn Weights'!$B$33)+(F317*'Pawn Weights'!$B$35)+(S317*'Pawn Weights'!$B$27)+'Pawn Weights'!$B$36, 2)</f>
        <v>960.14</v>
      </c>
      <c r="E317" s="326">
        <v>93.2</v>
      </c>
      <c r="F317" s="326">
        <v>3.7</v>
      </c>
      <c r="G317" s="326"/>
      <c r="H317" s="326"/>
      <c r="I317" s="326">
        <v>37.0</v>
      </c>
      <c r="J317" s="326"/>
      <c r="K317" s="326"/>
      <c r="L317" s="326">
        <v>34.0</v>
      </c>
      <c r="M317" s="326"/>
      <c r="N317" s="326"/>
      <c r="O317" s="326"/>
      <c r="P317" s="326"/>
      <c r="Q317" s="326"/>
      <c r="R317" s="327"/>
      <c r="S317" s="326"/>
      <c r="T317" s="328" t="s">
        <v>1731</v>
      </c>
      <c r="U317" s="326"/>
      <c r="V317" s="326"/>
      <c r="W317" s="329"/>
    </row>
    <row r="318">
      <c r="A318" s="219" t="s">
        <v>1133</v>
      </c>
      <c r="B318" s="391" t="s">
        <v>1732</v>
      </c>
      <c r="C318" s="368" t="s">
        <v>1733</v>
      </c>
      <c r="D318" s="301">
        <f>ROUND((E318*'Pawn Weights'!$B$34)+(G318*'Pawn Weights'!$B$23)+(H318*'Pawn Weights'!$B$24)+(I318*'Pawn Weights'!$B$25)+(J318*'Pawn Weights'!$B$28)+(K318*'Pawn Weights'!$B$26)+(M318*'Pawn Weights'!$B$29)+(N318*'Pawn Weights'!$B$22)+(O318*'Pawn Weights'!$B$31)+(P318*'Pawn Weights'!$B$32)+(Q318*'Pawn Weights'!$B$33)+(F318*'Pawn Weights'!$B$35)+(S318*'Pawn Weights'!$B$27), 2)</f>
        <v>954.33</v>
      </c>
      <c r="E318" s="331">
        <v>93.2</v>
      </c>
      <c r="F318" s="331">
        <v>3.6</v>
      </c>
      <c r="G318" s="330"/>
      <c r="H318" s="368">
        <v>50.0</v>
      </c>
      <c r="I318" s="332"/>
      <c r="J318" s="330"/>
      <c r="K318" s="330"/>
      <c r="L318" s="368">
        <v>22.0</v>
      </c>
      <c r="M318" s="330"/>
      <c r="N318" s="368"/>
      <c r="O318" s="368">
        <v>1.0</v>
      </c>
      <c r="P318" s="368">
        <v>1.0</v>
      </c>
      <c r="Q318" s="368">
        <v>1.0</v>
      </c>
      <c r="R318" s="295"/>
      <c r="S318" s="330"/>
      <c r="T318" s="306" t="s">
        <v>1710</v>
      </c>
      <c r="U318" s="330"/>
      <c r="V318" s="330"/>
      <c r="W318" s="137"/>
      <c r="X318" s="137"/>
      <c r="Y318" s="137"/>
      <c r="Z318" s="137"/>
    </row>
    <row r="319">
      <c r="A319" s="433" t="s">
        <v>1133</v>
      </c>
      <c r="B319" s="434" t="s">
        <v>1734</v>
      </c>
      <c r="C319" s="326" t="s">
        <v>1520</v>
      </c>
      <c r="D319" s="301">
        <f>ROUND((E319*'Pawn Weights'!$B$34)+(G319*'Pawn Weights'!$B$23)+(H319*'Pawn Weights'!$B$24)+(I319*'Pawn Weights'!$B$25)+(J319*'Pawn Weights'!$B$28)+(K319*'Pawn Weights'!$B$26)+(M319*'Pawn Weights'!$B$29)+(N319*'Pawn Weights'!$B$22)+(O319*'Pawn Weights'!$B$31)+(P319*'Pawn Weights'!$B$32)+(Q319*'Pawn Weights'!$B$33)+(F319*'Pawn Weights'!$B$35)+(S319*'Pawn Weights'!$B$27), 2)</f>
        <v>941.9</v>
      </c>
      <c r="E319" s="326">
        <v>90.4</v>
      </c>
      <c r="F319" s="326">
        <v>3.5</v>
      </c>
      <c r="G319" s="354"/>
      <c r="H319" s="326">
        <v>80.0</v>
      </c>
      <c r="I319" s="326">
        <v>27.0</v>
      </c>
      <c r="J319" s="354"/>
      <c r="K319" s="354"/>
      <c r="L319" s="326">
        <v>50.0</v>
      </c>
      <c r="M319" s="354"/>
      <c r="N319" s="354"/>
      <c r="O319" s="354"/>
      <c r="P319" s="354"/>
      <c r="Q319" s="354"/>
      <c r="R319" s="355"/>
      <c r="S319" s="354"/>
      <c r="T319" s="306" t="s">
        <v>1710</v>
      </c>
      <c r="U319" s="354"/>
      <c r="V319" s="281"/>
      <c r="W319" s="281"/>
      <c r="X319" s="304"/>
      <c r="Y319" s="304"/>
      <c r="Z319" s="304"/>
    </row>
    <row r="320">
      <c r="A320" s="219" t="s">
        <v>1129</v>
      </c>
      <c r="B320" s="391" t="s">
        <v>1735</v>
      </c>
      <c r="C320" s="368" t="s">
        <v>1736</v>
      </c>
      <c r="D320" s="301">
        <f>ROUND((E320*'Pawn Weights'!$B$34)+(G320*'Pawn Weights'!$B$23)+(H320*'Pawn Weights'!$B$24)+(I320*'Pawn Weights'!$B$25)+(J320*'Pawn Weights'!$B$28)+(K320*'Pawn Weights'!$B$26)+(M320*'Pawn Weights'!$B$29)+(N320*'Pawn Weights'!$B$22)+(O320*'Pawn Weights'!$B$31)+(P320*'Pawn Weights'!$B$32)+(Q320*'Pawn Weights'!$B$33)+(F320*'Pawn Weights'!$B$35)+(S320*'Pawn Weights'!$B$27), 2)</f>
        <v>931.46</v>
      </c>
      <c r="E320" s="331">
        <v>93.3</v>
      </c>
      <c r="F320" s="331">
        <v>3.3</v>
      </c>
      <c r="G320" s="219">
        <v>54.0</v>
      </c>
      <c r="H320" s="332"/>
      <c r="I320" s="332"/>
      <c r="J320" s="330"/>
      <c r="K320" s="330"/>
      <c r="L320" s="368">
        <v>33.0</v>
      </c>
      <c r="M320" s="330"/>
      <c r="N320" s="330"/>
      <c r="O320" s="330"/>
      <c r="P320" s="332"/>
      <c r="Q320" s="330"/>
      <c r="R320" s="332"/>
      <c r="S320" s="330"/>
      <c r="T320" s="332"/>
      <c r="U320" s="330"/>
      <c r="V320" s="330"/>
      <c r="W320" s="137"/>
      <c r="X320" s="137"/>
      <c r="Y320" s="137"/>
      <c r="Z320" s="137"/>
    </row>
    <row r="321">
      <c r="A321" s="435"/>
      <c r="B321" s="436"/>
      <c r="C321" s="437"/>
      <c r="D321" s="438"/>
      <c r="E321" s="437"/>
      <c r="F321" s="437"/>
      <c r="G321" s="437"/>
      <c r="H321" s="437"/>
      <c r="I321" s="437"/>
      <c r="J321" s="437"/>
      <c r="K321" s="437"/>
      <c r="L321" s="437"/>
      <c r="M321" s="437"/>
      <c r="N321" s="437"/>
      <c r="O321" s="437"/>
      <c r="P321" s="437"/>
      <c r="Q321" s="437"/>
      <c r="R321" s="439"/>
      <c r="S321" s="437"/>
      <c r="T321" s="439"/>
      <c r="U321" s="437"/>
      <c r="V321" s="437"/>
      <c r="W321" s="440"/>
      <c r="X321" s="226"/>
      <c r="Y321" s="226"/>
      <c r="Z321" s="226"/>
    </row>
    <row r="322">
      <c r="A322" s="295"/>
      <c r="B322" s="427"/>
      <c r="C322" s="330"/>
      <c r="D322" s="374"/>
      <c r="E322" s="332"/>
      <c r="F322" s="332"/>
      <c r="G322" s="330"/>
      <c r="H322" s="332"/>
      <c r="I322" s="332"/>
      <c r="J322" s="330"/>
      <c r="K322" s="332"/>
      <c r="L322" s="332"/>
      <c r="M322" s="332"/>
      <c r="N322" s="330"/>
      <c r="O322" s="330"/>
      <c r="P322" s="330"/>
      <c r="Q322" s="330"/>
      <c r="R322" s="295"/>
      <c r="S322" s="330"/>
      <c r="T322" s="316"/>
      <c r="U322" s="330"/>
      <c r="V322" s="330"/>
      <c r="W322" s="137"/>
      <c r="X322" s="137"/>
      <c r="Y322" s="137"/>
      <c r="Z322" s="137"/>
    </row>
    <row r="323" ht="14.25" customHeight="1">
      <c r="A323" s="325" t="s">
        <v>1169</v>
      </c>
      <c r="B323" s="350"/>
      <c r="C323" s="326"/>
      <c r="D323" s="301"/>
      <c r="E323" s="326"/>
      <c r="F323" s="326"/>
      <c r="G323" s="326"/>
      <c r="H323" s="326"/>
      <c r="I323" s="326"/>
      <c r="J323" s="326"/>
      <c r="K323" s="326"/>
      <c r="L323" s="326"/>
      <c r="M323" s="326"/>
      <c r="N323" s="326"/>
      <c r="O323" s="326"/>
      <c r="P323" s="326"/>
      <c r="Q323" s="326"/>
      <c r="R323" s="327"/>
      <c r="S323" s="326"/>
      <c r="T323" s="327"/>
      <c r="U323" s="326"/>
      <c r="V323" s="326"/>
      <c r="W323" s="329"/>
    </row>
    <row r="324" ht="1.5" customHeight="1">
      <c r="A324" s="333"/>
      <c r="B324" s="334"/>
      <c r="C324" s="335"/>
      <c r="D324" s="428"/>
      <c r="E324" s="335"/>
      <c r="F324" s="335"/>
      <c r="G324" s="336"/>
      <c r="H324" s="335"/>
      <c r="I324" s="336"/>
      <c r="J324" s="336"/>
      <c r="K324" s="335"/>
      <c r="L324" s="336"/>
      <c r="M324" s="336"/>
      <c r="N324" s="336"/>
      <c r="O324" s="336"/>
      <c r="P324" s="336"/>
      <c r="Q324" s="336"/>
      <c r="R324" s="337"/>
      <c r="S324" s="335"/>
      <c r="T324" s="336"/>
      <c r="U324" s="336"/>
      <c r="V324" s="339"/>
      <c r="W324" s="339"/>
      <c r="X324" s="340"/>
      <c r="Y324" s="340"/>
      <c r="Z324" s="340"/>
    </row>
    <row r="325" ht="15.0" customHeight="1">
      <c r="A325" s="345"/>
      <c r="B325" s="334"/>
      <c r="C325" s="335"/>
      <c r="D325" s="208"/>
      <c r="E325" s="335"/>
      <c r="F325" s="335"/>
      <c r="G325" s="335"/>
      <c r="H325" s="335"/>
      <c r="I325" s="336"/>
      <c r="J325" s="335"/>
      <c r="K325" s="336"/>
      <c r="L325" s="335"/>
      <c r="M325" s="336"/>
      <c r="N325" s="336"/>
      <c r="O325" s="336"/>
      <c r="P325" s="336"/>
      <c r="Q325" s="336"/>
      <c r="R325" s="337"/>
      <c r="S325" s="336"/>
      <c r="T325" s="335"/>
      <c r="U325" s="336"/>
      <c r="V325" s="348"/>
      <c r="W325" s="348"/>
      <c r="X325" s="340"/>
      <c r="Y325" s="340"/>
      <c r="Z325" s="340"/>
    </row>
    <row r="326">
      <c r="A326" s="333"/>
      <c r="B326" s="354"/>
      <c r="C326" s="354"/>
      <c r="D326" s="354"/>
      <c r="E326" s="354"/>
      <c r="F326" s="354"/>
      <c r="G326" s="354"/>
      <c r="H326" s="354"/>
      <c r="I326" s="354"/>
      <c r="J326" s="354"/>
      <c r="K326" s="354"/>
      <c r="L326" s="354"/>
      <c r="M326" s="354"/>
      <c r="N326" s="354"/>
      <c r="O326" s="354"/>
      <c r="P326" s="354"/>
      <c r="Q326" s="354"/>
      <c r="R326" s="355"/>
      <c r="S326" s="354"/>
      <c r="T326" s="354"/>
      <c r="U326" s="354"/>
      <c r="V326" s="357"/>
      <c r="W326" s="357"/>
      <c r="X326" s="304"/>
      <c r="Y326" s="304"/>
      <c r="Z326" s="304"/>
    </row>
    <row r="327">
      <c r="A327" s="377"/>
      <c r="B327" s="354"/>
      <c r="C327" s="354"/>
      <c r="D327" s="354"/>
      <c r="E327" s="354"/>
      <c r="F327" s="354"/>
      <c r="G327" s="354"/>
      <c r="H327" s="354"/>
      <c r="I327" s="354"/>
      <c r="J327" s="354"/>
      <c r="K327" s="354"/>
      <c r="L327" s="354"/>
      <c r="M327" s="354"/>
      <c r="N327" s="354"/>
      <c r="O327" s="354"/>
      <c r="P327" s="354"/>
      <c r="Q327" s="354"/>
      <c r="R327" s="355"/>
      <c r="S327" s="354"/>
      <c r="T327" s="354"/>
      <c r="U327" s="354"/>
      <c r="V327" s="357"/>
      <c r="W327" s="357"/>
      <c r="X327" s="304"/>
      <c r="Y327" s="304"/>
      <c r="Z327" s="304"/>
    </row>
    <row r="328">
      <c r="A328" s="345"/>
      <c r="B328" s="354"/>
      <c r="C328" s="354"/>
      <c r="D328" s="354"/>
      <c r="E328" s="354"/>
      <c r="F328" s="354"/>
      <c r="G328" s="354"/>
      <c r="H328" s="354"/>
      <c r="I328" s="354"/>
      <c r="J328" s="354"/>
      <c r="K328" s="354"/>
      <c r="L328" s="354"/>
      <c r="M328" s="354"/>
      <c r="N328" s="354"/>
      <c r="O328" s="354"/>
      <c r="P328" s="354"/>
      <c r="Q328" s="354"/>
      <c r="R328" s="355"/>
      <c r="S328" s="354"/>
      <c r="T328" s="354"/>
      <c r="U328" s="354"/>
      <c r="V328" s="281"/>
      <c r="W328" s="281"/>
      <c r="X328" s="304"/>
      <c r="Y328" s="304"/>
      <c r="Z328" s="304"/>
    </row>
    <row r="329">
      <c r="A329" s="345"/>
      <c r="B329" s="354"/>
      <c r="C329" s="354"/>
      <c r="D329" s="354"/>
      <c r="E329" s="354"/>
      <c r="F329" s="354"/>
      <c r="G329" s="354"/>
      <c r="H329" s="354"/>
      <c r="I329" s="354"/>
      <c r="J329" s="354"/>
      <c r="K329" s="354"/>
      <c r="L329" s="354"/>
      <c r="M329" s="354"/>
      <c r="N329" s="354"/>
      <c r="O329" s="354"/>
      <c r="P329" s="354"/>
      <c r="Q329" s="354"/>
      <c r="R329" s="355"/>
      <c r="S329" s="354"/>
      <c r="T329" s="354"/>
      <c r="U329" s="354"/>
      <c r="V329" s="281"/>
      <c r="W329" s="281"/>
      <c r="X329" s="304"/>
      <c r="Y329" s="304"/>
      <c r="Z329" s="304"/>
    </row>
    <row r="330">
      <c r="A330" s="345"/>
      <c r="B330" s="281"/>
      <c r="C330" s="281"/>
      <c r="D330" s="281"/>
      <c r="E330" s="281"/>
      <c r="F330" s="281"/>
      <c r="G330" s="354"/>
      <c r="H330" s="281"/>
      <c r="I330" s="281"/>
      <c r="J330" s="281"/>
      <c r="K330" s="281"/>
      <c r="L330" s="281"/>
      <c r="M330" s="281"/>
      <c r="N330" s="281"/>
      <c r="O330" s="281"/>
      <c r="P330" s="281"/>
      <c r="Q330" s="281"/>
      <c r="R330" s="282"/>
      <c r="S330" s="281"/>
      <c r="T330" s="281"/>
      <c r="U330" s="281"/>
      <c r="V330" s="281"/>
      <c r="W330" s="281"/>
      <c r="X330" s="304"/>
      <c r="Y330" s="304"/>
      <c r="Z330" s="304"/>
    </row>
    <row r="331">
      <c r="A331" s="345"/>
      <c r="B331" s="281"/>
      <c r="C331" s="281"/>
      <c r="D331" s="281"/>
      <c r="E331" s="281"/>
      <c r="F331" s="281"/>
      <c r="G331" s="354"/>
      <c r="H331" s="281"/>
      <c r="I331" s="281"/>
      <c r="J331" s="281"/>
      <c r="K331" s="281"/>
      <c r="L331" s="281"/>
      <c r="M331" s="281"/>
      <c r="N331" s="281"/>
      <c r="O331" s="281"/>
      <c r="P331" s="281"/>
      <c r="Q331" s="281"/>
      <c r="R331" s="282"/>
      <c r="S331" s="281"/>
      <c r="T331" s="281"/>
      <c r="U331" s="281"/>
      <c r="V331" s="281"/>
      <c r="W331" s="281"/>
      <c r="X331" s="304"/>
      <c r="Y331" s="304"/>
      <c r="Z331" s="304"/>
    </row>
    <row r="332">
      <c r="A332" s="345"/>
      <c r="B332" s="281"/>
      <c r="C332" s="281"/>
      <c r="D332" s="281"/>
      <c r="E332" s="281"/>
      <c r="F332" s="281"/>
      <c r="G332" s="354"/>
      <c r="H332" s="281"/>
      <c r="I332" s="281"/>
      <c r="J332" s="281"/>
      <c r="K332" s="281"/>
      <c r="L332" s="281"/>
      <c r="M332" s="281"/>
      <c r="N332" s="281"/>
      <c r="O332" s="281"/>
      <c r="P332" s="281"/>
      <c r="Q332" s="281"/>
      <c r="R332" s="282"/>
      <c r="S332" s="281"/>
      <c r="T332" s="281"/>
      <c r="U332" s="281"/>
      <c r="V332" s="281"/>
      <c r="W332" s="281"/>
      <c r="X332" s="304"/>
      <c r="Y332" s="304"/>
      <c r="Z332" s="304"/>
    </row>
    <row r="333">
      <c r="A333" s="345"/>
      <c r="B333" s="281"/>
      <c r="C333" s="281"/>
      <c r="D333" s="281"/>
      <c r="E333" s="281"/>
      <c r="F333" s="281"/>
      <c r="G333" s="354"/>
      <c r="H333" s="281"/>
      <c r="I333" s="281"/>
      <c r="J333" s="281"/>
      <c r="K333" s="281"/>
      <c r="L333" s="281"/>
      <c r="M333" s="281"/>
      <c r="N333" s="281"/>
      <c r="O333" s="281"/>
      <c r="P333" s="281"/>
      <c r="Q333" s="281"/>
      <c r="R333" s="282"/>
      <c r="S333" s="281"/>
      <c r="T333" s="281"/>
      <c r="U333" s="281"/>
      <c r="V333" s="281"/>
      <c r="W333" s="281"/>
      <c r="X333" s="304"/>
      <c r="Y333" s="304"/>
      <c r="Z333" s="304"/>
    </row>
    <row r="334">
      <c r="A334" s="345"/>
      <c r="B334" s="281"/>
      <c r="C334" s="281"/>
      <c r="D334" s="281"/>
      <c r="E334" s="281"/>
      <c r="F334" s="281"/>
      <c r="G334" s="354"/>
      <c r="H334" s="281"/>
      <c r="I334" s="281"/>
      <c r="J334" s="281"/>
      <c r="K334" s="281"/>
      <c r="L334" s="281"/>
      <c r="M334" s="281"/>
      <c r="N334" s="281"/>
      <c r="O334" s="281"/>
      <c r="P334" s="281"/>
      <c r="Q334" s="281"/>
      <c r="R334" s="282"/>
      <c r="S334" s="281"/>
      <c r="T334" s="281"/>
      <c r="U334" s="281"/>
      <c r="V334" s="281"/>
      <c r="W334" s="281"/>
      <c r="X334" s="304"/>
      <c r="Y334" s="304"/>
      <c r="Z334" s="304"/>
    </row>
    <row r="335">
      <c r="A335" s="345"/>
      <c r="B335" s="281"/>
      <c r="C335" s="281"/>
      <c r="D335" s="281"/>
      <c r="E335" s="281"/>
      <c r="F335" s="281"/>
      <c r="G335" s="354"/>
      <c r="H335" s="281"/>
      <c r="I335" s="281"/>
      <c r="J335" s="281"/>
      <c r="K335" s="281"/>
      <c r="L335" s="281"/>
      <c r="M335" s="281"/>
      <c r="N335" s="281"/>
      <c r="O335" s="281"/>
      <c r="P335" s="281"/>
      <c r="Q335" s="281"/>
      <c r="R335" s="282"/>
      <c r="S335" s="281"/>
      <c r="T335" s="281"/>
      <c r="U335" s="281"/>
      <c r="V335" s="281"/>
      <c r="W335" s="281"/>
      <c r="X335" s="304"/>
      <c r="Y335" s="304"/>
      <c r="Z335" s="304"/>
    </row>
    <row r="336">
      <c r="A336" s="345"/>
      <c r="B336" s="281"/>
      <c r="C336" s="281"/>
      <c r="D336" s="281"/>
      <c r="E336" s="281"/>
      <c r="F336" s="281"/>
      <c r="G336" s="354"/>
      <c r="H336" s="281"/>
      <c r="I336" s="281"/>
      <c r="J336" s="281"/>
      <c r="K336" s="281"/>
      <c r="L336" s="281"/>
      <c r="M336" s="281"/>
      <c r="N336" s="281"/>
      <c r="O336" s="281"/>
      <c r="P336" s="281"/>
      <c r="Q336" s="281"/>
      <c r="R336" s="282"/>
      <c r="S336" s="281"/>
      <c r="T336" s="281"/>
      <c r="U336" s="281"/>
      <c r="V336" s="281"/>
      <c r="W336" s="281"/>
      <c r="X336" s="304"/>
      <c r="Y336" s="304"/>
      <c r="Z336" s="304"/>
    </row>
    <row r="337">
      <c r="A337" s="345"/>
      <c r="B337" s="281"/>
      <c r="C337" s="281"/>
      <c r="D337" s="281"/>
      <c r="E337" s="281"/>
      <c r="F337" s="281"/>
      <c r="G337" s="354"/>
      <c r="H337" s="281"/>
      <c r="I337" s="281"/>
      <c r="J337" s="281"/>
      <c r="K337" s="281"/>
      <c r="L337" s="281"/>
      <c r="M337" s="281"/>
      <c r="N337" s="281"/>
      <c r="O337" s="281"/>
      <c r="P337" s="281"/>
      <c r="Q337" s="281"/>
      <c r="R337" s="282"/>
      <c r="S337" s="281"/>
      <c r="T337" s="281"/>
      <c r="U337" s="281"/>
      <c r="V337" s="281"/>
      <c r="W337" s="281"/>
      <c r="X337" s="304"/>
      <c r="Y337" s="304"/>
      <c r="Z337" s="304"/>
    </row>
    <row r="338">
      <c r="A338" s="345"/>
      <c r="B338" s="281"/>
      <c r="C338" s="281"/>
      <c r="D338" s="281"/>
      <c r="E338" s="281"/>
      <c r="F338" s="281"/>
      <c r="G338" s="354"/>
      <c r="H338" s="281"/>
      <c r="I338" s="281"/>
      <c r="J338" s="281"/>
      <c r="K338" s="281"/>
      <c r="L338" s="281"/>
      <c r="M338" s="281"/>
      <c r="N338" s="281"/>
      <c r="O338" s="281"/>
      <c r="P338" s="281"/>
      <c r="Q338" s="281"/>
      <c r="R338" s="282"/>
      <c r="S338" s="281"/>
      <c r="T338" s="281"/>
      <c r="U338" s="281"/>
      <c r="V338" s="281"/>
      <c r="W338" s="281"/>
      <c r="X338" s="304"/>
      <c r="Y338" s="304"/>
      <c r="Z338" s="304"/>
    </row>
    <row r="339">
      <c r="A339" s="345"/>
      <c r="B339" s="281"/>
      <c r="C339" s="281"/>
      <c r="D339" s="281"/>
      <c r="E339" s="281"/>
      <c r="F339" s="281"/>
      <c r="G339" s="329"/>
      <c r="H339" s="281"/>
      <c r="I339" s="281"/>
      <c r="J339" s="281"/>
      <c r="K339" s="281"/>
      <c r="L339" s="281"/>
      <c r="M339" s="281"/>
      <c r="N339" s="281"/>
      <c r="O339" s="281"/>
      <c r="P339" s="281"/>
      <c r="Q339" s="281"/>
      <c r="R339" s="282"/>
      <c r="S339" s="281"/>
      <c r="T339" s="281"/>
      <c r="U339" s="281"/>
      <c r="V339" s="281"/>
      <c r="W339" s="281"/>
      <c r="X339" s="304"/>
      <c r="Y339" s="304"/>
      <c r="Z339" s="304"/>
    </row>
    <row r="340">
      <c r="A340" s="345"/>
      <c r="B340" s="281"/>
      <c r="C340" s="281"/>
      <c r="D340" s="281"/>
      <c r="E340" s="281"/>
      <c r="F340" s="281"/>
      <c r="G340" s="329"/>
      <c r="H340" s="281"/>
      <c r="I340" s="281"/>
      <c r="J340" s="281"/>
      <c r="K340" s="281"/>
      <c r="L340" s="281"/>
      <c r="M340" s="281"/>
      <c r="N340" s="281"/>
      <c r="O340" s="281"/>
      <c r="P340" s="281"/>
      <c r="Q340" s="281"/>
      <c r="R340" s="282"/>
      <c r="S340" s="281"/>
      <c r="T340" s="281"/>
      <c r="U340" s="281"/>
      <c r="V340" s="281"/>
      <c r="W340" s="281"/>
      <c r="X340" s="304"/>
      <c r="Y340" s="304"/>
      <c r="Z340" s="304"/>
    </row>
    <row r="341">
      <c r="A341" s="345"/>
      <c r="B341" s="281"/>
      <c r="C341" s="281"/>
      <c r="D341" s="281"/>
      <c r="E341" s="281"/>
      <c r="F341" s="281"/>
      <c r="G341" s="329"/>
      <c r="H341" s="281"/>
      <c r="I341" s="281"/>
      <c r="J341" s="281"/>
      <c r="K341" s="281"/>
      <c r="L341" s="281"/>
      <c r="M341" s="281"/>
      <c r="N341" s="281"/>
      <c r="O341" s="281"/>
      <c r="P341" s="281"/>
      <c r="Q341" s="281"/>
      <c r="R341" s="282"/>
      <c r="S341" s="281"/>
      <c r="T341" s="281"/>
      <c r="U341" s="281"/>
      <c r="V341" s="281"/>
      <c r="W341" s="281"/>
      <c r="X341" s="304"/>
      <c r="Y341" s="304"/>
      <c r="Z341" s="304"/>
    </row>
    <row r="342">
      <c r="A342" s="345"/>
      <c r="B342" s="281"/>
      <c r="C342" s="281"/>
      <c r="D342" s="281"/>
      <c r="E342" s="281"/>
      <c r="F342" s="281"/>
      <c r="G342" s="326"/>
      <c r="H342" s="281"/>
      <c r="I342" s="281"/>
      <c r="J342" s="281"/>
      <c r="K342" s="281"/>
      <c r="L342" s="281"/>
      <c r="M342" s="281"/>
      <c r="N342" s="281"/>
      <c r="O342" s="281"/>
      <c r="P342" s="281"/>
      <c r="Q342" s="281"/>
      <c r="R342" s="282"/>
      <c r="S342" s="281"/>
      <c r="T342" s="281"/>
      <c r="U342" s="281"/>
      <c r="V342" s="281"/>
      <c r="W342" s="281"/>
      <c r="X342" s="304"/>
      <c r="Y342" s="304"/>
      <c r="Z342" s="304"/>
    </row>
    <row r="343">
      <c r="A343" s="345"/>
      <c r="B343" s="281"/>
      <c r="C343" s="281"/>
      <c r="D343" s="281"/>
      <c r="E343" s="281"/>
      <c r="F343" s="281"/>
      <c r="G343" s="326"/>
      <c r="H343" s="281"/>
      <c r="I343" s="281"/>
      <c r="J343" s="281"/>
      <c r="K343" s="281"/>
      <c r="L343" s="281"/>
      <c r="M343" s="281"/>
      <c r="N343" s="281"/>
      <c r="O343" s="281"/>
      <c r="P343" s="281"/>
      <c r="Q343" s="281"/>
      <c r="R343" s="282"/>
      <c r="S343" s="281"/>
      <c r="T343" s="281"/>
      <c r="U343" s="281"/>
      <c r="V343" s="281"/>
      <c r="W343" s="281"/>
      <c r="X343" s="304"/>
      <c r="Y343" s="304"/>
      <c r="Z343" s="304"/>
    </row>
    <row r="344">
      <c r="A344" s="345"/>
      <c r="B344" s="281"/>
      <c r="C344" s="281"/>
      <c r="D344" s="281"/>
      <c r="E344" s="281"/>
      <c r="F344" s="281"/>
      <c r="G344" s="326"/>
      <c r="H344" s="281"/>
      <c r="I344" s="281"/>
      <c r="J344" s="281"/>
      <c r="K344" s="281"/>
      <c r="L344" s="281"/>
      <c r="M344" s="281"/>
      <c r="N344" s="281"/>
      <c r="O344" s="281"/>
      <c r="P344" s="281"/>
      <c r="Q344" s="281"/>
      <c r="R344" s="282"/>
      <c r="S344" s="281"/>
      <c r="T344" s="281"/>
      <c r="U344" s="281"/>
      <c r="V344" s="281"/>
      <c r="W344" s="281"/>
      <c r="X344" s="304"/>
      <c r="Y344" s="304"/>
      <c r="Z344" s="304"/>
    </row>
    <row r="345">
      <c r="A345" s="345"/>
      <c r="B345" s="281"/>
      <c r="C345" s="281"/>
      <c r="D345" s="281"/>
      <c r="E345" s="281"/>
      <c r="F345" s="281"/>
      <c r="G345" s="326"/>
      <c r="H345" s="281"/>
      <c r="I345" s="281"/>
      <c r="J345" s="281"/>
      <c r="K345" s="281"/>
      <c r="L345" s="281"/>
      <c r="M345" s="281"/>
      <c r="N345" s="281"/>
      <c r="O345" s="281"/>
      <c r="P345" s="281"/>
      <c r="Q345" s="281"/>
      <c r="R345" s="282"/>
      <c r="S345" s="281"/>
      <c r="T345" s="281"/>
      <c r="U345" s="281"/>
      <c r="V345" s="281"/>
      <c r="W345" s="281"/>
      <c r="X345" s="304"/>
      <c r="Y345" s="304"/>
      <c r="Z345" s="304"/>
    </row>
    <row r="346">
      <c r="A346" s="345"/>
      <c r="B346" s="281"/>
      <c r="C346" s="281"/>
      <c r="D346" s="281"/>
      <c r="E346" s="281"/>
      <c r="F346" s="281"/>
      <c r="G346" s="281"/>
      <c r="H346" s="281"/>
      <c r="I346" s="281"/>
      <c r="J346" s="281"/>
      <c r="K346" s="281"/>
      <c r="L346" s="281"/>
      <c r="M346" s="281"/>
      <c r="N346" s="281"/>
      <c r="O346" s="281"/>
      <c r="P346" s="281"/>
      <c r="Q346" s="281"/>
      <c r="R346" s="282"/>
      <c r="S346" s="281"/>
      <c r="T346" s="281"/>
      <c r="U346" s="281"/>
      <c r="V346" s="281"/>
      <c r="W346" s="281"/>
      <c r="X346" s="304"/>
      <c r="Y346" s="304"/>
      <c r="Z346" s="304"/>
    </row>
    <row r="347">
      <c r="A347" s="345"/>
      <c r="B347" s="281"/>
      <c r="C347" s="281"/>
      <c r="D347" s="281"/>
      <c r="E347" s="281"/>
      <c r="F347" s="281"/>
      <c r="G347" s="281"/>
      <c r="H347" s="281"/>
      <c r="I347" s="281"/>
      <c r="J347" s="281"/>
      <c r="K347" s="281"/>
      <c r="L347" s="281"/>
      <c r="M347" s="281"/>
      <c r="N347" s="281"/>
      <c r="O347" s="281"/>
      <c r="P347" s="281"/>
      <c r="Q347" s="281"/>
      <c r="R347" s="282"/>
      <c r="S347" s="281"/>
      <c r="T347" s="281"/>
      <c r="U347" s="281"/>
      <c r="V347" s="281"/>
      <c r="W347" s="281"/>
      <c r="X347" s="304"/>
      <c r="Y347" s="304"/>
      <c r="Z347" s="304"/>
    </row>
    <row r="348">
      <c r="A348" s="345"/>
      <c r="B348" s="281"/>
      <c r="C348" s="281"/>
      <c r="D348" s="281"/>
      <c r="E348" s="281"/>
      <c r="F348" s="281"/>
      <c r="G348" s="281"/>
      <c r="H348" s="281"/>
      <c r="I348" s="281"/>
      <c r="J348" s="281"/>
      <c r="K348" s="281"/>
      <c r="L348" s="281"/>
      <c r="M348" s="281"/>
      <c r="N348" s="281"/>
      <c r="O348" s="281"/>
      <c r="P348" s="281"/>
      <c r="Q348" s="281"/>
      <c r="R348" s="282"/>
      <c r="S348" s="281"/>
      <c r="T348" s="281"/>
      <c r="U348" s="281"/>
      <c r="V348" s="281"/>
      <c r="W348" s="281"/>
      <c r="X348" s="304"/>
      <c r="Y348" s="304"/>
      <c r="Z348" s="304"/>
    </row>
    <row r="349">
      <c r="A349" s="345"/>
      <c r="B349" s="281"/>
      <c r="C349" s="281"/>
      <c r="D349" s="281"/>
      <c r="E349" s="281"/>
      <c r="F349" s="281"/>
      <c r="G349" s="281"/>
      <c r="H349" s="281"/>
      <c r="I349" s="281"/>
      <c r="J349" s="281"/>
      <c r="K349" s="281"/>
      <c r="L349" s="281"/>
      <c r="M349" s="281"/>
      <c r="N349" s="281"/>
      <c r="O349" s="281"/>
      <c r="P349" s="281"/>
      <c r="Q349" s="281"/>
      <c r="R349" s="282"/>
      <c r="S349" s="281"/>
      <c r="T349" s="281"/>
      <c r="U349" s="281"/>
      <c r="V349" s="281"/>
      <c r="W349" s="281"/>
      <c r="X349" s="304"/>
      <c r="Y349" s="304"/>
      <c r="Z349" s="304"/>
    </row>
    <row r="350">
      <c r="A350" s="345"/>
      <c r="B350" s="281"/>
      <c r="C350" s="281"/>
      <c r="D350" s="281"/>
      <c r="E350" s="281"/>
      <c r="F350" s="281"/>
      <c r="G350" s="281"/>
      <c r="H350" s="281"/>
      <c r="I350" s="281"/>
      <c r="J350" s="281"/>
      <c r="K350" s="281"/>
      <c r="L350" s="281"/>
      <c r="M350" s="281"/>
      <c r="N350" s="281"/>
      <c r="O350" s="281"/>
      <c r="P350" s="281"/>
      <c r="Q350" s="281"/>
      <c r="R350" s="282"/>
      <c r="S350" s="281"/>
      <c r="T350" s="281"/>
      <c r="U350" s="281"/>
      <c r="V350" s="281"/>
      <c r="W350" s="281"/>
      <c r="X350" s="304"/>
      <c r="Y350" s="304"/>
      <c r="Z350" s="304"/>
    </row>
    <row r="351">
      <c r="A351" s="345"/>
      <c r="B351" s="281"/>
      <c r="C351" s="281"/>
      <c r="D351" s="281"/>
      <c r="E351" s="281"/>
      <c r="F351" s="281"/>
      <c r="G351" s="281"/>
      <c r="H351" s="281"/>
      <c r="I351" s="281"/>
      <c r="J351" s="281"/>
      <c r="K351" s="281"/>
      <c r="L351" s="281"/>
      <c r="M351" s="281"/>
      <c r="N351" s="281"/>
      <c r="O351" s="281"/>
      <c r="P351" s="281"/>
      <c r="Q351" s="281"/>
      <c r="R351" s="282"/>
      <c r="S351" s="281"/>
      <c r="T351" s="281"/>
      <c r="U351" s="281"/>
      <c r="V351" s="281"/>
      <c r="W351" s="281"/>
      <c r="X351" s="304"/>
      <c r="Y351" s="304"/>
      <c r="Z351" s="304"/>
    </row>
    <row r="352">
      <c r="A352" s="345"/>
      <c r="B352" s="281"/>
      <c r="C352" s="281"/>
      <c r="D352" s="281"/>
      <c r="E352" s="281"/>
      <c r="F352" s="281"/>
      <c r="G352" s="281"/>
      <c r="H352" s="281"/>
      <c r="I352" s="281"/>
      <c r="J352" s="281"/>
      <c r="K352" s="281"/>
      <c r="L352" s="281"/>
      <c r="M352" s="281"/>
      <c r="N352" s="281"/>
      <c r="O352" s="281"/>
      <c r="P352" s="281"/>
      <c r="Q352" s="281"/>
      <c r="R352" s="282"/>
      <c r="S352" s="281"/>
      <c r="T352" s="281"/>
      <c r="U352" s="281"/>
      <c r="V352" s="281"/>
      <c r="W352" s="281"/>
      <c r="X352" s="304"/>
      <c r="Y352" s="304"/>
      <c r="Z352" s="304"/>
    </row>
    <row r="353">
      <c r="A353" s="345"/>
      <c r="B353" s="281"/>
      <c r="C353" s="281"/>
      <c r="D353" s="281"/>
      <c r="E353" s="281"/>
      <c r="F353" s="281"/>
      <c r="G353" s="281"/>
      <c r="H353" s="281"/>
      <c r="I353" s="281"/>
      <c r="J353" s="281"/>
      <c r="K353" s="281"/>
      <c r="L353" s="281"/>
      <c r="M353" s="281"/>
      <c r="N353" s="281"/>
      <c r="O353" s="281"/>
      <c r="P353" s="281"/>
      <c r="Q353" s="281"/>
      <c r="R353" s="282"/>
      <c r="S353" s="281"/>
      <c r="T353" s="281"/>
      <c r="U353" s="281"/>
      <c r="V353" s="281"/>
      <c r="W353" s="281"/>
      <c r="X353" s="304"/>
      <c r="Y353" s="304"/>
      <c r="Z353" s="304"/>
    </row>
    <row r="354">
      <c r="A354" s="345"/>
      <c r="B354" s="281"/>
      <c r="C354" s="281"/>
      <c r="D354" s="281"/>
      <c r="E354" s="281"/>
      <c r="F354" s="281"/>
      <c r="G354" s="281"/>
      <c r="H354" s="281"/>
      <c r="I354" s="281"/>
      <c r="J354" s="281"/>
      <c r="K354" s="281"/>
      <c r="L354" s="281"/>
      <c r="M354" s="281"/>
      <c r="N354" s="281"/>
      <c r="O354" s="281"/>
      <c r="P354" s="281"/>
      <c r="Q354" s="281"/>
      <c r="R354" s="282"/>
      <c r="S354" s="281"/>
      <c r="T354" s="281"/>
      <c r="U354" s="281"/>
      <c r="V354" s="281"/>
      <c r="W354" s="281"/>
      <c r="X354" s="304"/>
      <c r="Y354" s="304"/>
      <c r="Z354" s="304"/>
    </row>
    <row r="355">
      <c r="A355" s="345"/>
      <c r="B355" s="281"/>
      <c r="C355" s="281"/>
      <c r="D355" s="281"/>
      <c r="E355" s="281"/>
      <c r="F355" s="281"/>
      <c r="G355" s="281"/>
      <c r="H355" s="281"/>
      <c r="I355" s="281"/>
      <c r="J355" s="281"/>
      <c r="K355" s="281"/>
      <c r="L355" s="281"/>
      <c r="M355" s="281"/>
      <c r="N355" s="281"/>
      <c r="O355" s="281"/>
      <c r="P355" s="281"/>
      <c r="Q355" s="281"/>
      <c r="R355" s="282"/>
      <c r="S355" s="281"/>
      <c r="T355" s="281"/>
      <c r="U355" s="281"/>
      <c r="V355" s="281"/>
      <c r="W355" s="281"/>
      <c r="X355" s="304"/>
      <c r="Y355" s="304"/>
      <c r="Z355" s="304"/>
    </row>
    <row r="356">
      <c r="A356" s="345"/>
      <c r="B356" s="281"/>
      <c r="C356" s="281"/>
      <c r="D356" s="281"/>
      <c r="E356" s="281"/>
      <c r="F356" s="281"/>
      <c r="G356" s="281"/>
      <c r="H356" s="281"/>
      <c r="I356" s="281"/>
      <c r="J356" s="281"/>
      <c r="K356" s="281"/>
      <c r="L356" s="281"/>
      <c r="M356" s="281"/>
      <c r="N356" s="281"/>
      <c r="O356" s="281"/>
      <c r="P356" s="281"/>
      <c r="Q356" s="281"/>
      <c r="R356" s="282"/>
      <c r="S356" s="281"/>
      <c r="T356" s="281"/>
      <c r="U356" s="281"/>
      <c r="V356" s="281"/>
      <c r="W356" s="281"/>
      <c r="X356" s="304"/>
      <c r="Y356" s="304"/>
      <c r="Z356" s="304"/>
    </row>
    <row r="357">
      <c r="A357" s="345"/>
      <c r="B357" s="281"/>
      <c r="C357" s="281"/>
      <c r="D357" s="281"/>
      <c r="E357" s="281"/>
      <c r="F357" s="281"/>
      <c r="G357" s="281"/>
      <c r="H357" s="281"/>
      <c r="I357" s="281"/>
      <c r="J357" s="281"/>
      <c r="K357" s="281"/>
      <c r="L357" s="281"/>
      <c r="M357" s="281"/>
      <c r="N357" s="281"/>
      <c r="O357" s="281"/>
      <c r="P357" s="281"/>
      <c r="Q357" s="281"/>
      <c r="R357" s="282"/>
      <c r="S357" s="281"/>
      <c r="T357" s="281"/>
      <c r="U357" s="281"/>
      <c r="V357" s="281"/>
      <c r="W357" s="281"/>
      <c r="X357" s="304"/>
      <c r="Y357" s="304"/>
      <c r="Z357" s="304"/>
    </row>
    <row r="358">
      <c r="A358" s="345"/>
      <c r="B358" s="281"/>
      <c r="C358" s="281"/>
      <c r="D358" s="281"/>
      <c r="E358" s="281"/>
      <c r="F358" s="281"/>
      <c r="G358" s="281"/>
      <c r="H358" s="281"/>
      <c r="I358" s="281"/>
      <c r="J358" s="281"/>
      <c r="K358" s="281"/>
      <c r="L358" s="281"/>
      <c r="M358" s="281"/>
      <c r="N358" s="281"/>
      <c r="O358" s="281"/>
      <c r="P358" s="281"/>
      <c r="Q358" s="281"/>
      <c r="R358" s="282"/>
      <c r="S358" s="281"/>
      <c r="T358" s="281"/>
      <c r="U358" s="281"/>
      <c r="V358" s="281"/>
      <c r="W358" s="281"/>
      <c r="X358" s="304"/>
      <c r="Y358" s="304"/>
      <c r="Z358" s="304"/>
    </row>
    <row r="359">
      <c r="A359" s="345"/>
      <c r="B359" s="281"/>
      <c r="C359" s="281"/>
      <c r="D359" s="281"/>
      <c r="E359" s="281"/>
      <c r="F359" s="281"/>
      <c r="G359" s="281"/>
      <c r="H359" s="281"/>
      <c r="I359" s="281"/>
      <c r="J359" s="281"/>
      <c r="K359" s="281"/>
      <c r="L359" s="281"/>
      <c r="M359" s="281"/>
      <c r="N359" s="281"/>
      <c r="O359" s="281"/>
      <c r="P359" s="281"/>
      <c r="Q359" s="281"/>
      <c r="R359" s="282"/>
      <c r="S359" s="281"/>
      <c r="T359" s="281"/>
      <c r="U359" s="281"/>
      <c r="V359" s="281"/>
      <c r="W359" s="281"/>
      <c r="X359" s="304"/>
      <c r="Y359" s="304"/>
      <c r="Z359" s="304"/>
    </row>
    <row r="360">
      <c r="A360" s="345"/>
      <c r="B360" s="281"/>
      <c r="C360" s="281"/>
      <c r="D360" s="281"/>
      <c r="E360" s="281"/>
      <c r="F360" s="281"/>
      <c r="G360" s="281"/>
      <c r="H360" s="281"/>
      <c r="I360" s="281"/>
      <c r="J360" s="281"/>
      <c r="K360" s="281"/>
      <c r="L360" s="281"/>
      <c r="M360" s="281"/>
      <c r="N360" s="281"/>
      <c r="O360" s="281"/>
      <c r="P360" s="281"/>
      <c r="Q360" s="281"/>
      <c r="R360" s="282"/>
      <c r="S360" s="281"/>
      <c r="T360" s="281"/>
      <c r="U360" s="281"/>
      <c r="V360" s="281"/>
      <c r="W360" s="281"/>
      <c r="X360" s="304"/>
      <c r="Y360" s="304"/>
      <c r="Z360" s="304"/>
    </row>
    <row r="361">
      <c r="A361" s="345"/>
      <c r="B361" s="281"/>
      <c r="C361" s="281"/>
      <c r="D361" s="281"/>
      <c r="E361" s="281"/>
      <c r="F361" s="281"/>
      <c r="G361" s="281"/>
      <c r="H361" s="281"/>
      <c r="I361" s="281"/>
      <c r="J361" s="281"/>
      <c r="K361" s="281"/>
      <c r="L361" s="281"/>
      <c r="M361" s="281"/>
      <c r="N361" s="281"/>
      <c r="O361" s="281"/>
      <c r="P361" s="281"/>
      <c r="Q361" s="281"/>
      <c r="R361" s="282"/>
      <c r="S361" s="281"/>
      <c r="T361" s="281"/>
      <c r="U361" s="281"/>
      <c r="V361" s="281"/>
      <c r="W361" s="281"/>
      <c r="X361" s="304"/>
      <c r="Y361" s="304"/>
      <c r="Z361" s="304"/>
    </row>
    <row r="362">
      <c r="A362" s="345"/>
      <c r="B362" s="281"/>
      <c r="C362" s="281"/>
      <c r="D362" s="281"/>
      <c r="E362" s="281"/>
      <c r="F362" s="281"/>
      <c r="G362" s="281"/>
      <c r="H362" s="281"/>
      <c r="I362" s="281"/>
      <c r="J362" s="281"/>
      <c r="K362" s="281"/>
      <c r="L362" s="281"/>
      <c r="M362" s="281"/>
      <c r="N362" s="281"/>
      <c r="O362" s="281"/>
      <c r="P362" s="281"/>
      <c r="Q362" s="281"/>
      <c r="R362" s="282"/>
      <c r="S362" s="281"/>
      <c r="T362" s="281"/>
      <c r="U362" s="281"/>
      <c r="V362" s="281"/>
      <c r="W362" s="281"/>
      <c r="X362" s="304"/>
      <c r="Y362" s="304"/>
      <c r="Z362" s="304"/>
    </row>
    <row r="363">
      <c r="A363" s="345"/>
      <c r="B363" s="281"/>
      <c r="C363" s="281"/>
      <c r="D363" s="281"/>
      <c r="E363" s="281"/>
      <c r="F363" s="281"/>
      <c r="G363" s="281"/>
      <c r="H363" s="281"/>
      <c r="I363" s="281"/>
      <c r="J363" s="281"/>
      <c r="K363" s="281"/>
      <c r="L363" s="281"/>
      <c r="M363" s="281"/>
      <c r="N363" s="281"/>
      <c r="O363" s="281"/>
      <c r="P363" s="281"/>
      <c r="Q363" s="281"/>
      <c r="R363" s="282"/>
      <c r="S363" s="281"/>
      <c r="T363" s="281"/>
      <c r="U363" s="281"/>
      <c r="V363" s="281"/>
      <c r="W363" s="281"/>
      <c r="X363" s="304"/>
      <c r="Y363" s="304"/>
      <c r="Z363" s="304"/>
    </row>
    <row r="364">
      <c r="A364" s="345"/>
      <c r="B364" s="281"/>
      <c r="C364" s="281"/>
      <c r="D364" s="281"/>
      <c r="E364" s="281"/>
      <c r="F364" s="281"/>
      <c r="G364" s="281"/>
      <c r="H364" s="281"/>
      <c r="I364" s="281"/>
      <c r="J364" s="281"/>
      <c r="K364" s="281"/>
      <c r="L364" s="281"/>
      <c r="M364" s="281"/>
      <c r="N364" s="281"/>
      <c r="O364" s="281"/>
      <c r="P364" s="281"/>
      <c r="Q364" s="281"/>
      <c r="R364" s="282"/>
      <c r="S364" s="281"/>
      <c r="T364" s="281"/>
      <c r="U364" s="281"/>
      <c r="V364" s="281"/>
      <c r="W364" s="281"/>
      <c r="X364" s="304"/>
      <c r="Y364" s="304"/>
      <c r="Z364" s="304"/>
    </row>
    <row r="365">
      <c r="A365" s="345"/>
      <c r="B365" s="281"/>
      <c r="C365" s="281"/>
      <c r="D365" s="281"/>
      <c r="E365" s="281"/>
      <c r="F365" s="281"/>
      <c r="G365" s="281"/>
      <c r="H365" s="281"/>
      <c r="I365" s="281"/>
      <c r="J365" s="281"/>
      <c r="K365" s="281"/>
      <c r="L365" s="281"/>
      <c r="M365" s="281"/>
      <c r="N365" s="281"/>
      <c r="O365" s="281"/>
      <c r="P365" s="281"/>
      <c r="Q365" s="281"/>
      <c r="R365" s="282"/>
      <c r="S365" s="281"/>
      <c r="T365" s="281"/>
      <c r="U365" s="281"/>
      <c r="V365" s="281"/>
      <c r="W365" s="281"/>
      <c r="X365" s="304"/>
      <c r="Y365" s="304"/>
      <c r="Z365" s="304"/>
    </row>
    <row r="366">
      <c r="A366" s="345"/>
      <c r="B366" s="281"/>
      <c r="C366" s="281"/>
      <c r="D366" s="281"/>
      <c r="E366" s="281"/>
      <c r="F366" s="281"/>
      <c r="G366" s="281"/>
      <c r="H366" s="281"/>
      <c r="I366" s="281"/>
      <c r="J366" s="281"/>
      <c r="K366" s="281"/>
      <c r="L366" s="281"/>
      <c r="M366" s="281"/>
      <c r="N366" s="281"/>
      <c r="O366" s="281"/>
      <c r="P366" s="281"/>
      <c r="Q366" s="281"/>
      <c r="R366" s="282"/>
      <c r="S366" s="281"/>
      <c r="T366" s="281"/>
      <c r="U366" s="281"/>
      <c r="V366" s="281"/>
      <c r="W366" s="281"/>
      <c r="X366" s="304"/>
      <c r="Y366" s="304"/>
      <c r="Z366" s="304"/>
    </row>
    <row r="367">
      <c r="A367" s="345"/>
      <c r="B367" s="281"/>
      <c r="C367" s="281"/>
      <c r="D367" s="281"/>
      <c r="E367" s="281"/>
      <c r="F367" s="281"/>
      <c r="G367" s="281"/>
      <c r="H367" s="281"/>
      <c r="I367" s="281"/>
      <c r="J367" s="281"/>
      <c r="K367" s="281"/>
      <c r="L367" s="281"/>
      <c r="M367" s="281"/>
      <c r="N367" s="281"/>
      <c r="O367" s="281"/>
      <c r="P367" s="281"/>
      <c r="Q367" s="281"/>
      <c r="R367" s="282"/>
      <c r="S367" s="281"/>
      <c r="T367" s="281"/>
      <c r="U367" s="281"/>
      <c r="V367" s="281"/>
      <c r="W367" s="281"/>
      <c r="X367" s="304"/>
      <c r="Y367" s="304"/>
      <c r="Z367" s="304"/>
    </row>
    <row r="368">
      <c r="A368" s="345"/>
      <c r="B368" s="281"/>
      <c r="C368" s="281"/>
      <c r="D368" s="281"/>
      <c r="E368" s="281"/>
      <c r="F368" s="281"/>
      <c r="G368" s="281"/>
      <c r="H368" s="281"/>
      <c r="I368" s="281"/>
      <c r="J368" s="281"/>
      <c r="K368" s="281"/>
      <c r="L368" s="281"/>
      <c r="M368" s="281"/>
      <c r="N368" s="281"/>
      <c r="O368" s="281"/>
      <c r="P368" s="281"/>
      <c r="Q368" s="281"/>
      <c r="R368" s="282"/>
      <c r="S368" s="281"/>
      <c r="T368" s="281"/>
      <c r="U368" s="281"/>
      <c r="V368" s="281"/>
      <c r="W368" s="281"/>
      <c r="X368" s="304"/>
      <c r="Y368" s="304"/>
      <c r="Z368" s="304"/>
    </row>
    <row r="369">
      <c r="A369" s="345"/>
      <c r="B369" s="281"/>
      <c r="C369" s="281"/>
      <c r="D369" s="281"/>
      <c r="E369" s="281"/>
      <c r="F369" s="281"/>
      <c r="G369" s="281"/>
      <c r="H369" s="281"/>
      <c r="I369" s="281"/>
      <c r="J369" s="281"/>
      <c r="K369" s="281"/>
      <c r="L369" s="281"/>
      <c r="M369" s="281"/>
      <c r="N369" s="281"/>
      <c r="O369" s="281"/>
      <c r="P369" s="281"/>
      <c r="Q369" s="281"/>
      <c r="R369" s="281"/>
      <c r="S369" s="281"/>
      <c r="T369" s="281"/>
      <c r="U369" s="281"/>
      <c r="V369" s="281"/>
      <c r="W369" s="281"/>
      <c r="X369" s="304"/>
      <c r="Y369" s="304"/>
      <c r="Z369" s="304"/>
    </row>
    <row r="370">
      <c r="A370" s="345"/>
      <c r="B370" s="281"/>
      <c r="C370" s="281"/>
      <c r="D370" s="281"/>
      <c r="E370" s="281"/>
      <c r="F370" s="281"/>
      <c r="G370" s="281"/>
      <c r="H370" s="281"/>
      <c r="I370" s="281"/>
      <c r="J370" s="281"/>
      <c r="K370" s="281"/>
      <c r="L370" s="281"/>
      <c r="M370" s="281"/>
      <c r="N370" s="281"/>
      <c r="O370" s="281"/>
      <c r="P370" s="281"/>
      <c r="Q370" s="281"/>
      <c r="R370" s="281"/>
      <c r="S370" s="281"/>
      <c r="T370" s="281"/>
      <c r="U370" s="281"/>
      <c r="V370" s="281"/>
      <c r="W370" s="281"/>
      <c r="X370" s="304"/>
      <c r="Y370" s="304"/>
      <c r="Z370" s="304"/>
    </row>
    <row r="371">
      <c r="A371" s="345"/>
      <c r="B371" s="281"/>
      <c r="C371" s="281"/>
      <c r="D371" s="281"/>
      <c r="E371" s="281"/>
      <c r="F371" s="281"/>
      <c r="G371" s="281"/>
      <c r="H371" s="281"/>
      <c r="I371" s="281"/>
      <c r="J371" s="281"/>
      <c r="K371" s="281"/>
      <c r="L371" s="281"/>
      <c r="M371" s="281"/>
      <c r="N371" s="281"/>
      <c r="O371" s="281"/>
      <c r="P371" s="281"/>
      <c r="Q371" s="281"/>
      <c r="R371" s="281"/>
      <c r="S371" s="281"/>
      <c r="T371" s="281"/>
      <c r="U371" s="281"/>
      <c r="V371" s="281"/>
      <c r="W371" s="281"/>
      <c r="X371" s="304"/>
      <c r="Y371" s="304"/>
      <c r="Z371" s="304"/>
    </row>
    <row r="372">
      <c r="A372" s="345"/>
      <c r="B372" s="281"/>
      <c r="C372" s="281"/>
      <c r="D372" s="281"/>
      <c r="E372" s="281"/>
      <c r="F372" s="281"/>
      <c r="G372" s="281"/>
      <c r="H372" s="281"/>
      <c r="I372" s="281"/>
      <c r="J372" s="281"/>
      <c r="K372" s="281"/>
      <c r="L372" s="281"/>
      <c r="M372" s="281"/>
      <c r="N372" s="281"/>
      <c r="O372" s="281"/>
      <c r="P372" s="281"/>
      <c r="Q372" s="281"/>
      <c r="R372" s="281"/>
      <c r="S372" s="281"/>
      <c r="T372" s="281"/>
      <c r="U372" s="281"/>
      <c r="V372" s="281"/>
      <c r="W372" s="281"/>
      <c r="X372" s="304"/>
      <c r="Y372" s="304"/>
      <c r="Z372" s="304"/>
    </row>
    <row r="373">
      <c r="A373" s="345"/>
      <c r="B373" s="281"/>
      <c r="C373" s="281"/>
      <c r="D373" s="281"/>
      <c r="E373" s="281"/>
      <c r="F373" s="281"/>
      <c r="G373" s="281"/>
      <c r="H373" s="281"/>
      <c r="I373" s="281"/>
      <c r="J373" s="281"/>
      <c r="K373" s="281"/>
      <c r="L373" s="281"/>
      <c r="M373" s="281"/>
      <c r="N373" s="281"/>
      <c r="O373" s="281"/>
      <c r="P373" s="281"/>
      <c r="Q373" s="281"/>
      <c r="R373" s="281"/>
      <c r="S373" s="281"/>
      <c r="T373" s="281"/>
      <c r="U373" s="281"/>
      <c r="V373" s="281"/>
      <c r="W373" s="281"/>
      <c r="X373" s="304"/>
      <c r="Y373" s="304"/>
      <c r="Z373" s="304"/>
    </row>
    <row r="374">
      <c r="A374" s="345"/>
      <c r="B374" s="281"/>
      <c r="C374" s="281"/>
      <c r="D374" s="281"/>
      <c r="E374" s="281"/>
      <c r="F374" s="281"/>
      <c r="G374" s="281"/>
      <c r="H374" s="281"/>
      <c r="I374" s="281"/>
      <c r="J374" s="281"/>
      <c r="K374" s="281"/>
      <c r="L374" s="281"/>
      <c r="M374" s="281"/>
      <c r="N374" s="281"/>
      <c r="O374" s="281"/>
      <c r="P374" s="281"/>
      <c r="Q374" s="281"/>
      <c r="R374" s="281"/>
      <c r="S374" s="281"/>
      <c r="T374" s="281"/>
      <c r="U374" s="281"/>
      <c r="V374" s="281"/>
      <c r="W374" s="281"/>
      <c r="X374" s="304"/>
      <c r="Y374" s="304"/>
      <c r="Z374" s="304"/>
    </row>
    <row r="375">
      <c r="A375" s="345"/>
      <c r="B375" s="281"/>
      <c r="C375" s="281"/>
      <c r="D375" s="281"/>
      <c r="E375" s="281"/>
      <c r="F375" s="281"/>
      <c r="G375" s="281"/>
      <c r="H375" s="281"/>
      <c r="I375" s="281"/>
      <c r="J375" s="281"/>
      <c r="K375" s="281"/>
      <c r="L375" s="281"/>
      <c r="M375" s="281"/>
      <c r="N375" s="281"/>
      <c r="O375" s="281"/>
      <c r="P375" s="281"/>
      <c r="Q375" s="281"/>
      <c r="R375" s="281"/>
      <c r="S375" s="281"/>
      <c r="T375" s="281"/>
      <c r="U375" s="281"/>
      <c r="V375" s="281"/>
      <c r="W375" s="281"/>
      <c r="X375" s="304"/>
      <c r="Y375" s="304"/>
      <c r="Z375" s="304"/>
    </row>
    <row r="376">
      <c r="A376" s="345"/>
      <c r="B376" s="281"/>
      <c r="C376" s="281"/>
      <c r="D376" s="281"/>
      <c r="E376" s="281"/>
      <c r="F376" s="281"/>
      <c r="G376" s="281"/>
      <c r="H376" s="281"/>
      <c r="I376" s="281"/>
      <c r="J376" s="281"/>
      <c r="K376" s="281"/>
      <c r="L376" s="281"/>
      <c r="M376" s="281"/>
      <c r="N376" s="281"/>
      <c r="O376" s="281"/>
      <c r="P376" s="281"/>
      <c r="Q376" s="281"/>
      <c r="R376" s="281"/>
      <c r="S376" s="281"/>
      <c r="T376" s="281"/>
      <c r="U376" s="281"/>
      <c r="V376" s="281"/>
      <c r="W376" s="281"/>
      <c r="X376" s="304"/>
      <c r="Y376" s="304"/>
      <c r="Z376" s="304"/>
    </row>
    <row r="377">
      <c r="A377" s="345"/>
      <c r="B377" s="281"/>
      <c r="C377" s="281"/>
      <c r="D377" s="281"/>
      <c r="E377" s="281"/>
      <c r="F377" s="281"/>
      <c r="G377" s="281"/>
      <c r="H377" s="281"/>
      <c r="I377" s="281"/>
      <c r="J377" s="281"/>
      <c r="K377" s="281"/>
      <c r="L377" s="281"/>
      <c r="M377" s="281"/>
      <c r="N377" s="281"/>
      <c r="O377" s="281"/>
      <c r="P377" s="281"/>
      <c r="Q377" s="281"/>
      <c r="R377" s="281"/>
      <c r="S377" s="281"/>
      <c r="T377" s="281"/>
      <c r="U377" s="281"/>
      <c r="V377" s="281"/>
      <c r="W377" s="281"/>
      <c r="X377" s="304"/>
      <c r="Y377" s="304"/>
      <c r="Z377" s="304"/>
    </row>
    <row r="378">
      <c r="A378" s="345"/>
      <c r="B378" s="281"/>
      <c r="C378" s="281"/>
      <c r="D378" s="281"/>
      <c r="E378" s="281"/>
      <c r="F378" s="281"/>
      <c r="G378" s="281"/>
      <c r="H378" s="281"/>
      <c r="I378" s="281"/>
      <c r="J378" s="281"/>
      <c r="K378" s="281"/>
      <c r="L378" s="281"/>
      <c r="M378" s="281"/>
      <c r="N378" s="281"/>
      <c r="O378" s="281"/>
      <c r="P378" s="281"/>
      <c r="Q378" s="281"/>
      <c r="R378" s="281"/>
      <c r="S378" s="281"/>
      <c r="T378" s="281"/>
      <c r="U378" s="281"/>
      <c r="V378" s="281"/>
      <c r="W378" s="281"/>
      <c r="X378" s="304"/>
      <c r="Y378" s="304"/>
      <c r="Z378" s="304"/>
    </row>
    <row r="379">
      <c r="A379" s="345"/>
      <c r="B379" s="281"/>
      <c r="C379" s="281"/>
      <c r="D379" s="281"/>
      <c r="E379" s="281"/>
      <c r="F379" s="281"/>
      <c r="G379" s="281"/>
      <c r="H379" s="281"/>
      <c r="I379" s="281"/>
      <c r="J379" s="281"/>
      <c r="K379" s="281"/>
      <c r="L379" s="281"/>
      <c r="M379" s="281"/>
      <c r="N379" s="281"/>
      <c r="O379" s="281"/>
      <c r="P379" s="281"/>
      <c r="Q379" s="281"/>
      <c r="R379" s="281"/>
      <c r="S379" s="281"/>
      <c r="T379" s="281"/>
      <c r="U379" s="281"/>
      <c r="V379" s="281"/>
      <c r="W379" s="281"/>
      <c r="X379" s="304"/>
      <c r="Y379" s="304"/>
      <c r="Z379" s="304"/>
    </row>
    <row r="380">
      <c r="A380" s="345"/>
      <c r="B380" s="281"/>
      <c r="C380" s="281"/>
      <c r="D380" s="281"/>
      <c r="E380" s="281"/>
      <c r="F380" s="281"/>
      <c r="G380" s="281"/>
      <c r="H380" s="281"/>
      <c r="I380" s="281"/>
      <c r="J380" s="281"/>
      <c r="K380" s="281"/>
      <c r="L380" s="281"/>
      <c r="M380" s="281"/>
      <c r="N380" s="281"/>
      <c r="O380" s="281"/>
      <c r="P380" s="281"/>
      <c r="Q380" s="281"/>
      <c r="R380" s="281"/>
      <c r="S380" s="281"/>
      <c r="T380" s="281"/>
      <c r="U380" s="281"/>
      <c r="V380" s="281"/>
      <c r="W380" s="281"/>
      <c r="X380" s="304"/>
      <c r="Y380" s="304"/>
      <c r="Z380" s="304"/>
    </row>
    <row r="381">
      <c r="A381" s="345"/>
      <c r="B381" s="281"/>
      <c r="C381" s="281"/>
      <c r="D381" s="281"/>
      <c r="E381" s="281"/>
      <c r="F381" s="281"/>
      <c r="G381" s="281"/>
      <c r="H381" s="281"/>
      <c r="I381" s="281"/>
      <c r="J381" s="281"/>
      <c r="K381" s="281"/>
      <c r="L381" s="281"/>
      <c r="M381" s="281"/>
      <c r="N381" s="281"/>
      <c r="O381" s="281"/>
      <c r="P381" s="281"/>
      <c r="Q381" s="281"/>
      <c r="R381" s="281"/>
      <c r="S381" s="281"/>
      <c r="T381" s="281"/>
      <c r="U381" s="281"/>
      <c r="V381" s="281"/>
      <c r="W381" s="281"/>
      <c r="X381" s="304"/>
      <c r="Y381" s="304"/>
      <c r="Z381" s="304"/>
    </row>
    <row r="382">
      <c r="A382" s="345"/>
      <c r="B382" s="281"/>
      <c r="C382" s="281"/>
      <c r="D382" s="281"/>
      <c r="E382" s="281"/>
      <c r="F382" s="281"/>
      <c r="G382" s="281"/>
      <c r="H382" s="281"/>
      <c r="I382" s="281"/>
      <c r="J382" s="281"/>
      <c r="K382" s="281"/>
      <c r="L382" s="281"/>
      <c r="M382" s="281"/>
      <c r="N382" s="281"/>
      <c r="O382" s="281"/>
      <c r="P382" s="281"/>
      <c r="Q382" s="281"/>
      <c r="R382" s="281"/>
      <c r="S382" s="281"/>
      <c r="T382" s="281"/>
      <c r="U382" s="281"/>
      <c r="V382" s="281"/>
      <c r="W382" s="281"/>
      <c r="X382" s="304"/>
      <c r="Y382" s="304"/>
      <c r="Z382" s="304"/>
    </row>
    <row r="383">
      <c r="A383" s="345"/>
      <c r="B383" s="281"/>
      <c r="C383" s="281"/>
      <c r="D383" s="281"/>
      <c r="E383" s="281"/>
      <c r="F383" s="281"/>
      <c r="G383" s="281"/>
      <c r="H383" s="281"/>
      <c r="I383" s="281"/>
      <c r="J383" s="281"/>
      <c r="K383" s="281"/>
      <c r="L383" s="281"/>
      <c r="M383" s="281"/>
      <c r="N383" s="281"/>
      <c r="O383" s="281"/>
      <c r="P383" s="281"/>
      <c r="Q383" s="281"/>
      <c r="R383" s="281"/>
      <c r="S383" s="281"/>
      <c r="T383" s="281"/>
      <c r="U383" s="281"/>
      <c r="V383" s="281"/>
      <c r="W383" s="281"/>
      <c r="X383" s="304"/>
      <c r="Y383" s="304"/>
      <c r="Z383" s="304"/>
    </row>
    <row r="384">
      <c r="A384" s="345"/>
      <c r="B384" s="281"/>
      <c r="C384" s="281"/>
      <c r="D384" s="281"/>
      <c r="E384" s="281"/>
      <c r="F384" s="281"/>
      <c r="G384" s="281"/>
      <c r="H384" s="281"/>
      <c r="I384" s="281"/>
      <c r="J384" s="281"/>
      <c r="K384" s="281"/>
      <c r="L384" s="281"/>
      <c r="M384" s="281"/>
      <c r="N384" s="281"/>
      <c r="O384" s="281"/>
      <c r="P384" s="281"/>
      <c r="Q384" s="281"/>
      <c r="R384" s="281"/>
      <c r="S384" s="281"/>
      <c r="T384" s="281"/>
      <c r="U384" s="281"/>
      <c r="V384" s="281"/>
      <c r="W384" s="281"/>
      <c r="X384" s="304"/>
      <c r="Y384" s="304"/>
      <c r="Z384" s="304"/>
    </row>
    <row r="385">
      <c r="A385" s="345"/>
      <c r="B385" s="281"/>
      <c r="C385" s="281"/>
      <c r="D385" s="281"/>
      <c r="E385" s="281"/>
      <c r="F385" s="281"/>
      <c r="G385" s="281"/>
      <c r="H385" s="281"/>
      <c r="I385" s="281"/>
      <c r="J385" s="281"/>
      <c r="K385" s="281"/>
      <c r="L385" s="281"/>
      <c r="M385" s="281"/>
      <c r="N385" s="281"/>
      <c r="O385" s="281"/>
      <c r="P385" s="281"/>
      <c r="Q385" s="281"/>
      <c r="R385" s="281"/>
      <c r="S385" s="281"/>
      <c r="T385" s="281"/>
      <c r="U385" s="281"/>
      <c r="V385" s="281"/>
      <c r="W385" s="281"/>
      <c r="X385" s="304"/>
      <c r="Y385" s="304"/>
      <c r="Z385" s="304"/>
    </row>
    <row r="386">
      <c r="A386" s="345"/>
      <c r="B386" s="281"/>
      <c r="C386" s="281"/>
      <c r="D386" s="281"/>
      <c r="E386" s="281"/>
      <c r="F386" s="281"/>
      <c r="G386" s="281"/>
      <c r="H386" s="281"/>
      <c r="I386" s="281"/>
      <c r="J386" s="281"/>
      <c r="K386" s="281"/>
      <c r="L386" s="281"/>
      <c r="M386" s="281"/>
      <c r="N386" s="281"/>
      <c r="O386" s="281"/>
      <c r="P386" s="281"/>
      <c r="Q386" s="281"/>
      <c r="R386" s="281"/>
      <c r="S386" s="281"/>
      <c r="T386" s="281"/>
      <c r="U386" s="281"/>
      <c r="V386" s="281"/>
      <c r="W386" s="281"/>
      <c r="X386" s="304"/>
      <c r="Y386" s="304"/>
      <c r="Z386" s="304"/>
    </row>
  </sheetData>
  <conditionalFormatting sqref="D1">
    <cfRule type="notContainsBlanks" dxfId="0" priority="1">
      <formula>LEN(TRIM(D1))&gt;0</formula>
    </cfRule>
  </conditionalFormatting>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569"/>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2" max="2" width="38.0"/>
    <col customWidth="1" min="3" max="3" width="49.43"/>
    <col customWidth="1" min="4" max="4" width="19.0"/>
    <col customWidth="1" min="5" max="5" width="6.14"/>
    <col customWidth="1" min="6" max="6" width="9.14"/>
    <col customWidth="1" min="7" max="7" width="5.14"/>
    <col customWidth="1" min="8" max="8" width="9.43"/>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102.0"/>
    <col customWidth="1" min="21" max="21" width="18.14"/>
    <col customWidth="1" min="23" max="23" width="24.29"/>
    <col customWidth="1" min="24" max="24" width="20.57"/>
  </cols>
  <sheetData>
    <row r="1">
      <c r="A1" s="271" t="s">
        <v>603</v>
      </c>
      <c r="B1" s="272" t="s">
        <v>604</v>
      </c>
      <c r="C1" s="224" t="s">
        <v>605</v>
      </c>
      <c r="D1" s="224"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24" t="s">
        <v>615</v>
      </c>
    </row>
    <row r="2" ht="20.25" customHeight="1">
      <c r="A2" s="278"/>
      <c r="B2" s="399" t="s">
        <v>1496</v>
      </c>
      <c r="C2" s="280"/>
      <c r="D2" s="378"/>
      <c r="E2" s="281"/>
      <c r="F2" s="281"/>
      <c r="G2" s="281"/>
      <c r="H2" s="281"/>
      <c r="I2" s="281"/>
      <c r="J2" s="281"/>
      <c r="K2" s="281"/>
      <c r="L2" s="281"/>
      <c r="M2" s="281"/>
      <c r="N2" s="280"/>
      <c r="O2" s="280"/>
      <c r="P2" s="280"/>
      <c r="Q2" s="280"/>
      <c r="R2" s="282"/>
      <c r="S2" s="281"/>
      <c r="T2" s="285"/>
    </row>
    <row r="3">
      <c r="A3" s="272"/>
      <c r="B3" s="376" t="s">
        <v>1737</v>
      </c>
      <c r="C3" s="280"/>
      <c r="D3" s="378"/>
      <c r="E3" s="281"/>
      <c r="F3" s="281"/>
      <c r="G3" s="281"/>
      <c r="H3" s="281"/>
      <c r="I3" s="281"/>
      <c r="J3" s="281"/>
      <c r="K3" s="281"/>
      <c r="L3" s="281"/>
      <c r="M3" s="281"/>
      <c r="N3" s="281"/>
      <c r="O3" s="281"/>
      <c r="P3" s="281"/>
      <c r="Q3" s="281"/>
      <c r="R3" s="282"/>
      <c r="S3" s="281"/>
      <c r="T3" s="285"/>
    </row>
    <row r="4">
      <c r="A4" s="286" t="s">
        <v>619</v>
      </c>
      <c r="B4" s="379" t="s">
        <v>1738</v>
      </c>
      <c r="C4" s="280"/>
      <c r="D4" s="378"/>
      <c r="E4" s="281"/>
      <c r="F4" s="281"/>
      <c r="G4" s="281"/>
      <c r="H4" s="281"/>
      <c r="I4" s="281"/>
      <c r="J4" s="281"/>
      <c r="K4" s="281"/>
      <c r="L4" s="281"/>
      <c r="M4" s="281"/>
      <c r="N4" s="281"/>
      <c r="O4" s="281"/>
      <c r="P4" s="281"/>
      <c r="Q4" s="281"/>
      <c r="R4" s="282"/>
      <c r="S4" s="281"/>
      <c r="T4" s="285"/>
    </row>
    <row r="5">
      <c r="A5" s="137" t="s">
        <v>627</v>
      </c>
      <c r="B5" s="296" t="s">
        <v>1176</v>
      </c>
      <c r="C5" s="297" t="s">
        <v>629</v>
      </c>
      <c r="D5" s="289">
        <f>ROUND((F5*'Pawn Weights'!$B$40)+(G5*'Pawn Weights'!$B$41)+(H5*'Pawn Weights'!$B$42)+(I5*'Pawn Weights'!$B$43)+(J5*'Pawn Weights'!$B$44)+(K5*'Pawn Weights'!$B$45)+(L5*'Pawn Weights'!$B$46)+(M5*'Pawn Weights'!$B$47)+(N5*'Pawn Weights'!$B$48)+(O5*'Pawn Weights'!$B$49)+(P5*'Pawn Weights'!B$50)+(Q5*'Pawn Weights'!$B$51), 2)</f>
        <v>392.91</v>
      </c>
      <c r="E5" s="359">
        <v>47.0</v>
      </c>
      <c r="F5" s="359"/>
      <c r="G5" s="359">
        <v>61.0</v>
      </c>
      <c r="H5" s="359">
        <v>104.0</v>
      </c>
      <c r="I5" s="359"/>
      <c r="J5" s="359">
        <v>24.0</v>
      </c>
      <c r="K5" s="137"/>
      <c r="L5" s="137"/>
      <c r="M5" s="137"/>
      <c r="N5" s="359">
        <v>1.0</v>
      </c>
      <c r="O5" s="137"/>
      <c r="P5" s="137"/>
      <c r="Q5" s="359">
        <v>1.0</v>
      </c>
      <c r="R5" s="359" t="s">
        <v>622</v>
      </c>
      <c r="S5" s="137"/>
      <c r="T5" s="137" t="s">
        <v>630</v>
      </c>
      <c r="U5" s="137"/>
      <c r="V5" s="137"/>
      <c r="W5" s="137"/>
      <c r="X5" s="137"/>
      <c r="Y5" s="137"/>
      <c r="Z5" s="137"/>
    </row>
    <row r="6">
      <c r="A6" s="137" t="s">
        <v>635</v>
      </c>
      <c r="B6" s="296" t="s">
        <v>1178</v>
      </c>
      <c r="C6" s="297" t="s">
        <v>637</v>
      </c>
      <c r="D6" s="289">
        <f>ROUND((F6*'Pawn Weights'!$B$40)+(G6*'Pawn Weights'!$B$41)+(H6*'Pawn Weights'!$B$42)+(I6*'Pawn Weights'!$B$43)+(J6*'Pawn Weights'!$B$44)+(K6*'Pawn Weights'!$B$45)+(L6*'Pawn Weights'!$B$46)+(M6*'Pawn Weights'!$B$47)+(N6*'Pawn Weights'!$B$48)+(O6*'Pawn Weights'!$B$49)+(P6*'Pawn Weights'!B$50)+(Q6*'Pawn Weights'!$B$51), 2)</f>
        <v>349.14</v>
      </c>
      <c r="E6" s="359">
        <v>72.0</v>
      </c>
      <c r="F6" s="361"/>
      <c r="G6" s="359">
        <v>36.0</v>
      </c>
      <c r="H6" s="359">
        <v>62.0</v>
      </c>
      <c r="I6" s="359">
        <v>26.0</v>
      </c>
      <c r="J6" s="359">
        <v>17.0</v>
      </c>
      <c r="K6" s="361"/>
      <c r="L6" s="361"/>
      <c r="M6" s="359">
        <v>84.0</v>
      </c>
      <c r="N6" s="359">
        <v>1.0</v>
      </c>
      <c r="O6" s="359">
        <v>1.0</v>
      </c>
      <c r="P6" s="361"/>
      <c r="Q6" s="361"/>
      <c r="R6" s="359" t="s">
        <v>1179</v>
      </c>
      <c r="S6" s="137"/>
      <c r="T6" s="359"/>
      <c r="U6" s="137"/>
      <c r="V6" s="137"/>
      <c r="W6" s="137"/>
      <c r="X6" s="137"/>
      <c r="Y6" s="137"/>
      <c r="Z6" s="137"/>
    </row>
    <row r="7">
      <c r="A7" s="292" t="s">
        <v>647</v>
      </c>
      <c r="B7" s="288" t="s">
        <v>1181</v>
      </c>
      <c r="C7" s="154" t="s">
        <v>649</v>
      </c>
      <c r="D7" s="289">
        <f>ROUND((F7*'Pawn Weights'!$B$40)+(G7*'Pawn Weights'!$B$41)+(H7*'Pawn Weights'!$B$42)+(I7*'Pawn Weights'!$B$43)+(J7*'Pawn Weights'!$B$44)+(K7*'Pawn Weights'!$B$45)+(L7*'Pawn Weights'!$B$46)+(M7*'Pawn Weights'!$B$47)+(N7*'Pawn Weights'!$B$48)+(O7*'Pawn Weights'!$B$49)+(P7*'Pawn Weights'!B$50)+(Q7*'Pawn Weights'!$B$51)-19.36+18.44+8, 2)</f>
        <v>310.73</v>
      </c>
      <c r="E7" s="280">
        <v>48.0</v>
      </c>
      <c r="F7" s="280"/>
      <c r="G7" s="280">
        <v>39.0</v>
      </c>
      <c r="H7" s="280">
        <v>78.0</v>
      </c>
      <c r="I7" s="280">
        <v>25.0</v>
      </c>
      <c r="J7" s="280"/>
      <c r="K7" s="280"/>
      <c r="L7" s="280"/>
      <c r="M7" s="281"/>
      <c r="N7" s="280">
        <v>1.0</v>
      </c>
      <c r="O7" s="280">
        <v>1.0</v>
      </c>
      <c r="P7" s="280"/>
      <c r="Q7" s="280"/>
      <c r="R7" s="290" t="s">
        <v>745</v>
      </c>
      <c r="S7" s="281"/>
      <c r="T7" s="291"/>
      <c r="U7" s="25"/>
    </row>
    <row r="8">
      <c r="A8" s="137" t="s">
        <v>644</v>
      </c>
      <c r="B8" s="296" t="s">
        <v>1180</v>
      </c>
      <c r="C8" s="297" t="s">
        <v>646</v>
      </c>
      <c r="D8" s="289">
        <f>ROUND((F8*'Pawn Weights'!$B$40)+(G8*'Pawn Weights'!$B$41)+(H8*'Pawn Weights'!$B$42)+(I8*'Pawn Weights'!$B$43)+(J8*'Pawn Weights'!$B$44)+(K8*'Pawn Weights'!$B$45)+(L8*'Pawn Weights'!$B$46)+(M8*'Pawn Weights'!$B$47)+(N8*'Pawn Weights'!$B$48)+(O8*'Pawn Weights'!$B$49)+(P8*'Pawn Weights'!B$50)+(Q8*'Pawn Weights'!$B$51), 2)</f>
        <v>307.49</v>
      </c>
      <c r="E8" s="359">
        <v>65.0</v>
      </c>
      <c r="F8" s="361"/>
      <c r="G8" s="359">
        <v>31.0</v>
      </c>
      <c r="H8" s="359">
        <v>52.0</v>
      </c>
      <c r="I8" s="359">
        <v>21.0</v>
      </c>
      <c r="J8" s="359">
        <v>12.0</v>
      </c>
      <c r="K8" s="361"/>
      <c r="L8" s="361"/>
      <c r="M8" s="359">
        <v>84.0</v>
      </c>
      <c r="N8" s="359">
        <v>1.0</v>
      </c>
      <c r="O8" s="359">
        <v>1.0</v>
      </c>
      <c r="P8" s="361"/>
      <c r="Q8" s="361"/>
      <c r="R8" s="359" t="s">
        <v>1179</v>
      </c>
      <c r="S8" s="137"/>
      <c r="T8" s="359"/>
      <c r="U8" s="137"/>
      <c r="V8" s="137"/>
      <c r="W8" s="137"/>
      <c r="X8" s="137"/>
      <c r="Y8" s="137"/>
      <c r="Z8" s="137"/>
    </row>
    <row r="9" ht="14.25" customHeight="1">
      <c r="A9" s="25" t="s">
        <v>627</v>
      </c>
      <c r="B9" s="288" t="s">
        <v>1182</v>
      </c>
      <c r="C9" s="280" t="s">
        <v>653</v>
      </c>
      <c r="D9" s="289">
        <f>ROUND((F9*'Pawn Weights'!$B$40)+(G9*'Pawn Weights'!$B$41)+(H9*'Pawn Weights'!$B$42)+(I9*'Pawn Weights'!$B$43)+(J9*'Pawn Weights'!$B$44)+(K9*'Pawn Weights'!$B$45)+(L9*'Pawn Weights'!$B$46)+(M9*'Pawn Weights'!$B$47)+(N9*'Pawn Weights'!$B$48)+(O9*'Pawn Weights'!$B$49)+(P9*'Pawn Weights'!B$50)+(Q9*'Pawn Weights'!$B$51), 2)</f>
        <v>304.98</v>
      </c>
      <c r="E9" s="280">
        <v>28.0</v>
      </c>
      <c r="F9" s="280"/>
      <c r="G9" s="280">
        <v>48.0</v>
      </c>
      <c r="H9" s="280">
        <v>76.0</v>
      </c>
      <c r="I9" s="280"/>
      <c r="J9" s="280">
        <v>11.0</v>
      </c>
      <c r="K9" s="280"/>
      <c r="L9" s="280"/>
      <c r="M9" s="281"/>
      <c r="N9" s="280">
        <v>1.0</v>
      </c>
      <c r="O9" s="280"/>
      <c r="P9" s="280"/>
      <c r="Q9" s="280">
        <v>1.0</v>
      </c>
      <c r="R9" s="290" t="s">
        <v>622</v>
      </c>
      <c r="S9" s="281"/>
      <c r="T9" s="291"/>
      <c r="X9" s="25"/>
    </row>
    <row r="10" ht="14.25" customHeight="1">
      <c r="A10" s="295"/>
      <c r="B10" s="296" t="s">
        <v>1184</v>
      </c>
      <c r="C10" s="297" t="s">
        <v>1185</v>
      </c>
      <c r="D10" s="367">
        <f>ROUND((F10*'Pawn Weights'!$B$40)+(G10*'Pawn Weights'!$B$41)+(H10*'Pawn Weights'!$B$42)+(I10*'Pawn Weights'!$B$43)+(J10*'Pawn Weights'!$B$44)+(K10*'Pawn Weights'!$B$45)+(L10*'Pawn Weights'!$B$46)+(M10*'Pawn Weights'!$B$47)+(N10*'Pawn Weights'!$B$48)+(O10*'Pawn Weights'!$B$49)+(P10*'Pawn Weights'!B$50)+(Q10*'Pawn Weights'!$B$51)+8.76, 2)</f>
        <v>278.8</v>
      </c>
      <c r="E10" s="298">
        <v>36.0</v>
      </c>
      <c r="F10" s="297"/>
      <c r="G10" s="298">
        <v>32.0</v>
      </c>
      <c r="H10" s="298">
        <v>64.0</v>
      </c>
      <c r="I10" s="297"/>
      <c r="J10" s="298">
        <v>16.0</v>
      </c>
      <c r="K10" s="297"/>
      <c r="L10" s="297"/>
      <c r="M10" s="137"/>
      <c r="N10" s="298">
        <v>1.0</v>
      </c>
      <c r="O10" s="297"/>
      <c r="P10" s="298">
        <v>1.0</v>
      </c>
      <c r="Q10" s="297"/>
      <c r="R10" s="298" t="s">
        <v>622</v>
      </c>
      <c r="S10" s="137"/>
      <c r="T10" s="295"/>
      <c r="U10" s="137"/>
      <c r="V10" s="137"/>
      <c r="W10" s="137"/>
      <c r="X10" s="295"/>
      <c r="Y10" s="137"/>
      <c r="Z10" s="137"/>
    </row>
    <row r="11" ht="14.25" customHeight="1">
      <c r="A11" s="25" t="s">
        <v>654</v>
      </c>
      <c r="B11" s="288" t="s">
        <v>1186</v>
      </c>
      <c r="C11" s="280" t="s">
        <v>656</v>
      </c>
      <c r="D11" s="289">
        <f>ROUND((F11*'Pawn Weights'!$B$40)+(G11*'Pawn Weights'!$B$41)+(H11*'Pawn Weights'!$B$42)+(I11*'Pawn Weights'!$B$43)+(J11*'Pawn Weights'!$B$44)+(K11*'Pawn Weights'!$B$45)+(L11*'Pawn Weights'!$B$46)+(M11*'Pawn Weights'!$B$47)+(N11*'Pawn Weights'!$B$48)+(O11*'Pawn Weights'!$B$49)+(P11*'Pawn Weights'!B$50)+(Q11*'Pawn Weights'!$B$51)-19.36+18.44+8.76, 2)</f>
        <v>278.28</v>
      </c>
      <c r="E11" s="280">
        <v>39.0</v>
      </c>
      <c r="F11" s="280"/>
      <c r="G11" s="280">
        <v>28.0</v>
      </c>
      <c r="H11" s="280">
        <v>78.0</v>
      </c>
      <c r="I11" s="280"/>
      <c r="J11" s="280">
        <v>14.0</v>
      </c>
      <c r="K11" s="280"/>
      <c r="L11" s="280"/>
      <c r="M11" s="281"/>
      <c r="N11" s="280">
        <v>1.0</v>
      </c>
      <c r="O11" s="280">
        <v>1.0</v>
      </c>
      <c r="P11" s="280"/>
      <c r="Q11" s="280"/>
      <c r="R11" s="290" t="s">
        <v>622</v>
      </c>
      <c r="S11" s="281"/>
      <c r="T11" s="291"/>
      <c r="X11" s="25"/>
    </row>
    <row r="12">
      <c r="A12" s="25"/>
      <c r="B12" s="311" t="s">
        <v>1450</v>
      </c>
      <c r="C12" s="280" t="s">
        <v>1451</v>
      </c>
      <c r="D12" s="289">
        <f>ROUND((F12*'Pawn Weights'!$B$40)+(G12*'Pawn Weights'!$B$41)+(H12*'Pawn Weights'!$B$42)+(I12*'Pawn Weights'!$B$43)+(J12*'Pawn Weights'!$B$44)+(K12*'Pawn Weights'!$B$45)+(L12*'Pawn Weights'!$B$46)+(M12*'Pawn Weights'!$B$47)+(N12*'Pawn Weights'!$B$48)+(O12*'Pawn Weights'!$B$49)+(P12*'Pawn Weights'!B$50)+(Q12*'Pawn Weights'!$B$51), 2)</f>
        <v>251.87</v>
      </c>
      <c r="E12" s="280">
        <v>21.0</v>
      </c>
      <c r="F12" s="280"/>
      <c r="G12" s="280">
        <v>25.0</v>
      </c>
      <c r="H12" s="280">
        <v>66.0</v>
      </c>
      <c r="I12" s="280"/>
      <c r="J12" s="280">
        <v>14.0</v>
      </c>
      <c r="K12" s="280"/>
      <c r="L12" s="280"/>
      <c r="M12" s="281"/>
      <c r="N12" s="280">
        <v>1.0</v>
      </c>
      <c r="O12" s="280"/>
      <c r="P12" s="280">
        <v>1.0</v>
      </c>
      <c r="Q12" s="280"/>
      <c r="R12" s="290" t="s">
        <v>1179</v>
      </c>
      <c r="S12" s="281"/>
      <c r="T12" s="291"/>
    </row>
    <row r="13">
      <c r="A13" s="25" t="s">
        <v>1068</v>
      </c>
      <c r="B13" s="288" t="s">
        <v>1435</v>
      </c>
      <c r="C13" s="280" t="s">
        <v>997</v>
      </c>
      <c r="D13" s="289">
        <f>ROUND((F13*'Pawn Weights'!$B$40)+(G13*'Pawn Weights'!$B$41)+(H13*'Pawn Weights'!$B$42)+(I13*'Pawn Weights'!$B$43)+(J13*'Pawn Weights'!$B$44)+(K13*'Pawn Weights'!$B$45)+(L13*'Pawn Weights'!$B$46)+(M13*'Pawn Weights'!$B$47)+(N13*'Pawn Weights'!$B$48)+(O13*'Pawn Weights'!$B$49)+(P13*'Pawn Weights'!B$50)+(Q13*'Pawn Weights'!$B$51), 2)</f>
        <v>251.51</v>
      </c>
      <c r="E13" s="280">
        <v>58.0</v>
      </c>
      <c r="F13" s="280"/>
      <c r="G13" s="280">
        <v>37.0</v>
      </c>
      <c r="H13" s="280">
        <v>44.0</v>
      </c>
      <c r="I13" s="280">
        <v>17.0</v>
      </c>
      <c r="J13" s="280"/>
      <c r="K13" s="280"/>
      <c r="L13" s="280"/>
      <c r="M13" s="281"/>
      <c r="N13" s="280">
        <v>1.0</v>
      </c>
      <c r="O13" s="280">
        <v>1.0</v>
      </c>
      <c r="P13" s="280"/>
      <c r="Q13" s="280"/>
      <c r="R13" s="290" t="s">
        <v>1179</v>
      </c>
      <c r="S13" s="281"/>
      <c r="T13" s="291"/>
    </row>
    <row r="14">
      <c r="A14" s="25"/>
      <c r="B14" s="311" t="s">
        <v>1501</v>
      </c>
      <c r="C14" s="280" t="s">
        <v>1695</v>
      </c>
      <c r="D14" s="289">
        <f>ROUND((F14*'Pawn Weights'!$B$40)+(G14*'Pawn Weights'!$B$41)+(H14*'Pawn Weights'!$B$42)+(I14*'Pawn Weights'!$B$43)+(J14*'Pawn Weights'!$B$44)+(K14*'Pawn Weights'!$B$45)+(L14*'Pawn Weights'!$B$46)+(M14*'Pawn Weights'!$B$47)+(N14*'Pawn Weights'!$B$48)+(O14*'Pawn Weights'!$B$49)+(P14*'Pawn Weights'!B$50)+(Q14*'Pawn Weights'!$B$51), 2)</f>
        <v>234.64</v>
      </c>
      <c r="E14" s="280">
        <v>30.0</v>
      </c>
      <c r="F14" s="280"/>
      <c r="G14" s="280"/>
      <c r="H14" s="280">
        <v>56.0</v>
      </c>
      <c r="I14" s="280">
        <v>22.0</v>
      </c>
      <c r="J14" s="280">
        <v>18.0</v>
      </c>
      <c r="K14" s="280"/>
      <c r="L14" s="280"/>
      <c r="M14" s="281"/>
      <c r="N14" s="280">
        <v>1.0</v>
      </c>
      <c r="O14" s="280"/>
      <c r="P14" s="280"/>
      <c r="Q14" s="280">
        <v>1.0</v>
      </c>
      <c r="R14" s="290" t="s">
        <v>745</v>
      </c>
      <c r="S14" s="281"/>
      <c r="T14" s="291"/>
    </row>
    <row r="15">
      <c r="A15" s="25"/>
      <c r="B15" s="288" t="s">
        <v>1739</v>
      </c>
      <c r="C15" s="280" t="s">
        <v>881</v>
      </c>
      <c r="D15" s="289">
        <f>ROUND((F15*'Pawn Weights'!$B$40)+(G15*'Pawn Weights'!$B$41)+(H15*'Pawn Weights'!$B$42)+(I15*'Pawn Weights'!$B$43)+(J15*'Pawn Weights'!$B$44)+(K15*'Pawn Weights'!$B$45)+(L15*'Pawn Weights'!$B$46)+(M15*'Pawn Weights'!$B$47)+(N15*'Pawn Weights'!$B$48)+(O15*'Pawn Weights'!$B$49)+(P15*'Pawn Weights'!B$50)+(Q15*'Pawn Weights'!$B$51), 2)</f>
        <v>232.54</v>
      </c>
      <c r="E15" s="280">
        <v>33.0</v>
      </c>
      <c r="F15" s="280"/>
      <c r="G15" s="280">
        <v>34.0</v>
      </c>
      <c r="H15" s="280">
        <v>100.0</v>
      </c>
      <c r="I15" s="280"/>
      <c r="J15" s="280">
        <v>24.0</v>
      </c>
      <c r="K15" s="280"/>
      <c r="L15" s="280"/>
      <c r="M15" s="281"/>
      <c r="N15" s="280"/>
      <c r="O15" s="280"/>
      <c r="P15" s="280"/>
      <c r="Q15" s="280"/>
      <c r="R15" s="290"/>
      <c r="S15" s="281"/>
      <c r="T15" s="291"/>
    </row>
    <row r="16" ht="14.25" customHeight="1">
      <c r="A16" s="25"/>
      <c r="B16" s="288" t="s">
        <v>1503</v>
      </c>
      <c r="C16" s="280" t="s">
        <v>790</v>
      </c>
      <c r="D16" s="289">
        <f>ROUND((F16*'Pawn Weights'!$B$40)+(G16*'Pawn Weights'!$B$41)+(H16*'Pawn Weights'!$B$42)+(I16*'Pawn Weights'!$B$43)+(J16*'Pawn Weights'!$B$44)+(K16*'Pawn Weights'!$B$45)+(L16*'Pawn Weights'!$B$46)+(M16*'Pawn Weights'!$B$47)+(N16*'Pawn Weights'!$B$48)+(O16*'Pawn Weights'!$B$49)+(P16*'Pawn Weights'!B$50)+(Q16*'Pawn Weights'!$B$51), 2)</f>
        <v>231.26</v>
      </c>
      <c r="E16" s="280">
        <v>45.0</v>
      </c>
      <c r="F16" s="280"/>
      <c r="G16" s="280"/>
      <c r="H16" s="280">
        <v>84.0</v>
      </c>
      <c r="I16" s="280">
        <v>42.0</v>
      </c>
      <c r="J16" s="280">
        <v>31.0</v>
      </c>
      <c r="K16" s="280"/>
      <c r="L16" s="280"/>
      <c r="M16" s="281"/>
      <c r="N16" s="280"/>
      <c r="O16" s="280"/>
      <c r="P16" s="280"/>
      <c r="Q16" s="280"/>
      <c r="R16" s="290"/>
      <c r="S16" s="281"/>
      <c r="T16" s="291"/>
    </row>
    <row r="17">
      <c r="A17" s="25" t="s">
        <v>1499</v>
      </c>
      <c r="B17" s="288" t="s">
        <v>1740</v>
      </c>
      <c r="C17" s="280" t="s">
        <v>1159</v>
      </c>
      <c r="D17" s="289">
        <f>ROUND((F17*'Pawn Weights'!$B$40)+(G17*'Pawn Weights'!$B$41)+(H17*'Pawn Weights'!$B$42)+(I17*'Pawn Weights'!$B$43)+(J17*'Pawn Weights'!$B$44)+(K17*'Pawn Weights'!$B$45)+(L17*'Pawn Weights'!$B$46)+(M17*'Pawn Weights'!$B$47)+(N17*'Pawn Weights'!$B$48)+(O17*'Pawn Weights'!$B$49)+(P17*'Pawn Weights'!B$50)+(Q17*'Pawn Weights'!$B$51), 2)</f>
        <v>230.06</v>
      </c>
      <c r="E17" s="280">
        <v>53.0</v>
      </c>
      <c r="F17" s="280"/>
      <c r="G17" s="280">
        <v>34.0</v>
      </c>
      <c r="H17" s="280">
        <v>36.0</v>
      </c>
      <c r="I17" s="280">
        <v>13.0</v>
      </c>
      <c r="J17" s="280"/>
      <c r="K17" s="280"/>
      <c r="L17" s="280"/>
      <c r="M17" s="281"/>
      <c r="N17" s="280">
        <v>1.0</v>
      </c>
      <c r="O17" s="280">
        <v>1.0</v>
      </c>
      <c r="P17" s="280"/>
      <c r="Q17" s="280"/>
      <c r="R17" s="290" t="s">
        <v>1179</v>
      </c>
      <c r="S17" s="281"/>
      <c r="T17" s="291"/>
      <c r="U17" s="25"/>
    </row>
    <row r="18" ht="14.25" customHeight="1">
      <c r="A18" s="25"/>
      <c r="B18" s="311" t="s">
        <v>1741</v>
      </c>
      <c r="C18" s="280" t="s">
        <v>1742</v>
      </c>
      <c r="D18" s="289">
        <f>ROUND((F18*'Pawn Weights'!$B$40)+(G18*'Pawn Weights'!$B$41)+(H18*'Pawn Weights'!$B$42)+(I18*'Pawn Weights'!$B$43)+(J18*'Pawn Weights'!$B$44)+(K18*'Pawn Weights'!$B$45)+(L18*'Pawn Weights'!$B$46)+(M18*'Pawn Weights'!$B$47)+(N18*'Pawn Weights'!$B$48)+(O18*'Pawn Weights'!$B$49)+(P18*'Pawn Weights'!B$50)+(Q18*'Pawn Weights'!$B$51), 2)</f>
        <v>206.24</v>
      </c>
      <c r="E18" s="280">
        <v>25.0</v>
      </c>
      <c r="F18" s="280"/>
      <c r="G18" s="280"/>
      <c r="H18" s="280">
        <v>66.0</v>
      </c>
      <c r="I18" s="280">
        <v>25.0</v>
      </c>
      <c r="J18" s="280"/>
      <c r="K18" s="280"/>
      <c r="L18" s="280"/>
      <c r="M18" s="281"/>
      <c r="N18" s="280">
        <v>1.0</v>
      </c>
      <c r="O18" s="280"/>
      <c r="P18" s="280">
        <v>1.0</v>
      </c>
      <c r="Q18" s="280"/>
      <c r="R18" s="290" t="s">
        <v>882</v>
      </c>
      <c r="S18" s="281"/>
      <c r="T18" s="291"/>
      <c r="U18" s="25"/>
      <c r="X18" s="25"/>
    </row>
    <row r="19" ht="14.25" customHeight="1">
      <c r="A19" s="25"/>
      <c r="B19" s="311" t="s">
        <v>1743</v>
      </c>
      <c r="C19" s="280" t="s">
        <v>1744</v>
      </c>
      <c r="D19" s="289">
        <f>ROUND((F19*'Pawn Weights'!$B$40)+(G19*'Pawn Weights'!$B$41)+(H19*'Pawn Weights'!$B$42)+(I19*'Pawn Weights'!$B$43)+(J19*'Pawn Weights'!$B$44)+(K19*'Pawn Weights'!$B$45)+(L19*'Pawn Weights'!$B$46)+(M19*'Pawn Weights'!$B$47)+(N19*'Pawn Weights'!$B$48)+(O19*'Pawn Weights'!$B$49)+(P19*'Pawn Weights'!B$50)+(Q19*'Pawn Weights'!$B$51), 2)</f>
        <v>202.1</v>
      </c>
      <c r="E19" s="280">
        <v>19.0</v>
      </c>
      <c r="F19" s="280"/>
      <c r="G19" s="280">
        <v>24.0</v>
      </c>
      <c r="H19" s="280">
        <v>60.0</v>
      </c>
      <c r="I19" s="280"/>
      <c r="J19" s="280">
        <v>13.0</v>
      </c>
      <c r="K19" s="280"/>
      <c r="L19" s="280"/>
      <c r="M19" s="281"/>
      <c r="N19" s="280"/>
      <c r="O19" s="280">
        <v>1.0</v>
      </c>
      <c r="P19" s="280">
        <v>1.0</v>
      </c>
      <c r="Q19" s="280">
        <v>1.0</v>
      </c>
      <c r="R19" s="290" t="s">
        <v>745</v>
      </c>
      <c r="S19" s="281"/>
      <c r="T19" s="291"/>
      <c r="U19" s="25"/>
      <c r="X19" s="25"/>
    </row>
    <row r="20" ht="14.25" customHeight="1">
      <c r="A20" s="25" t="s">
        <v>627</v>
      </c>
      <c r="B20" s="288" t="s">
        <v>1745</v>
      </c>
      <c r="C20" s="280" t="s">
        <v>904</v>
      </c>
      <c r="D20" s="289">
        <f>ROUND((F20*'Pawn Weights'!$B$40)+(G20*'Pawn Weights'!$B$41)+(H20*'Pawn Weights'!$B$42)+(I20*'Pawn Weights'!$B$43)+(J20*'Pawn Weights'!$B$44)+(K20*'Pawn Weights'!$B$45)+(L20*'Pawn Weights'!$B$46)+(M20*'Pawn Weights'!$B$47)+(N20*'Pawn Weights'!$B$48)+(O20*'Pawn Weights'!$B$49)+(P20*'Pawn Weights'!B$50)+(Q20*'Pawn Weights'!$B$51), 2)</f>
        <v>198.59</v>
      </c>
      <c r="E20" s="280">
        <v>42.0</v>
      </c>
      <c r="F20" s="280"/>
      <c r="G20" s="280">
        <v>37.0</v>
      </c>
      <c r="H20" s="280">
        <v>74.0</v>
      </c>
      <c r="I20" s="280"/>
      <c r="J20" s="280">
        <v>18.0</v>
      </c>
      <c r="K20" s="280"/>
      <c r="L20" s="280"/>
      <c r="M20" s="281"/>
      <c r="N20" s="280"/>
      <c r="O20" s="280"/>
      <c r="P20" s="280"/>
      <c r="Q20" s="280"/>
      <c r="R20" s="290"/>
      <c r="S20" s="281"/>
      <c r="T20" s="291"/>
      <c r="U20" s="25"/>
      <c r="X20" s="25"/>
    </row>
    <row r="21" ht="14.25" customHeight="1">
      <c r="A21" s="25"/>
      <c r="B21" s="311" t="s">
        <v>1746</v>
      </c>
      <c r="C21" s="280" t="s">
        <v>1747</v>
      </c>
      <c r="D21" s="289">
        <f>ROUND((F21*'Pawn Weights'!$B$40)+(G21*'Pawn Weights'!$B$41)+(H21*'Pawn Weights'!$B$42)+(I21*'Pawn Weights'!$B$43)+(J21*'Pawn Weights'!$B$44)+(K21*'Pawn Weights'!$B$45)+(L21*'Pawn Weights'!$B$46)+(M21*'Pawn Weights'!$B$47)+(N21*'Pawn Weights'!$B$48)+(O21*'Pawn Weights'!$B$49)+(P21*'Pawn Weights'!B$50)+(Q21*'Pawn Weights'!$B$51), 2)</f>
        <v>177.58</v>
      </c>
      <c r="E21" s="280"/>
      <c r="F21" s="280"/>
      <c r="G21" s="280"/>
      <c r="H21" s="280">
        <v>80.0</v>
      </c>
      <c r="I21" s="280">
        <v>30.0</v>
      </c>
      <c r="J21" s="280">
        <v>19.0</v>
      </c>
      <c r="K21" s="280"/>
      <c r="L21" s="280"/>
      <c r="M21" s="281"/>
      <c r="N21" s="280"/>
      <c r="O21" s="280"/>
      <c r="P21" s="280"/>
      <c r="Q21" s="280"/>
      <c r="R21" s="290"/>
      <c r="S21" s="281"/>
      <c r="T21" s="291"/>
      <c r="U21" s="137"/>
      <c r="V21" s="137"/>
      <c r="W21" s="137"/>
      <c r="X21" s="25"/>
    </row>
    <row r="22">
      <c r="A22" s="295"/>
      <c r="B22" s="383" t="s">
        <v>1748</v>
      </c>
      <c r="C22" s="297" t="s">
        <v>1437</v>
      </c>
      <c r="D22" s="289">
        <f>ROUND((F22*'Pawn Weights'!$B$40)+(G22*'Pawn Weights'!$B$41)+(H22*'Pawn Weights'!$B$42)+(I22*'Pawn Weights'!$B$43)+(J22*'Pawn Weights'!$B$44)+(K22*'Pawn Weights'!$B$45)+(L22*'Pawn Weights'!$B$46)+(M22*'Pawn Weights'!$B$47)+(N22*'Pawn Weights'!$B$48)+(O22*'Pawn Weights'!$B$49)+(P22*'Pawn Weights'!B$50)+(Q22*'Pawn Weights'!$B$51), 2)</f>
        <v>170.95</v>
      </c>
      <c r="E22" s="298">
        <v>34.0</v>
      </c>
      <c r="F22" s="297"/>
      <c r="G22" s="298">
        <v>35.0</v>
      </c>
      <c r="H22" s="298">
        <v>58.0</v>
      </c>
      <c r="I22" s="297"/>
      <c r="J22" s="298">
        <v>15.0</v>
      </c>
      <c r="K22" s="297"/>
      <c r="L22" s="297"/>
      <c r="M22" s="137"/>
      <c r="N22" s="297"/>
      <c r="O22" s="297"/>
      <c r="P22" s="297"/>
      <c r="Q22" s="297"/>
      <c r="R22" s="297"/>
      <c r="S22" s="137"/>
      <c r="T22" s="400"/>
      <c r="U22" s="25"/>
      <c r="X22" s="137"/>
      <c r="Y22" s="137"/>
      <c r="Z22" s="137"/>
    </row>
    <row r="23" ht="14.25" customHeight="1">
      <c r="A23" s="25"/>
      <c r="B23" s="288" t="s">
        <v>1749</v>
      </c>
      <c r="C23" s="280" t="s">
        <v>1520</v>
      </c>
      <c r="D23" s="289">
        <f>ROUND((F23*'Pawn Weights'!$B$40)+(G23*'Pawn Weights'!$B$41)+(H23*'Pawn Weights'!$B$42)+(I23*'Pawn Weights'!$B$43)+(J23*'Pawn Weights'!$B$44)+(K23*'Pawn Weights'!$B$45)+(L23*'Pawn Weights'!$B$46)+(M23*'Pawn Weights'!$B$47)+(N23*'Pawn Weights'!$B$48)+(O23*'Pawn Weights'!$B$49)+(P23*'Pawn Weights'!B$50)+(Q23*'Pawn Weights'!$B$51), 2)</f>
        <v>166.55</v>
      </c>
      <c r="E23" s="280">
        <v>27.0</v>
      </c>
      <c r="F23" s="280"/>
      <c r="G23" s="280">
        <v>45.0</v>
      </c>
      <c r="H23" s="280">
        <v>68.0</v>
      </c>
      <c r="I23" s="280"/>
      <c r="J23" s="280"/>
      <c r="K23" s="280"/>
      <c r="L23" s="280"/>
      <c r="M23" s="281"/>
      <c r="N23" s="280"/>
      <c r="O23" s="280"/>
      <c r="P23" s="280"/>
      <c r="Q23" s="280"/>
      <c r="R23" s="290"/>
      <c r="S23" s="281"/>
      <c r="T23" s="291" t="s">
        <v>1750</v>
      </c>
      <c r="X23" s="25"/>
    </row>
    <row r="24">
      <c r="A24" s="272" t="s">
        <v>657</v>
      </c>
      <c r="B24" s="281"/>
      <c r="C24" s="281"/>
      <c r="D24" s="441"/>
      <c r="E24" s="281"/>
      <c r="F24" s="281"/>
      <c r="G24" s="281"/>
      <c r="H24" s="281"/>
      <c r="I24" s="281"/>
      <c r="J24" s="281"/>
      <c r="K24" s="281"/>
      <c r="L24" s="281"/>
      <c r="M24" s="281"/>
      <c r="N24" s="281"/>
      <c r="O24" s="281"/>
      <c r="P24" s="281"/>
      <c r="Q24" s="281"/>
      <c r="R24" s="282"/>
      <c r="S24" s="281"/>
      <c r="T24" s="285"/>
      <c r="U24" s="281"/>
    </row>
    <row r="25">
      <c r="A25" s="137" t="s">
        <v>627</v>
      </c>
      <c r="B25" s="341" t="s">
        <v>658</v>
      </c>
      <c r="C25" s="361" t="s">
        <v>659</v>
      </c>
      <c r="D25" s="289">
        <f>ROUND((F25*'Pawn Weights'!$B$40)+(G25*'Pawn Weights'!$B$41)+(H25*'Pawn Weights'!$B$42)+(I25*'Pawn Weights'!$B$43)+(J25*'Pawn Weights'!$B$44)+(K25*'Pawn Weights'!$B$45)+(L25*'Pawn Weights'!$B$46)+(M25*'Pawn Weights'!$B$47)+(N25*'Pawn Weights'!$B$48)+(O25*'Pawn Weights'!$B$49)+(P25*'Pawn Weights'!B$50)+(Q25*'Pawn Weights'!$B$51)+4, 2)</f>
        <v>188.13</v>
      </c>
      <c r="E25" s="359">
        <v>42.0</v>
      </c>
      <c r="F25" s="137"/>
      <c r="G25" s="137"/>
      <c r="H25" s="359">
        <v>58.0</v>
      </c>
      <c r="I25" s="137"/>
      <c r="J25" s="137"/>
      <c r="K25" s="359">
        <v>29.0</v>
      </c>
      <c r="L25" s="137"/>
      <c r="M25" s="359">
        <v>150.0</v>
      </c>
      <c r="N25" s="137"/>
      <c r="O25" s="137"/>
      <c r="P25" s="359">
        <v>1.0</v>
      </c>
      <c r="Q25" s="137"/>
      <c r="R25" s="359" t="s">
        <v>660</v>
      </c>
      <c r="S25" s="137"/>
      <c r="T25" s="137" t="s">
        <v>661</v>
      </c>
      <c r="U25" s="137"/>
      <c r="V25" s="137"/>
      <c r="W25" s="137"/>
      <c r="X25" s="137"/>
      <c r="Y25" s="137"/>
      <c r="Z25" s="137"/>
    </row>
    <row r="26">
      <c r="A26" s="137" t="s">
        <v>676</v>
      </c>
      <c r="B26" s="341" t="s">
        <v>677</v>
      </c>
      <c r="C26" s="361" t="s">
        <v>678</v>
      </c>
      <c r="D26" s="289">
        <f>ROUND((F26*'Pawn Weights'!$B$40)+(G26*'Pawn Weights'!$B$41)+(H26*'Pawn Weights'!$B$42)+(I26*'Pawn Weights'!$B$43)+(J26*'Pawn Weights'!$B$44)+(K26*'Pawn Weights'!$B$45)+(L26*'Pawn Weights'!$B$46)+(M26*'Pawn Weights'!$B$47)+(N26*'Pawn Weights'!$B$48)+(O26*'Pawn Weights'!$B$49)+(P26*'Pawn Weights'!B$50)+(Q26*'Pawn Weights'!$B$51)+39.2, 2)</f>
        <v>142.62</v>
      </c>
      <c r="E26" s="359">
        <v>19.0</v>
      </c>
      <c r="F26" s="361"/>
      <c r="G26" s="359">
        <v>18.0</v>
      </c>
      <c r="H26" s="359">
        <v>64.0</v>
      </c>
      <c r="I26" s="361"/>
      <c r="J26" s="361"/>
      <c r="K26" s="361"/>
      <c r="L26" s="361"/>
      <c r="M26" s="137"/>
      <c r="N26" s="361"/>
      <c r="O26" s="361"/>
      <c r="P26" s="361"/>
      <c r="Q26" s="361"/>
      <c r="R26" s="137"/>
      <c r="S26" s="137"/>
      <c r="T26" s="362" t="s">
        <v>679</v>
      </c>
      <c r="U26" s="194"/>
      <c r="V26" s="194"/>
      <c r="W26" s="137"/>
      <c r="X26" s="137"/>
      <c r="Y26" s="137"/>
      <c r="Z26" s="137"/>
    </row>
    <row r="27">
      <c r="A27" s="281"/>
      <c r="B27" s="288" t="s">
        <v>686</v>
      </c>
      <c r="C27" s="280" t="s">
        <v>687</v>
      </c>
      <c r="D27" s="289">
        <f>ROUND((F27*'Pawn Weights'!$B$40)+(G27*'Pawn Weights'!$B$41)+(H27*'Pawn Weights'!$B$42)+(I27*'Pawn Weights'!$B$43)+(J27*'Pawn Weights'!$B$44)+(K27*'Pawn Weights'!$B$45)+(L27*'Pawn Weights'!$B$46)+(M27*'Pawn Weights'!$B$47)+(N27*'Pawn Weights'!$B$48)+(O27*'Pawn Weights'!$B$49)+(P27*'Pawn Weights'!B$50)+(Q27*'Pawn Weights'!$B$51), 2)</f>
        <v>129.36</v>
      </c>
      <c r="E27" s="280">
        <v>18.0</v>
      </c>
      <c r="F27" s="280"/>
      <c r="G27" s="280">
        <v>20.0</v>
      </c>
      <c r="H27" s="280">
        <v>42.0</v>
      </c>
      <c r="I27" s="280"/>
      <c r="J27" s="280">
        <v>18.0</v>
      </c>
      <c r="K27" s="280"/>
      <c r="L27" s="280"/>
      <c r="M27" s="280"/>
      <c r="N27" s="280"/>
      <c r="O27" s="280"/>
      <c r="P27" s="280"/>
      <c r="Q27" s="280"/>
      <c r="R27" s="290"/>
      <c r="S27" s="281"/>
      <c r="T27" s="294"/>
      <c r="U27" s="281"/>
      <c r="X27" s="281"/>
    </row>
    <row r="28">
      <c r="A28" s="281"/>
      <c r="B28" s="288" t="s">
        <v>684</v>
      </c>
      <c r="C28" s="280" t="s">
        <v>685</v>
      </c>
      <c r="D28" s="289">
        <f>ROUND((F28*'Pawn Weights'!$B$40)+(G28*'Pawn Weights'!$B$41)+(H28*'Pawn Weights'!$B$42)+(I28*'Pawn Weights'!$B$43)+(J28*'Pawn Weights'!$B$44)+(K28*'Pawn Weights'!$B$45)+(L28*'Pawn Weights'!$B$46)+(M28*'Pawn Weights'!$B$47)+(N28*'Pawn Weights'!$B$48)+(O28*'Pawn Weights'!$B$49)+(P28*'Pawn Weights'!B$50)+(Q28*'Pawn Weights'!$B$51), 2)</f>
        <v>129.13</v>
      </c>
      <c r="E28" s="280">
        <v>26.0</v>
      </c>
      <c r="F28" s="280"/>
      <c r="G28" s="280">
        <v>27.0</v>
      </c>
      <c r="H28" s="280">
        <v>70.0</v>
      </c>
      <c r="I28" s="280"/>
      <c r="J28" s="280"/>
      <c r="K28" s="280"/>
      <c r="L28" s="280"/>
      <c r="M28" s="281"/>
      <c r="N28" s="280"/>
      <c r="O28" s="280"/>
      <c r="P28" s="280"/>
      <c r="Q28" s="280"/>
      <c r="R28" s="290"/>
      <c r="S28" s="281"/>
      <c r="T28" s="442"/>
      <c r="U28" s="281"/>
      <c r="X28" s="281"/>
    </row>
    <row r="29">
      <c r="A29" s="281"/>
      <c r="B29" s="288" t="s">
        <v>1077</v>
      </c>
      <c r="C29" s="280" t="s">
        <v>1078</v>
      </c>
      <c r="D29" s="289">
        <f>ROUND((F29*'Pawn Weights'!$B$40)+(G29*'Pawn Weights'!$B$41)+(H29*'Pawn Weights'!$B$42)+(I29*'Pawn Weights'!$B$43)+(J29*'Pawn Weights'!$B$44)+(K29*'Pawn Weights'!$B$45)+(L29*'Pawn Weights'!$B$46)+(M29*'Pawn Weights'!$B$47)+(N29*'Pawn Weights'!$B$48)+(O29*'Pawn Weights'!$B$49)+(P29*'Pawn Weights'!B$50)+(Q29*'Pawn Weights'!$B$51), 2)</f>
        <v>126.94</v>
      </c>
      <c r="E29" s="280">
        <v>21.0</v>
      </c>
      <c r="F29" s="280"/>
      <c r="G29" s="280">
        <v>20.0</v>
      </c>
      <c r="H29" s="280">
        <v>42.0</v>
      </c>
      <c r="I29" s="280"/>
      <c r="J29" s="280">
        <v>17.0</v>
      </c>
      <c r="K29" s="280"/>
      <c r="L29" s="280"/>
      <c r="M29" s="280"/>
      <c r="N29" s="280"/>
      <c r="O29" s="280"/>
      <c r="P29" s="280"/>
      <c r="Q29" s="280"/>
      <c r="R29" s="290"/>
      <c r="S29" s="281"/>
      <c r="T29" s="442"/>
      <c r="U29" s="281"/>
      <c r="X29" s="281"/>
    </row>
    <row r="30">
      <c r="A30" s="137" t="s">
        <v>671</v>
      </c>
      <c r="B30" s="296" t="s">
        <v>672</v>
      </c>
      <c r="C30" s="297" t="s">
        <v>673</v>
      </c>
      <c r="D30" s="289">
        <f>ROUND((F30*'Pawn Weights'!$B$40)+(G30*'Pawn Weights'!$B$41)+(H30*'Pawn Weights'!$B$42)+(I30*'Pawn Weights'!$B$43)+(J30*'Pawn Weights'!$B$44)+(K30*'Pawn Weights'!$B$45)+(L30*'Pawn Weights'!$B$46)+(M30*'Pawn Weights'!$B$47)+(N30*'Pawn Weights'!$B$48)+(O30*'Pawn Weights'!$B$49)+(P30*'Pawn Weights'!B$50)+(Q30*'Pawn Weights'!$B$51), 2)</f>
        <v>122.08</v>
      </c>
      <c r="E30" s="298">
        <v>39.0</v>
      </c>
      <c r="F30" s="297"/>
      <c r="G30" s="297"/>
      <c r="H30" s="298">
        <v>58.0</v>
      </c>
      <c r="I30" s="298">
        <v>26.0</v>
      </c>
      <c r="J30" s="297"/>
      <c r="K30" s="297"/>
      <c r="L30" s="297"/>
      <c r="M30" s="137"/>
      <c r="N30" s="297"/>
      <c r="O30" s="297"/>
      <c r="P30" s="298">
        <v>1.0</v>
      </c>
      <c r="Q30" s="297"/>
      <c r="R30" s="298" t="s">
        <v>674</v>
      </c>
      <c r="S30" s="137"/>
      <c r="T30" s="361" t="s">
        <v>675</v>
      </c>
      <c r="U30" s="137"/>
      <c r="V30" s="137"/>
      <c r="W30" s="137"/>
      <c r="X30" s="137"/>
      <c r="Y30" s="137"/>
      <c r="Z30" s="137"/>
    </row>
    <row r="31">
      <c r="A31" s="281"/>
      <c r="B31" s="311" t="s">
        <v>1436</v>
      </c>
      <c r="C31" s="280" t="s">
        <v>1437</v>
      </c>
      <c r="D31" s="289">
        <f>ROUND((F31*'Pawn Weights'!$B$40)+(G31*'Pawn Weights'!$B$41)+(H31*'Pawn Weights'!$B$42)+(I31*'Pawn Weights'!$B$43)+(J31*'Pawn Weights'!$B$44)+(K31*'Pawn Weights'!$B$45)+(L31*'Pawn Weights'!$B$46)+(M31*'Pawn Weights'!$B$47)+(N31*'Pawn Weights'!$B$48)+(O31*'Pawn Weights'!$B$49)+(P31*'Pawn Weights'!B$50)+(Q31*'Pawn Weights'!$B$51), 2)</f>
        <v>109.07</v>
      </c>
      <c r="E31" s="280">
        <v>18.0</v>
      </c>
      <c r="F31" s="280"/>
      <c r="G31" s="280">
        <v>19.0</v>
      </c>
      <c r="H31" s="280">
        <v>36.0</v>
      </c>
      <c r="I31" s="280"/>
      <c r="J31" s="280">
        <v>13.0</v>
      </c>
      <c r="K31" s="280"/>
      <c r="L31" s="280"/>
      <c r="M31" s="280"/>
      <c r="N31" s="280"/>
      <c r="O31" s="280"/>
      <c r="P31" s="280"/>
      <c r="Q31" s="280"/>
      <c r="R31" s="290"/>
      <c r="S31" s="281"/>
      <c r="T31" s="442"/>
      <c r="U31" s="281"/>
      <c r="X31" s="281"/>
    </row>
    <row r="32">
      <c r="A32" s="137"/>
      <c r="B32" s="296" t="s">
        <v>690</v>
      </c>
      <c r="C32" s="297" t="s">
        <v>691</v>
      </c>
      <c r="D32" s="289">
        <f>ROUND((F32*'Pawn Weights'!$B$40)+(G32*'Pawn Weights'!$B$41)+(H32*'Pawn Weights'!$B$42)+(I32*'Pawn Weights'!$B$43)+(J32*'Pawn Weights'!$B$44)+(K32*'Pawn Weights'!$B$45)+(L32*'Pawn Weights'!$B$46)+(M32*'Pawn Weights'!$B$47)+(N32*'Pawn Weights'!$B$48)+(O32*'Pawn Weights'!$B$49)+(P32*'Pawn Weights'!B$50)+(Q32*'Pawn Weights'!$B$51), 2)</f>
        <v>108.89</v>
      </c>
      <c r="E32" s="297"/>
      <c r="F32" s="297"/>
      <c r="G32" s="297"/>
      <c r="H32" s="297"/>
      <c r="I32" s="297"/>
      <c r="J32" s="298">
        <v>22.0</v>
      </c>
      <c r="K32" s="297"/>
      <c r="L32" s="298">
        <v>21.0</v>
      </c>
      <c r="M32" s="137"/>
      <c r="N32" s="297"/>
      <c r="O32" s="297"/>
      <c r="P32" s="297"/>
      <c r="Q32" s="297"/>
      <c r="R32" s="295"/>
      <c r="S32" s="137"/>
      <c r="T32" s="295"/>
      <c r="U32" s="137"/>
      <c r="V32" s="137"/>
      <c r="W32" s="137"/>
      <c r="X32" s="137"/>
      <c r="Y32" s="137"/>
      <c r="Z32" s="137"/>
    </row>
    <row r="33">
      <c r="A33" s="137" t="s">
        <v>991</v>
      </c>
      <c r="B33" s="296" t="s">
        <v>1075</v>
      </c>
      <c r="C33" s="297" t="s">
        <v>673</v>
      </c>
      <c r="D33" s="289">
        <f>ROUND((F33*'Pawn Weights'!$B$40)+(G33*'Pawn Weights'!$B$41)+(H33*'Pawn Weights'!$B$42)+(I33*'Pawn Weights'!$B$43)+(J33*'Pawn Weights'!$B$44)+(K33*'Pawn Weights'!$B$45)+(L33*'Pawn Weights'!$B$46)+(M33*'Pawn Weights'!$B$47)+(N33*'Pawn Weights'!$B$48)+(O33*'Pawn Weights'!$B$49)+(P33*'Pawn Weights'!B$50)+(Q33*'Pawn Weights'!$B$51), 2)</f>
        <v>107.2</v>
      </c>
      <c r="E33" s="298">
        <v>35.0</v>
      </c>
      <c r="F33" s="297"/>
      <c r="G33" s="297"/>
      <c r="H33" s="298">
        <v>50.0</v>
      </c>
      <c r="I33" s="298">
        <v>22.0</v>
      </c>
      <c r="J33" s="297"/>
      <c r="K33" s="297"/>
      <c r="L33" s="297"/>
      <c r="M33" s="361"/>
      <c r="N33" s="297"/>
      <c r="O33" s="297"/>
      <c r="P33" s="298">
        <v>1.0</v>
      </c>
      <c r="Q33" s="297"/>
      <c r="R33" s="298" t="s">
        <v>674</v>
      </c>
      <c r="S33" s="137"/>
      <c r="T33" s="359" t="s">
        <v>675</v>
      </c>
      <c r="U33" s="137"/>
      <c r="V33" s="137"/>
      <c r="W33" s="137"/>
      <c r="X33" s="137"/>
      <c r="Y33" s="137"/>
      <c r="Z33" s="137"/>
    </row>
    <row r="34">
      <c r="A34" s="281"/>
      <c r="B34" s="288" t="s">
        <v>682</v>
      </c>
      <c r="C34" s="280" t="s">
        <v>683</v>
      </c>
      <c r="D34" s="289">
        <f>ROUND((F34*'Pawn Weights'!$B$40)+(G34*'Pawn Weights'!$B$41)+(H34*'Pawn Weights'!$B$42)+(I34*'Pawn Weights'!$B$43)+(J34*'Pawn Weights'!$B$44)+(K34*'Pawn Weights'!$B$45)+(L34*'Pawn Weights'!$B$46)+(M34*'Pawn Weights'!$B$47)+(N34*'Pawn Weights'!$B$48)+(O34*'Pawn Weights'!$B$49)+(P34*'Pawn Weights'!B$50)+(Q34*'Pawn Weights'!$B$51), 2)</f>
        <v>103.56</v>
      </c>
      <c r="E34" s="280">
        <v>24.0</v>
      </c>
      <c r="F34" s="280"/>
      <c r="G34" s="280"/>
      <c r="H34" s="280">
        <v>64.0</v>
      </c>
      <c r="I34" s="280">
        <v>23.0</v>
      </c>
      <c r="J34" s="280"/>
      <c r="K34" s="280"/>
      <c r="L34" s="280"/>
      <c r="M34" s="281"/>
      <c r="N34" s="280"/>
      <c r="O34" s="280"/>
      <c r="P34" s="280"/>
      <c r="Q34" s="280"/>
      <c r="R34" s="290"/>
      <c r="S34" s="281"/>
      <c r="T34" s="294"/>
      <c r="U34" s="281"/>
      <c r="X34" s="281"/>
    </row>
    <row r="35">
      <c r="A35" s="281"/>
      <c r="B35" s="311" t="s">
        <v>1751</v>
      </c>
      <c r="C35" s="280" t="s">
        <v>1752</v>
      </c>
      <c r="D35" s="289">
        <f>ROUND((F35*'Pawn Weights'!$B$40)+(G35*'Pawn Weights'!$B$41)+(H35*'Pawn Weights'!$B$42)+(I35*'Pawn Weights'!$B$43)+(J35*'Pawn Weights'!$B$44)+(K35*'Pawn Weights'!$B$45)+(L35*'Pawn Weights'!$B$46)+(M35*'Pawn Weights'!$B$47)+(N35*'Pawn Weights'!$B$48)+(O35*'Pawn Weights'!$B$49)+(P35*'Pawn Weights'!B$50)+(Q35*'Pawn Weights'!$B$51), 2)</f>
        <v>101.83</v>
      </c>
      <c r="E35" s="280"/>
      <c r="F35" s="280"/>
      <c r="G35" s="280">
        <v>23.0</v>
      </c>
      <c r="H35" s="280">
        <v>20.0</v>
      </c>
      <c r="I35" s="280"/>
      <c r="J35" s="280">
        <v>13.0</v>
      </c>
      <c r="K35" s="280"/>
      <c r="L35" s="280"/>
      <c r="M35" s="280"/>
      <c r="N35" s="280"/>
      <c r="O35" s="280"/>
      <c r="P35" s="280"/>
      <c r="Q35" s="280"/>
      <c r="R35" s="290"/>
      <c r="S35" s="281"/>
      <c r="T35" s="442"/>
      <c r="U35" s="281"/>
      <c r="V35" s="281"/>
      <c r="W35" s="281"/>
      <c r="X35" s="281"/>
    </row>
    <row r="36">
      <c r="A36" s="281"/>
      <c r="B36" s="311" t="s">
        <v>1513</v>
      </c>
      <c r="C36" s="280" t="s">
        <v>1514</v>
      </c>
      <c r="D36" s="289">
        <f>ROUND((F36*'Pawn Weights'!$B$40)+(G36*'Pawn Weights'!$B$41)+(H36*'Pawn Weights'!$B$42)+(I36*'Pawn Weights'!$B$43)+(J36*'Pawn Weights'!$B$44)+(K36*'Pawn Weights'!$B$45)+(L36*'Pawn Weights'!$B$46)+(M36*'Pawn Weights'!$B$47)+(N36*'Pawn Weights'!$B$48)+(O36*'Pawn Weights'!$B$49)+(P36*'Pawn Weights'!B$50)+(Q36*'Pawn Weights'!$B$51), 2)</f>
        <v>100</v>
      </c>
      <c r="E36" s="326"/>
      <c r="F36" s="326"/>
      <c r="G36" s="326"/>
      <c r="H36" s="326">
        <v>50.0</v>
      </c>
      <c r="I36" s="326">
        <v>15.0</v>
      </c>
      <c r="J36" s="326">
        <v>10.0</v>
      </c>
      <c r="K36" s="326"/>
      <c r="L36" s="326"/>
      <c r="M36" s="420"/>
      <c r="N36" s="326"/>
      <c r="O36" s="326"/>
      <c r="P36" s="326"/>
      <c r="Q36" s="326"/>
      <c r="R36" s="327"/>
      <c r="S36" s="281"/>
      <c r="T36" s="442"/>
      <c r="U36" s="281"/>
      <c r="V36" s="281"/>
      <c r="W36" s="281"/>
      <c r="X36" s="281"/>
    </row>
    <row r="37">
      <c r="A37" s="281"/>
      <c r="B37" s="311" t="s">
        <v>1518</v>
      </c>
      <c r="C37" s="280" t="s">
        <v>1512</v>
      </c>
      <c r="D37" s="289">
        <f>ROUND((F37*'Pawn Weights'!$B$40)+(G37*'Pawn Weights'!$B$41)+(H37*'Pawn Weights'!$B$42)+(I37*'Pawn Weights'!$B$43)+(J37*'Pawn Weights'!$B$44)+(K37*'Pawn Weights'!$B$45)+(L37*'Pawn Weights'!$B$46)+(M37*'Pawn Weights'!$B$47)+(N37*'Pawn Weights'!$B$48)+(O37*'Pawn Weights'!$B$49)+(P37*'Pawn Weights'!B$50)+(Q37*'Pawn Weights'!$B$51), 2)</f>
        <v>98</v>
      </c>
      <c r="E37" s="280">
        <v>18.0</v>
      </c>
      <c r="F37" s="280"/>
      <c r="G37" s="280"/>
      <c r="H37" s="280">
        <v>38.0</v>
      </c>
      <c r="I37" s="280">
        <v>18.0</v>
      </c>
      <c r="J37" s="280">
        <v>12.0</v>
      </c>
      <c r="K37" s="280"/>
      <c r="L37" s="280"/>
      <c r="M37" s="280"/>
      <c r="N37" s="280"/>
      <c r="O37" s="280"/>
      <c r="P37" s="280"/>
      <c r="Q37" s="280"/>
      <c r="R37" s="290"/>
      <c r="S37" s="281"/>
      <c r="T37" s="442"/>
      <c r="U37" s="281"/>
      <c r="V37" s="281"/>
      <c r="W37" s="281"/>
      <c r="X37" s="281"/>
    </row>
    <row r="38">
      <c r="A38" s="281"/>
      <c r="B38" s="311" t="s">
        <v>1519</v>
      </c>
      <c r="C38" s="280" t="s">
        <v>1520</v>
      </c>
      <c r="D38" s="289">
        <f>ROUND((F38*'Pawn Weights'!$B$40)+(G38*'Pawn Weights'!$B$41)+(H38*'Pawn Weights'!$B$42)+(I38*'Pawn Weights'!$B$43)+(J38*'Pawn Weights'!$B$44)+(K38*'Pawn Weights'!$B$45)+(L38*'Pawn Weights'!$B$46)+(M38*'Pawn Weights'!$B$47)+(N38*'Pawn Weights'!$B$48)+(O38*'Pawn Weights'!$B$49)+(P38*'Pawn Weights'!B$50)+(Q38*'Pawn Weights'!$B$51), 2)</f>
        <v>90.93</v>
      </c>
      <c r="E38" s="280"/>
      <c r="F38" s="280">
        <v>22.0</v>
      </c>
      <c r="G38" s="280">
        <v>15.0</v>
      </c>
      <c r="H38" s="280"/>
      <c r="I38" s="280"/>
      <c r="J38" s="280">
        <v>14.0</v>
      </c>
      <c r="K38" s="280"/>
      <c r="L38" s="280"/>
      <c r="M38" s="280"/>
      <c r="N38" s="280"/>
      <c r="O38" s="280"/>
      <c r="P38" s="280"/>
      <c r="Q38" s="280"/>
      <c r="R38" s="290"/>
      <c r="S38" s="281"/>
      <c r="T38" s="442"/>
      <c r="U38" s="281"/>
      <c r="V38" s="281"/>
      <c r="W38" s="281"/>
      <c r="X38" s="281"/>
    </row>
    <row r="39">
      <c r="A39" s="281"/>
      <c r="B39" s="311" t="s">
        <v>1753</v>
      </c>
      <c r="C39" s="280" t="s">
        <v>1307</v>
      </c>
      <c r="D39" s="289">
        <f>ROUND((F39*'Pawn Weights'!$B$40)+(G39*'Pawn Weights'!$B$41)+(H39*'Pawn Weights'!$B$42)+(I39*'Pawn Weights'!$B$43)+(J39*'Pawn Weights'!$B$44)+(K39*'Pawn Weights'!$B$45)+(L39*'Pawn Weights'!$B$46)+(M39*'Pawn Weights'!$B$47)+(N39*'Pawn Weights'!$B$48)+(O39*'Pawn Weights'!$B$49)+(P39*'Pawn Weights'!B$50)+(Q39*'Pawn Weights'!$B$51), 2)</f>
        <v>86.94</v>
      </c>
      <c r="E39" s="280">
        <v>15.0</v>
      </c>
      <c r="F39" s="280"/>
      <c r="G39" s="280">
        <v>26.0</v>
      </c>
      <c r="H39" s="280">
        <v>30.0</v>
      </c>
      <c r="I39" s="280"/>
      <c r="J39" s="280"/>
      <c r="K39" s="280"/>
      <c r="L39" s="280"/>
      <c r="M39" s="280"/>
      <c r="N39" s="280"/>
      <c r="O39" s="280"/>
      <c r="P39" s="280"/>
      <c r="Q39" s="280"/>
      <c r="R39" s="290"/>
      <c r="S39" s="281"/>
      <c r="T39" s="442"/>
      <c r="U39" s="281"/>
      <c r="V39" s="281"/>
      <c r="W39" s="281"/>
      <c r="X39" s="281"/>
    </row>
    <row r="40">
      <c r="A40" s="281"/>
      <c r="B40" s="288" t="s">
        <v>1511</v>
      </c>
      <c r="C40" s="326" t="s">
        <v>1512</v>
      </c>
      <c r="D40" s="289">
        <f>ROUND((F40*'Pawn Weights'!$B$40)+(G40*'Pawn Weights'!$B$41)+(H40*'Pawn Weights'!$B$42)+(I40*'Pawn Weights'!$B$43)+(J40*'Pawn Weights'!$B$44)+(K40*'Pawn Weights'!$B$45)+(L40*'Pawn Weights'!$B$46)+(M40*'Pawn Weights'!$B$47)+(N40*'Pawn Weights'!$B$48)+(O40*'Pawn Weights'!$B$49)+(P40*'Pawn Weights'!B$50)+(Q40*'Pawn Weights'!$B$51), 2)</f>
        <v>85.6</v>
      </c>
      <c r="E40" s="326">
        <v>19.0</v>
      </c>
      <c r="F40" s="326"/>
      <c r="G40" s="326"/>
      <c r="H40" s="326">
        <v>34.0</v>
      </c>
      <c r="I40" s="326">
        <v>30.0</v>
      </c>
      <c r="J40" s="326"/>
      <c r="K40" s="326"/>
      <c r="L40" s="326"/>
      <c r="M40" s="420"/>
      <c r="N40" s="326"/>
      <c r="O40" s="326"/>
      <c r="P40" s="326"/>
      <c r="Q40" s="326"/>
      <c r="R40" s="327"/>
      <c r="S40" s="281"/>
      <c r="T40" s="442"/>
      <c r="U40" s="281"/>
      <c r="V40" s="281"/>
      <c r="W40" s="281"/>
      <c r="X40" s="281"/>
    </row>
    <row r="41">
      <c r="A41" s="281"/>
      <c r="B41" s="311" t="s">
        <v>1754</v>
      </c>
      <c r="C41" s="280" t="s">
        <v>1755</v>
      </c>
      <c r="D41" s="289">
        <f>ROUND((F41*'Pawn Weights'!$B$40)+(G41*'Pawn Weights'!$B$41)+(H41*'Pawn Weights'!$B$42)+(I41*'Pawn Weights'!$B$43)+(J41*'Pawn Weights'!$B$44)+(K41*'Pawn Weights'!$B$45)+(L41*'Pawn Weights'!$B$46)+(M41*'Pawn Weights'!$B$47)+(N41*'Pawn Weights'!$B$48)+(O41*'Pawn Weights'!$B$49)+(P41*'Pawn Weights'!B$50)+(Q41*'Pawn Weights'!$B$51), 2)</f>
        <v>83.24</v>
      </c>
      <c r="E41" s="280"/>
      <c r="F41" s="280"/>
      <c r="G41" s="280"/>
      <c r="H41" s="280">
        <v>54.0</v>
      </c>
      <c r="I41" s="280">
        <v>17.0</v>
      </c>
      <c r="J41" s="280"/>
      <c r="K41" s="280"/>
      <c r="L41" s="280"/>
      <c r="M41" s="280"/>
      <c r="N41" s="280"/>
      <c r="O41" s="280"/>
      <c r="P41" s="280"/>
      <c r="Q41" s="280"/>
      <c r="R41" s="290"/>
      <c r="S41" s="281"/>
      <c r="T41" s="442"/>
      <c r="U41" s="281"/>
      <c r="V41" s="281"/>
      <c r="W41" s="281"/>
      <c r="X41" s="281"/>
    </row>
    <row r="42">
      <c r="A42" s="272" t="s">
        <v>692</v>
      </c>
      <c r="B42" s="281"/>
      <c r="C42" s="281"/>
      <c r="D42" s="360"/>
      <c r="E42" s="281"/>
      <c r="F42" s="281"/>
      <c r="G42" s="281"/>
      <c r="H42" s="281"/>
      <c r="I42" s="281"/>
      <c r="J42" s="281"/>
      <c r="K42" s="281"/>
      <c r="L42" s="281"/>
      <c r="M42" s="281"/>
      <c r="N42" s="281"/>
      <c r="O42" s="281"/>
      <c r="P42" s="281"/>
      <c r="Q42" s="281"/>
      <c r="R42" s="282"/>
      <c r="S42" s="281"/>
      <c r="T42" s="285"/>
      <c r="U42" s="281"/>
      <c r="V42" s="281"/>
      <c r="W42" s="281"/>
    </row>
    <row r="43">
      <c r="A43" s="137" t="s">
        <v>635</v>
      </c>
      <c r="B43" s="341" t="s">
        <v>1188</v>
      </c>
      <c r="C43" s="361" t="s">
        <v>637</v>
      </c>
      <c r="D43" s="289">
        <f>ROUND((F43*'Pawn Weights'!$B$40)+(G43*'Pawn Weights'!$B$41)+(H43*'Pawn Weights'!$B$42)+(I43*'Pawn Weights'!$B$43)+(J43*'Pawn Weights'!$B$44)+(K43*'Pawn Weights'!$B$45)+(L43*'Pawn Weights'!$B$46)+(M43*'Pawn Weights'!$B$47)+(N43*'Pawn Weights'!$B$48)+(O43*'Pawn Weights'!$B$49)+(P43*'Pawn Weights'!B$50)+(Q43*'Pawn Weights'!$B$51), 2)</f>
        <v>215.45</v>
      </c>
      <c r="E43" s="359">
        <v>55.0</v>
      </c>
      <c r="F43" s="137"/>
      <c r="G43" s="359">
        <v>39.0</v>
      </c>
      <c r="H43" s="359">
        <v>38.0</v>
      </c>
      <c r="I43" s="359">
        <v>31.0</v>
      </c>
      <c r="J43" s="137"/>
      <c r="K43" s="137"/>
      <c r="L43" s="137"/>
      <c r="M43" s="137"/>
      <c r="N43" s="137"/>
      <c r="O43" s="359">
        <v>1.0</v>
      </c>
      <c r="P43" s="359">
        <v>1.0</v>
      </c>
      <c r="Q43" s="137"/>
      <c r="R43" s="359" t="s">
        <v>1189</v>
      </c>
      <c r="S43" s="137"/>
      <c r="T43" s="359"/>
      <c r="U43" s="137"/>
      <c r="V43" s="137"/>
      <c r="W43" s="137"/>
      <c r="X43" s="137"/>
      <c r="Y43" s="137"/>
      <c r="Z43" s="137"/>
    </row>
    <row r="44">
      <c r="A44" s="301"/>
      <c r="B44" s="288" t="s">
        <v>709</v>
      </c>
      <c r="C44" s="280" t="s">
        <v>710</v>
      </c>
      <c r="D44" s="289">
        <f>ROUND((F44*'Pawn Weights'!$B$40)+(G44*'Pawn Weights'!$B$41)+(H44*'Pawn Weights'!$B$42)+(I44*'Pawn Weights'!$B$43)+(J44*'Pawn Weights'!$B$44)+(K44*'Pawn Weights'!$B$45)+(L44*'Pawn Weights'!$B$46)+(M44*'Pawn Weights'!$B$47)+(N44*'Pawn Weights'!$B$48)+(O44*'Pawn Weights'!$B$49)+(P44*'Pawn Weights'!B$50)+(Q44*'Pawn Weights'!$B$51)-19.36+18.44+4.38, 2)</f>
        <v>209.11</v>
      </c>
      <c r="E44" s="280">
        <v>28.0</v>
      </c>
      <c r="F44" s="280"/>
      <c r="G44" s="280">
        <v>33.0</v>
      </c>
      <c r="H44" s="280">
        <v>60.0</v>
      </c>
      <c r="I44" s="280">
        <v>16.0</v>
      </c>
      <c r="J44" s="280"/>
      <c r="K44" s="280"/>
      <c r="L44" s="280">
        <v>10.0</v>
      </c>
      <c r="M44" s="281"/>
      <c r="N44" s="280"/>
      <c r="O44" s="280">
        <v>1.0</v>
      </c>
      <c r="P44" s="280"/>
      <c r="Q44" s="280"/>
      <c r="R44" s="290" t="s">
        <v>711</v>
      </c>
      <c r="S44" s="281"/>
      <c r="T44" s="291" t="s">
        <v>1192</v>
      </c>
      <c r="U44" s="281"/>
      <c r="V44" s="281"/>
      <c r="W44" s="281"/>
    </row>
    <row r="45">
      <c r="A45" s="295" t="s">
        <v>644</v>
      </c>
      <c r="B45" s="296" t="s">
        <v>1193</v>
      </c>
      <c r="C45" s="297" t="s">
        <v>646</v>
      </c>
      <c r="D45" s="289">
        <f>ROUND((F45*'Pawn Weights'!$B$40)+(G45*'Pawn Weights'!$B$41)+(H45*'Pawn Weights'!$B$42)+(I45*'Pawn Weights'!$B$43)+(J45*'Pawn Weights'!$B$44)+(K45*'Pawn Weights'!$B$45)+(L45*'Pawn Weights'!$B$46)+(M45*'Pawn Weights'!$B$47)+(N45*'Pawn Weights'!$B$48)+(O45*'Pawn Weights'!$B$49)+(P45*'Pawn Weights'!B$50)+(Q45*'Pawn Weights'!$B$51), 2)</f>
        <v>189.62</v>
      </c>
      <c r="E45" s="298">
        <v>49.0</v>
      </c>
      <c r="F45" s="297"/>
      <c r="G45" s="298">
        <v>34.0</v>
      </c>
      <c r="H45" s="298">
        <v>30.0</v>
      </c>
      <c r="I45" s="298">
        <v>27.0</v>
      </c>
      <c r="J45" s="297"/>
      <c r="K45" s="297"/>
      <c r="L45" s="297"/>
      <c r="M45" s="137"/>
      <c r="N45" s="297"/>
      <c r="O45" s="298">
        <v>1.0</v>
      </c>
      <c r="P45" s="298">
        <v>1.0</v>
      </c>
      <c r="Q45" s="295"/>
      <c r="R45" s="298" t="s">
        <v>1189</v>
      </c>
      <c r="S45" s="137"/>
      <c r="T45" s="298"/>
      <c r="U45" s="137"/>
      <c r="V45" s="137"/>
      <c r="W45" s="137"/>
      <c r="X45" s="137"/>
      <c r="Y45" s="137"/>
      <c r="Z45" s="137"/>
    </row>
    <row r="46">
      <c r="A46" s="301" t="s">
        <v>647</v>
      </c>
      <c r="B46" s="288" t="s">
        <v>1194</v>
      </c>
      <c r="C46" s="280" t="s">
        <v>1195</v>
      </c>
      <c r="D46" s="289">
        <f>ROUND((F46*'Pawn Weights'!$B$40)+(G46*'Pawn Weights'!$B$41)+(H46*'Pawn Weights'!$B$42)+(I46*'Pawn Weights'!$B$43)+(J46*'Pawn Weights'!$B$44)+(K46*'Pawn Weights'!$B$45)+(L46*'Pawn Weights'!$B$46)+(M46*'Pawn Weights'!$B$47)+(N46*'Pawn Weights'!$B$48)+(O46*'Pawn Weights'!$B$49)+(P46*'Pawn Weights'!B$50)+(Q46*'Pawn Weights'!$B$51), 2)</f>
        <v>189.54</v>
      </c>
      <c r="E46" s="280">
        <v>37.0</v>
      </c>
      <c r="F46" s="280"/>
      <c r="G46" s="280">
        <v>34.0</v>
      </c>
      <c r="H46" s="280">
        <v>54.0</v>
      </c>
      <c r="I46" s="280">
        <v>13.0</v>
      </c>
      <c r="J46" s="280"/>
      <c r="K46" s="280"/>
      <c r="L46" s="280"/>
      <c r="M46" s="281"/>
      <c r="N46" s="280"/>
      <c r="O46" s="280">
        <v>1.0</v>
      </c>
      <c r="P46" s="280"/>
      <c r="Q46" s="280">
        <v>1.0</v>
      </c>
      <c r="R46" s="290" t="s">
        <v>702</v>
      </c>
      <c r="S46" s="281"/>
      <c r="T46" s="291"/>
      <c r="U46" s="281"/>
      <c r="V46" s="281"/>
      <c r="W46" s="281"/>
      <c r="X46" s="281"/>
    </row>
    <row r="47">
      <c r="A47" s="301" t="s">
        <v>1068</v>
      </c>
      <c r="B47" s="288" t="s">
        <v>1196</v>
      </c>
      <c r="C47" s="280" t="s">
        <v>997</v>
      </c>
      <c r="D47" s="289">
        <f>ROUND((F47*'Pawn Weights'!$B$40)+(G47*'Pawn Weights'!$B$41)+(H47*'Pawn Weights'!$B$42)+(I47*'Pawn Weights'!$B$43)+(J47*'Pawn Weights'!$B$44)+(K47*'Pawn Weights'!$B$45)+(L47*'Pawn Weights'!$B$46)+(M47*'Pawn Weights'!$B$47)+(N47*'Pawn Weights'!$B$48)+(O47*'Pawn Weights'!$B$49)+(P47*'Pawn Weights'!B$50)+(Q47*'Pawn Weights'!$B$51), 2)</f>
        <v>174.08</v>
      </c>
      <c r="E47" s="280">
        <v>45.0</v>
      </c>
      <c r="F47" s="280"/>
      <c r="G47" s="280">
        <v>32.0</v>
      </c>
      <c r="H47" s="280">
        <v>24.0</v>
      </c>
      <c r="I47" s="280">
        <v>24.0</v>
      </c>
      <c r="J47" s="280"/>
      <c r="K47" s="280"/>
      <c r="L47" s="280"/>
      <c r="M47" s="281"/>
      <c r="N47" s="280"/>
      <c r="O47" s="280">
        <v>1.0</v>
      </c>
      <c r="P47" s="280">
        <v>1.0</v>
      </c>
      <c r="Q47" s="280"/>
      <c r="R47" s="290" t="s">
        <v>1179</v>
      </c>
      <c r="S47" s="281"/>
      <c r="T47" s="291"/>
      <c r="U47" s="281"/>
      <c r="V47" s="281"/>
      <c r="W47" s="281"/>
    </row>
    <row r="48">
      <c r="A48" s="301"/>
      <c r="B48" s="288" t="s">
        <v>1327</v>
      </c>
      <c r="C48" s="280" t="s">
        <v>1278</v>
      </c>
      <c r="D48" s="289">
        <f>ROUND((F48*'Pawn Weights'!$B$40)+(G48*'Pawn Weights'!$B$41)+(H48*'Pawn Weights'!$B$42)+(I48*'Pawn Weights'!$B$43)+(J48*'Pawn Weights'!$B$44)+(K48*'Pawn Weights'!$B$45)+(L48*'Pawn Weights'!$B$46)+(M48*'Pawn Weights'!$B$47)+(N48*'Pawn Weights'!$B$48)+(O48*'Pawn Weights'!$B$49)+(P48*'Pawn Weights'!B$50)+(Q48*'Pawn Weights'!$B$51)+7.26, 2)</f>
        <v>171.56</v>
      </c>
      <c r="E48" s="280">
        <v>30.0</v>
      </c>
      <c r="F48" s="280"/>
      <c r="G48" s="280"/>
      <c r="H48" s="280">
        <v>58.0</v>
      </c>
      <c r="I48" s="280">
        <v>21.0</v>
      </c>
      <c r="J48" s="280">
        <v>13.0</v>
      </c>
      <c r="K48" s="280"/>
      <c r="L48" s="280"/>
      <c r="M48" s="281"/>
      <c r="N48" s="280"/>
      <c r="O48" s="280"/>
      <c r="P48" s="280">
        <v>2.0</v>
      </c>
      <c r="Q48" s="280"/>
      <c r="R48" s="290" t="s">
        <v>832</v>
      </c>
      <c r="S48" s="281"/>
      <c r="T48" s="291"/>
      <c r="U48" s="281"/>
      <c r="V48" s="281"/>
      <c r="W48" s="281"/>
      <c r="X48" s="281"/>
    </row>
    <row r="49">
      <c r="A49" s="301" t="s">
        <v>1439</v>
      </c>
      <c r="B49" s="311" t="s">
        <v>1440</v>
      </c>
      <c r="C49" s="280" t="s">
        <v>1441</v>
      </c>
      <c r="D49" s="289">
        <f>ROUND((F49*'Pawn Weights'!$B$40)+(G49*'Pawn Weights'!$B$41)+(H49*'Pawn Weights'!$B$42)+(I49*'Pawn Weights'!$B$43)+(J49*'Pawn Weights'!$B$44)+(K49*'Pawn Weights'!$B$45)+(L49*'Pawn Weights'!$B$46)+(M49*'Pawn Weights'!$B$47)+(N49*'Pawn Weights'!$B$48)+(O49*'Pawn Weights'!$B$49)+(P49*'Pawn Weights'!B$50)+(Q49*'Pawn Weights'!$B$51), 2)</f>
        <v>166.19</v>
      </c>
      <c r="E49" s="280">
        <v>13.0</v>
      </c>
      <c r="F49" s="280"/>
      <c r="G49" s="280">
        <v>25.0</v>
      </c>
      <c r="H49" s="280">
        <v>34.0</v>
      </c>
      <c r="I49" s="280"/>
      <c r="J49" s="280">
        <v>16.0</v>
      </c>
      <c r="K49" s="280"/>
      <c r="L49" s="280"/>
      <c r="M49" s="281"/>
      <c r="N49" s="280"/>
      <c r="O49" s="280">
        <v>1.0</v>
      </c>
      <c r="P49" s="280"/>
      <c r="Q49" s="280">
        <v>1.0</v>
      </c>
      <c r="R49" s="290" t="s">
        <v>702</v>
      </c>
      <c r="S49" s="281"/>
      <c r="T49" s="291" t="s">
        <v>1442</v>
      </c>
      <c r="U49" s="281"/>
      <c r="V49" s="281"/>
      <c r="W49" s="281"/>
    </row>
    <row r="50" ht="1.5" customHeight="1">
      <c r="A50" s="301" t="s">
        <v>654</v>
      </c>
      <c r="B50" s="288" t="s">
        <v>1443</v>
      </c>
      <c r="C50" s="280" t="s">
        <v>790</v>
      </c>
      <c r="D50" s="289">
        <f>ROUND((F50*'Pawn Weights'!$B$40)+(G50*'Pawn Weights'!$B$41)+(H50*'Pawn Weights'!$B$42)+(I50*'Pawn Weights'!$B$43)+(J50*'Pawn Weights'!$B$44)+(K50*'Pawn Weights'!$B$45)+(L50*'Pawn Weights'!$B$46)+(M50*'Pawn Weights'!$B$47)+(N50*'Pawn Weights'!$B$48)+(O50*'Pawn Weights'!$B$49)+(P50*'Pawn Weights'!B$50)+(Q50*'Pawn Weights'!$B$51), 2)</f>
        <v>165.98</v>
      </c>
      <c r="E50" s="280">
        <v>38.0</v>
      </c>
      <c r="F50" s="280"/>
      <c r="G50" s="280">
        <v>20.0</v>
      </c>
      <c r="H50" s="280">
        <v>52.0</v>
      </c>
      <c r="I50" s="280"/>
      <c r="J50" s="280">
        <v>13.0</v>
      </c>
      <c r="K50" s="280"/>
      <c r="L50" s="280"/>
      <c r="M50" s="281"/>
      <c r="N50" s="280"/>
      <c r="O50" s="280">
        <v>2.0</v>
      </c>
      <c r="P50" s="280"/>
      <c r="Q50" s="280"/>
      <c r="R50" s="290" t="s">
        <v>812</v>
      </c>
      <c r="S50" s="281"/>
      <c r="T50" s="291"/>
      <c r="U50" s="281"/>
      <c r="V50" s="281"/>
      <c r="W50" s="281"/>
    </row>
    <row r="51">
      <c r="A51" s="301" t="s">
        <v>1499</v>
      </c>
      <c r="B51" s="288" t="s">
        <v>1756</v>
      </c>
      <c r="C51" s="280" t="s">
        <v>1159</v>
      </c>
      <c r="D51" s="289">
        <f>ROUND((F51*'Pawn Weights'!$B$40)+(G51*'Pawn Weights'!$B$41)+(H51*'Pawn Weights'!$B$42)+(I51*'Pawn Weights'!$B$43)+(J51*'Pawn Weights'!$B$44)+(K51*'Pawn Weights'!$B$45)+(L51*'Pawn Weights'!$B$46)+(M51*'Pawn Weights'!$B$47)+(N51*'Pawn Weights'!$B$48)+(O51*'Pawn Weights'!$B$49)+(P51*'Pawn Weights'!B$50)+(Q51*'Pawn Weights'!$B$51), 2)</f>
        <v>156.35</v>
      </c>
      <c r="E51" s="280">
        <v>39.0</v>
      </c>
      <c r="F51" s="280"/>
      <c r="G51" s="280">
        <v>29.0</v>
      </c>
      <c r="H51" s="280">
        <v>18.0</v>
      </c>
      <c r="I51" s="280">
        <v>21.0</v>
      </c>
      <c r="J51" s="280"/>
      <c r="K51" s="280"/>
      <c r="L51" s="280"/>
      <c r="M51" s="281"/>
      <c r="N51" s="280"/>
      <c r="O51" s="280">
        <v>1.0</v>
      </c>
      <c r="P51" s="280">
        <v>1.0</v>
      </c>
      <c r="Q51" s="280"/>
      <c r="R51" s="290" t="s">
        <v>1189</v>
      </c>
      <c r="S51" s="281"/>
      <c r="T51" s="291"/>
      <c r="U51" s="281"/>
      <c r="V51" s="281"/>
      <c r="W51" s="281"/>
    </row>
    <row r="52">
      <c r="A52" s="301"/>
      <c r="B52" s="311" t="s">
        <v>1757</v>
      </c>
      <c r="C52" s="280" t="s">
        <v>1758</v>
      </c>
      <c r="D52" s="289">
        <f>ROUND((F52*'Pawn Weights'!$B$40)+(G52*'Pawn Weights'!$B$41)+(H52*'Pawn Weights'!$B$42)+(I52*'Pawn Weights'!$B$43)+(J52*'Pawn Weights'!$B$44)+(K52*'Pawn Weights'!$B$45)+(L52*'Pawn Weights'!$B$46)+(M52*'Pawn Weights'!$B$47)+(N52*'Pawn Weights'!$B$48)+(O52*'Pawn Weights'!$B$49)+(P52*'Pawn Weights'!B$50)+(Q52*'Pawn Weights'!$B$51), 2)</f>
        <v>153.94</v>
      </c>
      <c r="E52" s="280">
        <v>24.0</v>
      </c>
      <c r="F52" s="280"/>
      <c r="G52" s="280"/>
      <c r="H52" s="280">
        <v>20.0</v>
      </c>
      <c r="I52" s="280">
        <v>23.0</v>
      </c>
      <c r="J52" s="280">
        <v>23.0</v>
      </c>
      <c r="K52" s="280"/>
      <c r="L52" s="280"/>
      <c r="M52" s="281"/>
      <c r="N52" s="280"/>
      <c r="O52" s="280">
        <v>2.0</v>
      </c>
      <c r="P52" s="280"/>
      <c r="Q52" s="280"/>
      <c r="R52" s="290" t="s">
        <v>1759</v>
      </c>
      <c r="S52" s="281"/>
      <c r="T52" s="291"/>
      <c r="U52" s="281"/>
      <c r="V52" s="281"/>
      <c r="W52" s="281"/>
    </row>
    <row r="53">
      <c r="A53" s="301"/>
      <c r="B53" s="311" t="s">
        <v>1760</v>
      </c>
      <c r="C53" s="280" t="s">
        <v>1761</v>
      </c>
      <c r="D53" s="289">
        <f>ROUND((F53*'Pawn Weights'!$B$40)+(G53*'Pawn Weights'!$B$41)+(H53*'Pawn Weights'!$B$42)+(I53*'Pawn Weights'!$B$43)+(J53*'Pawn Weights'!$B$44)+(K53*'Pawn Weights'!$B$45)+(L53*'Pawn Weights'!$B$46)+(M53*'Pawn Weights'!$B$47)+(N53*'Pawn Weights'!$B$48)+(O53*'Pawn Weights'!$B$49)+(P53*'Pawn Weights'!B$50)+(Q53*'Pawn Weights'!$B$51)-38.72+36.88+7.26, 2)</f>
        <v>135.65</v>
      </c>
      <c r="E53" s="280">
        <v>16.0</v>
      </c>
      <c r="F53" s="280"/>
      <c r="G53" s="280">
        <v>23.0</v>
      </c>
      <c r="H53" s="280"/>
      <c r="I53" s="280"/>
      <c r="J53" s="280">
        <v>17.0</v>
      </c>
      <c r="K53" s="280"/>
      <c r="L53" s="280"/>
      <c r="M53" s="281"/>
      <c r="N53" s="280"/>
      <c r="O53" s="280">
        <v>2.0</v>
      </c>
      <c r="P53" s="280"/>
      <c r="R53" s="290" t="s">
        <v>832</v>
      </c>
      <c r="S53" s="281"/>
      <c r="T53" s="291"/>
      <c r="U53" s="281"/>
      <c r="V53" s="281"/>
      <c r="W53" s="281"/>
    </row>
    <row r="54">
      <c r="A54" s="301"/>
      <c r="B54" s="311" t="s">
        <v>1762</v>
      </c>
      <c r="C54" s="280" t="s">
        <v>1592</v>
      </c>
      <c r="D54" s="289">
        <f>ROUND((F54*'Pawn Weights'!$B$40)+(G54*'Pawn Weights'!$B$41)+(H54*'Pawn Weights'!$B$42)+(I54*'Pawn Weights'!$B$43)+(J54*'Pawn Weights'!$B$44)+(K54*'Pawn Weights'!$B$45)+(L54*'Pawn Weights'!$B$46)+(M54*'Pawn Weights'!$B$47)+(N54*'Pawn Weights'!$B$48)+(O54*'Pawn Weights'!$B$49)+(P54*'Pawn Weights'!B$50)+(Q54*'Pawn Weights'!$B$51), 2)</f>
        <v>135.47</v>
      </c>
      <c r="E54" s="280">
        <v>25.0</v>
      </c>
      <c r="F54" s="280"/>
      <c r="G54" s="280">
        <v>25.0</v>
      </c>
      <c r="H54" s="280">
        <v>42.0</v>
      </c>
      <c r="I54" s="280"/>
      <c r="J54" s="280"/>
      <c r="K54" s="280"/>
      <c r="L54" s="280"/>
      <c r="M54" s="281"/>
      <c r="N54" s="280"/>
      <c r="O54" s="280"/>
      <c r="P54" s="280">
        <v>2.0</v>
      </c>
      <c r="R54" s="290" t="s">
        <v>812</v>
      </c>
      <c r="S54" s="281"/>
      <c r="T54" s="291"/>
      <c r="U54" s="281"/>
      <c r="V54" s="281"/>
      <c r="W54" s="281"/>
    </row>
    <row r="55">
      <c r="A55" s="301"/>
      <c r="B55" s="288" t="s">
        <v>1763</v>
      </c>
      <c r="C55" s="280" t="s">
        <v>1665</v>
      </c>
      <c r="D55" s="289">
        <f>ROUND((F55*'Pawn Weights'!$B$40)+(G55*'Pawn Weights'!$B$41)+(H55*'Pawn Weights'!$B$42)+(I55*'Pawn Weights'!$B$43)+(J55*'Pawn Weights'!$B$44)+(K55*'Pawn Weights'!$B$45)+(L55*'Pawn Weights'!$B$46)+(M55*'Pawn Weights'!$B$47)+(N55*'Pawn Weights'!$B$48)+(O55*'Pawn Weights'!$B$49)+(P55*'Pawn Weights'!B$50)+(Q55*'Pawn Weights'!$B$51), 2)</f>
        <v>119.41</v>
      </c>
      <c r="E55" s="280">
        <v>33.0</v>
      </c>
      <c r="F55" s="280"/>
      <c r="G55" s="280">
        <v>39.0</v>
      </c>
      <c r="H55" s="280">
        <v>34.0</v>
      </c>
      <c r="I55" s="280"/>
      <c r="J55" s="280"/>
      <c r="K55" s="280"/>
      <c r="L55" s="280"/>
      <c r="M55" s="281"/>
      <c r="N55" s="280"/>
      <c r="O55" s="280"/>
      <c r="P55" s="280"/>
      <c r="Q55" s="280"/>
      <c r="R55" s="290"/>
      <c r="S55" s="281"/>
      <c r="T55" s="291"/>
      <c r="U55" s="281"/>
      <c r="V55" s="281"/>
      <c r="W55" s="281"/>
    </row>
    <row r="56">
      <c r="A56" s="272" t="s">
        <v>724</v>
      </c>
      <c r="B56" s="281"/>
      <c r="C56" s="281"/>
      <c r="D56" s="360"/>
      <c r="E56" s="281"/>
      <c r="F56" s="281"/>
      <c r="G56" s="281"/>
      <c r="H56" s="281"/>
      <c r="I56" s="281"/>
      <c r="J56" s="281"/>
      <c r="K56" s="281"/>
      <c r="L56" s="281"/>
      <c r="M56" s="281"/>
      <c r="N56" s="281"/>
      <c r="O56" s="281"/>
      <c r="P56" s="281"/>
      <c r="Q56" s="280"/>
      <c r="R56" s="282"/>
      <c r="S56" s="281"/>
      <c r="T56" s="285"/>
      <c r="U56" s="281"/>
      <c r="V56" s="281"/>
      <c r="W56" s="281"/>
    </row>
    <row r="57" ht="1.5" customHeight="1">
      <c r="A57" s="281"/>
      <c r="B57" s="302" t="s">
        <v>740</v>
      </c>
      <c r="C57" s="280" t="s">
        <v>741</v>
      </c>
      <c r="D57" s="289">
        <f>ROUND((F57*'Pawn Weights'!$B$40)+(G57*'Pawn Weights'!$B$41)+(H57*'Pawn Weights'!$B$42)+(I57*'Pawn Weights'!$B$43)+(J57*'Pawn Weights'!$B$44)+(K57*'Pawn Weights'!$B$45)+(L57*'Pawn Weights'!$B$46)+(M57*'Pawn Weights'!$B$47)+(N57*'Pawn Weights'!$B$48)+(O57*'Pawn Weights'!$B$49)+(P57*'Pawn Weights'!B$50)+(Q57*'Pawn Weights'!$B$51), 2)</f>
        <v>129.32</v>
      </c>
      <c r="E57" s="280">
        <v>28.0</v>
      </c>
      <c r="F57" s="280"/>
      <c r="G57" s="280">
        <v>28.0</v>
      </c>
      <c r="H57" s="280">
        <v>68.0</v>
      </c>
      <c r="I57" s="280"/>
      <c r="J57" s="280"/>
      <c r="K57" s="280"/>
      <c r="L57" s="280"/>
      <c r="M57" s="280"/>
      <c r="N57" s="280"/>
      <c r="O57" s="280"/>
      <c r="P57" s="280"/>
      <c r="Q57" s="280"/>
      <c r="R57" s="290"/>
      <c r="S57" s="281"/>
      <c r="T57" s="442"/>
      <c r="U57" s="281"/>
      <c r="V57" s="281"/>
      <c r="W57" s="281"/>
      <c r="X57" s="281"/>
    </row>
    <row r="58">
      <c r="A58" s="281"/>
      <c r="B58" s="302" t="s">
        <v>1200</v>
      </c>
      <c r="C58" s="280" t="s">
        <v>1201</v>
      </c>
      <c r="D58" s="289">
        <f>ROUND((F58*'Pawn Weights'!$B$40)+(G58*'Pawn Weights'!$B$41)+(H58*'Pawn Weights'!$B$42)+(I58*'Pawn Weights'!$B$43)+(J58*'Pawn Weights'!$B$44)+(K58*'Pawn Weights'!$B$45)+(L58*'Pawn Weights'!$B$46)+(M58*'Pawn Weights'!$B$47)+(N58*'Pawn Weights'!$B$48)+(O58*'Pawn Weights'!$B$49)+(P58*'Pawn Weights'!B$50)+(Q58*'Pawn Weights'!$B$51), 2)</f>
        <v>127.7</v>
      </c>
      <c r="E58" s="280">
        <v>21.0</v>
      </c>
      <c r="F58" s="280"/>
      <c r="G58" s="280">
        <v>24.0</v>
      </c>
      <c r="H58" s="280">
        <v>34.0</v>
      </c>
      <c r="I58" s="280"/>
      <c r="J58" s="280">
        <v>17.0</v>
      </c>
      <c r="K58" s="280"/>
      <c r="L58" s="280"/>
      <c r="M58" s="280"/>
      <c r="N58" s="280"/>
      <c r="O58" s="280"/>
      <c r="P58" s="280"/>
      <c r="Q58" s="280"/>
      <c r="R58" s="290"/>
      <c r="S58" s="281"/>
      <c r="T58" s="442"/>
      <c r="U58" s="281"/>
      <c r="V58" s="281"/>
      <c r="W58" s="281"/>
      <c r="X58" s="281"/>
    </row>
    <row r="59">
      <c r="A59" s="292" t="s">
        <v>627</v>
      </c>
      <c r="B59" s="288" t="s">
        <v>729</v>
      </c>
      <c r="C59" s="280" t="s">
        <v>730</v>
      </c>
      <c r="D59" s="289">
        <f>ROUND((F59*'Pawn Weights'!$B$40)+(G59*'Pawn Weights'!$B$41)+(H59*'Pawn Weights'!$B$42)+(I59*'Pawn Weights'!$B$43)+(J59*'Pawn Weights'!$B$44)+(K59*'Pawn Weights'!$B$45)+(L59*'Pawn Weights'!$B$46)+(M59*'Pawn Weights'!$B$47)+(N59*'Pawn Weights'!$B$48)+(O59*'Pawn Weights'!$B$49)+(P59*'Pawn Weights'!B$50)+(Q59*'Pawn Weights'!$B$51)-19.36+18.44+4.84, 2)</f>
        <v>114.84</v>
      </c>
      <c r="E59" s="280"/>
      <c r="F59" s="280"/>
      <c r="G59" s="280"/>
      <c r="H59" s="280">
        <v>52.0</v>
      </c>
      <c r="I59" s="280">
        <v>23.0</v>
      </c>
      <c r="J59" s="280"/>
      <c r="K59" s="280"/>
      <c r="L59" s="280"/>
      <c r="M59" s="281"/>
      <c r="N59" s="280"/>
      <c r="O59" s="280">
        <v>1.0</v>
      </c>
      <c r="P59" s="280"/>
      <c r="Q59" s="280"/>
      <c r="R59" s="290" t="s">
        <v>731</v>
      </c>
      <c r="S59" s="281"/>
      <c r="T59" s="442"/>
      <c r="U59" s="281"/>
      <c r="V59" s="281"/>
      <c r="W59" s="281"/>
      <c r="X59" s="281"/>
    </row>
    <row r="60">
      <c r="A60" s="137"/>
      <c r="B60" s="296" t="s">
        <v>728</v>
      </c>
      <c r="C60" s="297" t="s">
        <v>718</v>
      </c>
      <c r="D60" s="289">
        <f>ROUND((F60*'Pawn Weights'!$B$40)+(G60*'Pawn Weights'!$B$41)+(H60*'Pawn Weights'!$B$42)+(I60*'Pawn Weights'!$B$43)+(J60*'Pawn Weights'!$B$44)+(K60*'Pawn Weights'!$B$45)+(L60*'Pawn Weights'!$B$46)+(M60*'Pawn Weights'!$B$47)+(N60*'Pawn Weights'!$B$48)+(O60*'Pawn Weights'!$B$49)+(P60*'Pawn Weights'!B$50)+(Q60*'Pawn Weights'!$B$51), 2)</f>
        <v>114</v>
      </c>
      <c r="E60" s="298">
        <v>34.0</v>
      </c>
      <c r="F60" s="295"/>
      <c r="G60" s="295"/>
      <c r="H60" s="298">
        <v>46.0</v>
      </c>
      <c r="I60" s="298">
        <v>20.0</v>
      </c>
      <c r="J60" s="295"/>
      <c r="K60" s="295"/>
      <c r="L60" s="295"/>
      <c r="M60" s="298">
        <v>112.0</v>
      </c>
      <c r="N60" s="295"/>
      <c r="O60" s="295"/>
      <c r="P60" s="295"/>
      <c r="Q60" s="295"/>
      <c r="R60" s="295"/>
      <c r="S60" s="137"/>
      <c r="T60" s="359" t="s">
        <v>704</v>
      </c>
      <c r="U60" s="137"/>
      <c r="V60" s="137"/>
      <c r="W60" s="137"/>
      <c r="X60" s="137"/>
      <c r="Y60" s="137"/>
      <c r="Z60" s="137"/>
    </row>
    <row r="61">
      <c r="A61" s="281"/>
      <c r="B61" s="302" t="s">
        <v>738</v>
      </c>
      <c r="C61" s="280" t="s">
        <v>739</v>
      </c>
      <c r="D61" s="289">
        <f>ROUND((F61*'Pawn Weights'!$B$40)+(G61*'Pawn Weights'!$B$41)+(H61*'Pawn Weights'!$B$42)+(I61*'Pawn Weights'!$B$43)+(J61*'Pawn Weights'!$B$44)+(K61*'Pawn Weights'!$B$45)+(L61*'Pawn Weights'!$B$46)+(M61*'Pawn Weights'!$B$47)+(N61*'Pawn Weights'!$B$48)+(O61*'Pawn Weights'!$B$49)+(P61*'Pawn Weights'!B$50)+(Q61*'Pawn Weights'!$B$51), 2)</f>
        <v>111.6</v>
      </c>
      <c r="E61" s="280"/>
      <c r="F61" s="280"/>
      <c r="G61" s="280"/>
      <c r="H61" s="280">
        <v>60.0</v>
      </c>
      <c r="I61" s="280">
        <v>30.0</v>
      </c>
      <c r="J61" s="280"/>
      <c r="K61" s="280"/>
      <c r="L61" s="280"/>
      <c r="M61" s="280"/>
      <c r="N61" s="280"/>
      <c r="O61" s="280"/>
      <c r="P61" s="280"/>
      <c r="Q61" s="280"/>
      <c r="R61" s="290"/>
      <c r="S61" s="281"/>
      <c r="T61" s="442"/>
      <c r="U61" s="281"/>
      <c r="V61" s="281"/>
      <c r="W61" s="281"/>
      <c r="X61" s="281"/>
    </row>
    <row r="62">
      <c r="A62" s="281"/>
      <c r="B62" s="311" t="s">
        <v>1764</v>
      </c>
      <c r="C62" s="280" t="s">
        <v>1765</v>
      </c>
      <c r="D62" s="289">
        <f>ROUND((F62*'Pawn Weights'!$B$40)+(G62*'Pawn Weights'!$B$41)+(H62*'Pawn Weights'!$B$42)+(I62*'Pawn Weights'!$B$43)+(J62*'Pawn Weights'!$B$44)+(K62*'Pawn Weights'!$B$45)+(L62*'Pawn Weights'!$B$46)+(M62*'Pawn Weights'!$B$47)+(N62*'Pawn Weights'!$B$48)+(O62*'Pawn Weights'!$B$49)+(P62*'Pawn Weights'!B$50)+(Q62*'Pawn Weights'!$B$51), 2)</f>
        <v>109.99</v>
      </c>
      <c r="E62" s="280">
        <v>15.0</v>
      </c>
      <c r="F62" s="280"/>
      <c r="G62" s="280">
        <v>15.0</v>
      </c>
      <c r="H62" s="280">
        <v>36.0</v>
      </c>
      <c r="I62" s="280"/>
      <c r="J62" s="280">
        <v>17.0</v>
      </c>
      <c r="K62" s="280"/>
      <c r="L62" s="280"/>
      <c r="M62" s="281"/>
      <c r="N62" s="280"/>
      <c r="O62" s="280"/>
      <c r="P62" s="280"/>
      <c r="Q62" s="280"/>
      <c r="R62" s="290"/>
      <c r="S62" s="281"/>
      <c r="T62" s="442"/>
      <c r="U62" s="281"/>
      <c r="V62" s="281"/>
      <c r="W62" s="281"/>
      <c r="X62" s="281"/>
    </row>
    <row r="63">
      <c r="A63" s="281"/>
      <c r="B63" s="421" t="s">
        <v>1766</v>
      </c>
      <c r="C63" s="280" t="s">
        <v>1520</v>
      </c>
      <c r="D63" s="289">
        <f>ROUND((F63*'Pawn Weights'!$B$40)+(G63*'Pawn Weights'!$B$41)+(H63*'Pawn Weights'!$B$42)+(I63*'Pawn Weights'!$B$43)+(J63*'Pawn Weights'!$B$44)+(K63*'Pawn Weights'!$B$45)+(L63*'Pawn Weights'!$B$46)+(M63*'Pawn Weights'!$B$47)+(N63*'Pawn Weights'!$B$48)+(O63*'Pawn Weights'!$B$49)+(P63*'Pawn Weights'!B$50)+(Q63*'Pawn Weights'!$B$51), 2)</f>
        <v>106.21</v>
      </c>
      <c r="E63" s="280"/>
      <c r="F63" s="280"/>
      <c r="G63" s="280">
        <v>25.0</v>
      </c>
      <c r="H63" s="280">
        <v>20.0</v>
      </c>
      <c r="I63" s="280"/>
      <c r="J63" s="280">
        <v>13.0</v>
      </c>
      <c r="K63" s="280"/>
      <c r="L63" s="280"/>
      <c r="M63" s="280"/>
      <c r="N63" s="280"/>
      <c r="O63" s="280"/>
      <c r="P63" s="280"/>
      <c r="Q63" s="280"/>
      <c r="R63" s="290"/>
      <c r="S63" s="281"/>
      <c r="T63" s="442"/>
      <c r="U63" s="281"/>
      <c r="V63" s="281"/>
      <c r="W63" s="281"/>
      <c r="X63" s="281"/>
    </row>
    <row r="64">
      <c r="A64" s="281"/>
      <c r="B64" s="421" t="s">
        <v>1535</v>
      </c>
      <c r="C64" s="280" t="s">
        <v>1536</v>
      </c>
      <c r="D64" s="289">
        <f>ROUND((F64*'Pawn Weights'!$B$40)+(G64*'Pawn Weights'!$B$41)+(H64*'Pawn Weights'!$B$42)+(I64*'Pawn Weights'!$B$43)+(J64*'Pawn Weights'!$B$44)+(K64*'Pawn Weights'!$B$45)+(L64*'Pawn Weights'!$B$46)+(M64*'Pawn Weights'!$B$47)+(N64*'Pawn Weights'!$B$48)+(O64*'Pawn Weights'!$B$49)+(P64*'Pawn Weights'!B$50)+(Q64*'Pawn Weights'!$B$51), 2)</f>
        <v>99.68</v>
      </c>
      <c r="E64" s="280">
        <v>15.0</v>
      </c>
      <c r="F64" s="280"/>
      <c r="G64" s="280"/>
      <c r="H64" s="280">
        <v>30.0</v>
      </c>
      <c r="I64" s="280">
        <v>18.0</v>
      </c>
      <c r="J64" s="280">
        <v>16.0</v>
      </c>
      <c r="K64" s="280"/>
      <c r="L64" s="280"/>
      <c r="M64" s="280"/>
      <c r="N64" s="280"/>
      <c r="O64" s="280"/>
      <c r="P64" s="280"/>
      <c r="Q64" s="280"/>
      <c r="R64" s="290"/>
      <c r="S64" s="281"/>
      <c r="T64" s="442"/>
      <c r="U64" s="281"/>
      <c r="V64" s="281"/>
      <c r="W64" s="281"/>
      <c r="X64" s="281"/>
    </row>
    <row r="65">
      <c r="A65" s="281"/>
      <c r="B65" s="288" t="s">
        <v>1533</v>
      </c>
      <c r="C65" s="280" t="s">
        <v>1534</v>
      </c>
      <c r="D65" s="289">
        <f>ROUND((F65*'Pawn Weights'!$B$40)+(G65*'Pawn Weights'!$B$41)+(H65*'Pawn Weights'!$B$42)+(I65*'Pawn Weights'!$B$43)+(J65*'Pawn Weights'!$B$44)+(K65*'Pawn Weights'!$B$45)+(L65*'Pawn Weights'!$B$46)+(M65*'Pawn Weights'!$B$47)+(N65*'Pawn Weights'!$B$48)+(O65*'Pawn Weights'!$B$49)+(P65*'Pawn Weights'!B$50)+(Q65*'Pawn Weights'!$B$51), 2)</f>
        <v>97.28</v>
      </c>
      <c r="E65" s="280">
        <v>28.0</v>
      </c>
      <c r="F65" s="280"/>
      <c r="G65" s="280"/>
      <c r="H65" s="280">
        <v>56.0</v>
      </c>
      <c r="I65" s="280">
        <v>24.0</v>
      </c>
      <c r="J65" s="280"/>
      <c r="K65" s="280"/>
      <c r="L65" s="280"/>
      <c r="M65" s="281"/>
      <c r="N65" s="280"/>
      <c r="O65" s="280"/>
      <c r="P65" s="280"/>
      <c r="Q65" s="280"/>
      <c r="R65" s="290"/>
      <c r="S65" s="281"/>
      <c r="T65" s="442"/>
      <c r="U65" s="281"/>
      <c r="V65" s="281"/>
      <c r="W65" s="281"/>
      <c r="X65" s="281"/>
    </row>
    <row r="66">
      <c r="A66" s="281"/>
      <c r="B66" s="421" t="s">
        <v>1767</v>
      </c>
      <c r="C66" s="280" t="s">
        <v>1768</v>
      </c>
      <c r="D66" s="289">
        <f>ROUND((F66*'Pawn Weights'!$B$40)+(G66*'Pawn Weights'!$B$41)+(H66*'Pawn Weights'!$B$42)+(I66*'Pawn Weights'!$B$43)+(J66*'Pawn Weights'!$B$44)+(K66*'Pawn Weights'!$B$45)+(L66*'Pawn Weights'!$B$46)+(M66*'Pawn Weights'!$B$47)+(N66*'Pawn Weights'!$B$48)+(O66*'Pawn Weights'!$B$49)+(P66*'Pawn Weights'!B$50)+(Q66*'Pawn Weights'!$B$51), 2)</f>
        <v>92.54</v>
      </c>
      <c r="E66" s="280">
        <v>19.0</v>
      </c>
      <c r="F66" s="280"/>
      <c r="G66" s="280">
        <v>14.0</v>
      </c>
      <c r="H66" s="280">
        <v>28.0</v>
      </c>
      <c r="I66" s="280"/>
      <c r="J66" s="280">
        <v>14.0</v>
      </c>
      <c r="K66" s="280"/>
      <c r="L66" s="280"/>
      <c r="M66" s="280"/>
      <c r="N66" s="280"/>
      <c r="O66" s="280"/>
      <c r="P66" s="280"/>
      <c r="Q66" s="280"/>
      <c r="R66" s="290"/>
      <c r="S66" s="281"/>
      <c r="T66" s="442"/>
      <c r="U66" s="281"/>
      <c r="V66" s="281"/>
      <c r="W66" s="281"/>
      <c r="X66" s="281"/>
    </row>
    <row r="67">
      <c r="A67" s="281"/>
      <c r="B67" s="311" t="s">
        <v>1769</v>
      </c>
      <c r="C67" s="280" t="s">
        <v>1770</v>
      </c>
      <c r="D67" s="289">
        <f>ROUND((F67*'Pawn Weights'!$B$40)+(G67*'Pawn Weights'!$B$41)+(H67*'Pawn Weights'!$B$42)+(I67*'Pawn Weights'!$B$43)+(J67*'Pawn Weights'!$B$44)+(K67*'Pawn Weights'!$B$45)+(L67*'Pawn Weights'!$B$46)+(M67*'Pawn Weights'!$B$47)+(N67*'Pawn Weights'!$B$48)+(O67*'Pawn Weights'!$B$49)+(P67*'Pawn Weights'!B$50)+(Q67*'Pawn Weights'!$B$51), 2)</f>
        <v>88.23</v>
      </c>
      <c r="E67" s="280">
        <v>15.0</v>
      </c>
      <c r="F67" s="280"/>
      <c r="G67" s="280">
        <v>15.0</v>
      </c>
      <c r="H67" s="280"/>
      <c r="I67" s="280"/>
      <c r="J67" s="280"/>
      <c r="K67" s="280">
        <v>26.0</v>
      </c>
      <c r="L67" s="280"/>
      <c r="M67" s="281"/>
      <c r="N67" s="280"/>
      <c r="O67" s="280"/>
      <c r="P67" s="280"/>
      <c r="Q67" s="280"/>
      <c r="R67" s="290"/>
      <c r="S67" s="281"/>
      <c r="T67" s="442"/>
      <c r="U67" s="281"/>
      <c r="V67" s="281"/>
      <c r="W67" s="281"/>
      <c r="X67" s="281"/>
    </row>
    <row r="68">
      <c r="A68" s="281"/>
      <c r="B68" s="311" t="s">
        <v>1771</v>
      </c>
      <c r="C68" s="280" t="s">
        <v>1772</v>
      </c>
      <c r="D68" s="289">
        <f>ROUND((F68*'Pawn Weights'!$B$40)+(G68*'Pawn Weights'!$B$41)+(H68*'Pawn Weights'!$B$42)+(I68*'Pawn Weights'!$B$43)+(J68*'Pawn Weights'!$B$44)+(K68*'Pawn Weights'!$B$45)+(L68*'Pawn Weights'!$B$46)+(M68*'Pawn Weights'!$B$47)+(N68*'Pawn Weights'!$B$48)+(O68*'Pawn Weights'!$B$49)+(P68*'Pawn Weights'!B$50)+(Q68*'Pawn Weights'!$B$51), 2)</f>
        <v>83.99</v>
      </c>
      <c r="E68" s="280">
        <v>18.0</v>
      </c>
      <c r="F68" s="280"/>
      <c r="G68" s="280">
        <v>21.0</v>
      </c>
      <c r="H68" s="280">
        <v>38.0</v>
      </c>
      <c r="I68" s="280"/>
      <c r="J68" s="280"/>
      <c r="K68" s="280"/>
      <c r="L68" s="280"/>
      <c r="M68" s="281"/>
      <c r="N68" s="280"/>
      <c r="O68" s="280"/>
      <c r="P68" s="280"/>
      <c r="Q68" s="280"/>
      <c r="R68" s="290"/>
      <c r="S68" s="281"/>
      <c r="T68" s="442"/>
      <c r="U68" s="281"/>
      <c r="V68" s="281"/>
      <c r="W68" s="281"/>
      <c r="X68" s="281"/>
    </row>
    <row r="69">
      <c r="A69" s="272" t="s">
        <v>742</v>
      </c>
      <c r="B69" s="281"/>
      <c r="C69" s="281"/>
      <c r="D69" s="360"/>
      <c r="E69" s="281"/>
      <c r="F69" s="281"/>
      <c r="G69" s="281"/>
      <c r="H69" s="281"/>
      <c r="I69" s="281"/>
      <c r="J69" s="281"/>
      <c r="K69" s="281"/>
      <c r="L69" s="281"/>
      <c r="M69" s="281"/>
      <c r="N69" s="281"/>
      <c r="O69" s="281"/>
      <c r="P69" s="281"/>
      <c r="Q69" s="281"/>
      <c r="R69" s="282"/>
      <c r="S69" s="281"/>
      <c r="T69" s="442"/>
      <c r="U69" s="281"/>
      <c r="V69" s="281"/>
      <c r="W69" s="281"/>
    </row>
    <row r="70">
      <c r="A70" s="137"/>
      <c r="B70" s="381" t="s">
        <v>749</v>
      </c>
      <c r="C70" s="361" t="s">
        <v>750</v>
      </c>
      <c r="D70" s="289">
        <f>ROUND((F70*'Pawn Weights'!$B$40)+(G70*'Pawn Weights'!$B$41)+(H70*'Pawn Weights'!$B$42)+(I70*'Pawn Weights'!$B$43)+(J70*'Pawn Weights'!$B$44)+(K70*'Pawn Weights'!$B$45)+(L70*'Pawn Weights'!$B$46)+(M70*'Pawn Weights'!$B$47)+(N70*'Pawn Weights'!$B$48)+(O70*'Pawn Weights'!$B$49)+(P70*'Pawn Weights'!B$50)+(Q70*'Pawn Weights'!$B$51)-38.72+18.44+8, 2)</f>
        <v>411.32</v>
      </c>
      <c r="E70" s="359">
        <v>45.0</v>
      </c>
      <c r="F70" s="361"/>
      <c r="G70" s="359">
        <v>42.0</v>
      </c>
      <c r="H70" s="359">
        <v>120.0</v>
      </c>
      <c r="I70" s="361"/>
      <c r="J70" s="359">
        <v>30.0</v>
      </c>
      <c r="K70" s="359">
        <v>38.0</v>
      </c>
      <c r="L70" s="361"/>
      <c r="M70" s="137"/>
      <c r="N70" s="361"/>
      <c r="O70" s="359">
        <v>2.0</v>
      </c>
      <c r="P70" s="359">
        <v>1.0</v>
      </c>
      <c r="Q70" s="361"/>
      <c r="R70" s="359" t="s">
        <v>745</v>
      </c>
      <c r="S70" s="137"/>
      <c r="T70" s="406" t="s">
        <v>748</v>
      </c>
      <c r="U70" s="137"/>
      <c r="V70" s="137"/>
      <c r="W70" s="137"/>
      <c r="X70" s="137"/>
      <c r="Y70" s="137"/>
      <c r="Z70" s="137"/>
    </row>
    <row r="71" ht="14.25" customHeight="1">
      <c r="A71" s="295"/>
      <c r="B71" s="308" t="s">
        <v>777</v>
      </c>
      <c r="C71" s="297" t="s">
        <v>775</v>
      </c>
      <c r="D71" s="289">
        <f>ROUND((F71*'Pawn Weights'!$B$40)+(G71*'Pawn Weights'!$B$41)+(H71*'Pawn Weights'!$B$42)+(I71*'Pawn Weights'!$B$43)+(J71*'Pawn Weights'!$B$44)+(K71*'Pawn Weights'!$B$45)+(L71*'Pawn Weights'!$B$46)+(M71*'Pawn Weights'!$B$47)+(N71*'Pawn Weights'!$B$48)+(O71*'Pawn Weights'!$B$49)+(P71*'Pawn Weights'!B$50)+(Q71*'Pawn Weights'!$B$51), 2)</f>
        <v>300</v>
      </c>
      <c r="E71" s="298">
        <v>51.0</v>
      </c>
      <c r="F71" s="297"/>
      <c r="G71" s="298">
        <v>44.0</v>
      </c>
      <c r="H71" s="298">
        <v>102.0</v>
      </c>
      <c r="I71" s="297"/>
      <c r="J71" s="298">
        <v>34.0</v>
      </c>
      <c r="K71" s="297"/>
      <c r="L71" s="297"/>
      <c r="M71" s="137"/>
      <c r="N71" s="297"/>
      <c r="O71" s="298">
        <v>1.0</v>
      </c>
      <c r="P71" s="297"/>
      <c r="Q71" s="297"/>
      <c r="R71" s="298" t="s">
        <v>674</v>
      </c>
      <c r="S71" s="137"/>
      <c r="T71" s="295"/>
      <c r="U71" s="137"/>
      <c r="V71" s="137"/>
      <c r="W71" s="137"/>
      <c r="X71" s="137"/>
      <c r="Y71" s="137"/>
      <c r="Z71" s="137"/>
    </row>
    <row r="72">
      <c r="A72" s="137" t="s">
        <v>635</v>
      </c>
      <c r="B72" s="381" t="s">
        <v>1203</v>
      </c>
      <c r="C72" s="361" t="s">
        <v>637</v>
      </c>
      <c r="D72" s="289">
        <f>ROUND((F72*'Pawn Weights'!$B$40)+(G72*'Pawn Weights'!$B$41)+(H72*'Pawn Weights'!$B$42)+(I72*'Pawn Weights'!$B$43)+(J72*'Pawn Weights'!$B$44)+(K72*'Pawn Weights'!$B$45)+(L72*'Pawn Weights'!$B$46)+(M72*'Pawn Weights'!$B$47)+(N72*'Pawn Weights'!$B$48)+(O72*'Pawn Weights'!$B$49)+(P72*'Pawn Weights'!B$50)+(Q72*'Pawn Weights'!$B$51)-38.72+18.44+6.88, 2)</f>
        <v>285.7</v>
      </c>
      <c r="E72" s="359">
        <v>71.0</v>
      </c>
      <c r="F72" s="137"/>
      <c r="G72" s="359">
        <v>36.0</v>
      </c>
      <c r="H72" s="359">
        <v>58.0</v>
      </c>
      <c r="I72" s="359">
        <v>22.0</v>
      </c>
      <c r="J72" s="359">
        <v>17.0</v>
      </c>
      <c r="K72" s="137"/>
      <c r="L72" s="137"/>
      <c r="M72" s="359">
        <v>84.0</v>
      </c>
      <c r="N72" s="137"/>
      <c r="O72" s="359">
        <v>2.0</v>
      </c>
      <c r="P72" s="359">
        <v>1.0</v>
      </c>
      <c r="Q72" s="137"/>
      <c r="R72" s="359" t="s">
        <v>624</v>
      </c>
      <c r="S72" s="137"/>
      <c r="T72" s="137"/>
      <c r="U72" s="137"/>
      <c r="V72" s="137"/>
      <c r="W72" s="137"/>
      <c r="X72" s="137"/>
      <c r="Y72" s="137"/>
      <c r="Z72" s="137"/>
    </row>
    <row r="73">
      <c r="A73" s="281"/>
      <c r="B73" s="305" t="s">
        <v>764</v>
      </c>
      <c r="C73" s="307" t="s">
        <v>765</v>
      </c>
      <c r="D73" s="289">
        <f>ROUND((F73*'Pawn Weights'!$B$40)+(G73*'Pawn Weights'!$B$41)+(H73*'Pawn Weights'!$B$42)+(I73*'Pawn Weights'!$B$43)+(J73*'Pawn Weights'!$B$44)+(K73*'Pawn Weights'!$B$45)+(L73*'Pawn Weights'!$B$46)+(M73*'Pawn Weights'!$B$47)+(N73*'Pawn Weights'!$B$48)+(O73*'Pawn Weights'!$B$49)+(P73*'Pawn Weights'!B$50)+(Q73*'Pawn Weights'!$B$51), 2)</f>
        <v>277.34</v>
      </c>
      <c r="E73" s="280">
        <v>24.0</v>
      </c>
      <c r="F73" s="280"/>
      <c r="G73" s="280"/>
      <c r="H73" s="280">
        <v>92.0</v>
      </c>
      <c r="I73" s="280">
        <v>36.0</v>
      </c>
      <c r="J73" s="280">
        <v>27.0</v>
      </c>
      <c r="K73" s="280"/>
      <c r="L73" s="280"/>
      <c r="M73" s="281"/>
      <c r="N73" s="280"/>
      <c r="O73" s="280"/>
      <c r="P73" s="280">
        <v>2.0</v>
      </c>
      <c r="Q73" s="280">
        <v>1.0</v>
      </c>
      <c r="R73" s="290" t="s">
        <v>745</v>
      </c>
      <c r="S73" s="281"/>
      <c r="T73" s="291"/>
      <c r="U73" s="281"/>
      <c r="V73" s="281"/>
      <c r="W73" s="281"/>
    </row>
    <row r="74" ht="14.25" customHeight="1">
      <c r="A74" s="292"/>
      <c r="B74" s="305" t="s">
        <v>776</v>
      </c>
      <c r="C74" s="280" t="s">
        <v>739</v>
      </c>
      <c r="D74" s="289">
        <f>ROUND((F74*'Pawn Weights'!$B$40)+(G74*'Pawn Weights'!$B$41)+(H74*'Pawn Weights'!$B$42)+(I74*'Pawn Weights'!$B$43)+(J74*'Pawn Weights'!$B$44)+(K74*'Pawn Weights'!$B$45)+(L74*'Pawn Weights'!$B$46)+(M74*'Pawn Weights'!$B$47)+(N74*'Pawn Weights'!$B$48)+(O74*'Pawn Weights'!$B$49)+(P74*'Pawn Weights'!B$50)+(Q74*'Pawn Weights'!$B$51)-19.36+18.44+6.88, 2)</f>
        <v>253.86</v>
      </c>
      <c r="E74" s="280"/>
      <c r="F74" s="280"/>
      <c r="G74" s="280"/>
      <c r="H74" s="280">
        <v>96.0</v>
      </c>
      <c r="I74" s="280">
        <v>25.0</v>
      </c>
      <c r="J74" s="280">
        <v>21.0</v>
      </c>
      <c r="K74" s="280"/>
      <c r="L74" s="280"/>
      <c r="M74" s="281"/>
      <c r="N74" s="280"/>
      <c r="O74" s="280">
        <v>1.0</v>
      </c>
      <c r="P74" s="280">
        <v>2.0</v>
      </c>
      <c r="Q74" s="280"/>
      <c r="R74" s="290" t="s">
        <v>624</v>
      </c>
      <c r="S74" s="281"/>
      <c r="T74" s="291"/>
      <c r="U74" s="281"/>
      <c r="V74" s="281"/>
      <c r="W74" s="281"/>
    </row>
    <row r="75">
      <c r="A75" s="292" t="s">
        <v>647</v>
      </c>
      <c r="B75" s="305" t="s">
        <v>1205</v>
      </c>
      <c r="C75" s="280" t="s">
        <v>741</v>
      </c>
      <c r="D75" s="289">
        <f>ROUND((F75*'Pawn Weights'!$B$40)+(G75*'Pawn Weights'!$B$41)+(H75*'Pawn Weights'!$B$42)+(I75*'Pawn Weights'!$B$43)+(J75*'Pawn Weights'!$B$44)+(K75*'Pawn Weights'!$B$45)+(L75*'Pawn Weights'!$B$46)+(M75*'Pawn Weights'!$B$47)+(N75*'Pawn Weights'!$B$48)+(O75*'Pawn Weights'!$B$49)+(P75*'Pawn Weights'!B$50)+(Q75*'Pawn Weights'!$B$51), 2)</f>
        <v>253.59</v>
      </c>
      <c r="E75" s="280">
        <v>57.0</v>
      </c>
      <c r="F75" s="280"/>
      <c r="G75" s="280">
        <v>33.0</v>
      </c>
      <c r="H75" s="280">
        <v>94.0</v>
      </c>
      <c r="I75" s="280">
        <v>17.0</v>
      </c>
      <c r="J75" s="280"/>
      <c r="K75" s="280"/>
      <c r="L75" s="280"/>
      <c r="M75" s="281"/>
      <c r="N75" s="280"/>
      <c r="O75" s="280"/>
      <c r="P75" s="280">
        <v>2.0</v>
      </c>
      <c r="Q75" s="280">
        <v>1.0</v>
      </c>
      <c r="R75" s="290" t="s">
        <v>622</v>
      </c>
      <c r="S75" s="281"/>
      <c r="T75" s="291"/>
      <c r="U75" s="281"/>
      <c r="V75" s="281"/>
      <c r="W75" s="281"/>
    </row>
    <row r="76" ht="14.25" customHeight="1">
      <c r="A76" s="295" t="s">
        <v>644</v>
      </c>
      <c r="B76" s="308" t="s">
        <v>1204</v>
      </c>
      <c r="C76" s="297" t="s">
        <v>646</v>
      </c>
      <c r="D76" s="289">
        <f>ROUND((F76*'Pawn Weights'!$B$40)+(G76*'Pawn Weights'!$B$41)+(H76*'Pawn Weights'!$B$42)+(I76*'Pawn Weights'!$B$43)+(J76*'Pawn Weights'!$B$44)+(K76*'Pawn Weights'!$B$45)+(L76*'Pawn Weights'!$B$46)+(M76*'Pawn Weights'!$B$47)+(N76*'Pawn Weights'!$B$48)+(O76*'Pawn Weights'!$B$49)+(P76*'Pawn Weights'!B$50)+(Q76*'Pawn Weights'!$B$51)-38.72+18.44+6.88, 2)</f>
        <v>244.05</v>
      </c>
      <c r="E76" s="298">
        <v>64.0</v>
      </c>
      <c r="F76" s="295"/>
      <c r="G76" s="298">
        <v>31.0</v>
      </c>
      <c r="H76" s="298">
        <v>48.0</v>
      </c>
      <c r="I76" s="298">
        <v>17.0</v>
      </c>
      <c r="J76" s="298">
        <v>12.0</v>
      </c>
      <c r="K76" s="295"/>
      <c r="L76" s="295"/>
      <c r="M76" s="359">
        <v>84.0</v>
      </c>
      <c r="N76" s="295"/>
      <c r="O76" s="298">
        <v>2.0</v>
      </c>
      <c r="P76" s="298">
        <v>1.0</v>
      </c>
      <c r="Q76" s="295"/>
      <c r="R76" s="298" t="s">
        <v>624</v>
      </c>
      <c r="S76" s="137"/>
      <c r="T76" s="295"/>
      <c r="U76" s="137"/>
      <c r="V76" s="137"/>
      <c r="W76" s="137"/>
      <c r="X76" s="137"/>
      <c r="Y76" s="137"/>
      <c r="Z76" s="137"/>
    </row>
    <row r="77">
      <c r="A77" s="292" t="s">
        <v>654</v>
      </c>
      <c r="B77" s="305" t="s">
        <v>1444</v>
      </c>
      <c r="C77" s="280" t="s">
        <v>1163</v>
      </c>
      <c r="D77" s="289">
        <f>ROUND((F77*'Pawn Weights'!$B$40)+(G77*'Pawn Weights'!$B$41)+(H77*'Pawn Weights'!$B$42)+(I77*'Pawn Weights'!$B$43)+(J77*'Pawn Weights'!$B$44)+(K77*'Pawn Weights'!$B$45)+(L77*'Pawn Weights'!$B$46)+(M77*'Pawn Weights'!$B$47)+(N77*'Pawn Weights'!$B$48)+(O77*'Pawn Weights'!$B$49)+(P77*'Pawn Weights'!B$50)+(Q77*'Pawn Weights'!$B$51), 2)</f>
        <v>235.35</v>
      </c>
      <c r="E77" s="280">
        <v>39.0</v>
      </c>
      <c r="F77" s="280"/>
      <c r="G77" s="280">
        <v>35.0</v>
      </c>
      <c r="H77" s="280">
        <v>74.0</v>
      </c>
      <c r="I77" s="280"/>
      <c r="J77" s="280">
        <v>11.0</v>
      </c>
      <c r="K77" s="280"/>
      <c r="L77" s="280"/>
      <c r="M77" s="281"/>
      <c r="N77" s="280"/>
      <c r="O77" s="280">
        <v>1.0</v>
      </c>
      <c r="P77" s="280">
        <v>1.0</v>
      </c>
      <c r="Q77" s="280">
        <v>1.0</v>
      </c>
      <c r="R77" s="290" t="s">
        <v>622</v>
      </c>
      <c r="S77" s="281"/>
      <c r="T77" s="291"/>
      <c r="U77" s="281"/>
      <c r="V77" s="281"/>
      <c r="W77" s="281"/>
    </row>
    <row r="78">
      <c r="A78" s="281"/>
      <c r="B78" s="305" t="s">
        <v>1445</v>
      </c>
      <c r="C78" s="307" t="s">
        <v>1106</v>
      </c>
      <c r="D78" s="289">
        <f>ROUND((F78*'Pawn Weights'!$B$40)+(G78*'Pawn Weights'!$B$41)+(H78*'Pawn Weights'!$B$42)+(I78*'Pawn Weights'!$B$43)+(J78*'Pawn Weights'!$B$44)+(K78*'Pawn Weights'!$B$45)+(L78*'Pawn Weights'!$B$46)+(M78*'Pawn Weights'!$B$47)+(N78*'Pawn Weights'!$B$48)+(O78*'Pawn Weights'!$B$49)+(P78*'Pawn Weights'!B$50)+(Q78*'Pawn Weights'!$B$51), 2)</f>
        <v>224.27</v>
      </c>
      <c r="E78" s="280">
        <v>36.0</v>
      </c>
      <c r="F78" s="280"/>
      <c r="G78" s="280">
        <v>37.0</v>
      </c>
      <c r="H78" s="280">
        <v>90.0</v>
      </c>
      <c r="I78" s="280"/>
      <c r="J78" s="280">
        <v>22.0</v>
      </c>
      <c r="K78" s="280"/>
      <c r="L78" s="280"/>
      <c r="M78" s="281"/>
      <c r="N78" s="280"/>
      <c r="O78" s="280"/>
      <c r="P78" s="280"/>
      <c r="Q78" s="280"/>
      <c r="R78" s="290"/>
      <c r="S78" s="281"/>
      <c r="T78" s="291"/>
      <c r="U78" s="281"/>
      <c r="V78" s="281"/>
      <c r="W78" s="281"/>
    </row>
    <row r="79">
      <c r="A79" s="301" t="s">
        <v>627</v>
      </c>
      <c r="B79" s="305" t="s">
        <v>1447</v>
      </c>
      <c r="C79" s="307" t="s">
        <v>1448</v>
      </c>
      <c r="D79" s="289">
        <f>ROUND((F79*'Pawn Weights'!$B$40)+(G79*'Pawn Weights'!$B$41)+(H79*'Pawn Weights'!$B$42)+(I79*'Pawn Weights'!$B$43)+(J79*'Pawn Weights'!$B$44)+(K79*'Pawn Weights'!$B$45)+(L79*'Pawn Weights'!$B$46)+(M79*'Pawn Weights'!$B$47)+(N79*'Pawn Weights'!$B$48)+(O79*'Pawn Weights'!$B$49)+(P79*'Pawn Weights'!B$50)+(Q79*'Pawn Weights'!$B$51), 2)</f>
        <v>220.26</v>
      </c>
      <c r="E79" s="280">
        <v>39.0</v>
      </c>
      <c r="F79" s="280"/>
      <c r="G79" s="280">
        <v>38.0</v>
      </c>
      <c r="H79" s="280">
        <v>108.0</v>
      </c>
      <c r="I79" s="280"/>
      <c r="J79" s="280">
        <v>12.0</v>
      </c>
      <c r="K79" s="280"/>
      <c r="L79" s="280"/>
      <c r="M79" s="281"/>
      <c r="N79" s="280"/>
      <c r="O79" s="280"/>
      <c r="P79" s="280"/>
      <c r="Q79" s="280"/>
      <c r="R79" s="290"/>
      <c r="S79" s="281"/>
      <c r="T79" s="291"/>
      <c r="U79" s="281"/>
      <c r="V79" s="281"/>
      <c r="W79" s="281"/>
    </row>
    <row r="80">
      <c r="A80" s="292" t="s">
        <v>1068</v>
      </c>
      <c r="B80" s="305" t="s">
        <v>1446</v>
      </c>
      <c r="C80" s="280" t="s">
        <v>997</v>
      </c>
      <c r="D80" s="289">
        <f>ROUND((F80*'Pawn Weights'!$B$40)+(G80*'Pawn Weights'!$B$41)+(H80*'Pawn Weights'!$B$42)+(I80*'Pawn Weights'!$B$43)+(J80*'Pawn Weights'!$B$44)+(K80*'Pawn Weights'!$B$45)+(L80*'Pawn Weights'!$B$46)+(M80*'Pawn Weights'!$B$47)+(N80*'Pawn Weights'!$B$48)+(O80*'Pawn Weights'!$B$49)+(P80*'Pawn Weights'!B$50)+(Q80*'Pawn Weights'!$B$51)-38.72+36.88+6.88, 2)</f>
        <v>206.51</v>
      </c>
      <c r="E80" s="280">
        <v>57.0</v>
      </c>
      <c r="F80" s="280"/>
      <c r="G80" s="280">
        <v>37.0</v>
      </c>
      <c r="H80" s="280">
        <v>40.0</v>
      </c>
      <c r="I80" s="280">
        <v>13.0</v>
      </c>
      <c r="J80" s="280"/>
      <c r="K80" s="280"/>
      <c r="L80" s="280"/>
      <c r="M80" s="281"/>
      <c r="N80" s="280"/>
      <c r="O80" s="280">
        <v>2.0</v>
      </c>
      <c r="P80" s="280">
        <v>1.0</v>
      </c>
      <c r="Q80" s="280"/>
      <c r="R80" s="290" t="s">
        <v>624</v>
      </c>
      <c r="S80" s="281"/>
      <c r="T80" s="291"/>
      <c r="U80" s="281"/>
      <c r="V80" s="281"/>
      <c r="W80" s="281"/>
    </row>
    <row r="81">
      <c r="A81" s="301" t="s">
        <v>627</v>
      </c>
      <c r="B81" s="305" t="s">
        <v>1422</v>
      </c>
      <c r="C81" s="280" t="s">
        <v>1423</v>
      </c>
      <c r="D81" s="289">
        <f>ROUND((F81*'Pawn Weights'!$B$40)+(G81*'Pawn Weights'!$B$41)+(H81*'Pawn Weights'!$B$42)+(I81*'Pawn Weights'!$B$43)+(J81*'Pawn Weights'!$B$44)+(K81*'Pawn Weights'!$B$45)+(L81*'Pawn Weights'!$B$46)+(M81*'Pawn Weights'!$B$47)+(N81*'Pawn Weights'!$B$48)+(O81*'Pawn Weights'!$B$49)+(P81*'Pawn Weights'!B$50)+(Q81*'Pawn Weights'!$B$51), 2)</f>
        <v>200.24</v>
      </c>
      <c r="E81" s="280">
        <v>12.0</v>
      </c>
      <c r="F81" s="280">
        <v>32.0</v>
      </c>
      <c r="G81" s="280">
        <v>40.0</v>
      </c>
      <c r="H81" s="280"/>
      <c r="I81" s="280"/>
      <c r="J81" s="280">
        <v>8.0</v>
      </c>
      <c r="K81" s="280"/>
      <c r="L81" s="280"/>
      <c r="M81" s="281"/>
      <c r="N81" s="280"/>
      <c r="O81" s="280">
        <v>1.0</v>
      </c>
      <c r="P81" s="280">
        <v>1.0</v>
      </c>
      <c r="Q81" s="280">
        <v>1.0</v>
      </c>
      <c r="R81" s="290" t="s">
        <v>622</v>
      </c>
      <c r="S81" s="281"/>
      <c r="T81" s="291"/>
      <c r="U81" s="281"/>
      <c r="V81" s="281"/>
      <c r="W81" s="281"/>
    </row>
    <row r="82">
      <c r="A82" s="301" t="s">
        <v>1499</v>
      </c>
      <c r="B82" s="305" t="s">
        <v>1773</v>
      </c>
      <c r="C82" s="307" t="s">
        <v>1159</v>
      </c>
      <c r="D82" s="289">
        <f>ROUND((F82*'Pawn Weights'!$B$40)+(G82*'Pawn Weights'!$B$41)+(H82*'Pawn Weights'!$B$42)+(I82*'Pawn Weights'!$B$43)+(J82*'Pawn Weights'!$B$44)+(K82*'Pawn Weights'!$B$45)+(L82*'Pawn Weights'!$B$46)+(M82*'Pawn Weights'!$B$47)+(N82*'Pawn Weights'!$B$48)+(O82*'Pawn Weights'!$B$49)+(P82*'Pawn Weights'!B$50)+(Q82*'Pawn Weights'!$B$51)-38.72+36.88+6.88, 2)</f>
        <v>186.03</v>
      </c>
      <c r="E82" s="280">
        <v>50.0</v>
      </c>
      <c r="F82" s="280"/>
      <c r="G82" s="280">
        <v>33.0</v>
      </c>
      <c r="H82" s="280">
        <v>30.0</v>
      </c>
      <c r="I82" s="280">
        <v>12.0</v>
      </c>
      <c r="J82" s="280"/>
      <c r="K82" s="280"/>
      <c r="L82" s="280"/>
      <c r="M82" s="281"/>
      <c r="N82" s="280"/>
      <c r="O82" s="280">
        <v>2.0</v>
      </c>
      <c r="P82" s="280">
        <v>1.0</v>
      </c>
      <c r="Q82" s="280"/>
      <c r="R82" s="290" t="s">
        <v>624</v>
      </c>
      <c r="S82" s="281"/>
      <c r="T82" s="291"/>
      <c r="U82" s="281"/>
      <c r="V82" s="281"/>
      <c r="W82" s="281"/>
    </row>
    <row r="83" ht="15.0" customHeight="1">
      <c r="A83" s="301"/>
      <c r="B83" s="422" t="s">
        <v>1557</v>
      </c>
      <c r="C83" s="307" t="s">
        <v>1665</v>
      </c>
      <c r="D83" s="289">
        <f>ROUND((F83*'Pawn Weights'!$B$40)+(G83*'Pawn Weights'!$B$41)+(H83*'Pawn Weights'!$B$42)+(I83*'Pawn Weights'!$B$43)+(J83*'Pawn Weights'!$B$44)+(K83*'Pawn Weights'!$B$45)+(L83*'Pawn Weights'!$B$46)+(M83*'Pawn Weights'!$B$47)+(N83*'Pawn Weights'!$B$48)+(O83*'Pawn Weights'!$B$49)+(P83*'Pawn Weights'!B$50)+(Q83*'Pawn Weights'!$B$51)+8.76, 2)</f>
        <v>184.16</v>
      </c>
      <c r="E83" s="280">
        <v>36.0</v>
      </c>
      <c r="F83" s="280"/>
      <c r="G83" s="280">
        <v>28.0</v>
      </c>
      <c r="H83" s="280">
        <v>56.0</v>
      </c>
      <c r="I83" s="280"/>
      <c r="J83" s="280"/>
      <c r="K83" s="280"/>
      <c r="L83" s="280"/>
      <c r="M83" s="281"/>
      <c r="N83" s="280"/>
      <c r="O83" s="280"/>
      <c r="P83" s="280">
        <v>3.0</v>
      </c>
      <c r="Q83" s="280"/>
      <c r="R83" s="290" t="s">
        <v>622</v>
      </c>
      <c r="S83" s="281"/>
      <c r="T83" s="291" t="s">
        <v>1580</v>
      </c>
      <c r="U83" s="281"/>
      <c r="V83" s="281"/>
      <c r="W83" s="281"/>
    </row>
    <row r="84">
      <c r="A84" s="301"/>
      <c r="B84" s="422" t="s">
        <v>1774</v>
      </c>
      <c r="C84" s="307" t="s">
        <v>1645</v>
      </c>
      <c r="D84" s="289">
        <f>ROUND((F84*'Pawn Weights'!$B$40)+(G84*'Pawn Weights'!$B$41)+(H84*'Pawn Weights'!$B$42)+(I84*'Pawn Weights'!$B$43)+(J84*'Pawn Weights'!$B$44)+(K84*'Pawn Weights'!$B$45)+(L84*'Pawn Weights'!$B$46)+(M84*'Pawn Weights'!$B$47)+(N84*'Pawn Weights'!$B$48)+(O84*'Pawn Weights'!$B$49)+(P84*'Pawn Weights'!B$50)+(Q84*'Pawn Weights'!$B$51), 2)</f>
        <v>179.03</v>
      </c>
      <c r="E84" s="280">
        <v>26.0</v>
      </c>
      <c r="F84" s="280"/>
      <c r="G84" s="280">
        <v>31.0</v>
      </c>
      <c r="H84" s="280">
        <v>70.0</v>
      </c>
      <c r="I84" s="280"/>
      <c r="J84" s="280">
        <v>17.0</v>
      </c>
      <c r="K84" s="280"/>
      <c r="L84" s="280"/>
      <c r="M84" s="281"/>
      <c r="N84" s="280"/>
      <c r="O84" s="280"/>
      <c r="P84" s="280"/>
      <c r="Q84" s="280"/>
      <c r="R84" s="290"/>
      <c r="S84" s="281"/>
      <c r="T84" s="291"/>
      <c r="U84" s="281"/>
      <c r="V84" s="281"/>
      <c r="W84" s="281"/>
    </row>
    <row r="85" ht="8.25" customHeight="1">
      <c r="A85" s="301"/>
      <c r="B85" s="422" t="s">
        <v>1775</v>
      </c>
      <c r="C85" s="307" t="s">
        <v>1358</v>
      </c>
      <c r="D85" s="289">
        <f>ROUND((F85*'Pawn Weights'!$B$40)+(G85*'Pawn Weights'!$B$41)+(H85*'Pawn Weights'!$B$42)+(I85*'Pawn Weights'!$B$43)+(J85*'Pawn Weights'!$B$44)+(K85*'Pawn Weights'!$B$45)+(L85*'Pawn Weights'!$B$46)+(M85*'Pawn Weights'!$B$47)+(N85*'Pawn Weights'!$B$48)+(O85*'Pawn Weights'!$B$49)+(P85*'Pawn Weights'!B$50)+(Q85*'Pawn Weights'!$B$51), 2)</f>
        <v>173.4</v>
      </c>
      <c r="E85" s="280">
        <v>21.0</v>
      </c>
      <c r="F85" s="280"/>
      <c r="G85" s="280">
        <v>28.0</v>
      </c>
      <c r="H85" s="280">
        <v>54.0</v>
      </c>
      <c r="I85" s="280"/>
      <c r="J85" s="280"/>
      <c r="K85" s="280"/>
      <c r="L85" s="280"/>
      <c r="M85" s="281"/>
      <c r="N85" s="280"/>
      <c r="O85" s="280">
        <v>2.0</v>
      </c>
      <c r="P85" s="280"/>
      <c r="Q85" s="280">
        <v>1.0</v>
      </c>
      <c r="R85" s="290" t="s">
        <v>882</v>
      </c>
      <c r="S85" s="281"/>
      <c r="T85" s="291"/>
      <c r="U85" s="281"/>
      <c r="V85" s="281"/>
      <c r="W85" s="281"/>
    </row>
    <row r="86">
      <c r="A86" s="301"/>
      <c r="B86" s="443" t="s">
        <v>1776</v>
      </c>
      <c r="C86" s="307" t="s">
        <v>999</v>
      </c>
      <c r="D86" s="289">
        <f>ROUND((F86*'Pawn Weights'!$B$40)+(G86*'Pawn Weights'!$B$41)+(H86*'Pawn Weights'!$B$42)+(I86*'Pawn Weights'!$B$43)+(J86*'Pawn Weights'!$B$44)+(K86*'Pawn Weights'!$B$45)+(L86*'Pawn Weights'!$B$46)+(M86*'Pawn Weights'!$B$47)+(N86*'Pawn Weights'!$B$48)+(O86*'Pawn Weights'!$B$49)+(P86*'Pawn Weights'!B$50)+(Q86*'Pawn Weights'!$B$51), 2)</f>
        <v>159.76</v>
      </c>
      <c r="E86" s="280">
        <v>24.0</v>
      </c>
      <c r="F86" s="280"/>
      <c r="G86" s="280">
        <v>26.0</v>
      </c>
      <c r="H86" s="280">
        <v>52.0</v>
      </c>
      <c r="I86" s="280"/>
      <c r="J86" s="280">
        <v>21.0</v>
      </c>
      <c r="K86" s="280"/>
      <c r="L86" s="280"/>
      <c r="M86" s="281"/>
      <c r="N86" s="280"/>
      <c r="O86" s="280"/>
      <c r="P86" s="280"/>
      <c r="Q86" s="280"/>
      <c r="R86" s="290"/>
      <c r="S86" s="281"/>
      <c r="T86" s="291"/>
      <c r="U86" s="281"/>
      <c r="V86" s="281"/>
      <c r="W86" s="281"/>
    </row>
    <row r="87">
      <c r="A87" s="301"/>
      <c r="B87" s="422" t="s">
        <v>1777</v>
      </c>
      <c r="C87" s="307" t="s">
        <v>1778</v>
      </c>
      <c r="D87" s="289">
        <f>ROUND((F87*'Pawn Weights'!$B$40)+(G87*'Pawn Weights'!$B$41)+(H87*'Pawn Weights'!$B$42)+(I87*'Pawn Weights'!$B$43)+(J87*'Pawn Weights'!$B$44)+(K87*'Pawn Weights'!$B$45)+(L87*'Pawn Weights'!$B$46)+(M87*'Pawn Weights'!$B$47)+(N87*'Pawn Weights'!$B$48)+(O87*'Pawn Weights'!$B$49)+(P87*'Pawn Weights'!B$50)+(Q87*'Pawn Weights'!$B$51), 2)</f>
        <v>128.12</v>
      </c>
      <c r="E87" s="280">
        <v>35.0</v>
      </c>
      <c r="F87" s="280"/>
      <c r="G87" s="280"/>
      <c r="H87" s="280">
        <v>92.0</v>
      </c>
      <c r="I87" s="280">
        <v>21.0</v>
      </c>
      <c r="J87" s="280"/>
      <c r="K87" s="280"/>
      <c r="L87" s="280"/>
      <c r="M87" s="281"/>
      <c r="N87" s="280"/>
      <c r="O87" s="280"/>
      <c r="P87" s="280"/>
      <c r="Q87" s="280"/>
      <c r="R87" s="290"/>
      <c r="S87" s="281"/>
      <c r="T87" s="291"/>
      <c r="U87" s="281"/>
      <c r="V87" s="281"/>
      <c r="W87" s="281"/>
    </row>
    <row r="88">
      <c r="A88" s="272" t="s">
        <v>779</v>
      </c>
      <c r="B88" s="281"/>
      <c r="C88" s="281"/>
      <c r="D88" s="360"/>
      <c r="E88" s="281"/>
      <c r="F88" s="281"/>
      <c r="G88" s="281"/>
      <c r="H88" s="281"/>
      <c r="I88" s="281"/>
      <c r="J88" s="281"/>
      <c r="K88" s="281"/>
      <c r="L88" s="281"/>
      <c r="M88" s="281"/>
      <c r="N88" s="281"/>
      <c r="O88" s="281"/>
      <c r="P88" s="281"/>
      <c r="Q88" s="281"/>
      <c r="R88" s="282"/>
      <c r="S88" s="281"/>
      <c r="T88" s="285"/>
      <c r="U88" s="281"/>
      <c r="V88" s="281"/>
      <c r="W88" s="281"/>
    </row>
    <row r="89">
      <c r="A89" s="137" t="s">
        <v>627</v>
      </c>
      <c r="B89" s="341" t="s">
        <v>796</v>
      </c>
      <c r="C89" s="361" t="s">
        <v>788</v>
      </c>
      <c r="D89" s="289">
        <f>ROUND((F89*'Pawn Weights'!$B$40)+(G89*'Pawn Weights'!$B$41)+(H89*'Pawn Weights'!$B$42)+(I89*'Pawn Weights'!$B$43)+(J89*'Pawn Weights'!$B$44)+(K89*'Pawn Weights'!$B$45)+(L89*'Pawn Weights'!$B$46)+(M89*'Pawn Weights'!$B$47)+(N89*'Pawn Weights'!$B$48)+(O89*'Pawn Weights'!$B$49)+(P89*'Pawn Weights'!B$50)+(Q89*'Pawn Weights'!$B$51), 2)</f>
        <v>151.31</v>
      </c>
      <c r="E89" s="359">
        <v>34.0</v>
      </c>
      <c r="F89" s="361"/>
      <c r="G89" s="359">
        <v>20.0</v>
      </c>
      <c r="H89" s="359">
        <v>50.0</v>
      </c>
      <c r="I89" s="361"/>
      <c r="J89" s="361"/>
      <c r="K89" s="359">
        <v>27.0</v>
      </c>
      <c r="L89" s="361"/>
      <c r="M89" s="361"/>
      <c r="N89" s="361"/>
      <c r="O89" s="361"/>
      <c r="P89" s="361"/>
      <c r="Q89" s="361"/>
      <c r="R89" s="137"/>
      <c r="S89" s="137"/>
      <c r="T89" s="137"/>
      <c r="U89" s="137"/>
      <c r="V89" s="137"/>
      <c r="W89" s="137"/>
      <c r="X89" s="137"/>
      <c r="Y89" s="137"/>
      <c r="Z89" s="137"/>
    </row>
    <row r="90">
      <c r="A90" s="137"/>
      <c r="B90" s="341" t="s">
        <v>795</v>
      </c>
      <c r="C90" s="361" t="s">
        <v>691</v>
      </c>
      <c r="D90" s="289">
        <f>ROUND((F90*'Pawn Weights'!$B$40)+(G90*'Pawn Weights'!$B$41)+(H90*'Pawn Weights'!$B$42)+(I90*'Pawn Weights'!$B$43)+(J90*'Pawn Weights'!$B$44)+(K90*'Pawn Weights'!$B$45)+(L90*'Pawn Weights'!$B$46)+(M90*'Pawn Weights'!$B$47)+(N90*'Pawn Weights'!$B$48)+(O90*'Pawn Weights'!$B$49)+(P90*'Pawn Weights'!B$50)+(Q90*'Pawn Weights'!$B$51)+3.44, 2)</f>
        <v>140.99</v>
      </c>
      <c r="E90" s="359">
        <v>22.0</v>
      </c>
      <c r="F90" s="361"/>
      <c r="G90" s="359">
        <v>17.0</v>
      </c>
      <c r="H90" s="359">
        <v>50.0</v>
      </c>
      <c r="I90" s="359">
        <v>18.0</v>
      </c>
      <c r="J90" s="361"/>
      <c r="K90" s="361"/>
      <c r="L90" s="361"/>
      <c r="M90" s="361"/>
      <c r="N90" s="361"/>
      <c r="O90" s="361"/>
      <c r="P90" s="359">
        <v>1.0</v>
      </c>
      <c r="Q90" s="361"/>
      <c r="R90" s="359" t="s">
        <v>736</v>
      </c>
      <c r="S90" s="137"/>
      <c r="T90" s="137"/>
      <c r="U90" s="137"/>
      <c r="V90" s="137"/>
      <c r="W90" s="137"/>
      <c r="X90" s="137"/>
      <c r="Y90" s="137"/>
      <c r="Z90" s="137"/>
    </row>
    <row r="91">
      <c r="A91" s="281"/>
      <c r="B91" s="288" t="s">
        <v>1207</v>
      </c>
      <c r="C91" s="307" t="s">
        <v>871</v>
      </c>
      <c r="D91" s="289">
        <f>ROUND((F91*'Pawn Weights'!$B$40)+(G91*'Pawn Weights'!$B$41)+(H91*'Pawn Weights'!$B$42)+(I91*'Pawn Weights'!$B$43)+(J91*'Pawn Weights'!$B$44)+(K91*'Pawn Weights'!$B$45)+(L91*'Pawn Weights'!$B$46)+(M91*'Pawn Weights'!$B$47)+(N91*'Pawn Weights'!$B$48)+(O91*'Pawn Weights'!$B$49)+(P91*'Pawn Weights'!B$50)+(Q91*'Pawn Weights'!$B$51), 2)</f>
        <v>123.92</v>
      </c>
      <c r="E91" s="280">
        <v>24.0</v>
      </c>
      <c r="F91" s="280"/>
      <c r="G91" s="280">
        <v>24.0</v>
      </c>
      <c r="H91" s="280">
        <v>52.0</v>
      </c>
      <c r="I91" s="280"/>
      <c r="J91" s="280"/>
      <c r="K91" s="280"/>
      <c r="L91" s="280"/>
      <c r="M91" s="280"/>
      <c r="N91" s="280"/>
      <c r="O91" s="280"/>
      <c r="P91" s="280"/>
      <c r="Q91" s="280">
        <v>1.0</v>
      </c>
      <c r="R91" s="290" t="s">
        <v>660</v>
      </c>
      <c r="S91" s="281"/>
      <c r="T91" s="294"/>
      <c r="U91" s="281"/>
      <c r="V91" s="281"/>
      <c r="W91" s="281"/>
      <c r="X91" s="281"/>
    </row>
    <row r="92" ht="14.25" customHeight="1">
      <c r="A92" s="281"/>
      <c r="B92" s="288" t="s">
        <v>1208</v>
      </c>
      <c r="C92" s="280" t="s">
        <v>1209</v>
      </c>
      <c r="D92" s="289">
        <f>ROUND((F92*'Pawn Weights'!$B$40)+(G92*'Pawn Weights'!$B$41)+(H92*'Pawn Weights'!$B$42)+(I92*'Pawn Weights'!$B$43)+(J92*'Pawn Weights'!$B$44)+(K92*'Pawn Weights'!$B$45)+(L92*'Pawn Weights'!$B$46)+(M92*'Pawn Weights'!$B$47)+(N92*'Pawn Weights'!$B$48)+(O92*'Pawn Weights'!$B$49)+(P92*'Pawn Weights'!B$50)+(Q92*'Pawn Weights'!$B$51), 2)</f>
        <v>105.16</v>
      </c>
      <c r="E92" s="280">
        <v>18.0</v>
      </c>
      <c r="F92" s="280"/>
      <c r="G92" s="280">
        <v>20.0</v>
      </c>
      <c r="H92" s="280">
        <v>42.0</v>
      </c>
      <c r="I92" s="280"/>
      <c r="J92" s="280"/>
      <c r="K92" s="280"/>
      <c r="L92" s="280"/>
      <c r="M92" s="280"/>
      <c r="N92" s="280"/>
      <c r="O92" s="280"/>
      <c r="P92" s="280"/>
      <c r="Q92" s="280">
        <v>1.0</v>
      </c>
      <c r="R92" s="290" t="s">
        <v>660</v>
      </c>
      <c r="S92" s="281"/>
      <c r="T92" s="442"/>
      <c r="U92" s="281"/>
      <c r="V92" s="281"/>
      <c r="W92" s="281"/>
      <c r="X92" s="281"/>
    </row>
    <row r="93">
      <c r="A93" s="281"/>
      <c r="B93" s="288" t="s">
        <v>1213</v>
      </c>
      <c r="C93" s="280" t="s">
        <v>1214</v>
      </c>
      <c r="D93" s="289">
        <f>ROUND((F93*'Pawn Weights'!$B$40)+(G93*'Pawn Weights'!$B$41)+(H93*'Pawn Weights'!$B$42)+(I93*'Pawn Weights'!$B$43)+(J93*'Pawn Weights'!$B$44)+(K93*'Pawn Weights'!$B$45)+(L93*'Pawn Weights'!$B$46)+(M93*'Pawn Weights'!$B$47)+(N93*'Pawn Weights'!$B$48)+(O93*'Pawn Weights'!$B$49)+(P93*'Pawn Weights'!B$50)+(Q93*'Pawn Weights'!$B$51), 2)</f>
        <v>98.56</v>
      </c>
      <c r="E93" s="280">
        <v>22.0</v>
      </c>
      <c r="F93" s="280"/>
      <c r="G93" s="280">
        <v>24.0</v>
      </c>
      <c r="H93" s="280">
        <v>46.0</v>
      </c>
      <c r="I93" s="280"/>
      <c r="J93" s="280"/>
      <c r="K93" s="280"/>
      <c r="L93" s="280"/>
      <c r="M93" s="280"/>
      <c r="N93" s="280"/>
      <c r="O93" s="280"/>
      <c r="P93" s="280"/>
      <c r="Q93" s="280"/>
      <c r="R93" s="290"/>
      <c r="S93" s="281"/>
      <c r="T93" s="442"/>
      <c r="U93" s="281"/>
      <c r="V93" s="281"/>
      <c r="W93" s="281"/>
      <c r="X93" s="281"/>
    </row>
    <row r="94" ht="4.5" customHeight="1">
      <c r="A94" s="292" t="s">
        <v>627</v>
      </c>
      <c r="B94" s="288" t="s">
        <v>1215</v>
      </c>
      <c r="C94" s="307" t="s">
        <v>1216</v>
      </c>
      <c r="D94" s="289">
        <f>ROUND((F94*'Pawn Weights'!$B$40)+(G94*'Pawn Weights'!$B$41)+(H94*'Pawn Weights'!$B$42)+(I94*'Pawn Weights'!$B$43)+(J94*'Pawn Weights'!$B$44)+(K94*'Pawn Weights'!$B$45)+(L94*'Pawn Weights'!$B$46)+(M94*'Pawn Weights'!$B$47)+(N94*'Pawn Weights'!$B$48)+(O94*'Pawn Weights'!$B$49)+(P94*'Pawn Weights'!B$50)+(Q94*'Pawn Weights'!$B$51), 2)</f>
        <v>96.85</v>
      </c>
      <c r="E94" s="280">
        <v>21.0</v>
      </c>
      <c r="F94" s="280"/>
      <c r="G94" s="280">
        <v>15.0</v>
      </c>
      <c r="H94" s="280">
        <v>64.0</v>
      </c>
      <c r="I94" s="280"/>
      <c r="J94" s="280"/>
      <c r="K94" s="280"/>
      <c r="L94" s="280"/>
      <c r="M94" s="280"/>
      <c r="N94" s="280"/>
      <c r="O94" s="280"/>
      <c r="P94" s="280"/>
      <c r="Q94" s="280"/>
      <c r="R94" s="290"/>
      <c r="S94" s="281"/>
      <c r="T94" s="294"/>
      <c r="U94" s="281"/>
      <c r="V94" s="281"/>
      <c r="W94" s="281"/>
      <c r="X94" s="281"/>
    </row>
    <row r="95">
      <c r="A95" s="281"/>
      <c r="B95" s="311" t="s">
        <v>1210</v>
      </c>
      <c r="C95" s="280" t="s">
        <v>1211</v>
      </c>
      <c r="D95" s="289">
        <f>ROUND((F95*'Pawn Weights'!$B$40)+(G95*'Pawn Weights'!$B$41)+(H95*'Pawn Weights'!$B$42)+(I95*'Pawn Weights'!$B$43)+(J95*'Pawn Weights'!$B$44)+(K95*'Pawn Weights'!$B$45)+(L95*'Pawn Weights'!$B$46)+(M95*'Pawn Weights'!$B$47)+(N95*'Pawn Weights'!$B$48)+(O95*'Pawn Weights'!$B$49)+(P95*'Pawn Weights'!B$50)+(Q95*'Pawn Weights'!$B$51), 2)</f>
        <v>95.08</v>
      </c>
      <c r="E95" s="280">
        <v>15.0</v>
      </c>
      <c r="F95" s="280"/>
      <c r="G95" s="280">
        <v>18.0</v>
      </c>
      <c r="H95" s="280"/>
      <c r="I95" s="280"/>
      <c r="J95" s="280">
        <v>15.0</v>
      </c>
      <c r="K95" s="280"/>
      <c r="L95" s="280"/>
      <c r="M95" s="280"/>
      <c r="N95" s="280"/>
      <c r="O95" s="280">
        <v>1.0</v>
      </c>
      <c r="P95" s="280"/>
      <c r="Q95" s="280"/>
      <c r="R95" s="290" t="s">
        <v>1212</v>
      </c>
      <c r="S95" s="281"/>
      <c r="T95" s="442"/>
      <c r="U95" s="281"/>
      <c r="V95" s="281"/>
      <c r="W95" s="281"/>
      <c r="X95" s="281"/>
    </row>
    <row r="96">
      <c r="A96" s="281"/>
      <c r="B96" s="322" t="s">
        <v>1571</v>
      </c>
      <c r="C96" s="280" t="s">
        <v>1572</v>
      </c>
      <c r="D96" s="289">
        <f>ROUND((F96*'Pawn Weights'!$B$40)+(G96*'Pawn Weights'!$B$41)+(H96*'Pawn Weights'!$B$42)+(I96*'Pawn Weights'!$B$43)+(J96*'Pawn Weights'!$B$44)+(K96*'Pawn Weights'!$B$45)+(L96*'Pawn Weights'!$B$46)+(M96*'Pawn Weights'!$B$47)+(N96*'Pawn Weights'!$B$48)+(O96*'Pawn Weights'!$B$49)+(P96*'Pawn Weights'!B$50)+(Q96*'Pawn Weights'!$B$51), 2)</f>
        <v>90.06</v>
      </c>
      <c r="E96" s="280"/>
      <c r="F96" s="280"/>
      <c r="G96" s="280">
        <v>12.0</v>
      </c>
      <c r="H96" s="280">
        <v>42.0</v>
      </c>
      <c r="I96" s="280"/>
      <c r="J96" s="280">
        <v>9.0</v>
      </c>
      <c r="K96" s="280"/>
      <c r="L96" s="280"/>
      <c r="M96" s="280"/>
      <c r="N96" s="280"/>
      <c r="O96" s="280"/>
      <c r="P96" s="280"/>
      <c r="Q96" s="280"/>
      <c r="R96" s="290"/>
      <c r="S96" s="281"/>
      <c r="T96" s="442"/>
      <c r="U96" s="281"/>
      <c r="V96" s="281"/>
      <c r="W96" s="281"/>
      <c r="X96" s="281"/>
    </row>
    <row r="97">
      <c r="A97" s="281"/>
      <c r="B97" s="288" t="s">
        <v>1565</v>
      </c>
      <c r="C97" s="280" t="s">
        <v>1566</v>
      </c>
      <c r="D97" s="289">
        <f>ROUND((F97*'Pawn Weights'!$B$40)+(G97*'Pawn Weights'!$B$41)+(H97*'Pawn Weights'!$B$42)+(I97*'Pawn Weights'!$B$43)+(J97*'Pawn Weights'!$B$44)+(K97*'Pawn Weights'!$B$45)+(L97*'Pawn Weights'!$B$46)+(M97*'Pawn Weights'!$B$47)+(N97*'Pawn Weights'!$B$48)+(O97*'Pawn Weights'!$B$49)+(P97*'Pawn Weights'!B$50)+(Q97*'Pawn Weights'!$B$51), 2)</f>
        <v>87.84</v>
      </c>
      <c r="E97" s="280">
        <v>25.0</v>
      </c>
      <c r="F97" s="280"/>
      <c r="G97" s="280"/>
      <c r="H97" s="280">
        <v>50.0</v>
      </c>
      <c r="I97" s="280">
        <v>22.0</v>
      </c>
      <c r="J97" s="280"/>
      <c r="K97" s="280"/>
      <c r="L97" s="280"/>
      <c r="M97" s="280"/>
      <c r="N97" s="280"/>
      <c r="O97" s="280"/>
      <c r="P97" s="280"/>
      <c r="Q97" s="280"/>
      <c r="R97" s="290"/>
      <c r="S97" s="281"/>
      <c r="T97" s="442"/>
      <c r="U97" s="281"/>
      <c r="V97" s="281"/>
      <c r="W97" s="281"/>
      <c r="X97" s="281"/>
    </row>
    <row r="98">
      <c r="A98" s="281"/>
      <c r="B98" s="311" t="s">
        <v>1779</v>
      </c>
      <c r="C98" s="280" t="s">
        <v>1761</v>
      </c>
      <c r="D98" s="289">
        <f>ROUND((F98*'Pawn Weights'!$B$40)+(G98*'Pawn Weights'!$B$41)+(H98*'Pawn Weights'!$B$42)+(I98*'Pawn Weights'!$B$43)+(J98*'Pawn Weights'!$B$44)+(K98*'Pawn Weights'!$B$45)+(L98*'Pawn Weights'!$B$46)+(M98*'Pawn Weights'!$B$47)+(N98*'Pawn Weights'!$B$48)+(O98*'Pawn Weights'!$B$49)+(P98*'Pawn Weights'!B$50)+(Q98*'Pawn Weights'!$B$51), 2)</f>
        <v>83.8</v>
      </c>
      <c r="E98" s="280">
        <v>18.0</v>
      </c>
      <c r="F98" s="280"/>
      <c r="G98" s="280">
        <v>20.0</v>
      </c>
      <c r="H98" s="280">
        <v>40.0</v>
      </c>
      <c r="I98" s="280"/>
      <c r="J98" s="280"/>
      <c r="K98" s="280"/>
      <c r="L98" s="280"/>
      <c r="M98" s="280"/>
      <c r="N98" s="280"/>
      <c r="O98" s="280"/>
      <c r="P98" s="280"/>
      <c r="Q98" s="280"/>
      <c r="R98" s="290"/>
      <c r="S98" s="281"/>
      <c r="T98" s="442"/>
      <c r="U98" s="281"/>
      <c r="V98" s="281"/>
      <c r="W98" s="281"/>
      <c r="X98" s="281"/>
    </row>
    <row r="99">
      <c r="A99" s="281"/>
      <c r="B99" s="311" t="s">
        <v>1780</v>
      </c>
      <c r="C99" s="280" t="s">
        <v>1781</v>
      </c>
      <c r="D99" s="289">
        <f>ROUND((F99*'Pawn Weights'!$B$40)+(G99*'Pawn Weights'!$B$41)+(H99*'Pawn Weights'!$B$42)+(I99*'Pawn Weights'!$B$43)+(J99*'Pawn Weights'!$B$44)+(K99*'Pawn Weights'!$B$45)+(L99*'Pawn Weights'!$B$46)+(M99*'Pawn Weights'!$B$47)+(N99*'Pawn Weights'!$B$48)+(O99*'Pawn Weights'!$B$49)+(P99*'Pawn Weights'!B$50)+(Q99*'Pawn Weights'!$B$51), 2)</f>
        <v>72.4</v>
      </c>
      <c r="E99" s="280">
        <v>18.0</v>
      </c>
      <c r="F99" s="280"/>
      <c r="G99" s="280"/>
      <c r="H99" s="280">
        <v>38.0</v>
      </c>
      <c r="I99" s="280">
        <v>20.0</v>
      </c>
      <c r="J99" s="280"/>
      <c r="K99" s="280"/>
      <c r="L99" s="280"/>
      <c r="M99" s="280"/>
      <c r="N99" s="280"/>
      <c r="O99" s="280"/>
      <c r="P99" s="280"/>
      <c r="Q99" s="280"/>
      <c r="R99" s="290"/>
      <c r="S99" s="281"/>
      <c r="T99" s="442"/>
      <c r="U99" s="281"/>
      <c r="V99" s="281"/>
      <c r="W99" s="281"/>
      <c r="X99" s="281"/>
    </row>
    <row r="100">
      <c r="A100" s="272" t="s">
        <v>800</v>
      </c>
      <c r="B100" s="281"/>
      <c r="C100" s="281"/>
      <c r="D100" s="360"/>
      <c r="E100" s="281"/>
      <c r="F100" s="281"/>
      <c r="G100" s="281"/>
      <c r="H100" s="281"/>
      <c r="I100" s="281"/>
      <c r="J100" s="281"/>
      <c r="K100" s="281"/>
      <c r="L100" s="281"/>
      <c r="M100" s="281"/>
      <c r="N100" s="281"/>
      <c r="O100" s="281"/>
      <c r="P100" s="281"/>
      <c r="Q100" s="281"/>
      <c r="R100" s="282"/>
      <c r="S100" s="281"/>
      <c r="T100" s="285"/>
      <c r="U100" s="281"/>
      <c r="V100" s="281"/>
      <c r="W100" s="281"/>
    </row>
    <row r="101">
      <c r="A101" s="137" t="s">
        <v>627</v>
      </c>
      <c r="B101" s="341" t="s">
        <v>801</v>
      </c>
      <c r="C101" s="361" t="s">
        <v>802</v>
      </c>
      <c r="D101" s="289">
        <f>ROUND((F101*'Pawn Weights'!$B$40)+(G101*'Pawn Weights'!$B$41)+(H101*'Pawn Weights'!$B$42)+(I101*'Pawn Weights'!$B$43)+(J101*'Pawn Weights'!$B$44)+(K101*'Pawn Weights'!$B$45)+(L101*'Pawn Weights'!$B$46)+(M101*'Pawn Weights'!$B$47)+(N101*'Pawn Weights'!$B$48)+(O101*'Pawn Weights'!$B$49)+(P101*'Pawn Weights'!B$50)+(Q101*'Pawn Weights'!$B$51)-38.72+18.44+5.16, 2)</f>
        <v>277.1</v>
      </c>
      <c r="E101" s="359">
        <v>33.0</v>
      </c>
      <c r="F101" s="361"/>
      <c r="G101" s="359">
        <v>30.0</v>
      </c>
      <c r="H101" s="359">
        <v>90.0</v>
      </c>
      <c r="I101" s="359">
        <v>30.0</v>
      </c>
      <c r="J101" s="361"/>
      <c r="K101" s="361"/>
      <c r="L101" s="361"/>
      <c r="M101" s="359">
        <v>154.0</v>
      </c>
      <c r="N101" s="361"/>
      <c r="O101" s="359">
        <v>2.0</v>
      </c>
      <c r="P101" s="361"/>
      <c r="Q101" s="361"/>
      <c r="R101" s="359" t="s">
        <v>702</v>
      </c>
      <c r="S101" s="137"/>
      <c r="T101" s="137"/>
      <c r="U101" s="137"/>
      <c r="V101" s="137"/>
      <c r="W101" s="137"/>
      <c r="X101" s="137"/>
      <c r="Y101" s="137"/>
      <c r="Z101" s="137"/>
    </row>
    <row r="102">
      <c r="A102" s="301" t="s">
        <v>647</v>
      </c>
      <c r="B102" s="288" t="s">
        <v>1218</v>
      </c>
      <c r="C102" s="280" t="s">
        <v>957</v>
      </c>
      <c r="D102" s="289">
        <f>ROUND((F102*'Pawn Weights'!$B$40)+(G102*'Pawn Weights'!$B$41)+(H102*'Pawn Weights'!$B$42)+(I102*'Pawn Weights'!$B$43)+(J102*'Pawn Weights'!$B$44)+(K102*'Pawn Weights'!$B$45)+(L102*'Pawn Weights'!$B$46)+(M102*'Pawn Weights'!$B$47)+(N102*'Pawn Weights'!$B$48)+(O102*'Pawn Weights'!$B$49)+(P102*'Pawn Weights'!B$50)+(Q102*'Pawn Weights'!$B$51), 2)</f>
        <v>206.92</v>
      </c>
      <c r="E102" s="280">
        <v>34.0</v>
      </c>
      <c r="F102" s="280"/>
      <c r="G102" s="280">
        <v>36.0</v>
      </c>
      <c r="H102" s="280">
        <v>70.0</v>
      </c>
      <c r="I102" s="280"/>
      <c r="J102" s="280">
        <v>24.0</v>
      </c>
      <c r="K102" s="280"/>
      <c r="L102" s="280"/>
      <c r="M102" s="281"/>
      <c r="N102" s="280"/>
      <c r="O102" s="280"/>
      <c r="P102" s="280"/>
      <c r="Q102" s="280"/>
      <c r="R102" s="290"/>
      <c r="S102" s="281"/>
      <c r="T102" s="291"/>
      <c r="U102" s="281"/>
      <c r="V102" s="281"/>
      <c r="W102" s="281"/>
    </row>
    <row r="103">
      <c r="A103" s="295"/>
      <c r="B103" s="296" t="s">
        <v>1219</v>
      </c>
      <c r="C103" s="297" t="s">
        <v>718</v>
      </c>
      <c r="D103" s="289">
        <f>ROUND((F103*'Pawn Weights'!$B$40)+(G103*'Pawn Weights'!$B$41)+(H103*'Pawn Weights'!$B$42)+(I103*'Pawn Weights'!$B$43)+(J103*'Pawn Weights'!$B$44)+(K103*'Pawn Weights'!$B$45)+(L103*'Pawn Weights'!$B$46)+(M103*'Pawn Weights'!$B$47)+(N103*'Pawn Weights'!$B$48)+(O103*'Pawn Weights'!$B$49)+(P103*'Pawn Weights'!B$50)+(Q103*'Pawn Weights'!$B$51), 2)</f>
        <v>186.95</v>
      </c>
      <c r="E103" s="298">
        <v>28.0</v>
      </c>
      <c r="F103" s="297"/>
      <c r="G103" s="298">
        <v>30.0</v>
      </c>
      <c r="H103" s="298">
        <v>68.0</v>
      </c>
      <c r="I103" s="297"/>
      <c r="J103" s="297"/>
      <c r="K103" s="298">
        <v>25.0</v>
      </c>
      <c r="L103" s="297"/>
      <c r="M103" s="137"/>
      <c r="N103" s="297"/>
      <c r="O103" s="297"/>
      <c r="P103" s="297"/>
      <c r="Q103" s="297"/>
      <c r="R103" s="295"/>
      <c r="S103" s="137"/>
      <c r="T103" s="295"/>
      <c r="U103" s="137"/>
      <c r="V103" s="137"/>
      <c r="W103" s="137"/>
      <c r="X103" s="137"/>
      <c r="Y103" s="137"/>
      <c r="Z103" s="137"/>
    </row>
    <row r="104">
      <c r="B104" s="288" t="s">
        <v>1094</v>
      </c>
      <c r="C104" s="280" t="s">
        <v>1025</v>
      </c>
      <c r="D104" s="289">
        <f>ROUND((F104*'Pawn Weights'!$B$40)+(G104*'Pawn Weights'!$B$41)+(H104*'Pawn Weights'!$B$42)+(I104*'Pawn Weights'!$B$43)+(J104*'Pawn Weights'!$B$44)+(K104*'Pawn Weights'!$B$45)+(L104*'Pawn Weights'!$B$46)+(M104*'Pawn Weights'!$B$47)+(N104*'Pawn Weights'!$B$48)+(O104*'Pawn Weights'!$B$49)+(P104*'Pawn Weights'!B$50)+(Q104*'Pawn Weights'!$B$51), 2)</f>
        <v>185.97</v>
      </c>
      <c r="E104" s="280">
        <v>37.0</v>
      </c>
      <c r="F104" s="280"/>
      <c r="G104" s="280">
        <v>33.0</v>
      </c>
      <c r="H104" s="280">
        <v>66.0</v>
      </c>
      <c r="I104" s="280"/>
      <c r="J104" s="280"/>
      <c r="K104" s="280"/>
      <c r="L104" s="280">
        <v>18.0</v>
      </c>
      <c r="M104" s="281"/>
      <c r="N104" s="280"/>
      <c r="O104" s="280"/>
      <c r="P104" s="280"/>
      <c r="Q104" s="280"/>
      <c r="R104" s="290"/>
      <c r="S104" s="281"/>
      <c r="T104" s="291" t="s">
        <v>1192</v>
      </c>
      <c r="U104" s="281"/>
      <c r="V104" s="281"/>
      <c r="W104" s="281"/>
    </row>
    <row r="105">
      <c r="A105" s="137" t="s">
        <v>635</v>
      </c>
      <c r="B105" s="296" t="s">
        <v>1220</v>
      </c>
      <c r="C105" s="297" t="s">
        <v>637</v>
      </c>
      <c r="D105" s="289">
        <f>ROUND((F105*'Pawn Weights'!$B$40)+(G105*'Pawn Weights'!$B$41)+(H105*'Pawn Weights'!$B$42)+(I105*'Pawn Weights'!$B$43)+(J105*'Pawn Weights'!$B$44)+(K105*'Pawn Weights'!$B$45)+(L105*'Pawn Weights'!$B$46)+(M105*'Pawn Weights'!$B$47)+(N105*'Pawn Weights'!$B$48)+(O105*'Pawn Weights'!$B$49)+(P105*'Pawn Weights'!B$50)+(Q105*'Pawn Weights'!$B$51), 2)</f>
        <v>170.31</v>
      </c>
      <c r="E105" s="298">
        <v>55.0</v>
      </c>
      <c r="F105" s="295"/>
      <c r="G105" s="298">
        <v>37.0</v>
      </c>
      <c r="H105" s="298">
        <v>48.0</v>
      </c>
      <c r="I105" s="298">
        <v>24.0</v>
      </c>
      <c r="J105" s="295"/>
      <c r="K105" s="295"/>
      <c r="L105" s="295"/>
      <c r="M105" s="137"/>
      <c r="N105" s="295"/>
      <c r="O105" s="295"/>
      <c r="P105" s="295"/>
      <c r="Q105" s="295"/>
      <c r="R105" s="295"/>
      <c r="S105" s="137"/>
      <c r="T105" s="295"/>
      <c r="U105" s="137"/>
      <c r="V105" s="137"/>
      <c r="W105" s="137"/>
      <c r="X105" s="137"/>
      <c r="Y105" s="137"/>
      <c r="Z105" s="137"/>
    </row>
    <row r="106">
      <c r="B106" s="288" t="s">
        <v>1223</v>
      </c>
      <c r="C106" s="280" t="s">
        <v>1224</v>
      </c>
      <c r="D106" s="289">
        <f>ROUND((F106*'Pawn Weights'!$B$40)+(G106*'Pawn Weights'!$B$41)+(H106*'Pawn Weights'!$B$42)+(I106*'Pawn Weights'!$B$43)+(J106*'Pawn Weights'!$B$44)+(K106*'Pawn Weights'!$B$45)+(L106*'Pawn Weights'!$B$46)+(M106*'Pawn Weights'!$B$47)+(N106*'Pawn Weights'!$B$48)+(O106*'Pawn Weights'!$B$49)+(P106*'Pawn Weights'!B$50)+(Q106*'Pawn Weights'!$B$51), 2)</f>
        <v>163.26</v>
      </c>
      <c r="E106" s="280">
        <v>34.0</v>
      </c>
      <c r="F106" s="280"/>
      <c r="G106" s="280">
        <v>29.0</v>
      </c>
      <c r="H106" s="280">
        <v>60.0</v>
      </c>
      <c r="I106" s="280"/>
      <c r="J106" s="280"/>
      <c r="K106" s="280"/>
      <c r="L106" s="280">
        <v>15.0</v>
      </c>
      <c r="M106" s="281"/>
      <c r="N106" s="280"/>
      <c r="O106" s="280"/>
      <c r="P106" s="280"/>
      <c r="Q106" s="280"/>
      <c r="R106" s="290"/>
      <c r="S106" s="281"/>
      <c r="T106" s="291"/>
      <c r="U106" s="281"/>
      <c r="V106" s="281"/>
      <c r="W106" s="281"/>
    </row>
    <row r="107">
      <c r="A107" s="25" t="s">
        <v>627</v>
      </c>
      <c r="B107" s="311" t="s">
        <v>1097</v>
      </c>
      <c r="C107" s="280" t="s">
        <v>904</v>
      </c>
      <c r="D107" s="289">
        <f>ROUND((F107*'Pawn Weights'!$B$40)+(G107*'Pawn Weights'!$B$41)+(H107*'Pawn Weights'!$B$42)+(I107*'Pawn Weights'!$B$43)+(J107*'Pawn Weights'!$B$44)+(K107*'Pawn Weights'!$B$45)+(L107*'Pawn Weights'!$B$46)+(M107*'Pawn Weights'!$B$47)+(N107*'Pawn Weights'!$B$48)+(O107*'Pawn Weights'!$B$49)+(P107*'Pawn Weights'!B$50)+(Q107*'Pawn Weights'!$B$51)-19.36+18.44+6, 2)</f>
        <v>162.22</v>
      </c>
      <c r="E107" s="280"/>
      <c r="F107" s="280"/>
      <c r="G107" s="280"/>
      <c r="H107" s="280">
        <v>36.0</v>
      </c>
      <c r="I107" s="280">
        <v>24.0</v>
      </c>
      <c r="J107" s="280">
        <v>17.0</v>
      </c>
      <c r="K107" s="280"/>
      <c r="L107" s="280"/>
      <c r="M107" s="281"/>
      <c r="N107" s="280"/>
      <c r="O107" s="280">
        <v>1.0</v>
      </c>
      <c r="P107" s="280">
        <v>1.0</v>
      </c>
      <c r="Q107" s="280"/>
      <c r="R107" s="290" t="s">
        <v>809</v>
      </c>
      <c r="S107" s="281"/>
      <c r="T107" s="291"/>
      <c r="U107" s="281"/>
      <c r="V107" s="281"/>
      <c r="W107" s="281"/>
    </row>
    <row r="108">
      <c r="B108" s="288" t="s">
        <v>1221</v>
      </c>
      <c r="C108" s="280" t="s">
        <v>1222</v>
      </c>
      <c r="D108" s="289">
        <f>ROUND((F108*'Pawn Weights'!$B$40)+(G108*'Pawn Weights'!$B$41)+(H108*'Pawn Weights'!$B$42)+(I108*'Pawn Weights'!$B$43)+(J108*'Pawn Weights'!$B$44)+(K108*'Pawn Weights'!$B$45)+(L108*'Pawn Weights'!$B$46)+(M108*'Pawn Weights'!$B$47)+(N108*'Pawn Weights'!$B$48)+(O108*'Pawn Weights'!$B$49)+(P108*'Pawn Weights'!B$50)+(Q108*'Pawn Weights'!$B$51), 2)</f>
        <v>157.37</v>
      </c>
      <c r="E108" s="280">
        <v>22.0</v>
      </c>
      <c r="F108" s="280"/>
      <c r="G108" s="280">
        <v>35.0</v>
      </c>
      <c r="H108" s="280">
        <v>42.0</v>
      </c>
      <c r="I108" s="280"/>
      <c r="J108" s="280"/>
      <c r="K108" s="280"/>
      <c r="L108" s="280"/>
      <c r="M108" s="281"/>
      <c r="N108" s="280"/>
      <c r="O108" s="280">
        <v>1.0</v>
      </c>
      <c r="P108" s="280"/>
      <c r="Q108" s="280">
        <v>1.0</v>
      </c>
      <c r="R108" s="290" t="s">
        <v>702</v>
      </c>
      <c r="S108" s="281"/>
      <c r="T108" s="291"/>
      <c r="U108" s="281"/>
      <c r="V108" s="281"/>
      <c r="W108" s="281"/>
    </row>
    <row r="109">
      <c r="A109" s="301" t="s">
        <v>654</v>
      </c>
      <c r="B109" s="288" t="s">
        <v>1225</v>
      </c>
      <c r="C109" s="280" t="s">
        <v>1116</v>
      </c>
      <c r="D109" s="289">
        <f>ROUND((F109*'Pawn Weights'!$B$40)+(G109*'Pawn Weights'!$B$41)+(H109*'Pawn Weights'!$B$42)+(I109*'Pawn Weights'!$B$43)+(J109*'Pawn Weights'!$B$44)+(K109*'Pawn Weights'!$B$45)+(L109*'Pawn Weights'!$B$46)+(M109*'Pawn Weights'!$B$47)+(N109*'Pawn Weights'!$B$48)+(O109*'Pawn Weights'!$B$49)+(P109*'Pawn Weights'!B$50)+(Q109*'Pawn Weights'!$B$51), 2)</f>
        <v>156.14</v>
      </c>
      <c r="E109" s="280">
        <v>34.0</v>
      </c>
      <c r="F109" s="280"/>
      <c r="G109" s="280"/>
      <c r="H109" s="280">
        <v>72.0</v>
      </c>
      <c r="I109" s="280">
        <v>25.0</v>
      </c>
      <c r="J109" s="280">
        <v>17.0</v>
      </c>
      <c r="K109" s="280"/>
      <c r="L109" s="280"/>
      <c r="M109" s="281"/>
      <c r="N109" s="280"/>
      <c r="O109" s="280"/>
      <c r="P109" s="280"/>
      <c r="Q109" s="280"/>
      <c r="R109" s="290"/>
      <c r="S109" s="281"/>
      <c r="T109" s="291"/>
      <c r="U109" s="281"/>
      <c r="V109" s="281"/>
      <c r="W109" s="281"/>
    </row>
    <row r="110">
      <c r="A110" s="301"/>
      <c r="B110" s="288" t="s">
        <v>824</v>
      </c>
      <c r="C110" s="280" t="s">
        <v>825</v>
      </c>
      <c r="D110" s="289">
        <f>ROUND((F110*'Pawn Weights'!$B$40)+(G110*'Pawn Weights'!$B$41)+(H110*'Pawn Weights'!$B$42)+(I110*'Pawn Weights'!$B$43)+(J110*'Pawn Weights'!$B$44)+(K110*'Pawn Weights'!$B$45)+(L110*'Pawn Weights'!$B$46)+(M110*'Pawn Weights'!$B$47)+(N110*'Pawn Weights'!$B$48)+(O110*'Pawn Weights'!$B$49)+(P110*'Pawn Weights'!B$50)+(Q110*'Pawn Weights'!$B$51), 2)</f>
        <v>155.44</v>
      </c>
      <c r="E110" s="280">
        <v>31.0</v>
      </c>
      <c r="F110" s="280"/>
      <c r="G110" s="280"/>
      <c r="H110" s="280">
        <v>72.0</v>
      </c>
      <c r="I110" s="280">
        <v>26.0</v>
      </c>
      <c r="J110" s="280"/>
      <c r="K110" s="280"/>
      <c r="L110" s="280"/>
      <c r="M110" s="281"/>
      <c r="N110" s="280"/>
      <c r="O110" s="280"/>
      <c r="P110" s="280"/>
      <c r="Q110" s="280">
        <v>2.0</v>
      </c>
      <c r="R110" s="290" t="s">
        <v>702</v>
      </c>
      <c r="S110" s="281"/>
      <c r="T110" s="291"/>
      <c r="U110" s="281"/>
      <c r="V110" s="281"/>
      <c r="W110" s="281"/>
    </row>
    <row r="111">
      <c r="A111" s="295" t="s">
        <v>644</v>
      </c>
      <c r="B111" s="296" t="s">
        <v>1226</v>
      </c>
      <c r="C111" s="297" t="s">
        <v>646</v>
      </c>
      <c r="D111" s="289">
        <f>ROUND((F111*'Pawn Weights'!$B$40)+(G111*'Pawn Weights'!$B$41)+(H111*'Pawn Weights'!$B$42)+(I111*'Pawn Weights'!$B$43)+(J111*'Pawn Weights'!$B$44)+(K111*'Pawn Weights'!$B$45)+(L111*'Pawn Weights'!$B$46)+(M111*'Pawn Weights'!$B$47)+(N111*'Pawn Weights'!$B$48)+(O111*'Pawn Weights'!$B$49)+(P111*'Pawn Weights'!B$50)+(Q111*'Pawn Weights'!$B$51), 2)</f>
        <v>153.55</v>
      </c>
      <c r="E111" s="298">
        <v>49.0</v>
      </c>
      <c r="F111" s="297"/>
      <c r="G111" s="298">
        <v>33.0</v>
      </c>
      <c r="H111" s="298">
        <v>40.0</v>
      </c>
      <c r="I111" s="298">
        <v>24.0</v>
      </c>
      <c r="J111" s="297"/>
      <c r="K111" s="297"/>
      <c r="L111" s="297"/>
      <c r="M111" s="137"/>
      <c r="N111" s="297"/>
      <c r="O111" s="297"/>
      <c r="P111" s="297"/>
      <c r="Q111" s="297"/>
      <c r="R111" s="295"/>
      <c r="S111" s="137"/>
      <c r="T111" s="295"/>
      <c r="U111" s="137"/>
      <c r="V111" s="137"/>
      <c r="W111" s="137"/>
      <c r="X111" s="137"/>
      <c r="Y111" s="137"/>
      <c r="Z111" s="137"/>
    </row>
    <row r="112" ht="15.0" customHeight="1">
      <c r="A112" s="301" t="s">
        <v>627</v>
      </c>
      <c r="B112" s="288" t="s">
        <v>1477</v>
      </c>
      <c r="C112" s="280" t="s">
        <v>904</v>
      </c>
      <c r="D112" s="289">
        <f>ROUND((F112*'Pawn Weights'!$B$40)+(G112*'Pawn Weights'!$B$41)+(H112*'Pawn Weights'!$B$42)+(I112*'Pawn Weights'!$B$43)+(J112*'Pawn Weights'!$B$44)+(K112*'Pawn Weights'!$B$45)+(L112*'Pawn Weights'!$B$46)+(M112*'Pawn Weights'!$B$47)+(N112*'Pawn Weights'!$B$48)+(O112*'Pawn Weights'!$B$49)+(P112*'Pawn Weights'!B$50)+(Q112*'Pawn Weights'!$B$51), 2)</f>
        <v>141.4</v>
      </c>
      <c r="E112" s="280">
        <v>33.0</v>
      </c>
      <c r="F112" s="280"/>
      <c r="G112" s="280"/>
      <c r="H112" s="280">
        <v>50.0</v>
      </c>
      <c r="I112" s="280">
        <v>25.0</v>
      </c>
      <c r="J112" s="280">
        <v>20.0</v>
      </c>
      <c r="K112" s="280"/>
      <c r="L112" s="280"/>
      <c r="M112" s="281"/>
      <c r="N112" s="280"/>
      <c r="O112" s="280"/>
      <c r="P112" s="280"/>
      <c r="Q112" s="280"/>
      <c r="R112" s="290"/>
      <c r="S112" s="281"/>
      <c r="T112" s="291"/>
      <c r="U112" s="281"/>
      <c r="V112" s="281"/>
      <c r="W112" s="281"/>
    </row>
    <row r="113">
      <c r="A113" s="25"/>
      <c r="B113" s="311" t="s">
        <v>1782</v>
      </c>
      <c r="C113" s="280" t="s">
        <v>1783</v>
      </c>
      <c r="D113" s="289">
        <f>ROUND((F113*'Pawn Weights'!$B$40)+(G113*'Pawn Weights'!$B$41)+(H113*'Pawn Weights'!$B$42)+(I113*'Pawn Weights'!$B$43)+(J113*'Pawn Weights'!$B$44)+(K113*'Pawn Weights'!$B$45)+(L113*'Pawn Weights'!$B$46)+(M113*'Pawn Weights'!$B$47)+(N113*'Pawn Weights'!$B$48)+(O113*'Pawn Weights'!$B$49)+(P113*'Pawn Weights'!B$50)+(Q113*'Pawn Weights'!$B$51), 2)</f>
        <v>135.85</v>
      </c>
      <c r="E113" s="280">
        <v>20.0</v>
      </c>
      <c r="F113" s="280"/>
      <c r="G113" s="280">
        <v>27.0</v>
      </c>
      <c r="H113" s="280">
        <v>38.0</v>
      </c>
      <c r="I113" s="280"/>
      <c r="J113" s="280"/>
      <c r="K113" s="280"/>
      <c r="L113" s="280"/>
      <c r="M113" s="281"/>
      <c r="N113" s="280"/>
      <c r="O113" s="280">
        <v>1.0</v>
      </c>
      <c r="P113" s="280"/>
      <c r="Q113" s="280">
        <v>1.0</v>
      </c>
      <c r="R113" s="290" t="s">
        <v>1784</v>
      </c>
      <c r="S113" s="281"/>
      <c r="T113" s="291"/>
      <c r="U113" s="281"/>
      <c r="V113" s="281"/>
      <c r="W113" s="281"/>
    </row>
    <row r="114">
      <c r="B114" s="311" t="s">
        <v>1583</v>
      </c>
      <c r="C114" s="280" t="s">
        <v>1584</v>
      </c>
      <c r="D114" s="289">
        <f>ROUND((F114*'Pawn Weights'!$B$40)+(G114*'Pawn Weights'!$B$41)+(H114*'Pawn Weights'!$B$42)+(I114*'Pawn Weights'!$B$43)+(J114*'Pawn Weights'!$B$44)+(K114*'Pawn Weights'!$B$45)+(L114*'Pawn Weights'!$B$46)+(M114*'Pawn Weights'!$B$47)+(N114*'Pawn Weights'!$B$48)+(O114*'Pawn Weights'!$B$49)+(P114*'Pawn Weights'!B$50)+(Q114*'Pawn Weights'!$B$51), 2)</f>
        <v>130.1</v>
      </c>
      <c r="E114" s="280">
        <v>16.0</v>
      </c>
      <c r="F114" s="280"/>
      <c r="G114" s="280"/>
      <c r="H114" s="280">
        <v>48.0</v>
      </c>
      <c r="I114" s="280">
        <v>21.0</v>
      </c>
      <c r="J114" s="280">
        <v>19.0</v>
      </c>
      <c r="K114" s="280"/>
      <c r="L114" s="280"/>
      <c r="M114" s="281"/>
      <c r="N114" s="280"/>
      <c r="O114" s="280"/>
      <c r="P114" s="280"/>
      <c r="Q114" s="280"/>
      <c r="R114" s="290"/>
      <c r="S114" s="281"/>
      <c r="T114" s="291"/>
      <c r="U114" s="281"/>
      <c r="V114" s="281"/>
      <c r="W114" s="281"/>
    </row>
    <row r="115">
      <c r="A115" s="301" t="s">
        <v>1068</v>
      </c>
      <c r="B115" s="288" t="s">
        <v>1785</v>
      </c>
      <c r="C115" s="280" t="s">
        <v>997</v>
      </c>
      <c r="D115" s="289">
        <f>ROUND((F115*'Pawn Weights'!$B$40)+(G115*'Pawn Weights'!$B$41)+(H115*'Pawn Weights'!$B$42)+(I115*'Pawn Weights'!$B$43)+(J115*'Pawn Weights'!$B$44)+(K115*'Pawn Weights'!$B$45)+(L115*'Pawn Weights'!$B$46)+(M115*'Pawn Weights'!$B$47)+(N115*'Pawn Weights'!$B$48)+(O115*'Pawn Weights'!$B$49)+(P115*'Pawn Weights'!B$50)+(Q115*'Pawn Weights'!$B$51), 2)</f>
        <v>129.41</v>
      </c>
      <c r="E115" s="280">
        <v>45.0</v>
      </c>
      <c r="F115" s="280"/>
      <c r="G115" s="280">
        <v>31.0</v>
      </c>
      <c r="H115" s="280">
        <v>34.0</v>
      </c>
      <c r="I115" s="280">
        <v>16.0</v>
      </c>
      <c r="J115" s="280"/>
      <c r="K115" s="280"/>
      <c r="L115" s="280"/>
      <c r="M115" s="281"/>
      <c r="N115" s="280"/>
      <c r="O115" s="280"/>
      <c r="P115" s="280"/>
      <c r="Q115" s="280"/>
      <c r="R115" s="290"/>
      <c r="S115" s="281"/>
      <c r="T115" s="291"/>
      <c r="U115" s="281"/>
      <c r="V115" s="281"/>
      <c r="W115" s="281"/>
    </row>
    <row r="116">
      <c r="A116" s="25"/>
      <c r="B116" s="311" t="s">
        <v>1786</v>
      </c>
      <c r="C116" s="280" t="s">
        <v>1787</v>
      </c>
      <c r="D116" s="289">
        <f>ROUND((F116*'Pawn Weights'!$B$40)+(G116*'Pawn Weights'!$B$41)+(H116*'Pawn Weights'!$B$42)+(I116*'Pawn Weights'!$B$43)+(J116*'Pawn Weights'!$B$44)+(K116*'Pawn Weights'!$B$45)+(L116*'Pawn Weights'!$B$46)+(M116*'Pawn Weights'!$B$47)+(N116*'Pawn Weights'!$B$48)+(O116*'Pawn Weights'!$B$49)+(P116*'Pawn Weights'!B$50)+(Q116*'Pawn Weights'!$B$51), 2)</f>
        <v>124.8</v>
      </c>
      <c r="E116" s="280">
        <v>33.0</v>
      </c>
      <c r="F116" s="280"/>
      <c r="G116" s="280">
        <v>32.0</v>
      </c>
      <c r="H116" s="280">
        <v>16.0</v>
      </c>
      <c r="I116" s="280"/>
      <c r="J116" s="280"/>
      <c r="K116" s="280"/>
      <c r="L116" s="280"/>
      <c r="M116" s="281"/>
      <c r="N116" s="280"/>
      <c r="O116" s="280">
        <v>1.0</v>
      </c>
      <c r="P116" s="280">
        <v>1.0</v>
      </c>
      <c r="Q116" s="280"/>
      <c r="R116" s="290" t="s">
        <v>1759</v>
      </c>
      <c r="S116" s="281"/>
      <c r="T116" s="291"/>
      <c r="U116" s="281"/>
      <c r="V116" s="281"/>
      <c r="W116" s="281"/>
    </row>
    <row r="117">
      <c r="A117" s="301"/>
      <c r="B117" s="322" t="s">
        <v>1788</v>
      </c>
      <c r="C117" s="280" t="s">
        <v>1789</v>
      </c>
      <c r="D117" s="289">
        <f>ROUND((F117*'Pawn Weights'!$B$40)+(G117*'Pawn Weights'!$B$41)+(H117*'Pawn Weights'!$B$42)+(I117*'Pawn Weights'!$B$43)+(J117*'Pawn Weights'!$B$44)+(K117*'Pawn Weights'!$B$45)+(L117*'Pawn Weights'!$B$46)+(M117*'Pawn Weights'!$B$47)+(N117*'Pawn Weights'!$B$48)+(O117*'Pawn Weights'!$B$49)+(P117*'Pawn Weights'!B$50)+(Q117*'Pawn Weights'!$B$51), 2)</f>
        <v>114.4</v>
      </c>
      <c r="E117" s="280">
        <v>12.0</v>
      </c>
      <c r="F117" s="280"/>
      <c r="G117" s="280">
        <v>16.0</v>
      </c>
      <c r="H117" s="280">
        <v>60.0</v>
      </c>
      <c r="I117" s="280"/>
      <c r="J117" s="280">
        <v>8.0</v>
      </c>
      <c r="K117" s="280"/>
      <c r="L117" s="280"/>
      <c r="M117" s="281"/>
      <c r="N117" s="280"/>
      <c r="O117" s="280"/>
      <c r="P117" s="280"/>
      <c r="Q117" s="280"/>
      <c r="R117" s="290"/>
      <c r="S117" s="281"/>
      <c r="T117" s="291"/>
      <c r="U117" s="281"/>
      <c r="V117" s="281"/>
      <c r="W117" s="281"/>
    </row>
    <row r="118">
      <c r="A118" s="301" t="s">
        <v>1499</v>
      </c>
      <c r="B118" s="288" t="s">
        <v>1790</v>
      </c>
      <c r="C118" s="280" t="s">
        <v>1159</v>
      </c>
      <c r="D118" s="289">
        <f>ROUND((F118*'Pawn Weights'!$B$40)+(G118*'Pawn Weights'!$B$41)+(H118*'Pawn Weights'!$B$42)+(I118*'Pawn Weights'!$B$43)+(J118*'Pawn Weights'!$B$44)+(K118*'Pawn Weights'!$B$45)+(L118*'Pawn Weights'!$B$46)+(M118*'Pawn Weights'!$B$47)+(N118*'Pawn Weights'!$B$48)+(O118*'Pawn Weights'!$B$49)+(P118*'Pawn Weights'!B$50)+(Q118*'Pawn Weights'!$B$51), 2)</f>
        <v>113.21</v>
      </c>
      <c r="E118" s="280">
        <v>39.0</v>
      </c>
      <c r="F118" s="280"/>
      <c r="G118" s="280">
        <v>27.0</v>
      </c>
      <c r="H118" s="280">
        <v>30.0</v>
      </c>
      <c r="I118" s="280">
        <v>14.0</v>
      </c>
      <c r="J118" s="280"/>
      <c r="K118" s="280"/>
      <c r="L118" s="280"/>
      <c r="M118" s="281"/>
      <c r="N118" s="280"/>
      <c r="O118" s="280"/>
      <c r="P118" s="280"/>
      <c r="Q118" s="280"/>
      <c r="R118" s="290"/>
      <c r="S118" s="281"/>
      <c r="T118" s="291"/>
      <c r="U118" s="281"/>
      <c r="V118" s="281"/>
      <c r="W118" s="281"/>
    </row>
    <row r="119">
      <c r="A119" s="272" t="s">
        <v>828</v>
      </c>
      <c r="B119" s="281"/>
      <c r="C119" s="281"/>
      <c r="D119" s="360"/>
      <c r="E119" s="281"/>
      <c r="F119" s="281"/>
      <c r="G119" s="281"/>
      <c r="H119" s="281"/>
      <c r="I119" s="281"/>
      <c r="J119" s="281"/>
      <c r="K119" s="281"/>
      <c r="L119" s="281"/>
      <c r="M119" s="281"/>
      <c r="N119" s="281"/>
      <c r="O119" s="281"/>
      <c r="P119" s="281"/>
      <c r="Q119" s="281"/>
      <c r="R119" s="282"/>
      <c r="S119" s="281"/>
      <c r="T119" s="285"/>
      <c r="U119" s="281"/>
      <c r="V119" s="281"/>
      <c r="W119" s="281"/>
    </row>
    <row r="120">
      <c r="A120" s="292"/>
      <c r="B120" s="288" t="s">
        <v>830</v>
      </c>
      <c r="C120" s="280" t="s">
        <v>649</v>
      </c>
      <c r="D120" s="289">
        <f>ROUND((F120*'Pawn Weights'!$B$40)+(G120*'Pawn Weights'!$B$41)+(H120*'Pawn Weights'!$B$42)+(I120*'Pawn Weights'!$B$43)+(J120*'Pawn Weights'!$B$44)+(K120*'Pawn Weights'!$B$45)+(L120*'Pawn Weights'!$B$46)+(M120*'Pawn Weights'!$B$47)+(N120*'Pawn Weights'!$B$48)+(O120*'Pawn Weights'!$B$49)+(P120*'Pawn Weights'!B$50)+(Q120*'Pawn Weights'!$B$51), 2)</f>
        <v>242.48</v>
      </c>
      <c r="E120" s="280">
        <v>25.0</v>
      </c>
      <c r="F120" s="280"/>
      <c r="G120" s="280">
        <v>29.0</v>
      </c>
      <c r="H120" s="280">
        <v>74.0</v>
      </c>
      <c r="I120" s="280"/>
      <c r="J120" s="280"/>
      <c r="K120" s="280"/>
      <c r="L120" s="280">
        <v>25.0</v>
      </c>
      <c r="M120" s="281"/>
      <c r="N120" s="280"/>
      <c r="O120" s="280">
        <v>1.0</v>
      </c>
      <c r="P120" s="280"/>
      <c r="Q120" s="280">
        <v>1.0</v>
      </c>
      <c r="R120" s="290" t="s">
        <v>695</v>
      </c>
      <c r="S120" s="281"/>
      <c r="T120" s="291"/>
      <c r="U120" s="281"/>
      <c r="V120" s="281"/>
      <c r="W120" s="281"/>
    </row>
    <row r="121">
      <c r="A121" s="295"/>
      <c r="B121" s="296" t="s">
        <v>843</v>
      </c>
      <c r="C121" s="297" t="s">
        <v>844</v>
      </c>
      <c r="D121" s="289">
        <f>ROUND((F121*'Pawn Weights'!$B$40)+(G121*'Pawn Weights'!$B$41)+(H121*'Pawn Weights'!$B$42)+(I121*'Pawn Weights'!$B$43)+(J121*'Pawn Weights'!$B$44)+(K121*'Pawn Weights'!$B$45)+(L121*'Pawn Weights'!$B$46)+(M121*'Pawn Weights'!$B$47)+(N121*'Pawn Weights'!$B$48)+(O121*'Pawn Weights'!$B$49)+(P121*'Pawn Weights'!B$50)+(Q121*'Pawn Weights'!$B$51)+4.38, 2)</f>
        <v>231.86</v>
      </c>
      <c r="E121" s="298">
        <v>33.0</v>
      </c>
      <c r="F121" s="297"/>
      <c r="G121" s="298">
        <v>34.0</v>
      </c>
      <c r="H121" s="298">
        <v>78.0</v>
      </c>
      <c r="I121" s="297"/>
      <c r="J121" s="298">
        <v>23.0</v>
      </c>
      <c r="K121" s="297"/>
      <c r="L121" s="297"/>
      <c r="M121" s="137"/>
      <c r="N121" s="297"/>
      <c r="O121" s="297"/>
      <c r="P121" s="298">
        <v>1.0</v>
      </c>
      <c r="Q121" s="297"/>
      <c r="R121" s="298" t="s">
        <v>711</v>
      </c>
      <c r="S121" s="137"/>
      <c r="T121" s="295"/>
      <c r="U121" s="137"/>
      <c r="V121" s="137"/>
      <c r="W121" s="137"/>
      <c r="X121" s="137"/>
      <c r="Y121" s="137"/>
      <c r="Z121" s="137"/>
    </row>
    <row r="122">
      <c r="A122" s="292" t="s">
        <v>627</v>
      </c>
      <c r="B122" s="288" t="s">
        <v>845</v>
      </c>
      <c r="C122" s="280" t="s">
        <v>846</v>
      </c>
      <c r="D122" s="289">
        <f>ROUND((F122*'Pawn Weights'!$B$40)+(G122*'Pawn Weights'!$B$41)+(H122*'Pawn Weights'!$B$42)+(I122*'Pawn Weights'!$B$43)+(J122*'Pawn Weights'!$B$44)+(K122*'Pawn Weights'!$B$45)+(L122*'Pawn Weights'!$B$46)+(M122*'Pawn Weights'!$B$47)+(N122*'Pawn Weights'!$B$48)+(O122*'Pawn Weights'!$B$49)+(P122*'Pawn Weights'!B$50)+(Q122*'Pawn Weights'!$B$51), 2)</f>
        <v>218.36</v>
      </c>
      <c r="E122" s="280">
        <v>14.0</v>
      </c>
      <c r="F122" s="280"/>
      <c r="G122" s="280">
        <v>32.0</v>
      </c>
      <c r="H122" s="280">
        <v>66.0</v>
      </c>
      <c r="I122" s="280"/>
      <c r="J122" s="280">
        <v>18.0</v>
      </c>
      <c r="K122" s="280"/>
      <c r="L122" s="280"/>
      <c r="M122" s="281"/>
      <c r="N122" s="280"/>
      <c r="O122" s="280"/>
      <c r="P122" s="280"/>
      <c r="Q122" s="280">
        <v>2.0</v>
      </c>
      <c r="R122" s="290" t="s">
        <v>695</v>
      </c>
      <c r="S122" s="281"/>
      <c r="T122" s="291"/>
      <c r="U122" s="281"/>
      <c r="V122" s="281"/>
      <c r="W122" s="281"/>
    </row>
    <row r="123">
      <c r="A123" s="281"/>
      <c r="B123" s="288" t="s">
        <v>1228</v>
      </c>
      <c r="C123" s="280" t="s">
        <v>1229</v>
      </c>
      <c r="D123" s="289">
        <f>ROUND((F123*'Pawn Weights'!$B$40)+(G123*'Pawn Weights'!$B$41)+(H123*'Pawn Weights'!$B$42)+(I123*'Pawn Weights'!$B$43)+(J123*'Pawn Weights'!$B$44)+(K123*'Pawn Weights'!$B$45)+(L123*'Pawn Weights'!$B$46)+(M123*'Pawn Weights'!$B$47)+(N123*'Pawn Weights'!$B$48)+(O123*'Pawn Weights'!$B$49)+(P123*'Pawn Weights'!B$50)+(Q123*'Pawn Weights'!$B$51), 2)</f>
        <v>165.72</v>
      </c>
      <c r="E123" s="280">
        <v>28.0</v>
      </c>
      <c r="F123" s="280"/>
      <c r="G123" s="280">
        <v>28.0</v>
      </c>
      <c r="H123" s="280">
        <v>56.0</v>
      </c>
      <c r="I123" s="280"/>
      <c r="J123" s="280">
        <v>20.0</v>
      </c>
      <c r="K123" s="280"/>
      <c r="L123" s="280"/>
      <c r="M123" s="281"/>
      <c r="N123" s="280"/>
      <c r="O123" s="280"/>
      <c r="P123" s="280"/>
      <c r="Q123" s="280"/>
      <c r="R123" s="290"/>
      <c r="S123" s="281"/>
      <c r="T123" s="291"/>
      <c r="U123" s="281"/>
      <c r="V123" s="281"/>
      <c r="W123" s="281"/>
    </row>
    <row r="124">
      <c r="A124" s="281"/>
      <c r="B124" s="288" t="s">
        <v>1100</v>
      </c>
      <c r="C124" s="280" t="s">
        <v>823</v>
      </c>
      <c r="D124" s="289">
        <f>ROUND((F124*'Pawn Weights'!$B$40)+(G124*'Pawn Weights'!$B$41)+(H124*'Pawn Weights'!$B$42)+(I124*'Pawn Weights'!$B$43)+(J124*'Pawn Weights'!$B$44)+(K124*'Pawn Weights'!$B$45)+(L124*'Pawn Weights'!$B$46)+(M124*'Pawn Weights'!$B$47)+(N124*'Pawn Weights'!$B$48)+(O124*'Pawn Weights'!$B$49)+(P124*'Pawn Weights'!B$50)+(Q124*'Pawn Weights'!$B$51), 2)</f>
        <v>153.72</v>
      </c>
      <c r="E124" s="280">
        <v>27.0</v>
      </c>
      <c r="F124" s="280"/>
      <c r="G124" s="280"/>
      <c r="H124" s="280">
        <v>72.0</v>
      </c>
      <c r="I124" s="280">
        <v>25.0</v>
      </c>
      <c r="J124" s="280"/>
      <c r="K124" s="280"/>
      <c r="L124" s="280"/>
      <c r="M124" s="281"/>
      <c r="N124" s="280"/>
      <c r="O124" s="280"/>
      <c r="P124" s="280">
        <v>1.0</v>
      </c>
      <c r="Q124" s="280">
        <v>1.0</v>
      </c>
      <c r="R124" s="290" t="s">
        <v>702</v>
      </c>
      <c r="S124" s="281"/>
      <c r="T124" s="291"/>
      <c r="U124" s="281"/>
      <c r="V124" s="281"/>
      <c r="W124" s="281"/>
    </row>
    <row r="125">
      <c r="A125" s="281"/>
      <c r="B125" s="288" t="s">
        <v>1590</v>
      </c>
      <c r="C125" s="280" t="s">
        <v>1278</v>
      </c>
      <c r="D125" s="289">
        <f>ROUND((F125*'Pawn Weights'!$B$40)+(G125*'Pawn Weights'!$B$41)+(H125*'Pawn Weights'!$B$42)+(I125*'Pawn Weights'!$B$43)+(J125*'Pawn Weights'!$B$44)+(K125*'Pawn Weights'!$B$45)+(L125*'Pawn Weights'!$B$46)+(M125*'Pawn Weights'!$B$47)+(N125*'Pawn Weights'!$B$48)+(O125*'Pawn Weights'!$B$49)+(P125*'Pawn Weights'!B$50)+(Q125*'Pawn Weights'!$B$51)+6.57, 2)</f>
        <v>142.71</v>
      </c>
      <c r="E125" s="280">
        <v>37.0</v>
      </c>
      <c r="F125" s="280"/>
      <c r="G125" s="280">
        <v>18.0</v>
      </c>
      <c r="H125" s="280">
        <v>58.0</v>
      </c>
      <c r="I125" s="280"/>
      <c r="J125" s="280"/>
      <c r="K125" s="280"/>
      <c r="L125" s="280"/>
      <c r="M125" s="281"/>
      <c r="N125" s="280"/>
      <c r="O125" s="280"/>
      <c r="P125" s="280">
        <v>2.0</v>
      </c>
      <c r="Q125" s="280"/>
      <c r="R125" s="290" t="s">
        <v>695</v>
      </c>
      <c r="S125" s="281"/>
      <c r="T125" s="291"/>
      <c r="U125" s="281"/>
      <c r="V125" s="281"/>
      <c r="W125" s="281"/>
    </row>
    <row r="126">
      <c r="A126" s="281"/>
      <c r="B126" s="311" t="s">
        <v>1791</v>
      </c>
      <c r="C126" s="280" t="s">
        <v>1214</v>
      </c>
      <c r="D126" s="289">
        <f>ROUND((F126*'Pawn Weights'!$B$40)+(G126*'Pawn Weights'!$B$41)+(H126*'Pawn Weights'!$B$42)+(I126*'Pawn Weights'!$B$43)+(J126*'Pawn Weights'!$B$44)+(K126*'Pawn Weights'!$B$45)+(L126*'Pawn Weights'!$B$46)+(M126*'Pawn Weights'!$B$47)+(N126*'Pawn Weights'!$B$48)+(O126*'Pawn Weights'!$B$49)+(P126*'Pawn Weights'!B$50)+(Q126*'Pawn Weights'!$B$51), 2)</f>
        <v>135.89</v>
      </c>
      <c r="E126" s="280">
        <v>24.0</v>
      </c>
      <c r="F126" s="280"/>
      <c r="G126" s="280">
        <v>25.0</v>
      </c>
      <c r="H126" s="280">
        <v>40.0</v>
      </c>
      <c r="I126" s="280"/>
      <c r="J126" s="280">
        <v>17.0</v>
      </c>
      <c r="K126" s="280"/>
      <c r="L126" s="280"/>
      <c r="M126" s="281"/>
      <c r="N126" s="280"/>
      <c r="O126" s="280"/>
      <c r="P126" s="280"/>
      <c r="Q126" s="280"/>
      <c r="R126" s="290"/>
      <c r="S126" s="281"/>
      <c r="T126" s="291"/>
      <c r="U126" s="281"/>
      <c r="V126" s="281"/>
      <c r="W126" s="281"/>
    </row>
    <row r="127">
      <c r="A127" s="281"/>
      <c r="B127" s="311" t="s">
        <v>1595</v>
      </c>
      <c r="C127" s="280" t="s">
        <v>1596</v>
      </c>
      <c r="D127" s="289">
        <f>ROUND((F127*'Pawn Weights'!$B$40)+(G127*'Pawn Weights'!$B$41)+(H127*'Pawn Weights'!$B$42)+(I127*'Pawn Weights'!$B$43)+(J127*'Pawn Weights'!$B$44)+(K127*'Pawn Weights'!$B$45)+(L127*'Pawn Weights'!$B$46)+(M127*'Pawn Weights'!$B$47)+(N127*'Pawn Weights'!$B$48)+(O127*'Pawn Weights'!$B$49)+(P127*'Pawn Weights'!B$50)+(Q127*'Pawn Weights'!$B$51), 2)</f>
        <v>134.71</v>
      </c>
      <c r="E127" s="280">
        <v>16.0</v>
      </c>
      <c r="F127" s="280"/>
      <c r="G127" s="280">
        <v>21.0</v>
      </c>
      <c r="H127" s="280">
        <v>50.0</v>
      </c>
      <c r="I127" s="280"/>
      <c r="J127" s="280"/>
      <c r="K127" s="280"/>
      <c r="L127" s="280"/>
      <c r="M127" s="281"/>
      <c r="N127" s="280"/>
      <c r="O127" s="280">
        <v>1.0</v>
      </c>
      <c r="P127" s="280"/>
      <c r="Q127" s="280">
        <v>1.0</v>
      </c>
      <c r="R127" s="290" t="s">
        <v>695</v>
      </c>
      <c r="S127" s="281"/>
      <c r="T127" s="291"/>
      <c r="U127" s="281"/>
      <c r="V127" s="281"/>
      <c r="W127" s="281"/>
    </row>
    <row r="128">
      <c r="A128" s="292" t="s">
        <v>1559</v>
      </c>
      <c r="B128" s="288" t="s">
        <v>1605</v>
      </c>
      <c r="C128" s="280" t="s">
        <v>1216</v>
      </c>
      <c r="D128" s="289">
        <f>ROUND((F128*'Pawn Weights'!$B$40)+(G128*'Pawn Weights'!$B$41)+(H128*'Pawn Weights'!$B$42)+(I128*'Pawn Weights'!$B$43)+(J128*'Pawn Weights'!$B$44)+(K128*'Pawn Weights'!$B$45)+(L128*'Pawn Weights'!$B$46)+(M128*'Pawn Weights'!$B$47)+(N128*'Pawn Weights'!$B$48)+(O128*'Pawn Weights'!$B$49)+(P128*'Pawn Weights'!B$50)+(Q128*'Pawn Weights'!$B$51), 2)</f>
        <v>127.8</v>
      </c>
      <c r="E128" s="280">
        <v>32.0</v>
      </c>
      <c r="F128" s="280"/>
      <c r="G128" s="280">
        <v>20.0</v>
      </c>
      <c r="H128" s="280">
        <v>84.0</v>
      </c>
      <c r="I128" s="280"/>
      <c r="J128" s="280"/>
      <c r="K128" s="280"/>
      <c r="L128" s="280"/>
      <c r="M128" s="281"/>
      <c r="N128" s="280"/>
      <c r="O128" s="280"/>
      <c r="P128" s="280"/>
      <c r="Q128" s="280"/>
      <c r="R128" s="290"/>
      <c r="S128" s="281"/>
      <c r="T128" s="291"/>
      <c r="U128" s="281"/>
      <c r="V128" s="281"/>
      <c r="W128" s="281"/>
    </row>
    <row r="129">
      <c r="A129" s="281"/>
      <c r="B129" s="311" t="s">
        <v>1792</v>
      </c>
      <c r="C129" s="280" t="s">
        <v>1793</v>
      </c>
      <c r="D129" s="289">
        <f>ROUND((F129*'Pawn Weights'!$B$40)+(G129*'Pawn Weights'!$B$41)+(H129*'Pawn Weights'!$B$42)+(I129*'Pawn Weights'!$B$43)+(J129*'Pawn Weights'!$B$44)+(K129*'Pawn Weights'!$B$45)+(L129*'Pawn Weights'!$B$46)+(M129*'Pawn Weights'!$B$47)+(N129*'Pawn Weights'!$B$48)+(O129*'Pawn Weights'!$B$49)+(P129*'Pawn Weights'!B$50)+(Q129*'Pawn Weights'!$B$51), 2)</f>
        <v>117.94</v>
      </c>
      <c r="E129" s="280"/>
      <c r="F129" s="280"/>
      <c r="G129" s="280">
        <v>28.0</v>
      </c>
      <c r="H129" s="280">
        <v>30.0</v>
      </c>
      <c r="I129" s="280"/>
      <c r="J129" s="280">
        <v>11.0</v>
      </c>
      <c r="K129" s="280"/>
      <c r="L129" s="280"/>
      <c r="M129" s="281"/>
      <c r="N129" s="280"/>
      <c r="O129" s="280"/>
      <c r="P129" s="280"/>
      <c r="Q129" s="280"/>
      <c r="R129" s="290"/>
      <c r="S129" s="281"/>
      <c r="T129" s="291"/>
      <c r="U129" s="281"/>
      <c r="V129" s="281"/>
      <c r="W129" s="281"/>
    </row>
    <row r="130">
      <c r="A130" s="281"/>
      <c r="B130" s="322" t="s">
        <v>1610</v>
      </c>
      <c r="C130" s="280" t="s">
        <v>1611</v>
      </c>
      <c r="D130" s="289">
        <f>ROUND((F130*'Pawn Weights'!$B$40)+(G130*'Pawn Weights'!$B$41)+(H130*'Pawn Weights'!$B$42)+(I130*'Pawn Weights'!$B$43)+(J130*'Pawn Weights'!$B$44)+(K130*'Pawn Weights'!$B$45)+(L130*'Pawn Weights'!$B$46)+(M130*'Pawn Weights'!$B$47)+(N130*'Pawn Weights'!$B$48)+(O130*'Pawn Weights'!$B$49)+(P130*'Pawn Weights'!B$50)+(Q130*'Pawn Weights'!$B$51), 2)</f>
        <v>116.56</v>
      </c>
      <c r="E130" s="280"/>
      <c r="F130" s="280"/>
      <c r="G130" s="280"/>
      <c r="H130" s="280">
        <v>60.0</v>
      </c>
      <c r="I130" s="280">
        <v>16.0</v>
      </c>
      <c r="J130" s="280">
        <v>12.0</v>
      </c>
      <c r="K130" s="280"/>
      <c r="L130" s="280"/>
      <c r="M130" s="281"/>
      <c r="N130" s="280"/>
      <c r="O130" s="280"/>
      <c r="P130" s="280"/>
      <c r="Q130" s="280"/>
      <c r="R130" s="290"/>
      <c r="S130" s="281"/>
      <c r="T130" s="291" t="s">
        <v>1612</v>
      </c>
      <c r="U130" s="281"/>
      <c r="V130" s="281"/>
      <c r="W130" s="281"/>
    </row>
    <row r="131">
      <c r="A131" s="281"/>
      <c r="B131" s="311" t="s">
        <v>1794</v>
      </c>
      <c r="C131" s="280" t="s">
        <v>1795</v>
      </c>
      <c r="D131" s="289">
        <f>ROUND((F131*'Pawn Weights'!$B$40)+(G131*'Pawn Weights'!$B$41)+(H131*'Pawn Weights'!$B$42)+(I131*'Pawn Weights'!$B$43)+(J131*'Pawn Weights'!$B$44)+(K131*'Pawn Weights'!$B$45)+(L131*'Pawn Weights'!$B$46)+(M131*'Pawn Weights'!$B$47)+(N131*'Pawn Weights'!$B$48)+(O131*'Pawn Weights'!$B$49)+(P131*'Pawn Weights'!B$50)+(Q131*'Pawn Weights'!$B$51), 2)</f>
        <v>103.68</v>
      </c>
      <c r="E131" s="280">
        <v>24.0</v>
      </c>
      <c r="F131" s="280"/>
      <c r="G131" s="280"/>
      <c r="H131" s="280">
        <v>34.0</v>
      </c>
      <c r="I131" s="280">
        <v>18.0</v>
      </c>
      <c r="J131" s="280"/>
      <c r="K131" s="280"/>
      <c r="L131" s="280"/>
      <c r="M131" s="281"/>
      <c r="N131" s="280"/>
      <c r="O131" s="280">
        <v>1.0</v>
      </c>
      <c r="P131" s="280">
        <v>1.0</v>
      </c>
      <c r="Q131" s="280"/>
      <c r="R131" s="290" t="s">
        <v>1759</v>
      </c>
      <c r="S131" s="281"/>
      <c r="T131" s="291"/>
      <c r="U131" s="281"/>
      <c r="V131" s="281"/>
      <c r="W131" s="281"/>
    </row>
    <row r="132">
      <c r="A132" s="281"/>
      <c r="B132" s="311" t="s">
        <v>1597</v>
      </c>
      <c r="C132" s="280" t="s">
        <v>1598</v>
      </c>
      <c r="D132" s="289">
        <f>ROUND((F132*'Pawn Weights'!$B$40)+(G132*'Pawn Weights'!$B$41)+(H132*'Pawn Weights'!$B$42)+(I132*'Pawn Weights'!$B$43)+(J132*'Pawn Weights'!$B$44)+(K132*'Pawn Weights'!$B$45)+(L132*'Pawn Weights'!$B$46)+(M132*'Pawn Weights'!$B$47)+(N132*'Pawn Weights'!$B$48)+(O132*'Pawn Weights'!$B$49)+(P132*'Pawn Weights'!B$50)+(Q132*'Pawn Weights'!$B$51), 2)</f>
        <v>103.45</v>
      </c>
      <c r="E132" s="280">
        <v>22.0</v>
      </c>
      <c r="F132" s="280">
        <v>25.0</v>
      </c>
      <c r="G132" s="280">
        <v>17.0</v>
      </c>
      <c r="H132" s="280"/>
      <c r="I132" s="280"/>
      <c r="J132" s="280"/>
      <c r="K132" s="280"/>
      <c r="L132" s="280"/>
      <c r="M132" s="281"/>
      <c r="N132" s="280"/>
      <c r="O132" s="280">
        <v>1.0</v>
      </c>
      <c r="P132" s="280"/>
      <c r="Q132" s="280">
        <v>1.0</v>
      </c>
      <c r="R132" s="290" t="s">
        <v>695</v>
      </c>
      <c r="S132" s="281"/>
      <c r="T132" s="291"/>
      <c r="U132" s="281"/>
      <c r="V132" s="281"/>
      <c r="W132" s="281"/>
    </row>
    <row r="133">
      <c r="A133" s="272" t="s">
        <v>852</v>
      </c>
      <c r="B133" s="281"/>
      <c r="C133" s="281"/>
      <c r="D133" s="360"/>
      <c r="E133" s="281"/>
      <c r="F133" s="281"/>
      <c r="G133" s="281"/>
      <c r="H133" s="281"/>
      <c r="I133" s="281"/>
      <c r="J133" s="281"/>
      <c r="K133" s="281"/>
      <c r="L133" s="281"/>
      <c r="M133" s="281"/>
      <c r="N133" s="281"/>
      <c r="O133" s="281"/>
      <c r="P133" s="281"/>
      <c r="Q133" s="281"/>
      <c r="R133" s="282"/>
      <c r="S133" s="281"/>
      <c r="T133" s="285"/>
      <c r="U133" s="281"/>
      <c r="V133" s="281"/>
      <c r="W133" s="281"/>
    </row>
    <row r="134">
      <c r="A134" s="137"/>
      <c r="B134" s="341" t="s">
        <v>869</v>
      </c>
      <c r="C134" s="361" t="s">
        <v>865</v>
      </c>
      <c r="D134" s="289">
        <f>ROUND((F134*'Pawn Weights'!$B$40)+(G134*'Pawn Weights'!$B$41)+(H134*'Pawn Weights'!$B$42)+(I134*'Pawn Weights'!$B$43)+(J134*'Pawn Weights'!$B$44)+(K134*'Pawn Weights'!$B$45)+(L134*'Pawn Weights'!$B$46)+(M134*'Pawn Weights'!$B$47)+(N134*'Pawn Weights'!$B$48)+(O134*'Pawn Weights'!$B$49)+(P134*'Pawn Weights'!B$50)+(Q134*'Pawn Weights'!$B$51), 2)</f>
        <v>309.49</v>
      </c>
      <c r="E134" s="359">
        <v>45.0</v>
      </c>
      <c r="F134" s="361"/>
      <c r="G134" s="359">
        <v>43.0</v>
      </c>
      <c r="H134" s="359">
        <v>104.0</v>
      </c>
      <c r="I134" s="361"/>
      <c r="J134" s="359">
        <v>30.0</v>
      </c>
      <c r="K134" s="361"/>
      <c r="L134" s="361"/>
      <c r="M134" s="361"/>
      <c r="N134" s="361"/>
      <c r="O134" s="361"/>
      <c r="P134" s="359">
        <v>1.0</v>
      </c>
      <c r="Q134" s="359">
        <v>1.0</v>
      </c>
      <c r="R134" s="359" t="s">
        <v>832</v>
      </c>
      <c r="S134" s="137"/>
      <c r="T134" s="137"/>
      <c r="U134" s="137"/>
      <c r="V134" s="137"/>
      <c r="W134" s="137"/>
      <c r="X134" s="137"/>
      <c r="Y134" s="137"/>
      <c r="Z134" s="137"/>
    </row>
    <row r="135">
      <c r="A135" s="295" t="s">
        <v>635</v>
      </c>
      <c r="B135" s="296" t="s">
        <v>1231</v>
      </c>
      <c r="C135" s="297" t="s">
        <v>637</v>
      </c>
      <c r="D135" s="289">
        <f>ROUND((F135*'Pawn Weights'!$B$40)+(G135*'Pawn Weights'!$B$41)+(H135*'Pawn Weights'!$B$42)+(I135*'Pawn Weights'!$B$43)+(J135*'Pawn Weights'!$B$44)+(K135*'Pawn Weights'!$B$45)+(L135*'Pawn Weights'!$B$46)+(M135*'Pawn Weights'!$B$47)+(N135*'Pawn Weights'!$B$48)+(O135*'Pawn Weights'!$B$49)+(P135*'Pawn Weights'!B$50)+(Q135*'Pawn Weights'!$B$51), 2)</f>
        <v>265.54</v>
      </c>
      <c r="E135" s="298">
        <v>74.0</v>
      </c>
      <c r="F135" s="295"/>
      <c r="G135" s="298">
        <v>40.0</v>
      </c>
      <c r="H135" s="298">
        <v>60.0</v>
      </c>
      <c r="I135" s="298">
        <v>30.0</v>
      </c>
      <c r="J135" s="298">
        <v>17.0</v>
      </c>
      <c r="K135" s="297"/>
      <c r="L135" s="297"/>
      <c r="M135" s="367">
        <v>84.0</v>
      </c>
      <c r="N135" s="297"/>
      <c r="O135" s="297"/>
      <c r="P135" s="297"/>
      <c r="Q135" s="297"/>
      <c r="R135" s="295"/>
      <c r="S135" s="137"/>
      <c r="T135" s="297" t="s">
        <v>861</v>
      </c>
      <c r="U135" s="137"/>
      <c r="V135" s="137"/>
      <c r="W135" s="137"/>
      <c r="X135" s="137"/>
      <c r="Y135" s="137"/>
      <c r="Z135" s="137"/>
    </row>
    <row r="136">
      <c r="A136" s="301"/>
      <c r="B136" s="288" t="s">
        <v>880</v>
      </c>
      <c r="C136" s="280" t="s">
        <v>881</v>
      </c>
      <c r="D136" s="289">
        <f>ROUND((F136*'Pawn Weights'!$B$40)+(G136*'Pawn Weights'!$B$41)+(H136*'Pawn Weights'!$B$42)+(I136*'Pawn Weights'!$B$43)+(J136*'Pawn Weights'!$B$44)+(K136*'Pawn Weights'!$B$45)+(L136*'Pawn Weights'!$B$46)+(M136*'Pawn Weights'!$B$47)+(N136*'Pawn Weights'!$B$48)+(O136*'Pawn Weights'!$B$49)+(P136*'Pawn Weights'!B$50)+(Q136*'Pawn Weights'!$B$51), 2)</f>
        <v>259.92</v>
      </c>
      <c r="E136" s="280">
        <v>28.0</v>
      </c>
      <c r="F136" s="280"/>
      <c r="G136" s="280">
        <v>32.0</v>
      </c>
      <c r="H136" s="280">
        <v>64.0</v>
      </c>
      <c r="I136" s="280"/>
      <c r="J136" s="280">
        <v>28.0</v>
      </c>
      <c r="K136" s="280"/>
      <c r="L136" s="280"/>
      <c r="M136" s="280"/>
      <c r="N136" s="280"/>
      <c r="O136" s="280">
        <v>2.0</v>
      </c>
      <c r="P136" s="280"/>
      <c r="Q136" s="280">
        <v>1.0</v>
      </c>
      <c r="R136" s="290" t="s">
        <v>882</v>
      </c>
      <c r="S136" s="281"/>
      <c r="T136" s="294"/>
      <c r="U136" s="281"/>
      <c r="V136" s="281"/>
      <c r="W136" s="281"/>
      <c r="X136" s="281"/>
    </row>
    <row r="137">
      <c r="A137" s="295"/>
      <c r="B137" s="296" t="s">
        <v>1234</v>
      </c>
      <c r="C137" s="297" t="s">
        <v>879</v>
      </c>
      <c r="D137" s="289">
        <f>ROUND((F137*'Pawn Weights'!$B$40)+(G137*'Pawn Weights'!$B$41)+(H137*'Pawn Weights'!$B$42)+(I137*'Pawn Weights'!$B$43)+(J137*'Pawn Weights'!$B$44)+(K137*'Pawn Weights'!$B$45)+(L137*'Pawn Weights'!$B$46)+(M137*'Pawn Weights'!$B$47)+(N137*'Pawn Weights'!$B$48)+(O137*'Pawn Weights'!$B$49)+(P137*'Pawn Weights'!B$50)+(Q137*'Pawn Weights'!$B$51), 2)</f>
        <v>254.45</v>
      </c>
      <c r="E137" s="298">
        <v>46.0</v>
      </c>
      <c r="F137" s="297"/>
      <c r="G137" s="298">
        <v>45.0</v>
      </c>
      <c r="H137" s="298">
        <v>92.0</v>
      </c>
      <c r="I137" s="297"/>
      <c r="J137" s="297"/>
      <c r="K137" s="298">
        <v>30.0</v>
      </c>
      <c r="L137" s="297"/>
      <c r="M137" s="297"/>
      <c r="N137" s="297"/>
      <c r="O137" s="297"/>
      <c r="P137" s="297"/>
      <c r="Q137" s="297"/>
      <c r="R137" s="295"/>
      <c r="S137" s="137"/>
      <c r="T137" s="298"/>
      <c r="U137" s="137"/>
      <c r="V137" s="137"/>
      <c r="W137" s="137"/>
      <c r="X137" s="137"/>
      <c r="Y137" s="137"/>
      <c r="Z137" s="137"/>
    </row>
    <row r="138">
      <c r="A138" s="301"/>
      <c r="B138" s="288" t="s">
        <v>874</v>
      </c>
      <c r="C138" s="280" t="s">
        <v>741</v>
      </c>
      <c r="D138" s="289">
        <f>ROUND((F138*'Pawn Weights'!$B$40)+(G138*'Pawn Weights'!$B$41)+(H138*'Pawn Weights'!$B$42)+(I138*'Pawn Weights'!$B$43)+(J138*'Pawn Weights'!$B$44)+(K138*'Pawn Weights'!$B$45)+(L138*'Pawn Weights'!$B$46)+(M138*'Pawn Weights'!$B$47)+(N138*'Pawn Weights'!$B$48)+(O138*'Pawn Weights'!$B$49)+(P138*'Pawn Weights'!B$50)+(Q138*'Pawn Weights'!$B$51), 2)</f>
        <v>254.19</v>
      </c>
      <c r="E138" s="280">
        <v>31.0</v>
      </c>
      <c r="F138" s="280"/>
      <c r="G138" s="280">
        <v>45.0</v>
      </c>
      <c r="H138" s="280">
        <v>92.0</v>
      </c>
      <c r="I138" s="280">
        <v>37.0</v>
      </c>
      <c r="J138" s="280"/>
      <c r="K138" s="280"/>
      <c r="L138" s="280"/>
      <c r="M138" s="280"/>
      <c r="N138" s="280"/>
      <c r="O138" s="280"/>
      <c r="P138" s="280"/>
      <c r="Q138" s="280"/>
      <c r="R138" s="290"/>
      <c r="S138" s="281"/>
      <c r="T138" s="294"/>
      <c r="U138" s="281"/>
      <c r="V138" s="281"/>
      <c r="W138" s="281"/>
      <c r="X138" s="281"/>
    </row>
    <row r="139">
      <c r="A139" s="301" t="s">
        <v>647</v>
      </c>
      <c r="B139" s="288" t="s">
        <v>1232</v>
      </c>
      <c r="C139" s="280" t="s">
        <v>1233</v>
      </c>
      <c r="D139" s="289">
        <f>ROUND((F139*'Pawn Weights'!$B$40)+(G139*'Pawn Weights'!$B$41)+(H139*'Pawn Weights'!$B$42)+(I139*'Pawn Weights'!$B$43)+(J139*'Pawn Weights'!$B$44)+(K139*'Pawn Weights'!$B$45)+(L139*'Pawn Weights'!$B$46)+(M139*'Pawn Weights'!$B$47)+(N139*'Pawn Weights'!$B$48)+(O139*'Pawn Weights'!$B$49)+(P139*'Pawn Weights'!B$50)+(Q139*'Pawn Weights'!$B$51), 2)</f>
        <v>253.01</v>
      </c>
      <c r="E139" s="280">
        <v>49.0</v>
      </c>
      <c r="F139" s="280"/>
      <c r="G139" s="280">
        <v>47.0</v>
      </c>
      <c r="H139" s="280">
        <v>86.0</v>
      </c>
      <c r="I139" s="280">
        <v>26.0</v>
      </c>
      <c r="J139" s="280"/>
      <c r="K139" s="280"/>
      <c r="L139" s="280"/>
      <c r="M139" s="280"/>
      <c r="N139" s="280"/>
      <c r="O139" s="280"/>
      <c r="P139" s="280"/>
      <c r="Q139" s="280">
        <v>1.0</v>
      </c>
      <c r="R139" s="290" t="s">
        <v>660</v>
      </c>
      <c r="S139" s="281"/>
      <c r="T139" s="294"/>
      <c r="U139" s="281"/>
      <c r="V139" s="281"/>
      <c r="W139" s="281"/>
      <c r="X139" s="281"/>
    </row>
    <row r="140">
      <c r="A140" s="301" t="s">
        <v>654</v>
      </c>
      <c r="B140" s="288" t="s">
        <v>1236</v>
      </c>
      <c r="C140" s="280" t="s">
        <v>823</v>
      </c>
      <c r="D140" s="289">
        <f>ROUND((F140*'Pawn Weights'!$B$40)+(G140*'Pawn Weights'!$B$41)+(H140*'Pawn Weights'!$B$42)+(I140*'Pawn Weights'!$B$43)+(J140*'Pawn Weights'!$B$44)+(K140*'Pawn Weights'!$B$45)+(L140*'Pawn Weights'!$B$46)+(M140*'Pawn Weights'!$B$47)+(N140*'Pawn Weights'!$B$48)+(O140*'Pawn Weights'!$B$49)+(P140*'Pawn Weights'!B$50)+(Q140*'Pawn Weights'!$B$51), 2)</f>
        <v>241.09</v>
      </c>
      <c r="E140" s="280">
        <v>40.0</v>
      </c>
      <c r="F140" s="280"/>
      <c r="G140" s="280">
        <v>43.0</v>
      </c>
      <c r="H140" s="280">
        <v>84.0</v>
      </c>
      <c r="I140" s="280"/>
      <c r="J140" s="280">
        <v>26.0</v>
      </c>
      <c r="K140" s="280"/>
      <c r="L140" s="280"/>
      <c r="M140" s="280"/>
      <c r="N140" s="280"/>
      <c r="O140" s="280"/>
      <c r="P140" s="280"/>
      <c r="Q140" s="280"/>
      <c r="R140" s="290"/>
      <c r="S140" s="281"/>
      <c r="T140" s="294"/>
      <c r="U140" s="281"/>
      <c r="V140" s="281"/>
      <c r="W140" s="281"/>
      <c r="X140" s="281"/>
    </row>
    <row r="141">
      <c r="A141" s="295"/>
      <c r="B141" s="296" t="s">
        <v>876</v>
      </c>
      <c r="C141" s="297" t="s">
        <v>865</v>
      </c>
      <c r="D141" s="289">
        <f>ROUND((F141*'Pawn Weights'!$B$40)+(G141*'Pawn Weights'!$B$41)+(H141*'Pawn Weights'!$B$42)+(I141*'Pawn Weights'!$B$43)+(J141*'Pawn Weights'!$B$44)+(K141*'Pawn Weights'!$B$45)+(L141*'Pawn Weights'!$B$46)+(M141*'Pawn Weights'!$B$47)+(N141*'Pawn Weights'!$B$48)+(O141*'Pawn Weights'!$B$49)+(P141*'Pawn Weights'!B$50)+(Q141*'Pawn Weights'!$B$51), 2)</f>
        <v>221.31</v>
      </c>
      <c r="E141" s="298">
        <v>52.0</v>
      </c>
      <c r="F141" s="298">
        <v>39.0</v>
      </c>
      <c r="G141" s="298">
        <v>45.0</v>
      </c>
      <c r="H141" s="297"/>
      <c r="I141" s="297"/>
      <c r="J141" s="298">
        <v>17.0</v>
      </c>
      <c r="K141" s="297"/>
      <c r="L141" s="297"/>
      <c r="M141" s="297"/>
      <c r="N141" s="297"/>
      <c r="O141" s="298">
        <v>1.0</v>
      </c>
      <c r="P141" s="298">
        <v>1.0</v>
      </c>
      <c r="Q141" s="297"/>
      <c r="R141" s="298" t="s">
        <v>812</v>
      </c>
      <c r="S141" s="137"/>
      <c r="T141" s="295"/>
      <c r="U141" s="137"/>
      <c r="V141" s="137"/>
      <c r="W141" s="137"/>
      <c r="X141" s="137"/>
      <c r="Y141" s="137"/>
      <c r="Z141" s="137"/>
    </row>
    <row r="142">
      <c r="A142" s="137" t="s">
        <v>644</v>
      </c>
      <c r="B142" s="296" t="s">
        <v>1237</v>
      </c>
      <c r="C142" s="297" t="s">
        <v>646</v>
      </c>
      <c r="D142" s="289">
        <f>ROUND((F142*'Pawn Weights'!$B$40)+(G142*'Pawn Weights'!$B$41)+(H142*'Pawn Weights'!$B$42)+(I142*'Pawn Weights'!$B$43)+(J142*'Pawn Weights'!$B$44)+(K142*'Pawn Weights'!$B$45)+(L142*'Pawn Weights'!$B$46)+(M142*'Pawn Weights'!$B$47)+(N142*'Pawn Weights'!$B$48)+(O142*'Pawn Weights'!$B$49)+(P142*'Pawn Weights'!B$50)+(Q142*'Pawn Weights'!$B$51), 2)</f>
        <v>223.89</v>
      </c>
      <c r="E142" s="298">
        <v>67.0</v>
      </c>
      <c r="F142" s="297"/>
      <c r="G142" s="298">
        <v>35.0</v>
      </c>
      <c r="H142" s="298">
        <v>50.0</v>
      </c>
      <c r="I142" s="298">
        <v>25.0</v>
      </c>
      <c r="J142" s="298">
        <v>12.0</v>
      </c>
      <c r="K142" s="297"/>
      <c r="L142" s="297"/>
      <c r="M142" s="359">
        <v>84.0</v>
      </c>
      <c r="N142" s="297"/>
      <c r="O142" s="297"/>
      <c r="P142" s="297"/>
      <c r="Q142" s="297"/>
      <c r="R142" s="295"/>
      <c r="S142" s="137"/>
      <c r="T142" s="295"/>
      <c r="U142" s="137"/>
      <c r="V142" s="137"/>
      <c r="W142" s="137"/>
      <c r="X142" s="137"/>
      <c r="Y142" s="137"/>
      <c r="Z142" s="137"/>
    </row>
    <row r="143">
      <c r="A143" s="301" t="s">
        <v>627</v>
      </c>
      <c r="B143" s="311" t="s">
        <v>1235</v>
      </c>
      <c r="C143" s="280" t="s">
        <v>904</v>
      </c>
      <c r="D143" s="289">
        <f>ROUND((F143*'Pawn Weights'!$B$40)+(G143*'Pawn Weights'!$B$41)+(H143*'Pawn Weights'!$B$42)+(I143*'Pawn Weights'!$B$43)+(J143*'Pawn Weights'!$B$44)+(K143*'Pawn Weights'!$B$45)+(L143*'Pawn Weights'!$B$46)+(M143*'Pawn Weights'!$B$47)+(N143*'Pawn Weights'!$B$48)+(O143*'Pawn Weights'!$B$49)+(P143*'Pawn Weights'!B$50)+(Q143*'Pawn Weights'!$B$51)-19.36+18.44+8, 2)</f>
        <v>220.66</v>
      </c>
      <c r="E143" s="280"/>
      <c r="F143" s="280"/>
      <c r="G143" s="280"/>
      <c r="H143" s="280">
        <v>52.0</v>
      </c>
      <c r="I143" s="280">
        <v>25.0</v>
      </c>
      <c r="J143" s="280">
        <v>25.0</v>
      </c>
      <c r="K143" s="280"/>
      <c r="L143" s="280"/>
      <c r="M143" s="280"/>
      <c r="N143" s="280"/>
      <c r="O143" s="280">
        <v>1.0</v>
      </c>
      <c r="P143" s="280">
        <v>2.0</v>
      </c>
      <c r="Q143" s="280"/>
      <c r="R143" s="290" t="s">
        <v>745</v>
      </c>
      <c r="S143" s="281"/>
      <c r="T143" s="294"/>
      <c r="U143" s="281"/>
      <c r="V143" s="281"/>
      <c r="W143" s="281"/>
      <c r="X143" s="281"/>
    </row>
    <row r="144">
      <c r="A144" s="309"/>
      <c r="B144" s="288" t="s">
        <v>1238</v>
      </c>
      <c r="C144" s="280" t="s">
        <v>1239</v>
      </c>
      <c r="D144" s="289">
        <f>ROUND((F144*'Pawn Weights'!$B$40)+(G144*'Pawn Weights'!$B$41)+(H144*'Pawn Weights'!$B$42)+(I144*'Pawn Weights'!$B$43)+(J144*'Pawn Weights'!$B$44)+(K144*'Pawn Weights'!$B$45)+(L144*'Pawn Weights'!$B$46)+(M144*'Pawn Weights'!$B$47)+(N144*'Pawn Weights'!$B$48)+(O144*'Pawn Weights'!$B$49)+(P144*'Pawn Weights'!B$50)+(Q144*'Pawn Weights'!$B$51), 2)</f>
        <v>209.66</v>
      </c>
      <c r="E144" s="280">
        <v>30.0</v>
      </c>
      <c r="F144" s="280"/>
      <c r="G144" s="280"/>
      <c r="H144" s="280">
        <v>64.0</v>
      </c>
      <c r="I144" s="280">
        <v>27.0</v>
      </c>
      <c r="J144" s="280">
        <v>17.0</v>
      </c>
      <c r="K144" s="280"/>
      <c r="L144" s="280"/>
      <c r="M144" s="281"/>
      <c r="N144" s="280"/>
      <c r="O144" s="280">
        <v>2.0</v>
      </c>
      <c r="P144" s="280"/>
      <c r="Q144" s="280">
        <v>1.0</v>
      </c>
      <c r="R144" s="290" t="s">
        <v>626</v>
      </c>
      <c r="S144" s="281"/>
      <c r="T144" s="291"/>
      <c r="U144" s="281"/>
      <c r="V144" s="281"/>
      <c r="W144" s="281"/>
    </row>
    <row r="145">
      <c r="A145" s="309"/>
      <c r="B145" s="311" t="s">
        <v>1479</v>
      </c>
      <c r="C145" s="280" t="s">
        <v>1480</v>
      </c>
      <c r="D145" s="289">
        <f>ROUND((F145*'Pawn Weights'!$B$40)+(G145*'Pawn Weights'!$B$41)+(H145*'Pawn Weights'!$B$42)+(I145*'Pawn Weights'!$B$43)+(J145*'Pawn Weights'!$B$44)+(K145*'Pawn Weights'!$B$45)+(L145*'Pawn Weights'!$B$46)+(M145*'Pawn Weights'!$B$47)+(N145*'Pawn Weights'!$B$48)+(O145*'Pawn Weights'!$B$49)+(P145*'Pawn Weights'!B$50)+(Q145*'Pawn Weights'!$B$51), 2)</f>
        <v>187.54</v>
      </c>
      <c r="E145" s="280">
        <v>24.0</v>
      </c>
      <c r="F145" s="280">
        <v>30.0</v>
      </c>
      <c r="G145" s="280">
        <v>30.0</v>
      </c>
      <c r="H145" s="280"/>
      <c r="I145" s="280"/>
      <c r="J145" s="280">
        <v>17.0</v>
      </c>
      <c r="K145" s="280"/>
      <c r="L145" s="280">
        <v>18.0</v>
      </c>
      <c r="M145" s="280"/>
      <c r="N145" s="280"/>
      <c r="O145" s="280"/>
      <c r="P145" s="280"/>
      <c r="Q145" s="280"/>
      <c r="R145" s="290"/>
      <c r="S145" s="281"/>
      <c r="T145" s="294"/>
      <c r="U145" s="281"/>
      <c r="V145" s="281"/>
      <c r="W145" s="281"/>
      <c r="X145" s="281"/>
    </row>
    <row r="146">
      <c r="A146" s="301"/>
      <c r="B146" s="311" t="s">
        <v>1796</v>
      </c>
      <c r="C146" s="280" t="s">
        <v>1797</v>
      </c>
      <c r="D146" s="289">
        <f>ROUND((F146*'Pawn Weights'!$B$40)+(G146*'Pawn Weights'!$B$41)+(H146*'Pawn Weights'!$B$42)+(I146*'Pawn Weights'!$B$43)+(J146*'Pawn Weights'!$B$44)+(K146*'Pawn Weights'!$B$45)+(L146*'Pawn Weights'!$B$46)+(M146*'Pawn Weights'!$B$47)+(N146*'Pawn Weights'!$B$48)+(O146*'Pawn Weights'!$B$49)+(P146*'Pawn Weights'!B$50)+(Q146*'Pawn Weights'!$B$51), 2)</f>
        <v>184.84</v>
      </c>
      <c r="E146" s="280">
        <v>33.0</v>
      </c>
      <c r="F146" s="280"/>
      <c r="G146" s="280">
        <v>40.0</v>
      </c>
      <c r="H146" s="280">
        <v>44.0</v>
      </c>
      <c r="I146" s="280"/>
      <c r="J146" s="280">
        <v>22.0</v>
      </c>
      <c r="K146" s="280"/>
      <c r="L146" s="280"/>
      <c r="M146" s="280"/>
      <c r="N146" s="280"/>
      <c r="O146" s="280"/>
      <c r="P146" s="280"/>
      <c r="Q146" s="280"/>
      <c r="R146" s="290"/>
      <c r="S146" s="281"/>
      <c r="T146" s="294"/>
      <c r="U146" s="281"/>
      <c r="V146" s="281"/>
      <c r="W146" s="281"/>
      <c r="X146" s="281"/>
    </row>
    <row r="147">
      <c r="A147" s="301" t="s">
        <v>1068</v>
      </c>
      <c r="B147" s="288" t="s">
        <v>1798</v>
      </c>
      <c r="C147" s="280" t="s">
        <v>997</v>
      </c>
      <c r="D147" s="289">
        <f>ROUND((F147*'Pawn Weights'!$B$40)+(G147*'Pawn Weights'!$B$41)+(H147*'Pawn Weights'!$B$42)+(I147*'Pawn Weights'!$B$43)+(J147*'Pawn Weights'!$B$44)+(K147*'Pawn Weights'!$B$45)+(L147*'Pawn Weights'!$B$46)+(M147*'Pawn Weights'!$B$47)+(N147*'Pawn Weights'!$B$48)+(O147*'Pawn Weights'!$B$49)+(P147*'Pawn Weights'!B$50)+(Q147*'Pawn Weights'!$B$51), 2)</f>
        <v>167.91</v>
      </c>
      <c r="E147" s="280">
        <v>60.0</v>
      </c>
      <c r="F147" s="280"/>
      <c r="G147" s="280">
        <v>41.0</v>
      </c>
      <c r="H147" s="280">
        <v>42.0</v>
      </c>
      <c r="I147" s="280">
        <v>21.0</v>
      </c>
      <c r="J147" s="280"/>
      <c r="K147" s="280"/>
      <c r="L147" s="280"/>
      <c r="M147" s="280"/>
      <c r="N147" s="280"/>
      <c r="O147" s="280"/>
      <c r="P147" s="280"/>
      <c r="Q147" s="280"/>
      <c r="R147" s="290"/>
      <c r="S147" s="281"/>
      <c r="T147" s="294"/>
      <c r="U147" s="281"/>
      <c r="V147" s="281"/>
      <c r="W147" s="281"/>
      <c r="X147" s="281"/>
    </row>
    <row r="148">
      <c r="A148" s="301"/>
      <c r="B148" s="311" t="s">
        <v>1799</v>
      </c>
      <c r="C148" s="280" t="s">
        <v>1307</v>
      </c>
      <c r="D148" s="289">
        <f>ROUND((F148*'Pawn Weights'!$B$40)+(G148*'Pawn Weights'!$B$41)+(H148*'Pawn Weights'!$B$42)+(I148*'Pawn Weights'!$B$43)+(J148*'Pawn Weights'!$B$44)+(K148*'Pawn Weights'!$B$45)+(L148*'Pawn Weights'!$B$46)+(M148*'Pawn Weights'!$B$47)+(N148*'Pawn Weights'!$B$48)+(O148*'Pawn Weights'!$B$49)+(P148*'Pawn Weights'!B$50)+(Q148*'Pawn Weights'!$B$51), 2)</f>
        <v>159.96</v>
      </c>
      <c r="E148" s="280">
        <v>31.0</v>
      </c>
      <c r="F148" s="280"/>
      <c r="G148" s="280">
        <v>32.0</v>
      </c>
      <c r="H148" s="280">
        <v>56.0</v>
      </c>
      <c r="I148" s="280"/>
      <c r="J148" s="280">
        <v>14.0</v>
      </c>
      <c r="K148" s="280"/>
      <c r="L148" s="280"/>
      <c r="M148" s="280"/>
      <c r="N148" s="280"/>
      <c r="O148" s="280"/>
      <c r="P148" s="280"/>
      <c r="Q148" s="280"/>
      <c r="R148" s="290"/>
      <c r="S148" s="281"/>
      <c r="T148" s="294"/>
      <c r="U148" s="281"/>
      <c r="V148" s="281"/>
      <c r="W148" s="281"/>
      <c r="X148" s="281"/>
    </row>
    <row r="149">
      <c r="A149" s="301" t="s">
        <v>1499</v>
      </c>
      <c r="B149" s="288" t="s">
        <v>1800</v>
      </c>
      <c r="C149" s="280" t="s">
        <v>1159</v>
      </c>
      <c r="D149" s="289">
        <f>ROUND((F149*'Pawn Weights'!$B$40)+(G149*'Pawn Weights'!$B$41)+(H149*'Pawn Weights'!$B$42)+(I149*'Pawn Weights'!$B$43)+(J149*'Pawn Weights'!$B$44)+(K149*'Pawn Weights'!$B$45)+(L149*'Pawn Weights'!$B$46)+(M149*'Pawn Weights'!$B$47)+(N149*'Pawn Weights'!$B$48)+(O149*'Pawn Weights'!$B$49)+(P149*'Pawn Weights'!B$50)+(Q149*'Pawn Weights'!$B$51), 2)</f>
        <v>153.52</v>
      </c>
      <c r="E149" s="280">
        <v>54.0</v>
      </c>
      <c r="F149" s="280"/>
      <c r="G149" s="280">
        <v>36.0</v>
      </c>
      <c r="H149" s="280">
        <v>42.0</v>
      </c>
      <c r="I149" s="280">
        <v>19.0</v>
      </c>
      <c r="J149" s="280"/>
      <c r="K149" s="280"/>
      <c r="L149" s="280"/>
      <c r="M149" s="280"/>
      <c r="N149" s="280"/>
      <c r="O149" s="280"/>
      <c r="P149" s="280"/>
      <c r="Q149" s="280"/>
      <c r="R149" s="290"/>
      <c r="S149" s="281"/>
      <c r="T149" s="294"/>
      <c r="U149" s="281"/>
      <c r="V149" s="281"/>
      <c r="W149" s="281"/>
      <c r="X149" s="281"/>
    </row>
    <row r="150">
      <c r="A150" s="309"/>
      <c r="B150" s="311" t="s">
        <v>1617</v>
      </c>
      <c r="C150" s="280" t="s">
        <v>1618</v>
      </c>
      <c r="D150" s="289">
        <f>ROUND((F150*'Pawn Weights'!$B$40)+(G150*'Pawn Weights'!$B$41)+(H150*'Pawn Weights'!$B$42)+(I150*'Pawn Weights'!$B$43)+(J150*'Pawn Weights'!$B$44)+(K150*'Pawn Weights'!$B$45)+(L150*'Pawn Weights'!$B$46)+(M150*'Pawn Weights'!$B$47)+(N150*'Pawn Weights'!$B$48)+(O150*'Pawn Weights'!$B$49)+(P150*'Pawn Weights'!B$50)+(Q150*'Pawn Weights'!$B$51), 2)</f>
        <v>151.55</v>
      </c>
      <c r="E150" s="280">
        <v>27.0</v>
      </c>
      <c r="F150" s="280">
        <v>35.0</v>
      </c>
      <c r="G150" s="280">
        <v>25.0</v>
      </c>
      <c r="H150" s="280"/>
      <c r="I150" s="280"/>
      <c r="J150" s="280"/>
      <c r="K150" s="280"/>
      <c r="L150" s="280">
        <v>22.0</v>
      </c>
      <c r="M150" s="280"/>
      <c r="N150" s="280"/>
      <c r="O150" s="280"/>
      <c r="P150" s="280"/>
      <c r="Q150" s="280"/>
      <c r="R150" s="290"/>
      <c r="S150" s="281"/>
      <c r="T150" s="294"/>
      <c r="U150" s="281"/>
      <c r="V150" s="281"/>
      <c r="W150" s="281"/>
      <c r="X150" s="281"/>
    </row>
    <row r="151">
      <c r="A151" s="309"/>
      <c r="B151" s="311" t="s">
        <v>1801</v>
      </c>
      <c r="C151" s="280" t="s">
        <v>1802</v>
      </c>
      <c r="D151" s="289">
        <f>ROUND((F151*'Pawn Weights'!$B$40)+(G151*'Pawn Weights'!$B$41)+(H151*'Pawn Weights'!$B$42)+(I151*'Pawn Weights'!$B$43)+(J151*'Pawn Weights'!$B$44)+(K151*'Pawn Weights'!$B$45)+(L151*'Pawn Weights'!$B$46)+(M151*'Pawn Weights'!$B$47)+(N151*'Pawn Weights'!$B$48)+(O151*'Pawn Weights'!$B$49)+(P151*'Pawn Weights'!B$50)+(Q151*'Pawn Weights'!$B$51), 2)</f>
        <v>141.92</v>
      </c>
      <c r="E151" s="280">
        <v>25.0</v>
      </c>
      <c r="F151" s="280"/>
      <c r="G151" s="280"/>
      <c r="H151" s="280">
        <v>46.0</v>
      </c>
      <c r="I151" s="280">
        <v>22.0</v>
      </c>
      <c r="J151" s="280"/>
      <c r="K151" s="280"/>
      <c r="L151" s="280"/>
      <c r="M151" s="280"/>
      <c r="N151" s="280"/>
      <c r="O151" s="280">
        <v>2.0</v>
      </c>
      <c r="P151" s="280"/>
      <c r="Q151" s="280">
        <v>1.0</v>
      </c>
      <c r="R151" s="290" t="s">
        <v>882</v>
      </c>
      <c r="S151" s="281"/>
      <c r="T151" s="294"/>
      <c r="U151" s="281"/>
      <c r="V151" s="281"/>
      <c r="W151" s="281"/>
      <c r="X151" s="281"/>
    </row>
    <row r="152">
      <c r="A152" s="272" t="s">
        <v>883</v>
      </c>
      <c r="B152" s="281"/>
      <c r="C152" s="281"/>
      <c r="D152" s="360"/>
      <c r="E152" s="281"/>
      <c r="F152" s="281"/>
      <c r="G152" s="281"/>
      <c r="H152" s="281"/>
      <c r="I152" s="281"/>
      <c r="J152" s="281"/>
      <c r="K152" s="281"/>
      <c r="L152" s="281"/>
      <c r="M152" s="281"/>
      <c r="N152" s="281"/>
      <c r="O152" s="281"/>
      <c r="P152" s="281"/>
      <c r="Q152" s="281"/>
      <c r="R152" s="282"/>
      <c r="S152" s="281"/>
      <c r="T152" s="285"/>
      <c r="U152" s="281"/>
      <c r="V152" s="281"/>
      <c r="W152" s="281"/>
    </row>
    <row r="153">
      <c r="A153" s="137"/>
      <c r="B153" s="341" t="s">
        <v>888</v>
      </c>
      <c r="C153" s="361" t="s">
        <v>889</v>
      </c>
      <c r="D153" s="289">
        <f>ROUND((F153*'Pawn Weights'!$B$40)+(G153*'Pawn Weights'!$B$41)+(H153*'Pawn Weights'!$B$42)+(I153*'Pawn Weights'!$B$43)+(J153*'Pawn Weights'!$B$44)+(K153*'Pawn Weights'!$B$45)+(L153*'Pawn Weights'!$B$46)+(M153*'Pawn Weights'!$B$47)+(N153*'Pawn Weights'!$B$48)+(O153*'Pawn Weights'!$B$49)+(P153*'Pawn Weights'!B$50)+(Q153*'Pawn Weights'!$B$51), 2)</f>
        <v>215.47</v>
      </c>
      <c r="E153" s="359">
        <v>21.0</v>
      </c>
      <c r="F153" s="361"/>
      <c r="G153" s="359">
        <v>29.0</v>
      </c>
      <c r="H153" s="359">
        <v>60.0</v>
      </c>
      <c r="I153" s="361"/>
      <c r="J153" s="359">
        <v>22.0</v>
      </c>
      <c r="K153" s="361"/>
      <c r="L153" s="361"/>
      <c r="M153" s="137"/>
      <c r="N153" s="361"/>
      <c r="O153" s="359">
        <v>1.0</v>
      </c>
      <c r="P153" s="361"/>
      <c r="Q153" s="359">
        <v>1.0</v>
      </c>
      <c r="R153" s="359" t="s">
        <v>832</v>
      </c>
      <c r="S153" s="137"/>
      <c r="T153" s="359"/>
      <c r="U153" s="137"/>
      <c r="V153" s="137"/>
      <c r="W153" s="137"/>
      <c r="X153" s="137"/>
      <c r="Y153" s="137"/>
      <c r="Z153" s="137"/>
    </row>
    <row r="154">
      <c r="A154" s="309"/>
      <c r="B154" s="288" t="s">
        <v>1103</v>
      </c>
      <c r="C154" s="280" t="s">
        <v>1104</v>
      </c>
      <c r="D154" s="289">
        <f>ROUND((F154*'Pawn Weights'!$B$40)+(G154*'Pawn Weights'!$B$41)+(H154*'Pawn Weights'!$B$42)+(I154*'Pawn Weights'!$B$43)+(J154*'Pawn Weights'!$B$44)+(K154*'Pawn Weights'!$B$45)+(L154*'Pawn Weights'!$B$46)+(M154*'Pawn Weights'!$B$47)+(N154*'Pawn Weights'!$B$48)+(O154*'Pawn Weights'!$B$49)+(P154*'Pawn Weights'!B$50)+(Q154*'Pawn Weights'!$B$51)-19.36+18.44+7.26, 2)</f>
        <v>184.03</v>
      </c>
      <c r="E154" s="280">
        <v>28.0</v>
      </c>
      <c r="F154" s="280"/>
      <c r="G154" s="280">
        <v>29.0</v>
      </c>
      <c r="H154" s="280">
        <v>44.0</v>
      </c>
      <c r="I154" s="280"/>
      <c r="J154" s="280">
        <v>13.0</v>
      </c>
      <c r="K154" s="280"/>
      <c r="L154" s="280"/>
      <c r="M154" s="281"/>
      <c r="N154" s="280"/>
      <c r="O154" s="280">
        <v>1.0</v>
      </c>
      <c r="P154" s="280">
        <v>1.0</v>
      </c>
      <c r="Q154" s="280"/>
      <c r="R154" s="290" t="s">
        <v>832</v>
      </c>
      <c r="S154" s="281"/>
      <c r="T154" s="291"/>
      <c r="U154" s="281"/>
      <c r="V154" s="281"/>
      <c r="W154" s="281"/>
    </row>
    <row r="155">
      <c r="A155" s="301" t="s">
        <v>627</v>
      </c>
      <c r="B155" s="288" t="s">
        <v>897</v>
      </c>
      <c r="C155" s="280" t="s">
        <v>898</v>
      </c>
      <c r="D155" s="289">
        <f>ROUND((F155*'Pawn Weights'!$B$40)+(G155*'Pawn Weights'!$B$41)+(H155*'Pawn Weights'!$B$42)+(I155*'Pawn Weights'!$B$43)+(J155*'Pawn Weights'!$B$44)+(K155*'Pawn Weights'!$B$45)+(L155*'Pawn Weights'!$B$46)+(M155*'Pawn Weights'!$B$47)+(N155*'Pawn Weights'!$B$48)+(O155*'Pawn Weights'!$B$49)+(P155*'Pawn Weights'!B$50)+(Q155*'Pawn Weights'!$B$51), 2)</f>
        <v>176.7</v>
      </c>
      <c r="E155" s="280">
        <v>34.0</v>
      </c>
      <c r="F155" s="280"/>
      <c r="G155" s="280"/>
      <c r="H155" s="280">
        <v>66.0</v>
      </c>
      <c r="I155" s="280">
        <v>32.0</v>
      </c>
      <c r="J155" s="280">
        <v>23.0</v>
      </c>
      <c r="K155" s="280"/>
      <c r="L155" s="280"/>
      <c r="M155" s="281"/>
      <c r="N155" s="280"/>
      <c r="O155" s="280"/>
      <c r="P155" s="280"/>
      <c r="Q155" s="280"/>
      <c r="R155" s="290"/>
      <c r="S155" s="281"/>
      <c r="T155" s="291"/>
      <c r="U155" s="281"/>
      <c r="V155" s="281"/>
      <c r="W155" s="281"/>
    </row>
    <row r="156">
      <c r="A156" s="137"/>
      <c r="B156" s="296" t="s">
        <v>890</v>
      </c>
      <c r="C156" s="297" t="s">
        <v>773</v>
      </c>
      <c r="D156" s="289">
        <f>ROUND((F156*'Pawn Weights'!$B$40)+(G156*'Pawn Weights'!$B$41)+(H156*'Pawn Weights'!$B$42)+(I156*'Pawn Weights'!$B$43)+(J156*'Pawn Weights'!$B$44)+(K156*'Pawn Weights'!$B$45)+(L156*'Pawn Weights'!$B$46)+(M156*'Pawn Weights'!$B$47)+(N156*'Pawn Weights'!$B$48)+(O156*'Pawn Weights'!$B$49)+(P156*'Pawn Weights'!B$50)+(Q156*'Pawn Weights'!$B$51), 2)</f>
        <v>176.48</v>
      </c>
      <c r="E156" s="298">
        <v>28.0</v>
      </c>
      <c r="F156" s="297"/>
      <c r="G156" s="298">
        <v>28.0</v>
      </c>
      <c r="H156" s="298">
        <v>58.0</v>
      </c>
      <c r="I156" s="297"/>
      <c r="J156" s="297"/>
      <c r="K156" s="297"/>
      <c r="L156" s="297"/>
      <c r="M156" s="359">
        <v>126.0</v>
      </c>
      <c r="N156" s="297"/>
      <c r="O156" s="298">
        <v>1.0</v>
      </c>
      <c r="P156" s="297"/>
      <c r="Q156" s="297"/>
      <c r="R156" s="298" t="s">
        <v>674</v>
      </c>
      <c r="S156" s="137"/>
      <c r="T156" s="295"/>
      <c r="U156" s="137"/>
      <c r="V156" s="137"/>
      <c r="W156" s="137"/>
      <c r="X156" s="137"/>
      <c r="Y156" s="137"/>
      <c r="Z156" s="137"/>
    </row>
    <row r="157">
      <c r="A157" s="301" t="s">
        <v>627</v>
      </c>
      <c r="B157" s="311" t="s">
        <v>903</v>
      </c>
      <c r="C157" s="280" t="s">
        <v>904</v>
      </c>
      <c r="D157" s="289">
        <f>ROUND((F157*'Pawn Weights'!$B$40)+(G157*'Pawn Weights'!$B$41)+(H157*'Pawn Weights'!$B$42)+(I157*'Pawn Weights'!$B$43)+(J157*'Pawn Weights'!$B$44)+(K157*'Pawn Weights'!$B$45)+(L157*'Pawn Weights'!$B$46)+(M157*'Pawn Weights'!$B$47)+(N157*'Pawn Weights'!$B$48)+(O157*'Pawn Weights'!$B$49)+(P157*'Pawn Weights'!B$50)+(Q157*'Pawn Weights'!$B$51)-19.36+18.44+6, 2)</f>
        <v>169.54</v>
      </c>
      <c r="E157" s="280"/>
      <c r="F157" s="280"/>
      <c r="G157" s="280"/>
      <c r="H157" s="280">
        <v>36.0</v>
      </c>
      <c r="I157" s="280">
        <v>17.0</v>
      </c>
      <c r="J157" s="280">
        <v>25.0</v>
      </c>
      <c r="K157" s="280"/>
      <c r="L157" s="280"/>
      <c r="M157" s="281"/>
      <c r="N157" s="280"/>
      <c r="O157" s="280">
        <v>1.0</v>
      </c>
      <c r="P157" s="280">
        <v>1.0</v>
      </c>
      <c r="Q157" s="280"/>
      <c r="R157" s="290" t="s">
        <v>809</v>
      </c>
      <c r="S157" s="281"/>
      <c r="T157" s="291"/>
      <c r="U157" s="281"/>
      <c r="V157" s="281"/>
      <c r="W157" s="281"/>
    </row>
    <row r="158">
      <c r="A158" s="309"/>
      <c r="B158" s="288" t="s">
        <v>1241</v>
      </c>
      <c r="C158" s="280" t="s">
        <v>683</v>
      </c>
      <c r="D158" s="289">
        <f>ROUND((F158*'Pawn Weights'!$B$40)+(G158*'Pawn Weights'!$B$41)+(H158*'Pawn Weights'!$B$42)+(I158*'Pawn Weights'!$B$43)+(J158*'Pawn Weights'!$B$44)+(K158*'Pawn Weights'!$B$45)+(L158*'Pawn Weights'!$B$46)+(M158*'Pawn Weights'!$B$47)+(N158*'Pawn Weights'!$B$48)+(O158*'Pawn Weights'!$B$49)+(P158*'Pawn Weights'!B$50)+(Q158*'Pawn Weights'!$B$51), 2)</f>
        <v>149.98</v>
      </c>
      <c r="E158" s="280">
        <v>41.0</v>
      </c>
      <c r="F158" s="280"/>
      <c r="G158" s="280">
        <v>42.0</v>
      </c>
      <c r="H158" s="280">
        <v>58.0</v>
      </c>
      <c r="I158" s="280"/>
      <c r="J158" s="280"/>
      <c r="K158" s="280"/>
      <c r="L158" s="280"/>
      <c r="M158" s="281"/>
      <c r="N158" s="280"/>
      <c r="O158" s="280"/>
      <c r="P158" s="280"/>
      <c r="Q158" s="280"/>
      <c r="R158" s="290"/>
      <c r="S158" s="281"/>
      <c r="T158" s="291"/>
      <c r="U158" s="281"/>
      <c r="V158" s="281"/>
      <c r="W158" s="281"/>
    </row>
    <row r="159">
      <c r="A159" s="309"/>
      <c r="B159" s="311" t="s">
        <v>1803</v>
      </c>
      <c r="C159" s="280" t="s">
        <v>1804</v>
      </c>
      <c r="D159" s="289">
        <f>ROUND((F159*'Pawn Weights'!$B$40)+(G159*'Pawn Weights'!$B$41)+(H159*'Pawn Weights'!$B$42)+(I159*'Pawn Weights'!$B$43)+(J159*'Pawn Weights'!$B$44)+(K159*'Pawn Weights'!$B$45)+(L159*'Pawn Weights'!$B$46)+(M159*'Pawn Weights'!$B$47)+(N159*'Pawn Weights'!$B$48)+(O159*'Pawn Weights'!$B$49)+(P159*'Pawn Weights'!B$50)+(Q159*'Pawn Weights'!$B$51), 2)</f>
        <v>128.14</v>
      </c>
      <c r="E159" s="280">
        <v>25.0</v>
      </c>
      <c r="F159" s="280"/>
      <c r="G159" s="280"/>
      <c r="H159" s="280">
        <v>64.0</v>
      </c>
      <c r="I159" s="280">
        <v>19.0</v>
      </c>
      <c r="J159" s="280">
        <v>13.0</v>
      </c>
      <c r="K159" s="280"/>
      <c r="L159" s="280"/>
      <c r="M159" s="281"/>
      <c r="N159" s="280"/>
      <c r="O159" s="280"/>
      <c r="P159" s="280"/>
      <c r="Q159" s="280"/>
      <c r="R159" s="290"/>
      <c r="S159" s="281"/>
      <c r="T159" s="291"/>
      <c r="U159" s="281"/>
      <c r="V159" s="281"/>
      <c r="W159" s="281"/>
    </row>
    <row r="160">
      <c r="A160" s="309"/>
      <c r="B160" s="288" t="s">
        <v>1805</v>
      </c>
      <c r="C160" s="280" t="s">
        <v>1806</v>
      </c>
      <c r="D160" s="289">
        <f>ROUND((F160*'Pawn Weights'!$B$40)+(G160*'Pawn Weights'!$B$41)+(H160*'Pawn Weights'!$B$42)+(I160*'Pawn Weights'!$B$43)+(J160*'Pawn Weights'!$B$44)+(K160*'Pawn Weights'!$B$45)+(L160*'Pawn Weights'!$B$46)+(M160*'Pawn Weights'!$B$47)+(N160*'Pawn Weights'!$B$48)+(O160*'Pawn Weights'!$B$49)+(P160*'Pawn Weights'!B$50)+(Q160*'Pawn Weights'!$B$51), 2)</f>
        <v>121.89</v>
      </c>
      <c r="E160" s="280">
        <v>30.0</v>
      </c>
      <c r="F160" s="280"/>
      <c r="G160" s="280">
        <v>31.0</v>
      </c>
      <c r="H160" s="280">
        <v>54.0</v>
      </c>
      <c r="I160" s="280"/>
      <c r="J160" s="280"/>
      <c r="K160" s="280"/>
      <c r="L160" s="280"/>
      <c r="M160" s="281"/>
      <c r="N160" s="280"/>
      <c r="O160" s="280"/>
      <c r="P160" s="280"/>
      <c r="Q160" s="280"/>
      <c r="R160" s="290"/>
      <c r="S160" s="281"/>
      <c r="T160" s="291"/>
      <c r="U160" s="281"/>
      <c r="V160" s="281"/>
      <c r="W160" s="281"/>
    </row>
    <row r="161">
      <c r="A161" s="309"/>
      <c r="B161" s="311" t="s">
        <v>1807</v>
      </c>
      <c r="C161" s="280" t="s">
        <v>1808</v>
      </c>
      <c r="D161" s="289">
        <f>ROUND((F161*'Pawn Weights'!$B$40)+(G161*'Pawn Weights'!$B$41)+(H161*'Pawn Weights'!$B$42)+(I161*'Pawn Weights'!$B$43)+(J161*'Pawn Weights'!$B$44)+(K161*'Pawn Weights'!$B$45)+(L161*'Pawn Weights'!$B$46)+(M161*'Pawn Weights'!$B$47)+(N161*'Pawn Weights'!$B$48)+(O161*'Pawn Weights'!$B$49)+(P161*'Pawn Weights'!B$50)+(Q161*'Pawn Weights'!$B$51)-19.36+18.44+7.26, 2)</f>
        <v>117.74</v>
      </c>
      <c r="E161" s="280">
        <v>30.0</v>
      </c>
      <c r="F161" s="280"/>
      <c r="G161" s="280"/>
      <c r="H161" s="280">
        <v>40.0</v>
      </c>
      <c r="I161" s="280">
        <v>19.0</v>
      </c>
      <c r="J161" s="280"/>
      <c r="K161" s="280"/>
      <c r="L161" s="280"/>
      <c r="M161" s="281"/>
      <c r="N161" s="280"/>
      <c r="O161" s="280">
        <v>1.0</v>
      </c>
      <c r="P161" s="280">
        <v>1.0</v>
      </c>
      <c r="Q161" s="280"/>
      <c r="R161" s="290" t="s">
        <v>832</v>
      </c>
      <c r="S161" s="281"/>
      <c r="T161" s="291"/>
      <c r="U161" s="281"/>
      <c r="V161" s="281"/>
      <c r="W161" s="281"/>
    </row>
    <row r="162">
      <c r="A162" s="309"/>
      <c r="B162" s="288" t="s">
        <v>1809</v>
      </c>
      <c r="C162" s="280" t="s">
        <v>1224</v>
      </c>
      <c r="D162" s="289">
        <f>ROUND((F162*'Pawn Weights'!$B$40)+(G162*'Pawn Weights'!$B$41)+(H162*'Pawn Weights'!$B$42)+(I162*'Pawn Weights'!$B$43)+(J162*'Pawn Weights'!$B$44)+(K162*'Pawn Weights'!$B$45)+(L162*'Pawn Weights'!$B$46)+(M162*'Pawn Weights'!$B$47)+(N162*'Pawn Weights'!$B$48)+(O162*'Pawn Weights'!$B$49)+(P162*'Pawn Weights'!B$50)+(Q162*'Pawn Weights'!$B$51), 2)</f>
        <v>98.72</v>
      </c>
      <c r="E162" s="280">
        <v>33.0</v>
      </c>
      <c r="F162" s="280">
        <v>34.0</v>
      </c>
      <c r="G162" s="280">
        <v>28.0</v>
      </c>
      <c r="H162" s="280"/>
      <c r="I162" s="280"/>
      <c r="J162" s="280"/>
      <c r="K162" s="280"/>
      <c r="L162" s="280"/>
      <c r="M162" s="281"/>
      <c r="N162" s="280"/>
      <c r="O162" s="280"/>
      <c r="P162" s="280"/>
      <c r="Q162" s="280"/>
      <c r="R162" s="290"/>
      <c r="S162" s="281"/>
      <c r="T162" s="291"/>
      <c r="U162" s="281"/>
      <c r="V162" s="281"/>
      <c r="W162" s="281"/>
    </row>
    <row r="163">
      <c r="A163" s="224" t="s">
        <v>905</v>
      </c>
      <c r="B163" s="281"/>
      <c r="C163" s="281"/>
      <c r="D163" s="360"/>
      <c r="E163" s="281"/>
      <c r="F163" s="281"/>
      <c r="G163" s="281"/>
      <c r="H163" s="281"/>
      <c r="I163" s="281"/>
      <c r="J163" s="281"/>
      <c r="K163" s="281"/>
      <c r="L163" s="281"/>
      <c r="M163" s="281"/>
      <c r="N163" s="281"/>
      <c r="O163" s="281"/>
      <c r="P163" s="281"/>
      <c r="Q163" s="281"/>
      <c r="R163" s="282"/>
      <c r="S163" s="281"/>
      <c r="T163" s="285"/>
      <c r="U163" s="281"/>
      <c r="V163" s="281"/>
      <c r="W163" s="281"/>
    </row>
    <row r="164">
      <c r="A164" s="295" t="s">
        <v>627</v>
      </c>
      <c r="B164" s="341" t="s">
        <v>910</v>
      </c>
      <c r="C164" s="361" t="s">
        <v>911</v>
      </c>
      <c r="D164" s="289">
        <f>ROUND((F164*'Pawn Weights'!$B$40)+(G164*'Pawn Weights'!$B$41)+(H164*'Pawn Weights'!$B$42)+(I164*'Pawn Weights'!$B$43)+(J164*'Pawn Weights'!$B$44)+(K164*'Pawn Weights'!$B$45)+(L164*'Pawn Weights'!$B$46)+(M164*'Pawn Weights'!$B$47)+(N164*'Pawn Weights'!$B$48)+(O164*'Pawn Weights'!$B$49)+(P164*'Pawn Weights'!B$50)+(Q164*'Pawn Weights'!$B$51), 2)</f>
        <v>183.34</v>
      </c>
      <c r="E164" s="359">
        <v>42.0</v>
      </c>
      <c r="F164" s="361"/>
      <c r="G164" s="359">
        <v>30.0</v>
      </c>
      <c r="H164" s="359">
        <v>58.0</v>
      </c>
      <c r="I164" s="361"/>
      <c r="J164" s="361"/>
      <c r="K164" s="359">
        <v>28.0</v>
      </c>
      <c r="L164" s="361"/>
      <c r="M164" s="137"/>
      <c r="N164" s="361"/>
      <c r="O164" s="361"/>
      <c r="P164" s="361"/>
      <c r="Q164" s="361"/>
      <c r="R164" s="137"/>
      <c r="S164" s="137"/>
      <c r="T164" s="137"/>
      <c r="U164" s="137"/>
      <c r="V164" s="137"/>
      <c r="W164" s="137"/>
      <c r="X164" s="137"/>
      <c r="Y164" s="137"/>
      <c r="Z164" s="137"/>
    </row>
    <row r="165">
      <c r="A165" s="295"/>
      <c r="B165" s="341" t="s">
        <v>908</v>
      </c>
      <c r="C165" s="361" t="s">
        <v>909</v>
      </c>
      <c r="D165" s="289">
        <f>ROUND((F165*'Pawn Weights'!$B$40)+(G165*'Pawn Weights'!$B$41)+(H165*'Pawn Weights'!$B$42)+(I165*'Pawn Weights'!$B$43)+(J165*'Pawn Weights'!$B$44)+(K165*'Pawn Weights'!$B$45)+(L165*'Pawn Weights'!$B$46)+(M165*'Pawn Weights'!$B$47)+(N165*'Pawn Weights'!$B$48)+(O165*'Pawn Weights'!$B$49)+(P165*'Pawn Weights'!B$50)+(Q165*'Pawn Weights'!$B$51), 2)</f>
        <v>159.31</v>
      </c>
      <c r="E165" s="359">
        <v>28.0</v>
      </c>
      <c r="F165" s="361"/>
      <c r="G165" s="359">
        <v>29.0</v>
      </c>
      <c r="H165" s="359">
        <v>58.0</v>
      </c>
      <c r="I165" s="361"/>
      <c r="J165" s="361"/>
      <c r="K165" s="361"/>
      <c r="L165" s="361"/>
      <c r="M165" s="359">
        <v>126.0</v>
      </c>
      <c r="N165" s="361"/>
      <c r="O165" s="361"/>
      <c r="P165" s="361"/>
      <c r="Q165" s="361"/>
      <c r="R165" s="137"/>
      <c r="S165" s="137"/>
      <c r="T165" s="137"/>
      <c r="U165" s="137"/>
      <c r="V165" s="137"/>
      <c r="W165" s="137"/>
      <c r="X165" s="137"/>
      <c r="Y165" s="137"/>
      <c r="Z165" s="137"/>
    </row>
    <row r="166">
      <c r="A166" s="281"/>
      <c r="B166" s="288" t="s">
        <v>927</v>
      </c>
      <c r="C166" s="280" t="s">
        <v>710</v>
      </c>
      <c r="D166" s="289">
        <f>ROUND((F166*'Pawn Weights'!$B$40)+(G166*'Pawn Weights'!$B$41)+(H166*'Pawn Weights'!$B$42)+(I166*'Pawn Weights'!$B$43)+(J166*'Pawn Weights'!$B$44)+(K166*'Pawn Weights'!$B$45)+(L166*'Pawn Weights'!$B$46)+(M166*'Pawn Weights'!$B$47)+(N166*'Pawn Weights'!$B$48)+(O166*'Pawn Weights'!$B$49)+(P166*'Pawn Weights'!B$50)+(Q166*'Pawn Weights'!$B$51), 2)</f>
        <v>148.54</v>
      </c>
      <c r="E166" s="280">
        <v>19.0</v>
      </c>
      <c r="F166" s="280"/>
      <c r="G166" s="280">
        <v>24.0</v>
      </c>
      <c r="H166" s="280">
        <v>50.0</v>
      </c>
      <c r="I166" s="280"/>
      <c r="J166" s="280">
        <v>19.0</v>
      </c>
      <c r="K166" s="280"/>
      <c r="L166" s="280"/>
      <c r="M166" s="281"/>
      <c r="N166" s="280"/>
      <c r="O166" s="280"/>
      <c r="P166" s="280"/>
      <c r="Q166" s="280"/>
      <c r="R166" s="290"/>
      <c r="S166" s="281"/>
      <c r="T166" s="291"/>
      <c r="U166" s="281"/>
      <c r="V166" s="281"/>
      <c r="W166" s="281"/>
    </row>
    <row r="167">
      <c r="A167" s="281"/>
      <c r="B167" s="288" t="s">
        <v>917</v>
      </c>
      <c r="C167" s="280" t="s">
        <v>741</v>
      </c>
      <c r="D167" s="289">
        <f>ROUND((F167*'Pawn Weights'!$B$40)+(G167*'Pawn Weights'!$B$41)+(H167*'Pawn Weights'!$B$42)+(I167*'Pawn Weights'!$B$43)+(J167*'Pawn Weights'!$B$44)+(K167*'Pawn Weights'!$B$45)+(L167*'Pawn Weights'!$B$46)+(M167*'Pawn Weights'!$B$47)+(N167*'Pawn Weights'!$B$48)+(O167*'Pawn Weights'!$B$49)+(P167*'Pawn Weights'!B$50)+(Q167*'Pawn Weights'!$B$51), 2)</f>
        <v>147.72</v>
      </c>
      <c r="E167" s="280">
        <v>27.0</v>
      </c>
      <c r="F167" s="280"/>
      <c r="G167" s="280"/>
      <c r="H167" s="280">
        <v>56.0</v>
      </c>
      <c r="I167" s="280">
        <v>28.0</v>
      </c>
      <c r="J167" s="280">
        <v>18.0</v>
      </c>
      <c r="K167" s="280"/>
      <c r="L167" s="280"/>
      <c r="M167" s="281"/>
      <c r="N167" s="280"/>
      <c r="O167" s="280"/>
      <c r="P167" s="280"/>
      <c r="Q167" s="280"/>
      <c r="R167" s="290"/>
      <c r="S167" s="281"/>
      <c r="T167" s="291"/>
      <c r="U167" s="281"/>
      <c r="V167" s="281"/>
      <c r="W167" s="281"/>
    </row>
    <row r="168">
      <c r="A168" s="281"/>
      <c r="B168" s="288" t="s">
        <v>922</v>
      </c>
      <c r="C168" s="280" t="s">
        <v>708</v>
      </c>
      <c r="D168" s="289">
        <f>ROUND((F168*'Pawn Weights'!$B$40)+(G168*'Pawn Weights'!$B$41)+(H168*'Pawn Weights'!$B$42)+(I168*'Pawn Weights'!$B$43)+(J168*'Pawn Weights'!$B$44)+(K168*'Pawn Weights'!$B$45)+(L168*'Pawn Weights'!$B$46)+(M168*'Pawn Weights'!$B$47)+(N168*'Pawn Weights'!$B$48)+(O168*'Pawn Weights'!$B$49)+(P168*'Pawn Weights'!B$50)+(Q168*'Pawn Weights'!$B$51), 2)</f>
        <v>130.98</v>
      </c>
      <c r="E168" s="280"/>
      <c r="F168" s="280"/>
      <c r="G168" s="280"/>
      <c r="H168" s="280">
        <v>62.0</v>
      </c>
      <c r="I168" s="280">
        <v>19.0</v>
      </c>
      <c r="J168" s="280">
        <v>15.0</v>
      </c>
      <c r="K168" s="280"/>
      <c r="L168" s="280"/>
      <c r="M168" s="281"/>
      <c r="N168" s="280"/>
      <c r="O168" s="280"/>
      <c r="P168" s="280"/>
      <c r="Q168" s="280"/>
      <c r="R168" s="290"/>
      <c r="S168" s="281"/>
      <c r="T168" s="291"/>
      <c r="U168" s="281"/>
      <c r="V168" s="281"/>
      <c r="W168" s="281"/>
    </row>
    <row r="169">
      <c r="A169" s="281"/>
      <c r="B169" s="288" t="s">
        <v>923</v>
      </c>
      <c r="C169" s="280" t="s">
        <v>656</v>
      </c>
      <c r="D169" s="289">
        <f>ROUND((F169*'Pawn Weights'!$B$40)+(G169*'Pawn Weights'!$B$41)+(H169*'Pawn Weights'!$B$42)+(I169*'Pawn Weights'!$B$43)+(J169*'Pawn Weights'!$B$44)+(K169*'Pawn Weights'!$B$45)+(L169*'Pawn Weights'!$B$46)+(M169*'Pawn Weights'!$B$47)+(N169*'Pawn Weights'!$B$48)+(O169*'Pawn Weights'!$B$49)+(P169*'Pawn Weights'!B$50)+(Q169*'Pawn Weights'!$B$51), 2)</f>
        <v>129.54</v>
      </c>
      <c r="E169" s="280">
        <v>21.0</v>
      </c>
      <c r="F169" s="280"/>
      <c r="G169" s="280"/>
      <c r="H169" s="280">
        <v>44.0</v>
      </c>
      <c r="I169" s="280">
        <v>23.0</v>
      </c>
      <c r="J169" s="280">
        <v>19.0</v>
      </c>
      <c r="K169" s="280"/>
      <c r="L169" s="280"/>
      <c r="M169" s="281"/>
      <c r="N169" s="280"/>
      <c r="O169" s="280"/>
      <c r="P169" s="280"/>
      <c r="Q169" s="280"/>
      <c r="R169" s="290"/>
      <c r="S169" s="281"/>
      <c r="T169" s="291"/>
      <c r="U169" s="281"/>
      <c r="V169" s="281"/>
      <c r="W169" s="281"/>
    </row>
    <row r="170">
      <c r="A170" s="281"/>
      <c r="B170" s="288" t="s">
        <v>1115</v>
      </c>
      <c r="C170" s="280" t="s">
        <v>1116</v>
      </c>
      <c r="D170" s="289">
        <f>ROUND((F170*'Pawn Weights'!$B$40)+(G170*'Pawn Weights'!$B$41)+(H170*'Pawn Weights'!$B$42)+(I170*'Pawn Weights'!$B$43)+(J170*'Pawn Weights'!$B$44)+(K170*'Pawn Weights'!$B$45)+(L170*'Pawn Weights'!$B$46)+(M170*'Pawn Weights'!$B$47)+(N170*'Pawn Weights'!$B$48)+(O170*'Pawn Weights'!$B$49)+(P170*'Pawn Weights'!B$50)+(Q170*'Pawn Weights'!$B$51), 2)</f>
        <v>127.36</v>
      </c>
      <c r="E170" s="280">
        <v>25.0</v>
      </c>
      <c r="F170" s="280"/>
      <c r="G170" s="280">
        <v>20.0</v>
      </c>
      <c r="H170" s="280">
        <v>40.0</v>
      </c>
      <c r="I170" s="280"/>
      <c r="J170" s="280">
        <v>18.0</v>
      </c>
      <c r="K170" s="280"/>
      <c r="L170" s="280"/>
      <c r="M170" s="281"/>
      <c r="N170" s="280"/>
      <c r="O170" s="280"/>
      <c r="P170" s="280"/>
      <c r="Q170" s="280"/>
      <c r="R170" s="290"/>
      <c r="S170" s="281"/>
      <c r="T170" s="291"/>
      <c r="U170" s="281"/>
      <c r="V170" s="281"/>
      <c r="W170" s="281"/>
    </row>
    <row r="171">
      <c r="A171" s="137" t="s">
        <v>671</v>
      </c>
      <c r="B171" s="296" t="s">
        <v>915</v>
      </c>
      <c r="C171" s="297" t="s">
        <v>916</v>
      </c>
      <c r="D171" s="289">
        <f>ROUND((F171*'Pawn Weights'!$B$40)+(G171*'Pawn Weights'!$B$41)+(H171*'Pawn Weights'!$B$42)+(I171*'Pawn Weights'!$B$43)+(J171*'Pawn Weights'!$B$44)+(K171*'Pawn Weights'!$B$45)+(L171*'Pawn Weights'!$B$46)+(M171*'Pawn Weights'!$B$47)+(N171*'Pawn Weights'!$B$48)+(O171*'Pawn Weights'!$B$49)+(P171*'Pawn Weights'!B$50)+(Q171*'Pawn Weights'!$B$51), 2)</f>
        <v>120.4</v>
      </c>
      <c r="E171" s="298">
        <v>38.0</v>
      </c>
      <c r="F171" s="297"/>
      <c r="G171" s="297"/>
      <c r="H171" s="298">
        <v>52.0</v>
      </c>
      <c r="I171" s="298">
        <v>30.0</v>
      </c>
      <c r="J171" s="297"/>
      <c r="K171" s="297"/>
      <c r="L171" s="297"/>
      <c r="M171" s="359">
        <v>56.0</v>
      </c>
      <c r="N171" s="297"/>
      <c r="O171" s="297"/>
      <c r="P171" s="297"/>
      <c r="Q171" s="297"/>
      <c r="R171" s="295"/>
      <c r="S171" s="137"/>
      <c r="T171" s="297" t="s">
        <v>861</v>
      </c>
      <c r="U171" s="137"/>
      <c r="V171" s="137"/>
      <c r="W171" s="137"/>
      <c r="X171" s="137"/>
      <c r="Y171" s="137"/>
      <c r="Z171" s="137"/>
    </row>
    <row r="172">
      <c r="A172" s="281"/>
      <c r="B172" s="288" t="s">
        <v>1111</v>
      </c>
      <c r="C172" s="280" t="s">
        <v>1112</v>
      </c>
      <c r="D172" s="289">
        <f>ROUND((F172*'Pawn Weights'!$B$40)+(G172*'Pawn Weights'!$B$41)+(H172*'Pawn Weights'!$B$42)+(I172*'Pawn Weights'!$B$43)+(J172*'Pawn Weights'!$B$44)+(K172*'Pawn Weights'!$B$45)+(L172*'Pawn Weights'!$B$46)+(M172*'Pawn Weights'!$B$47)+(N172*'Pawn Weights'!$B$48)+(O172*'Pawn Weights'!$B$49)+(P172*'Pawn Weights'!B$50)+(Q172*'Pawn Weights'!$B$51), 2)</f>
        <v>120.38</v>
      </c>
      <c r="E172" s="280"/>
      <c r="F172" s="280"/>
      <c r="G172" s="280"/>
      <c r="H172" s="280">
        <v>40.0</v>
      </c>
      <c r="I172" s="280">
        <v>20.0</v>
      </c>
      <c r="J172" s="280">
        <v>19.0</v>
      </c>
      <c r="K172" s="280"/>
      <c r="L172" s="280"/>
      <c r="M172" s="281"/>
      <c r="N172" s="280"/>
      <c r="O172" s="280"/>
      <c r="P172" s="280"/>
      <c r="Q172" s="280"/>
      <c r="R172" s="290"/>
      <c r="S172" s="281"/>
      <c r="T172" s="291"/>
      <c r="U172" s="281"/>
      <c r="V172" s="281"/>
      <c r="W172" s="281"/>
    </row>
    <row r="173">
      <c r="A173" s="281"/>
      <c r="B173" s="288" t="s">
        <v>1242</v>
      </c>
      <c r="C173" s="280" t="s">
        <v>1243</v>
      </c>
      <c r="D173" s="289">
        <f>ROUND((F173*'Pawn Weights'!$B$40)+(G173*'Pawn Weights'!$B$41)+(H173*'Pawn Weights'!$B$42)+(I173*'Pawn Weights'!$B$43)+(J173*'Pawn Weights'!$B$44)+(K173*'Pawn Weights'!$B$45)+(L173*'Pawn Weights'!$B$46)+(M173*'Pawn Weights'!$B$47)+(N173*'Pawn Weights'!$B$48)+(O173*'Pawn Weights'!$B$49)+(P173*'Pawn Weights'!B$50)+(Q173*'Pawn Weights'!$B$51), 2)</f>
        <v>116.5</v>
      </c>
      <c r="E173" s="280">
        <v>28.0</v>
      </c>
      <c r="F173" s="280"/>
      <c r="G173" s="280"/>
      <c r="H173" s="280">
        <v>56.0</v>
      </c>
      <c r="I173" s="280"/>
      <c r="J173" s="280">
        <v>25.0</v>
      </c>
      <c r="K173" s="280"/>
      <c r="L173" s="280"/>
      <c r="M173" s="281"/>
      <c r="N173" s="280"/>
      <c r="O173" s="280"/>
      <c r="P173" s="280"/>
      <c r="Q173" s="280"/>
      <c r="R173" s="290"/>
      <c r="S173" s="281"/>
      <c r="T173" s="291"/>
      <c r="U173" s="281"/>
      <c r="V173" s="281"/>
      <c r="W173" s="281"/>
    </row>
    <row r="174">
      <c r="A174" s="281"/>
      <c r="B174" s="288" t="s">
        <v>1244</v>
      </c>
      <c r="C174" s="280" t="s">
        <v>1245</v>
      </c>
      <c r="D174" s="289">
        <f>ROUND((F174*'Pawn Weights'!$B$40)+(G174*'Pawn Weights'!$B$41)+(H174*'Pawn Weights'!$B$42)+(I174*'Pawn Weights'!$B$43)+(J174*'Pawn Weights'!$B$44)+(K174*'Pawn Weights'!$B$45)+(L174*'Pawn Weights'!$B$46)+(M174*'Pawn Weights'!$B$47)+(N174*'Pawn Weights'!$B$48)+(O174*'Pawn Weights'!$B$49)+(P174*'Pawn Weights'!B$50)+(Q174*'Pawn Weights'!$B$51), 2)</f>
        <v>107.75</v>
      </c>
      <c r="E174" s="280">
        <v>18.0</v>
      </c>
      <c r="F174" s="280"/>
      <c r="G174" s="280">
        <v>25.0</v>
      </c>
      <c r="H174" s="280"/>
      <c r="I174" s="280"/>
      <c r="J174" s="280"/>
      <c r="K174" s="280"/>
      <c r="L174" s="280">
        <v>20.0</v>
      </c>
      <c r="M174" s="281"/>
      <c r="N174" s="280"/>
      <c r="O174" s="280"/>
      <c r="P174" s="280"/>
      <c r="Q174" s="280"/>
      <c r="R174" s="290"/>
      <c r="S174" s="281"/>
      <c r="T174" s="291" t="s">
        <v>1246</v>
      </c>
      <c r="U174" s="281"/>
      <c r="V174" s="281"/>
      <c r="W174" s="281"/>
    </row>
    <row r="175">
      <c r="A175" s="281"/>
      <c r="B175" s="311" t="s">
        <v>1646</v>
      </c>
      <c r="C175" s="280" t="s">
        <v>1647</v>
      </c>
      <c r="D175" s="289">
        <f>ROUND((F175*'Pawn Weights'!$B$40)+(G175*'Pawn Weights'!$B$41)+(H175*'Pawn Weights'!$B$42)+(I175*'Pawn Weights'!$B$43)+(J175*'Pawn Weights'!$B$44)+(K175*'Pawn Weights'!$B$45)+(L175*'Pawn Weights'!$B$46)+(M175*'Pawn Weights'!$B$47)+(N175*'Pawn Weights'!$B$48)+(O175*'Pawn Weights'!$B$49)+(P175*'Pawn Weights'!B$50)+(Q175*'Pawn Weights'!$B$51), 2)</f>
        <v>107.05</v>
      </c>
      <c r="E175" s="280"/>
      <c r="F175" s="280"/>
      <c r="G175" s="280">
        <v>15.0</v>
      </c>
      <c r="H175" s="280">
        <v>50.0</v>
      </c>
      <c r="I175" s="280"/>
      <c r="J175" s="280">
        <v>10.0</v>
      </c>
      <c r="K175" s="280"/>
      <c r="L175" s="280"/>
      <c r="M175" s="281"/>
      <c r="N175" s="280"/>
      <c r="O175" s="280"/>
      <c r="P175" s="280"/>
      <c r="Q175" s="280"/>
      <c r="R175" s="290"/>
      <c r="S175" s="281"/>
      <c r="T175" s="291"/>
      <c r="U175" s="281"/>
      <c r="V175" s="281"/>
      <c r="W175" s="281"/>
    </row>
    <row r="176">
      <c r="A176" s="281"/>
      <c r="B176" s="288" t="s">
        <v>1640</v>
      </c>
      <c r="C176" s="280" t="s">
        <v>1641</v>
      </c>
      <c r="D176" s="289">
        <f>ROUND((F176*'Pawn Weights'!$B$40)+(G176*'Pawn Weights'!$B$41)+(H176*'Pawn Weights'!$B$42)+(I176*'Pawn Weights'!$B$43)+(J176*'Pawn Weights'!$B$44)+(K176*'Pawn Weights'!$B$45)+(L176*'Pawn Weights'!$B$46)+(M176*'Pawn Weights'!$B$47)+(N176*'Pawn Weights'!$B$48)+(O176*'Pawn Weights'!$B$49)+(P176*'Pawn Weights'!B$50)+(Q176*'Pawn Weights'!$B$51), 2)</f>
        <v>106.56</v>
      </c>
      <c r="E176" s="280">
        <v>27.0</v>
      </c>
      <c r="F176" s="280"/>
      <c r="G176" s="280">
        <v>24.0</v>
      </c>
      <c r="H176" s="280">
        <v>54.0</v>
      </c>
      <c r="I176" s="280"/>
      <c r="J176" s="280"/>
      <c r="K176" s="280"/>
      <c r="L176" s="280"/>
      <c r="M176" s="281"/>
      <c r="N176" s="280"/>
      <c r="O176" s="280"/>
      <c r="P176" s="280"/>
      <c r="Q176" s="280"/>
      <c r="R176" s="290"/>
      <c r="S176" s="281"/>
      <c r="T176" s="291"/>
      <c r="U176" s="281"/>
      <c r="V176" s="281"/>
      <c r="W176" s="281"/>
    </row>
    <row r="177">
      <c r="A177" s="137" t="s">
        <v>991</v>
      </c>
      <c r="B177" s="296" t="s">
        <v>1109</v>
      </c>
      <c r="C177" s="297" t="s">
        <v>1110</v>
      </c>
      <c r="D177" s="289">
        <f>ROUND((F177*'Pawn Weights'!$B$40)+(G177*'Pawn Weights'!$B$41)+(H177*'Pawn Weights'!$B$42)+(I177*'Pawn Weights'!$B$43)+(J177*'Pawn Weights'!$B$44)+(K177*'Pawn Weights'!$B$45)+(L177*'Pawn Weights'!$B$46)+(M177*'Pawn Weights'!$B$47)+(N177*'Pawn Weights'!$B$48)+(O177*'Pawn Weights'!$B$49)+(P177*'Pawn Weights'!B$50)+(Q177*'Pawn Weights'!$B$51), 2)</f>
        <v>105.52</v>
      </c>
      <c r="E177" s="298">
        <v>34.0</v>
      </c>
      <c r="F177" s="297"/>
      <c r="G177" s="297"/>
      <c r="H177" s="298">
        <v>44.0</v>
      </c>
      <c r="I177" s="298">
        <v>26.0</v>
      </c>
      <c r="J177" s="297"/>
      <c r="K177" s="297"/>
      <c r="L177" s="297"/>
      <c r="M177" s="359">
        <v>56.0</v>
      </c>
      <c r="N177" s="297"/>
      <c r="O177" s="297"/>
      <c r="P177" s="297"/>
      <c r="Q177" s="295"/>
      <c r="R177" s="295"/>
      <c r="S177" s="137"/>
      <c r="T177" s="298" t="s">
        <v>861</v>
      </c>
      <c r="U177" s="137"/>
      <c r="V177" s="137"/>
      <c r="W177" s="137"/>
      <c r="X177" s="137"/>
      <c r="Y177" s="137"/>
      <c r="Z177" s="137"/>
    </row>
    <row r="178">
      <c r="A178" s="281"/>
      <c r="B178" s="311" t="s">
        <v>1810</v>
      </c>
      <c r="C178" s="280" t="s">
        <v>1592</v>
      </c>
      <c r="D178" s="289">
        <f>ROUND((F178*'Pawn Weights'!$B$40)+(G178*'Pawn Weights'!$B$41)+(H178*'Pawn Weights'!$B$42)+(I178*'Pawn Weights'!$B$43)+(J178*'Pawn Weights'!$B$44)+(K178*'Pawn Weights'!$B$45)+(L178*'Pawn Weights'!$B$46)+(M178*'Pawn Weights'!$B$47)+(N178*'Pawn Weights'!$B$48)+(O178*'Pawn Weights'!$B$49)+(P178*'Pawn Weights'!B$50)+(Q178*'Pawn Weights'!$B$51), 2)</f>
        <v>105.26</v>
      </c>
      <c r="E178" s="280">
        <v>15.0</v>
      </c>
      <c r="F178" s="280"/>
      <c r="G178" s="280">
        <v>20.0</v>
      </c>
      <c r="H178" s="280">
        <v>30.0</v>
      </c>
      <c r="I178" s="280"/>
      <c r="J178" s="280">
        <v>13.0</v>
      </c>
      <c r="K178" s="280"/>
      <c r="L178" s="280"/>
      <c r="M178" s="281"/>
      <c r="N178" s="280"/>
      <c r="O178" s="280"/>
      <c r="P178" s="280"/>
      <c r="Q178" s="280"/>
      <c r="R178" s="290"/>
      <c r="S178" s="281"/>
      <c r="T178" s="291"/>
      <c r="U178" s="281"/>
      <c r="V178" s="281"/>
      <c r="W178" s="281"/>
    </row>
    <row r="179">
      <c r="A179" s="281"/>
      <c r="B179" s="311" t="s">
        <v>1811</v>
      </c>
      <c r="C179" s="280" t="s">
        <v>1812</v>
      </c>
      <c r="D179" s="289">
        <f>ROUND((F179*'Pawn Weights'!$B$40)+(G179*'Pawn Weights'!$B$41)+(H179*'Pawn Weights'!$B$42)+(I179*'Pawn Weights'!$B$43)+(J179*'Pawn Weights'!$B$44)+(K179*'Pawn Weights'!$B$45)+(L179*'Pawn Weights'!$B$46)+(M179*'Pawn Weights'!$B$47)+(N179*'Pawn Weights'!$B$48)+(O179*'Pawn Weights'!$B$49)+(P179*'Pawn Weights'!B$50)+(Q179*'Pawn Weights'!$B$51), 2)</f>
        <v>102.67</v>
      </c>
      <c r="E179" s="280"/>
      <c r="F179" s="280"/>
      <c r="G179" s="280">
        <v>13.0</v>
      </c>
      <c r="H179" s="280">
        <v>50.0</v>
      </c>
      <c r="I179" s="280"/>
      <c r="J179" s="280">
        <v>10.0</v>
      </c>
      <c r="K179" s="280"/>
      <c r="L179" s="280"/>
      <c r="M179" s="281"/>
      <c r="N179" s="280"/>
      <c r="O179" s="280"/>
      <c r="P179" s="280"/>
      <c r="Q179" s="280"/>
      <c r="R179" s="290"/>
      <c r="S179" s="281"/>
      <c r="T179" s="291"/>
      <c r="U179" s="281"/>
      <c r="V179" s="281"/>
      <c r="W179" s="281"/>
    </row>
    <row r="180">
      <c r="A180" s="292" t="s">
        <v>965</v>
      </c>
      <c r="B180" s="288" t="s">
        <v>1427</v>
      </c>
      <c r="C180" s="280" t="s">
        <v>1428</v>
      </c>
      <c r="D180" s="289">
        <f>ROUND((F180*'Pawn Weights'!$B$40)+(G180*'Pawn Weights'!$B$41)+(H180*'Pawn Weights'!$B$42)+(I180*'Pawn Weights'!$B$43)+(J180*'Pawn Weights'!$B$44)+(K180*'Pawn Weights'!$B$45)+(L180*'Pawn Weights'!$B$46)+(M180*'Pawn Weights'!$B$47)+(N180*'Pawn Weights'!$B$48)+(O180*'Pawn Weights'!$B$49)+(P180*'Pawn Weights'!B$50)+(Q180*'Pawn Weights'!$B$51), 2)</f>
        <v>100.28</v>
      </c>
      <c r="E180" s="280"/>
      <c r="F180" s="280"/>
      <c r="G180" s="280"/>
      <c r="H180" s="280">
        <v>52.0</v>
      </c>
      <c r="I180" s="280">
        <v>14.0</v>
      </c>
      <c r="J180" s="280">
        <v>10.0</v>
      </c>
      <c r="K180" s="280"/>
      <c r="L180" s="280"/>
      <c r="M180" s="281"/>
      <c r="N180" s="280"/>
      <c r="O180" s="280"/>
      <c r="P180" s="280"/>
      <c r="Q180" s="280"/>
      <c r="R180" s="290"/>
      <c r="S180" s="281"/>
      <c r="T180" s="291"/>
      <c r="U180" s="281"/>
      <c r="V180" s="281"/>
      <c r="W180" s="281"/>
    </row>
    <row r="181">
      <c r="A181" s="281"/>
      <c r="B181" s="311" t="s">
        <v>1813</v>
      </c>
      <c r="C181" s="280" t="s">
        <v>1596</v>
      </c>
      <c r="D181" s="289">
        <f>ROUND((F181*'Pawn Weights'!$B$40)+(G181*'Pawn Weights'!$B$41)+(H181*'Pawn Weights'!$B$42)+(I181*'Pawn Weights'!$B$43)+(J181*'Pawn Weights'!$B$44)+(K181*'Pawn Weights'!$B$45)+(L181*'Pawn Weights'!$B$46)+(M181*'Pawn Weights'!$B$47)+(N181*'Pawn Weights'!$B$48)+(O181*'Pawn Weights'!$B$49)+(P181*'Pawn Weights'!B$50)+(Q181*'Pawn Weights'!$B$51), 2)</f>
        <v>91.58</v>
      </c>
      <c r="E181" s="280">
        <v>15.0</v>
      </c>
      <c r="F181" s="280"/>
      <c r="G181" s="280"/>
      <c r="H181" s="280">
        <v>24.0</v>
      </c>
      <c r="I181" s="280">
        <v>21.0</v>
      </c>
      <c r="J181" s="280">
        <v>13.0</v>
      </c>
      <c r="K181" s="280"/>
      <c r="L181" s="280"/>
      <c r="M181" s="281"/>
      <c r="N181" s="280"/>
      <c r="O181" s="280"/>
      <c r="P181" s="280"/>
      <c r="Q181" s="280"/>
      <c r="R181" s="290"/>
      <c r="S181" s="281"/>
      <c r="T181" s="291"/>
      <c r="U181" s="281"/>
      <c r="V181" s="281"/>
      <c r="W181" s="281"/>
    </row>
    <row r="182">
      <c r="A182" s="281"/>
      <c r="B182" s="311" t="s">
        <v>1814</v>
      </c>
      <c r="C182" s="280" t="s">
        <v>1305</v>
      </c>
      <c r="D182" s="289">
        <f>ROUND((F182*'Pawn Weights'!$B$40)+(G182*'Pawn Weights'!$B$41)+(H182*'Pawn Weights'!$B$42)+(I182*'Pawn Weights'!$B$43)+(J182*'Pawn Weights'!$B$44)+(K182*'Pawn Weights'!$B$45)+(L182*'Pawn Weights'!$B$46)+(M182*'Pawn Weights'!$B$47)+(N182*'Pawn Weights'!$B$48)+(O182*'Pawn Weights'!$B$49)+(P182*'Pawn Weights'!B$50)+(Q182*'Pawn Weights'!$B$51), 2)</f>
        <v>86.18</v>
      </c>
      <c r="E182" s="280">
        <v>18.0</v>
      </c>
      <c r="F182" s="280"/>
      <c r="G182" s="280">
        <v>22.0</v>
      </c>
      <c r="H182" s="280">
        <v>38.0</v>
      </c>
      <c r="I182" s="280"/>
      <c r="J182" s="280"/>
      <c r="K182" s="280"/>
      <c r="L182" s="280"/>
      <c r="M182" s="281"/>
      <c r="N182" s="280"/>
      <c r="O182" s="280"/>
      <c r="P182" s="280"/>
      <c r="Q182" s="280"/>
      <c r="R182" s="290"/>
      <c r="S182" s="281"/>
      <c r="T182" s="291"/>
      <c r="U182" s="281"/>
      <c r="V182" s="281"/>
      <c r="W182" s="281"/>
    </row>
    <row r="183">
      <c r="A183" s="281"/>
      <c r="B183" s="288" t="s">
        <v>1429</v>
      </c>
      <c r="C183" s="280" t="s">
        <v>1430</v>
      </c>
      <c r="D183" s="289">
        <f>ROUND((F183*'Pawn Weights'!$B$40)+(G183*'Pawn Weights'!$B$41)+(H183*'Pawn Weights'!$B$42)+(I183*'Pawn Weights'!$B$43)+(J183*'Pawn Weights'!$B$44)+(K183*'Pawn Weights'!$B$45)+(L183*'Pawn Weights'!$B$46)+(M183*'Pawn Weights'!$B$47)+(N183*'Pawn Weights'!$B$48)+(O183*'Pawn Weights'!$B$49)+(P183*'Pawn Weights'!B$50)+(Q183*'Pawn Weights'!$B$51), 2)</f>
        <v>85.56</v>
      </c>
      <c r="E183" s="280">
        <v>24.0</v>
      </c>
      <c r="F183" s="280"/>
      <c r="G183" s="280"/>
      <c r="H183" s="280">
        <v>46.0</v>
      </c>
      <c r="I183" s="280">
        <v>23.0</v>
      </c>
      <c r="J183" s="280"/>
      <c r="K183" s="280"/>
      <c r="L183" s="280"/>
      <c r="M183" s="281"/>
      <c r="N183" s="280"/>
      <c r="O183" s="280"/>
      <c r="P183" s="280"/>
      <c r="Q183" s="280"/>
      <c r="R183" s="290"/>
      <c r="S183" s="281"/>
      <c r="T183" s="290"/>
      <c r="U183" s="281"/>
      <c r="V183" s="281"/>
      <c r="W183" s="281"/>
    </row>
    <row r="184">
      <c r="A184" s="224" t="s">
        <v>928</v>
      </c>
      <c r="B184" s="401" t="s">
        <v>929</v>
      </c>
      <c r="C184" s="281"/>
      <c r="D184" s="360"/>
      <c r="E184" s="313" t="s">
        <v>607</v>
      </c>
      <c r="F184" s="314" t="s">
        <v>608</v>
      </c>
      <c r="G184" s="314" t="s">
        <v>561</v>
      </c>
      <c r="H184" s="314" t="s">
        <v>930</v>
      </c>
      <c r="I184" s="314" t="s">
        <v>330</v>
      </c>
      <c r="J184" s="314" t="s">
        <v>344</v>
      </c>
      <c r="K184" s="314" t="s">
        <v>356</v>
      </c>
      <c r="L184" s="314" t="s">
        <v>563</v>
      </c>
      <c r="M184" s="314" t="s">
        <v>564</v>
      </c>
      <c r="N184" s="281"/>
      <c r="O184" s="281"/>
      <c r="P184" s="281"/>
      <c r="Q184" s="281"/>
      <c r="R184" s="282"/>
      <c r="S184" s="281"/>
      <c r="T184" s="282"/>
      <c r="U184" s="281"/>
      <c r="V184" s="281"/>
      <c r="W184" s="281"/>
    </row>
    <row r="185">
      <c r="A185" s="281"/>
      <c r="B185" s="288" t="s">
        <v>936</v>
      </c>
      <c r="C185" s="280" t="s">
        <v>823</v>
      </c>
      <c r="D185" s="289">
        <f>ROUND((F185*'Pawn Weights'!$B$40)+(G185*'Pawn Weights'!$B$41)+(H185*'Pawn Weights'!$B$42)+(I185*'Pawn Weights'!$B$43)+(J185*'Pawn Weights'!$B$44)+(K185*'Pawn Weights'!$B$45)+(L185*'Pawn Weights'!$B$46)+(M185*'Pawn Weights'!$B$47)+(N185*'Pawn Weights'!$B$48)+(O185*'Pawn Weights'!$B$49)+(P185*'Pawn Weights'!B$50)+(Q185*'Pawn Weights'!$B$51), 2)</f>
        <v>240.75</v>
      </c>
      <c r="E185" s="280"/>
      <c r="F185" s="280"/>
      <c r="G185" s="280"/>
      <c r="H185" s="280">
        <v>40.0</v>
      </c>
      <c r="I185" s="280"/>
      <c r="J185" s="280"/>
      <c r="K185" s="280">
        <v>94.25</v>
      </c>
      <c r="L185" s="280"/>
      <c r="M185" s="281"/>
      <c r="N185" s="280"/>
      <c r="O185" s="280"/>
      <c r="P185" s="280"/>
      <c r="Q185" s="280"/>
      <c r="R185" s="290"/>
      <c r="S185" s="281"/>
      <c r="T185" s="290" t="s">
        <v>937</v>
      </c>
      <c r="U185" s="280"/>
      <c r="V185" s="281"/>
      <c r="W185" s="281"/>
    </row>
    <row r="186">
      <c r="A186" s="137"/>
      <c r="B186" s="296" t="s">
        <v>938</v>
      </c>
      <c r="C186" s="297" t="s">
        <v>939</v>
      </c>
      <c r="D186" s="289">
        <f>ROUND((F186*'Pawn Weights'!$B$40)+(G186*'Pawn Weights'!$B$41)+(H186*'Pawn Weights'!$B$42)+(I186*'Pawn Weights'!$B$43)+(J186*'Pawn Weights'!$B$44)+(K186*'Pawn Weights'!$B$45)+(L186*'Pawn Weights'!$B$46)+(M186*'Pawn Weights'!$B$47)+(N186*'Pawn Weights'!$B$48)+(O186*'Pawn Weights'!$B$49)+(P186*'Pawn Weights'!B$50)+(Q186*'Pawn Weights'!$B$51), 2)</f>
        <v>208.6</v>
      </c>
      <c r="E186" s="297"/>
      <c r="F186" s="295"/>
      <c r="G186" s="295"/>
      <c r="H186" s="298">
        <v>92.0</v>
      </c>
      <c r="I186" s="295"/>
      <c r="J186" s="295"/>
      <c r="K186" s="295"/>
      <c r="L186" s="298">
        <v>44.0</v>
      </c>
      <c r="M186" s="137"/>
      <c r="N186" s="297"/>
      <c r="O186" s="297"/>
      <c r="P186" s="297"/>
      <c r="Q186" s="297"/>
      <c r="R186" s="295"/>
      <c r="S186" s="137"/>
      <c r="T186" s="298" t="s">
        <v>940</v>
      </c>
      <c r="U186" s="295"/>
      <c r="V186" s="137"/>
      <c r="W186" s="137"/>
      <c r="X186" s="137"/>
      <c r="Y186" s="137"/>
      <c r="Z186" s="137"/>
    </row>
    <row r="187">
      <c r="A187" s="301" t="s">
        <v>943</v>
      </c>
      <c r="B187" s="288" t="s">
        <v>1249</v>
      </c>
      <c r="C187" s="280" t="s">
        <v>1195</v>
      </c>
      <c r="D187" s="289">
        <f>ROUND((F187*'Pawn Weights'!$B$40)+(G187*'Pawn Weights'!$B$41)+(H187*'Pawn Weights'!$B$42)+(I187*'Pawn Weights'!$B$43)+(J187*'Pawn Weights'!$B$44)+(K187*'Pawn Weights'!$B$45)+(L187*'Pawn Weights'!$B$46)+(M187*'Pawn Weights'!$B$47)+(N187*'Pawn Weights'!$B$48)+(O187*'Pawn Weights'!$B$49)+(P187*'Pawn Weights'!B$50)+(Q187*'Pawn Weights'!$B$51), 2)</f>
        <v>167.82</v>
      </c>
      <c r="E187" s="280"/>
      <c r="F187" s="280"/>
      <c r="G187" s="280"/>
      <c r="H187" s="280"/>
      <c r="I187" s="280"/>
      <c r="J187" s="280">
        <v>21.0</v>
      </c>
      <c r="K187" s="280"/>
      <c r="L187" s="280"/>
      <c r="M187" s="280">
        <v>390.0</v>
      </c>
      <c r="N187" s="280"/>
      <c r="O187" s="280"/>
      <c r="P187" s="280"/>
      <c r="Q187" s="280"/>
      <c r="R187" s="290"/>
      <c r="S187" s="281"/>
      <c r="T187" s="290" t="s">
        <v>1250</v>
      </c>
      <c r="U187" s="280"/>
      <c r="V187" s="281"/>
      <c r="W187" s="281"/>
    </row>
    <row r="188">
      <c r="A188" s="292" t="s">
        <v>949</v>
      </c>
      <c r="B188" s="288" t="s">
        <v>950</v>
      </c>
      <c r="C188" s="280" t="s">
        <v>951</v>
      </c>
      <c r="D188" s="289">
        <f>ROUND((F188*'Pawn Weights'!$B$40)+(G188*'Pawn Weights'!$B$41)+(H188*'Pawn Weights'!$B$42)+(I188*'Pawn Weights'!$B$43)+(J188*'Pawn Weights'!$B$44)+(K188*'Pawn Weights'!$B$45)+(L188*'Pawn Weights'!$B$46)+(M188*'Pawn Weights'!$B$47)+(N188*'Pawn Weights'!$B$48)+(O188*'Pawn Weights'!$B$49)+(P188*'Pawn Weights'!B$50)+(Q188*'Pawn Weights'!$B$51), 2)</f>
        <v>150</v>
      </c>
      <c r="E188" s="280"/>
      <c r="F188" s="280"/>
      <c r="G188" s="280"/>
      <c r="H188" s="280">
        <v>150.0</v>
      </c>
      <c r="I188" s="280"/>
      <c r="J188" s="280"/>
      <c r="K188" s="280"/>
      <c r="L188" s="280"/>
      <c r="M188" s="281"/>
      <c r="N188" s="280"/>
      <c r="O188" s="280"/>
      <c r="P188" s="280"/>
      <c r="Q188" s="280"/>
      <c r="R188" s="290"/>
      <c r="S188" s="281"/>
      <c r="T188" s="290" t="s">
        <v>952</v>
      </c>
      <c r="U188" s="281"/>
      <c r="V188" s="281"/>
      <c r="W188" s="281"/>
    </row>
    <row r="189">
      <c r="A189" s="281"/>
      <c r="B189" s="288" t="s">
        <v>956</v>
      </c>
      <c r="C189" s="280" t="s">
        <v>957</v>
      </c>
      <c r="D189" s="289">
        <f>ROUND((F189*'Pawn Weights'!$B$40)+(G189*'Pawn Weights'!$B$41)+(H189*'Pawn Weights'!$B$42)+(I189*'Pawn Weights'!$B$43)+(J189*'Pawn Weights'!$B$44)+(K189*'Pawn Weights'!$B$45)+(L189*'Pawn Weights'!$B$46)+(M189*'Pawn Weights'!$B$47)+(N189*'Pawn Weights'!$B$48)+(O189*'Pawn Weights'!$B$49)+(P189*'Pawn Weights'!B$50)+(Q189*'Pawn Weights'!$B$51), 2)</f>
        <v>133.56</v>
      </c>
      <c r="E189" s="280"/>
      <c r="F189" s="280"/>
      <c r="G189" s="280"/>
      <c r="H189" s="280">
        <v>44.0</v>
      </c>
      <c r="I189" s="280">
        <v>38.0</v>
      </c>
      <c r="J189" s="280">
        <v>10.0</v>
      </c>
      <c r="K189" s="280"/>
      <c r="L189" s="280"/>
      <c r="M189" s="281"/>
      <c r="N189" s="280"/>
      <c r="O189" s="280"/>
      <c r="P189" s="280"/>
      <c r="Q189" s="280"/>
      <c r="R189" s="290"/>
      <c r="S189" s="281"/>
      <c r="T189" s="290" t="s">
        <v>958</v>
      </c>
      <c r="U189" s="281"/>
      <c r="V189" s="281"/>
      <c r="W189" s="281"/>
    </row>
    <row r="190">
      <c r="A190" s="137" t="s">
        <v>627</v>
      </c>
      <c r="B190" s="296" t="s">
        <v>953</v>
      </c>
      <c r="C190" s="297" t="s">
        <v>954</v>
      </c>
      <c r="D190" s="289">
        <f>ROUND((F190*'Pawn Weights'!$B$40)+(G190*'Pawn Weights'!$B$41)+(H190*'Pawn Weights'!$B$42)+(I190*'Pawn Weights'!$B$43)+(J190*'Pawn Weights'!$B$44)+(K190*'Pawn Weights'!$B$45)+(L190*'Pawn Weights'!$B$46)+(M190*'Pawn Weights'!$B$47)+(N190*'Pawn Weights'!$B$48)+(O190*'Pawn Weights'!$B$49)+(P190*'Pawn Weights'!B$50)+(Q190*'Pawn Weights'!$B$51), 2)</f>
        <v>133.33</v>
      </c>
      <c r="E190" s="295"/>
      <c r="F190" s="295"/>
      <c r="G190" s="295"/>
      <c r="H190" s="298">
        <v>133.33</v>
      </c>
      <c r="I190" s="295"/>
      <c r="J190" s="295"/>
      <c r="K190" s="295"/>
      <c r="L190" s="295"/>
      <c r="M190" s="137"/>
      <c r="N190" s="295"/>
      <c r="O190" s="295"/>
      <c r="P190" s="295"/>
      <c r="Q190" s="295"/>
      <c r="R190" s="295"/>
      <c r="S190" s="137"/>
      <c r="T190" s="298" t="s">
        <v>955</v>
      </c>
      <c r="U190" s="137"/>
      <c r="V190" s="137"/>
      <c r="W190" s="137"/>
      <c r="X190" s="137"/>
      <c r="Y190" s="137"/>
      <c r="Z190" s="137"/>
    </row>
    <row r="191">
      <c r="A191" s="281"/>
      <c r="B191" s="288" t="s">
        <v>959</v>
      </c>
      <c r="C191" s="154" t="s">
        <v>960</v>
      </c>
      <c r="D191" s="289">
        <f>ROUND((F191*'Pawn Weights'!$B$40)+(G191*'Pawn Weights'!$B$41)+(H191*'Pawn Weights'!$B$42)+(I191*'Pawn Weights'!$B$43)+(J191*'Pawn Weights'!$B$44)+(K191*'Pawn Weights'!$B$45)+(L191*'Pawn Weights'!$B$46)+(M191*'Pawn Weights'!$B$47)+(N191*'Pawn Weights'!$B$48)+(O191*'Pawn Weights'!$B$49)+(P191*'Pawn Weights'!B$50)+(Q191*'Pawn Weights'!$B$51), 2)</f>
        <v>120</v>
      </c>
      <c r="E191" s="280"/>
      <c r="F191" s="280"/>
      <c r="G191" s="280"/>
      <c r="H191" s="280">
        <v>120.0</v>
      </c>
      <c r="I191" s="280"/>
      <c r="J191" s="280"/>
      <c r="K191" s="280"/>
      <c r="L191" s="280"/>
      <c r="M191" s="280"/>
      <c r="N191" s="280"/>
      <c r="O191" s="280"/>
      <c r="P191" s="280"/>
      <c r="Q191" s="280"/>
      <c r="R191" s="290"/>
      <c r="S191" s="281"/>
      <c r="T191" s="290" t="s">
        <v>961</v>
      </c>
      <c r="U191" s="281"/>
      <c r="V191" s="281"/>
      <c r="W191" s="281"/>
      <c r="X191" s="281"/>
    </row>
    <row r="192">
      <c r="A192" s="281"/>
      <c r="B192" s="288" t="s">
        <v>962</v>
      </c>
      <c r="C192" s="280" t="s">
        <v>963</v>
      </c>
      <c r="D192" s="289">
        <f>ROUND((F192*'Pawn Weights'!$B$40)+(G192*'Pawn Weights'!$B$41)+(H192*'Pawn Weights'!$B$42)+(I192*'Pawn Weights'!$B$43)+(J192*'Pawn Weights'!$B$44)+(K192*'Pawn Weights'!$B$45)+(L192*'Pawn Weights'!$B$46)+(M192*'Pawn Weights'!$B$47)+(N192*'Pawn Weights'!$B$48)+(O192*'Pawn Weights'!$B$49)+(P192*'Pawn Weights'!B$50)+(Q192*'Pawn Weights'!$B$51), 2)</f>
        <v>118</v>
      </c>
      <c r="E192" s="280"/>
      <c r="F192" s="280"/>
      <c r="G192" s="280"/>
      <c r="H192" s="280">
        <v>118.0</v>
      </c>
      <c r="I192" s="280"/>
      <c r="J192" s="280"/>
      <c r="K192" s="280"/>
      <c r="L192" s="280"/>
      <c r="M192" s="280"/>
      <c r="N192" s="280"/>
      <c r="O192" s="280"/>
      <c r="P192" s="280"/>
      <c r="Q192" s="280"/>
      <c r="R192" s="290"/>
      <c r="S192" s="281"/>
      <c r="T192" s="290" t="s">
        <v>964</v>
      </c>
      <c r="U192" s="281"/>
      <c r="V192" s="281"/>
      <c r="W192" s="281"/>
      <c r="X192" s="281"/>
    </row>
    <row r="193">
      <c r="A193" s="281"/>
      <c r="B193" s="311" t="s">
        <v>1357</v>
      </c>
      <c r="C193" s="280" t="s">
        <v>1358</v>
      </c>
      <c r="D193" s="289">
        <f>ROUND((F193*'Pawn Weights'!$B$40)+(G193*'Pawn Weights'!$B$41)+(H193*'Pawn Weights'!$B$42)+(I193*'Pawn Weights'!$B$43)+(J193*'Pawn Weights'!$B$44)+(K193*'Pawn Weights'!$B$45)+(L193*'Pawn Weights'!$B$46)+(M193*'Pawn Weights'!$B$47)+(N193*'Pawn Weights'!$B$48)+(O193*'Pawn Weights'!$B$49)+(P193*'Pawn Weights'!B$50)+(Q193*'Pawn Weights'!$B$51), 2)</f>
        <v>110.11</v>
      </c>
      <c r="E193" s="280"/>
      <c r="F193" s="280"/>
      <c r="G193" s="280"/>
      <c r="H193" s="280">
        <v>64.0</v>
      </c>
      <c r="I193" s="280"/>
      <c r="J193" s="280"/>
      <c r="K193" s="280">
        <v>21.65</v>
      </c>
      <c r="L193" s="280"/>
      <c r="M193" s="281"/>
      <c r="N193" s="280"/>
      <c r="O193" s="280"/>
      <c r="P193" s="280"/>
      <c r="Q193" s="280"/>
      <c r="R193" s="290"/>
      <c r="S193" s="281"/>
      <c r="T193" s="290" t="s">
        <v>1359</v>
      </c>
      <c r="U193" s="281"/>
      <c r="V193" s="281"/>
      <c r="W193" s="281"/>
    </row>
    <row r="194">
      <c r="A194" s="292" t="s">
        <v>965</v>
      </c>
      <c r="B194" s="288" t="s">
        <v>966</v>
      </c>
      <c r="C194" s="280" t="s">
        <v>967</v>
      </c>
      <c r="D194" s="289">
        <f>ROUND((F194*'Pawn Weights'!$B$40)+(G194*'Pawn Weights'!$B$41)+(H194*'Pawn Weights'!$B$42)+(I194*'Pawn Weights'!$B$43)+(J194*'Pawn Weights'!$B$44)+(K194*'Pawn Weights'!$B$45)+(L194*'Pawn Weights'!$B$46)+(M194*'Pawn Weights'!$B$47)+(N194*'Pawn Weights'!$B$48)+(O194*'Pawn Weights'!$B$49)+(P194*'Pawn Weights'!B$50)+(Q194*'Pawn Weights'!$B$51), 2)</f>
        <v>107</v>
      </c>
      <c r="E194" s="280"/>
      <c r="F194" s="280"/>
      <c r="G194" s="280"/>
      <c r="H194" s="280">
        <v>107.0</v>
      </c>
      <c r="I194" s="280"/>
      <c r="J194" s="280"/>
      <c r="K194" s="280"/>
      <c r="L194" s="280"/>
      <c r="M194" s="281"/>
      <c r="N194" s="280"/>
      <c r="O194" s="280"/>
      <c r="P194" s="280"/>
      <c r="Q194" s="280"/>
      <c r="R194" s="290"/>
      <c r="S194" s="281"/>
      <c r="T194" s="290" t="s">
        <v>968</v>
      </c>
      <c r="U194" s="281"/>
      <c r="V194" s="281"/>
      <c r="W194" s="281"/>
    </row>
    <row r="195">
      <c r="A195" s="292" t="s">
        <v>965</v>
      </c>
      <c r="B195" s="288" t="s">
        <v>1658</v>
      </c>
      <c r="C195" s="280" t="s">
        <v>1659</v>
      </c>
      <c r="D195" s="289">
        <f>ROUND((F195*'Pawn Weights'!$B$40)+(G195*'Pawn Weights'!$B$41)+(H195*'Pawn Weights'!$B$42)+(I195*'Pawn Weights'!$B$43)+(J195*'Pawn Weights'!$B$44)+(K195*'Pawn Weights'!$B$45)+(L195*'Pawn Weights'!$B$46)+(M195*'Pawn Weights'!$B$47)+(N195*'Pawn Weights'!$B$48)+(O195*'Pawn Weights'!$B$49)+(P195*'Pawn Weights'!B$50)+(Q195*'Pawn Weights'!$B$51), 2)</f>
        <v>104.4</v>
      </c>
      <c r="E195" s="280"/>
      <c r="F195" s="280"/>
      <c r="G195" s="280"/>
      <c r="H195" s="280">
        <v>56.0</v>
      </c>
      <c r="I195" s="280"/>
      <c r="J195" s="280">
        <v>20.0</v>
      </c>
      <c r="K195" s="280"/>
      <c r="L195" s="280"/>
      <c r="M195" s="281"/>
      <c r="N195" s="280"/>
      <c r="O195" s="280"/>
      <c r="P195" s="280"/>
      <c r="Q195" s="280"/>
      <c r="R195" s="290"/>
      <c r="S195" s="281"/>
      <c r="T195" s="290" t="s">
        <v>1660</v>
      </c>
      <c r="U195" s="281"/>
      <c r="V195" s="281"/>
      <c r="W195" s="281"/>
    </row>
    <row r="196">
      <c r="A196" s="292"/>
      <c r="B196" s="311" t="s">
        <v>1815</v>
      </c>
      <c r="C196" s="280" t="s">
        <v>1816</v>
      </c>
      <c r="D196" s="289">
        <f>ROUND((F196*'Pawn Weights'!$B$40)+(G196*'Pawn Weights'!$B$41)+(H196*'Pawn Weights'!$B$42)+(I196*'Pawn Weights'!$B$43)+(J196*'Pawn Weights'!$B$44)+(K196*'Pawn Weights'!$B$45)+(L196*'Pawn Weights'!$B$46)+(M196*'Pawn Weights'!$B$47)+(N196*'Pawn Weights'!$B$48)+(O196*'Pawn Weights'!$B$49)+(P196*'Pawn Weights'!B$50)+(Q196*'Pawn Weights'!$B$51), 2)</f>
        <v>102.6</v>
      </c>
      <c r="E196" s="280"/>
      <c r="F196" s="280"/>
      <c r="G196" s="280"/>
      <c r="H196" s="280"/>
      <c r="I196" s="280"/>
      <c r="J196" s="280">
        <v>30.0</v>
      </c>
      <c r="K196" s="280"/>
      <c r="L196" s="280"/>
      <c r="M196" s="280">
        <v>100.0</v>
      </c>
      <c r="N196" s="280"/>
      <c r="O196" s="280"/>
      <c r="P196" s="280"/>
      <c r="Q196" s="280"/>
      <c r="R196" s="290"/>
      <c r="S196" s="281"/>
      <c r="T196" s="290" t="s">
        <v>1817</v>
      </c>
      <c r="U196" s="281"/>
      <c r="V196" s="281"/>
      <c r="W196" s="281"/>
    </row>
    <row r="197">
      <c r="A197" s="292" t="s">
        <v>965</v>
      </c>
      <c r="B197" s="288" t="s">
        <v>1661</v>
      </c>
      <c r="C197" s="280" t="s">
        <v>1662</v>
      </c>
      <c r="D197" s="289">
        <f>ROUND((F197*'Pawn Weights'!$B$40)+(G197*'Pawn Weights'!$B$41)+(H197*'Pawn Weights'!$B$42)+(I197*'Pawn Weights'!$B$43)+(J197*'Pawn Weights'!$B$44)+(K197*'Pawn Weights'!$B$45)+(L197*'Pawn Weights'!$B$46)+(M197*'Pawn Weights'!$B$47)+(N197*'Pawn Weights'!$B$48)+(O197*'Pawn Weights'!$B$49)+(P197*'Pawn Weights'!B$50)+(Q197*'Pawn Weights'!$B$51), 2)</f>
        <v>101.53</v>
      </c>
      <c r="E197" s="280"/>
      <c r="F197" s="280"/>
      <c r="G197" s="280"/>
      <c r="H197" s="280"/>
      <c r="I197" s="280">
        <v>14.0</v>
      </c>
      <c r="J197" s="280">
        <v>10.0</v>
      </c>
      <c r="K197" s="280">
        <v>25.0</v>
      </c>
      <c r="L197" s="280"/>
      <c r="M197" s="281"/>
      <c r="N197" s="280"/>
      <c r="O197" s="280"/>
      <c r="P197" s="280"/>
      <c r="Q197" s="280"/>
      <c r="R197" s="290"/>
      <c r="S197" s="281"/>
      <c r="T197" s="290" t="s">
        <v>1663</v>
      </c>
      <c r="U197" s="281"/>
      <c r="V197" s="281"/>
      <c r="W197" s="281"/>
    </row>
    <row r="198">
      <c r="A198" s="281"/>
      <c r="B198" s="311" t="s">
        <v>969</v>
      </c>
      <c r="C198" s="280" t="s">
        <v>970</v>
      </c>
      <c r="D198" s="289">
        <f>ROUND((F198*'Pawn Weights'!$B$40)+(G198*'Pawn Weights'!$B$41)+(H198*'Pawn Weights'!$B$42)+(I198*'Pawn Weights'!$B$43)+(J198*'Pawn Weights'!$B$44)+(K198*'Pawn Weights'!$B$45)+(L198*'Pawn Weights'!$B$46)+(M198*'Pawn Weights'!$B$47)+(N198*'Pawn Weights'!$B$48)+(O198*'Pawn Weights'!$B$49)+(P198*'Pawn Weights'!B$50)+(Q198*'Pawn Weights'!$B$51), 2)</f>
        <v>94.04</v>
      </c>
      <c r="E198" s="280"/>
      <c r="F198" s="280"/>
      <c r="G198" s="280"/>
      <c r="H198" s="280">
        <v>39.0</v>
      </c>
      <c r="I198" s="280">
        <v>32.0</v>
      </c>
      <c r="J198" s="280"/>
      <c r="K198" s="280"/>
      <c r="L198" s="280"/>
      <c r="M198" s="280"/>
      <c r="N198" s="280"/>
      <c r="O198" s="280"/>
      <c r="P198" s="280"/>
      <c r="Q198" s="280"/>
      <c r="R198" s="290"/>
      <c r="S198" s="281"/>
      <c r="T198" s="290" t="s">
        <v>971</v>
      </c>
      <c r="U198" s="280"/>
      <c r="V198" s="281"/>
      <c r="W198" s="281"/>
      <c r="X198" s="281"/>
    </row>
    <row r="199">
      <c r="A199" s="281"/>
      <c r="B199" s="322" t="s">
        <v>1655</v>
      </c>
      <c r="C199" s="280" t="s">
        <v>1656</v>
      </c>
      <c r="D199" s="289">
        <f>ROUND((F199*'Pawn Weights'!$B$40)+(G199*'Pawn Weights'!$B$41)+(H199*'Pawn Weights'!$B$42)+(I199*'Pawn Weights'!$B$43)+(J199*'Pawn Weights'!$B$44)+(K199*'Pawn Weights'!$B$45)+(L199*'Pawn Weights'!$B$46)+(M199*'Pawn Weights'!$B$47)+(N199*'Pawn Weights'!$B$48)+(O199*'Pawn Weights'!$B$49)+(P199*'Pawn Weights'!B$50)+(Q199*'Pawn Weights'!$B$51), 2)</f>
        <v>85</v>
      </c>
      <c r="E199" s="280"/>
      <c r="F199" s="280"/>
      <c r="G199" s="280"/>
      <c r="H199" s="280">
        <v>85.0</v>
      </c>
      <c r="I199" s="280"/>
      <c r="J199" s="280"/>
      <c r="K199" s="280"/>
      <c r="L199" s="280"/>
      <c r="M199" s="281"/>
      <c r="N199" s="280"/>
      <c r="O199" s="280"/>
      <c r="P199" s="280"/>
      <c r="Q199" s="280"/>
      <c r="R199" s="290"/>
      <c r="S199" s="281"/>
      <c r="T199" s="290" t="s">
        <v>1657</v>
      </c>
      <c r="U199" s="281"/>
      <c r="V199" s="281"/>
      <c r="W199" s="281"/>
    </row>
    <row r="200">
      <c r="A200" s="301" t="s">
        <v>1818</v>
      </c>
      <c r="B200" s="288" t="s">
        <v>1819</v>
      </c>
      <c r="C200" s="280" t="s">
        <v>1820</v>
      </c>
      <c r="D200" s="289">
        <f>ROUND((F200*'Pawn Weights'!$B$40)+(G200*'Pawn Weights'!$B$41)+(H200*'Pawn Weights'!$B$42)+(I200*'Pawn Weights'!$B$43)+(J200*'Pawn Weights'!$B$44)+(K200*'Pawn Weights'!$B$45)+(L200*'Pawn Weights'!$B$46)+(M200*'Pawn Weights'!$B$47)+(N200*'Pawn Weights'!$B$48)+(O200*'Pawn Weights'!$B$49)+(P200*'Pawn Weights'!B$50)+(Q200*'Pawn Weights'!$B$51), 2)</f>
        <v>84.7</v>
      </c>
      <c r="E200" s="280"/>
      <c r="F200" s="280"/>
      <c r="G200" s="280"/>
      <c r="H200" s="280"/>
      <c r="I200" s="280"/>
      <c r="J200" s="280">
        <v>35.0</v>
      </c>
      <c r="K200" s="280"/>
      <c r="L200" s="280"/>
      <c r="M200" s="280"/>
      <c r="N200" s="280"/>
      <c r="O200" s="280"/>
      <c r="P200" s="280"/>
      <c r="Q200" s="280"/>
      <c r="R200" s="290"/>
      <c r="S200" s="281"/>
      <c r="T200" s="290" t="s">
        <v>1821</v>
      </c>
      <c r="U200" s="280"/>
      <c r="V200" s="281"/>
      <c r="W200" s="281"/>
      <c r="X200" s="281"/>
    </row>
    <row r="201">
      <c r="A201" s="281"/>
      <c r="B201" s="311" t="s">
        <v>1652</v>
      </c>
      <c r="C201" s="280" t="s">
        <v>1653</v>
      </c>
      <c r="D201" s="289">
        <f>ROUND((F201*'Pawn Weights'!$B$40)+(G201*'Pawn Weights'!$B$41)+(H201*'Pawn Weights'!$B$42)+(I201*'Pawn Weights'!$B$43)+(J201*'Pawn Weights'!$B$44)+(K201*'Pawn Weights'!$B$45)+(L201*'Pawn Weights'!$B$46)+(M201*'Pawn Weights'!$B$47)+(N201*'Pawn Weights'!$B$48)+(O201*'Pawn Weights'!$B$49)+(P201*'Pawn Weights'!B$50)+(Q201*'Pawn Weights'!$B$51), 2)</f>
        <v>77.72</v>
      </c>
      <c r="E201" s="280"/>
      <c r="F201" s="280"/>
      <c r="G201" s="280"/>
      <c r="H201" s="280">
        <v>33.0</v>
      </c>
      <c r="I201" s="280">
        <v>26.0</v>
      </c>
      <c r="J201" s="280"/>
      <c r="K201" s="280"/>
      <c r="L201" s="280"/>
      <c r="M201" s="281"/>
      <c r="N201" s="280"/>
      <c r="O201" s="280"/>
      <c r="P201" s="280"/>
      <c r="Q201" s="280"/>
      <c r="R201" s="290"/>
      <c r="S201" s="281"/>
      <c r="T201" s="290" t="s">
        <v>1654</v>
      </c>
      <c r="U201" s="281"/>
      <c r="V201" s="281"/>
      <c r="W201" s="281"/>
    </row>
    <row r="202">
      <c r="A202" s="375"/>
      <c r="B202" s="322" t="s">
        <v>1822</v>
      </c>
      <c r="C202" s="280" t="s">
        <v>1823</v>
      </c>
      <c r="D202" s="289">
        <f>ROUND((F202*'Pawn Weights'!$B$40)+(G202*'Pawn Weights'!$B$41)+(H202*'Pawn Weights'!$B$42)+(I202*'Pawn Weights'!$B$43)+(J202*'Pawn Weights'!$B$44)+(K202*'Pawn Weights'!$B$45)+(L202*'Pawn Weights'!$B$46)+(M202*'Pawn Weights'!$B$47)+(N202*'Pawn Weights'!$B$48)+(O202*'Pawn Weights'!$B$49)+(P202*'Pawn Weights'!B$50)+(Q202*'Pawn Weights'!$B$51), 2)</f>
        <v>76.24</v>
      </c>
      <c r="E202" s="280"/>
      <c r="F202" s="280"/>
      <c r="G202" s="280"/>
      <c r="H202" s="280">
        <v>23.0</v>
      </c>
      <c r="I202" s="280"/>
      <c r="J202" s="280">
        <v>22.0</v>
      </c>
      <c r="K202" s="280"/>
      <c r="L202" s="280"/>
      <c r="M202" s="281"/>
      <c r="N202" s="280"/>
      <c r="O202" s="280"/>
      <c r="P202" s="280"/>
      <c r="Q202" s="280"/>
      <c r="R202" s="290"/>
      <c r="S202" s="281"/>
      <c r="T202" s="290"/>
      <c r="U202" s="281"/>
      <c r="V202" s="281"/>
      <c r="W202" s="281"/>
    </row>
    <row r="203">
      <c r="A203" s="224" t="s">
        <v>972</v>
      </c>
      <c r="B203" s="281"/>
      <c r="C203" s="281"/>
      <c r="D203" s="301"/>
      <c r="E203" s="281"/>
      <c r="F203" s="281"/>
      <c r="G203" s="281"/>
      <c r="H203" s="281"/>
      <c r="I203" s="281"/>
      <c r="J203" s="281"/>
      <c r="K203" s="281"/>
      <c r="L203" s="281"/>
      <c r="M203" s="281"/>
      <c r="N203" s="281"/>
      <c r="O203" s="281"/>
      <c r="P203" s="281"/>
      <c r="Q203" s="281"/>
      <c r="R203" s="282"/>
      <c r="S203" s="281"/>
      <c r="T203" s="282"/>
      <c r="U203" s="281"/>
      <c r="V203" s="281"/>
      <c r="W203" s="281"/>
    </row>
    <row r="204">
      <c r="A204" s="295"/>
      <c r="B204" s="341" t="s">
        <v>979</v>
      </c>
      <c r="C204" s="361" t="s">
        <v>980</v>
      </c>
      <c r="D204" s="289">
        <f>ROUND((F204*'Pawn Weights'!$B$40)+(G204*'Pawn Weights'!$B$41)+(H204*'Pawn Weights'!$B$42)+(I204*'Pawn Weights'!$B$43)+(J204*'Pawn Weights'!$B$44)+(K204*'Pawn Weights'!$B$45)+(L204*'Pawn Weights'!$B$46)+(M204*'Pawn Weights'!$B$47)+(N204*'Pawn Weights'!$B$48)+(O204*'Pawn Weights'!$B$49)+(P204*'Pawn Weights'!B$50)+(Q204*'Pawn Weights'!$B$51), 2)</f>
        <v>96.84</v>
      </c>
      <c r="E204" s="137"/>
      <c r="F204" s="137"/>
      <c r="G204" s="137"/>
      <c r="H204" s="359">
        <v>32.0</v>
      </c>
      <c r="I204" s="359">
        <v>18.0</v>
      </c>
      <c r="J204" s="359">
        <v>14.0</v>
      </c>
      <c r="K204" s="137"/>
      <c r="L204" s="137"/>
      <c r="M204" s="137"/>
      <c r="N204" s="137"/>
      <c r="O204" s="137"/>
      <c r="P204" s="137"/>
      <c r="Q204" s="137"/>
      <c r="R204" s="137"/>
      <c r="S204" s="137"/>
      <c r="T204" s="137"/>
      <c r="U204" s="137"/>
      <c r="V204" s="137"/>
      <c r="W204" s="137"/>
      <c r="X204" s="137"/>
      <c r="Y204" s="137"/>
      <c r="Z204" s="137"/>
    </row>
    <row r="205">
      <c r="A205" s="137"/>
      <c r="B205" s="296" t="s">
        <v>1123</v>
      </c>
      <c r="C205" s="297" t="s">
        <v>1025</v>
      </c>
      <c r="D205" s="289">
        <f>ROUND((F205*'Pawn Weights'!$B$40)+(G205*'Pawn Weights'!$B$41)+(H205*'Pawn Weights'!$B$42)+(I205*'Pawn Weights'!$B$43)+(J205*'Pawn Weights'!$B$44)+(K205*'Pawn Weights'!$B$45)+(L205*'Pawn Weights'!$B$46)+(M205*'Pawn Weights'!$B$47)+(N205*'Pawn Weights'!$B$48)+(O205*'Pawn Weights'!$B$49)+(P205*'Pawn Weights'!B$50)+(Q205*'Pawn Weights'!$B$51), 2)</f>
        <v>89.78</v>
      </c>
      <c r="E205" s="297"/>
      <c r="F205" s="297"/>
      <c r="G205" s="298">
        <v>20.0</v>
      </c>
      <c r="H205" s="297"/>
      <c r="I205" s="297"/>
      <c r="J205" s="298">
        <v>19.0</v>
      </c>
      <c r="K205" s="295"/>
      <c r="L205" s="295"/>
      <c r="M205" s="137"/>
      <c r="N205" s="295"/>
      <c r="O205" s="297"/>
      <c r="P205" s="295"/>
      <c r="Q205" s="295"/>
      <c r="R205" s="297"/>
      <c r="S205" s="137"/>
      <c r="T205" s="298"/>
      <c r="U205" s="137"/>
      <c r="V205" s="137"/>
      <c r="W205" s="137"/>
      <c r="X205" s="137"/>
      <c r="Y205" s="137"/>
      <c r="Z205" s="137"/>
    </row>
    <row r="206">
      <c r="A206" s="137"/>
      <c r="B206" s="296" t="s">
        <v>989</v>
      </c>
      <c r="C206" s="297" t="s">
        <v>990</v>
      </c>
      <c r="D206" s="289">
        <f>ROUND((F206*'Pawn Weights'!$B$40)+(G206*'Pawn Weights'!$B$41)+(H206*'Pawn Weights'!$B$42)+(I206*'Pawn Weights'!$B$43)+(J206*'Pawn Weights'!$B$44)+(K206*'Pawn Weights'!$B$45)+(L206*'Pawn Weights'!$B$46)+(M206*'Pawn Weights'!$B$47)+(N206*'Pawn Weights'!$B$48)+(O206*'Pawn Weights'!$B$49)+(P206*'Pawn Weights'!B$50)+(Q206*'Pawn Weights'!$B$51), 2)</f>
        <v>77.96</v>
      </c>
      <c r="E206" s="295"/>
      <c r="F206" s="295"/>
      <c r="G206" s="298">
        <v>14.0</v>
      </c>
      <c r="H206" s="298">
        <v>26.0</v>
      </c>
      <c r="I206" s="295"/>
      <c r="J206" s="295"/>
      <c r="K206" s="359">
        <v>10.0</v>
      </c>
      <c r="L206" s="137"/>
      <c r="M206" s="137"/>
      <c r="N206" s="137"/>
      <c r="O206" s="295"/>
      <c r="P206" s="137"/>
      <c r="Q206" s="137"/>
      <c r="R206" s="295"/>
      <c r="S206" s="137"/>
      <c r="T206" s="295"/>
      <c r="U206" s="137"/>
      <c r="V206" s="137"/>
      <c r="W206" s="137"/>
      <c r="X206" s="137"/>
      <c r="Y206" s="137"/>
      <c r="Z206" s="137"/>
    </row>
    <row r="207">
      <c r="A207" s="137"/>
      <c r="B207" s="296" t="s">
        <v>994</v>
      </c>
      <c r="C207" s="297" t="s">
        <v>656</v>
      </c>
      <c r="D207" s="289">
        <f>ROUND((F207*'Pawn Weights'!$B$40)+(G207*'Pawn Weights'!$B$41)+(H207*'Pawn Weights'!$B$42)+(I207*'Pawn Weights'!$B$43)+(J207*'Pawn Weights'!$B$44)+(K207*'Pawn Weights'!$B$45)+(L207*'Pawn Weights'!$B$46)+(M207*'Pawn Weights'!$B$47)+(N207*'Pawn Weights'!$B$48)+(O207*'Pawn Weights'!$B$49)+(P207*'Pawn Weights'!B$50)+(Q207*'Pawn Weights'!$B$51), 2)</f>
        <v>75.61</v>
      </c>
      <c r="E207" s="297"/>
      <c r="F207" s="297"/>
      <c r="G207" s="298">
        <v>19.0</v>
      </c>
      <c r="H207" s="298">
        <v>34.0</v>
      </c>
      <c r="I207" s="297"/>
      <c r="J207" s="297"/>
      <c r="K207" s="137"/>
      <c r="L207" s="137"/>
      <c r="M207" s="137"/>
      <c r="N207" s="137"/>
      <c r="O207" s="295"/>
      <c r="P207" s="137"/>
      <c r="Q207" s="137"/>
      <c r="R207" s="297"/>
      <c r="S207" s="137"/>
      <c r="T207" s="298"/>
      <c r="U207" s="137"/>
      <c r="V207" s="137"/>
      <c r="W207" s="137"/>
      <c r="X207" s="137"/>
      <c r="Y207" s="137"/>
      <c r="Z207" s="137"/>
    </row>
    <row r="208">
      <c r="A208" s="137"/>
      <c r="B208" s="296" t="s">
        <v>1251</v>
      </c>
      <c r="C208" s="297" t="s">
        <v>1252</v>
      </c>
      <c r="D208" s="289">
        <f>ROUND((F208*'Pawn Weights'!$B$40)+(G208*'Pawn Weights'!$B$41)+(H208*'Pawn Weights'!$B$42)+(I208*'Pawn Weights'!$B$43)+(J208*'Pawn Weights'!$B$44)+(K208*'Pawn Weights'!$B$45)+(L208*'Pawn Weights'!$B$46)+(M208*'Pawn Weights'!$B$47)+(N208*'Pawn Weights'!$B$48)+(O208*'Pawn Weights'!$B$49)+(P208*'Pawn Weights'!B$50)+(Q208*'Pawn Weights'!$B$51), 2)</f>
        <v>74.9</v>
      </c>
      <c r="E208" s="297"/>
      <c r="F208" s="297"/>
      <c r="G208" s="298">
        <v>12.0</v>
      </c>
      <c r="H208" s="298">
        <v>22.0</v>
      </c>
      <c r="I208" s="295"/>
      <c r="J208" s="298">
        <v>11.0</v>
      </c>
      <c r="K208" s="295"/>
      <c r="L208" s="295"/>
      <c r="M208" s="137"/>
      <c r="N208" s="295"/>
      <c r="O208" s="295"/>
      <c r="P208" s="295"/>
      <c r="Q208" s="295"/>
      <c r="R208" s="297"/>
      <c r="S208" s="137"/>
      <c r="T208" s="400"/>
      <c r="U208" s="137"/>
      <c r="V208" s="137"/>
      <c r="W208" s="137"/>
      <c r="X208" s="137"/>
      <c r="Y208" s="137"/>
      <c r="Z208" s="137"/>
    </row>
    <row r="209">
      <c r="A209" s="137"/>
      <c r="B209" s="296" t="s">
        <v>981</v>
      </c>
      <c r="C209" s="297" t="s">
        <v>982</v>
      </c>
      <c r="D209" s="289">
        <f>ROUND((F209*'Pawn Weights'!$B$40)+(G209*'Pawn Weights'!$B$41)+(H209*'Pawn Weights'!$B$42)+(I209*'Pawn Weights'!$B$43)+(J209*'Pawn Weights'!$B$44)+(K209*'Pawn Weights'!$B$45)+(L209*'Pawn Weights'!$B$46)+(M209*'Pawn Weights'!$B$47)+(N209*'Pawn Weights'!$B$48)+(O209*'Pawn Weights'!$B$49)+(P209*'Pawn Weights'!B$50)+(Q209*'Pawn Weights'!$B$51), 2)</f>
        <v>73.76</v>
      </c>
      <c r="E209" s="297"/>
      <c r="F209" s="297"/>
      <c r="G209" s="298">
        <v>16.0</v>
      </c>
      <c r="H209" s="297"/>
      <c r="I209" s="297"/>
      <c r="J209" s="297"/>
      <c r="K209" s="137"/>
      <c r="L209" s="137"/>
      <c r="M209" s="137"/>
      <c r="N209" s="137"/>
      <c r="O209" s="298">
        <v>2.0</v>
      </c>
      <c r="P209" s="137"/>
      <c r="Q209" s="137"/>
      <c r="R209" s="290" t="s">
        <v>702</v>
      </c>
      <c r="S209" s="137"/>
      <c r="T209" s="400"/>
      <c r="U209" s="137"/>
      <c r="V209" s="137"/>
      <c r="W209" s="137"/>
      <c r="X209" s="137"/>
      <c r="Y209" s="137"/>
      <c r="Z209" s="137"/>
    </row>
    <row r="210">
      <c r="A210" s="137"/>
      <c r="B210" s="296" t="s">
        <v>1253</v>
      </c>
      <c r="C210" s="297" t="s">
        <v>1078</v>
      </c>
      <c r="D210" s="289">
        <f>ROUND((F210*'Pawn Weights'!$B$40)+(G210*'Pawn Weights'!$B$41)+(H210*'Pawn Weights'!$B$42)+(I210*'Pawn Weights'!$B$43)+(J210*'Pawn Weights'!$B$44)+(K210*'Pawn Weights'!$B$45)+(L210*'Pawn Weights'!$B$46)+(M210*'Pawn Weights'!$B$47)+(N210*'Pawn Weights'!$B$48)+(O210*'Pawn Weights'!$B$49)+(P210*'Pawn Weights'!B$50)+(Q210*'Pawn Weights'!$B$51), 2)</f>
        <v>68.72</v>
      </c>
      <c r="E210" s="297"/>
      <c r="F210" s="297"/>
      <c r="G210" s="297"/>
      <c r="H210" s="316">
        <v>30.0</v>
      </c>
      <c r="I210" s="297"/>
      <c r="J210" s="298">
        <v>16.0</v>
      </c>
      <c r="K210" s="295"/>
      <c r="L210" s="295"/>
      <c r="M210" s="137"/>
      <c r="N210" s="295"/>
      <c r="O210" s="295"/>
      <c r="P210" s="295"/>
      <c r="Q210" s="295"/>
      <c r="R210" s="297"/>
      <c r="S210" s="137"/>
      <c r="T210" s="400"/>
      <c r="U210" s="137"/>
      <c r="V210" s="137"/>
      <c r="W210" s="137"/>
      <c r="X210" s="137"/>
      <c r="Y210" s="137"/>
      <c r="Z210" s="137"/>
    </row>
    <row r="211">
      <c r="A211" s="137"/>
      <c r="B211" s="296" t="s">
        <v>987</v>
      </c>
      <c r="C211" s="297" t="s">
        <v>649</v>
      </c>
      <c r="D211" s="289">
        <f>ROUND((F211*'Pawn Weights'!$B$40)+(G211*'Pawn Weights'!$B$41)+(H211*'Pawn Weights'!$B$42)+(I211*'Pawn Weights'!$B$43)+(J211*'Pawn Weights'!$B$44)+(K211*'Pawn Weights'!$B$45)+(L211*'Pawn Weights'!$B$46)+(M211*'Pawn Weights'!$B$47)+(N211*'Pawn Weights'!$B$48)+(O211*'Pawn Weights'!$B$49)+(P211*'Pawn Weights'!B$50)+(Q211*'Pawn Weights'!$B$51), 2)</f>
        <v>65.52</v>
      </c>
      <c r="E211" s="298">
        <v>17.0</v>
      </c>
      <c r="F211" s="297"/>
      <c r="G211" s="297"/>
      <c r="H211" s="298">
        <v>38.0</v>
      </c>
      <c r="I211" s="298">
        <v>16.0</v>
      </c>
      <c r="J211" s="297"/>
      <c r="K211" s="137"/>
      <c r="L211" s="137"/>
      <c r="M211" s="137"/>
      <c r="N211" s="137"/>
      <c r="O211" s="297"/>
      <c r="P211" s="137"/>
      <c r="Q211" s="137"/>
      <c r="R211" s="297"/>
      <c r="S211" s="137"/>
      <c r="T211" s="400"/>
      <c r="U211" s="137"/>
      <c r="V211" s="137"/>
      <c r="W211" s="137"/>
      <c r="X211" s="137"/>
      <c r="Y211" s="137"/>
      <c r="Z211" s="137"/>
    </row>
    <row r="212">
      <c r="A212" s="137" t="s">
        <v>671</v>
      </c>
      <c r="B212" s="296" t="s">
        <v>985</v>
      </c>
      <c r="C212" s="297" t="s">
        <v>637</v>
      </c>
      <c r="D212" s="289">
        <f>ROUND((F212*'Pawn Weights'!$B$40)+(G212*'Pawn Weights'!$B$41)+(H212*'Pawn Weights'!$B$42)+(I212*'Pawn Weights'!$B$43)+(J212*'Pawn Weights'!$B$44)+(K212*'Pawn Weights'!$B$45)+(L212*'Pawn Weights'!$B$46)+(M212*'Pawn Weights'!$B$47)+(N212*'Pawn Weights'!$B$48)+(O212*'Pawn Weights'!$B$49)+(P212*'Pawn Weights'!B$50)+(Q212*'Pawn Weights'!$B$51), 2)</f>
        <v>64.96</v>
      </c>
      <c r="E212" s="298">
        <v>27.0</v>
      </c>
      <c r="F212" s="295"/>
      <c r="G212" s="295"/>
      <c r="H212" s="298">
        <v>34.0</v>
      </c>
      <c r="I212" s="298">
        <v>18.0</v>
      </c>
      <c r="J212" s="295"/>
      <c r="K212" s="137"/>
      <c r="L212" s="137"/>
      <c r="M212" s="137"/>
      <c r="N212" s="137"/>
      <c r="O212" s="295"/>
      <c r="P212" s="137"/>
      <c r="Q212" s="137"/>
      <c r="R212" s="295"/>
      <c r="S212" s="137"/>
      <c r="T212" s="297" t="s">
        <v>986</v>
      </c>
      <c r="U212" s="137"/>
      <c r="V212" s="137"/>
      <c r="W212" s="137"/>
      <c r="X212" s="137"/>
      <c r="Y212" s="137"/>
      <c r="Z212" s="137"/>
    </row>
    <row r="213">
      <c r="A213" s="137"/>
      <c r="B213" s="296" t="s">
        <v>1668</v>
      </c>
      <c r="C213" s="297" t="s">
        <v>1294</v>
      </c>
      <c r="D213" s="289">
        <f>ROUND((F213*'Pawn Weights'!$B$40)+(G213*'Pawn Weights'!$B$41)+(H213*'Pawn Weights'!$B$42)+(I213*'Pawn Weights'!$B$43)+(J213*'Pawn Weights'!$B$44)+(K213*'Pawn Weights'!$B$45)+(L213*'Pawn Weights'!$B$46)+(M213*'Pawn Weights'!$B$47)+(N213*'Pawn Weights'!$B$48)+(O213*'Pawn Weights'!$B$49)+(P213*'Pawn Weights'!B$50)+(Q213*'Pawn Weights'!$B$51), 2)</f>
        <v>64.85</v>
      </c>
      <c r="E213" s="297"/>
      <c r="F213" s="297"/>
      <c r="G213" s="298">
        <v>15.0</v>
      </c>
      <c r="H213" s="298">
        <v>32.0</v>
      </c>
      <c r="I213" s="297"/>
      <c r="J213" s="297"/>
      <c r="K213" s="295"/>
      <c r="L213" s="295"/>
      <c r="M213" s="137"/>
      <c r="N213" s="295"/>
      <c r="O213" s="295"/>
      <c r="P213" s="295"/>
      <c r="Q213" s="295"/>
      <c r="R213" s="297"/>
      <c r="S213" s="137"/>
      <c r="T213" s="400"/>
      <c r="U213" s="137"/>
      <c r="V213" s="137"/>
      <c r="W213" s="137"/>
      <c r="X213" s="137"/>
      <c r="Y213" s="137"/>
      <c r="Z213" s="137"/>
    </row>
    <row r="214">
      <c r="A214" s="137"/>
      <c r="B214" s="431" t="s">
        <v>998</v>
      </c>
      <c r="C214" s="297" t="s">
        <v>999</v>
      </c>
      <c r="D214" s="289">
        <f>ROUND((F214*'Pawn Weights'!$B$40)+(G214*'Pawn Weights'!$B$41)+(H214*'Pawn Weights'!$B$42)+(I214*'Pawn Weights'!$B$43)+(J214*'Pawn Weights'!$B$44)+(K214*'Pawn Weights'!$B$45)+(L214*'Pawn Weights'!$B$46)+(M214*'Pawn Weights'!$B$47)+(N214*'Pawn Weights'!$B$48)+(O214*'Pawn Weights'!$B$49)+(P214*'Pawn Weights'!B$50)+(Q214*'Pawn Weights'!$B$51), 2)</f>
        <v>64.22</v>
      </c>
      <c r="E214" s="297"/>
      <c r="F214" s="297"/>
      <c r="G214" s="298">
        <v>10.0</v>
      </c>
      <c r="H214" s="298">
        <v>32.0</v>
      </c>
      <c r="I214" s="298">
        <v>6.0</v>
      </c>
      <c r="J214" s="297"/>
      <c r="K214" s="361"/>
      <c r="L214" s="361"/>
      <c r="M214" s="137"/>
      <c r="N214" s="361"/>
      <c r="O214" s="297"/>
      <c r="P214" s="361"/>
      <c r="Q214" s="361"/>
      <c r="R214" s="297"/>
      <c r="S214" s="137"/>
      <c r="T214" s="400"/>
      <c r="U214" s="137"/>
      <c r="V214" s="137"/>
      <c r="W214" s="137"/>
      <c r="X214" s="137"/>
      <c r="Y214" s="137"/>
      <c r="Z214" s="137"/>
    </row>
    <row r="215">
      <c r="A215" s="137"/>
      <c r="B215" s="296" t="s">
        <v>1120</v>
      </c>
      <c r="C215" s="297" t="s">
        <v>681</v>
      </c>
      <c r="D215" s="289">
        <f>ROUND((F215*'Pawn Weights'!$B$40)+(G215*'Pawn Weights'!$B$41)+(H215*'Pawn Weights'!$B$42)+(I215*'Pawn Weights'!$B$43)+(J215*'Pawn Weights'!$B$44)+(K215*'Pawn Weights'!$B$45)+(L215*'Pawn Weights'!$B$46)+(M215*'Pawn Weights'!$B$47)+(N215*'Pawn Weights'!$B$48)+(O215*'Pawn Weights'!$B$49)+(P215*'Pawn Weights'!B$50)+(Q215*'Pawn Weights'!$B$51), 2)</f>
        <v>63.44</v>
      </c>
      <c r="E215" s="298">
        <v>14.0</v>
      </c>
      <c r="F215" s="297"/>
      <c r="G215" s="297"/>
      <c r="H215" s="297"/>
      <c r="I215" s="298">
        <v>20.0</v>
      </c>
      <c r="J215" s="298">
        <v>12.0</v>
      </c>
      <c r="K215" s="137"/>
      <c r="L215" s="137"/>
      <c r="M215" s="137"/>
      <c r="N215" s="137"/>
      <c r="O215" s="361"/>
      <c r="P215" s="137"/>
      <c r="Q215" s="137"/>
      <c r="R215" s="361"/>
      <c r="S215" s="137"/>
      <c r="T215" s="400"/>
      <c r="U215" s="137"/>
      <c r="V215" s="137"/>
      <c r="W215" s="137"/>
      <c r="X215" s="137"/>
      <c r="Y215" s="137"/>
      <c r="Z215" s="137"/>
    </row>
    <row r="216">
      <c r="A216" s="137"/>
      <c r="B216" s="296" t="s">
        <v>1121</v>
      </c>
      <c r="C216" s="297" t="s">
        <v>1122</v>
      </c>
      <c r="D216" s="289">
        <f>ROUND((F216*'Pawn Weights'!$B$40)+(G216*'Pawn Weights'!$B$41)+(H216*'Pawn Weights'!$B$42)+(I216*'Pawn Weights'!$B$43)+(J216*'Pawn Weights'!$B$44)+(K216*'Pawn Weights'!$B$45)+(L216*'Pawn Weights'!$B$46)+(M216*'Pawn Weights'!$B$47)+(N216*'Pawn Weights'!$B$48)+(O216*'Pawn Weights'!$B$49)+(P216*'Pawn Weights'!B$50)+(Q216*'Pawn Weights'!$B$51), 2)</f>
        <v>63.44</v>
      </c>
      <c r="E216" s="297"/>
      <c r="F216" s="297"/>
      <c r="G216" s="297"/>
      <c r="H216" s="297"/>
      <c r="I216" s="298">
        <v>20.0</v>
      </c>
      <c r="J216" s="298">
        <v>12.0</v>
      </c>
      <c r="K216" s="361"/>
      <c r="L216" s="361"/>
      <c r="M216" s="137"/>
      <c r="N216" s="361"/>
      <c r="O216" s="297"/>
      <c r="P216" s="361"/>
      <c r="Q216" s="361"/>
      <c r="R216" s="297"/>
      <c r="S216" s="137"/>
      <c r="T216" s="400"/>
      <c r="U216" s="137"/>
      <c r="V216" s="137"/>
      <c r="W216" s="137"/>
      <c r="X216" s="137"/>
      <c r="Y216" s="137"/>
      <c r="Z216" s="137"/>
    </row>
    <row r="217">
      <c r="A217" s="137" t="s">
        <v>627</v>
      </c>
      <c r="B217" s="383" t="s">
        <v>1667</v>
      </c>
      <c r="C217" s="297" t="s">
        <v>1561</v>
      </c>
      <c r="D217" s="289">
        <f>ROUND((F217*'Pawn Weights'!$B$40)+(G217*'Pawn Weights'!$B$41)+(H217*'Pawn Weights'!$B$42)+(I217*'Pawn Weights'!$B$43)+(J217*'Pawn Weights'!$B$44)+(K217*'Pawn Weights'!$B$45)+(L217*'Pawn Weights'!$B$46)+(M217*'Pawn Weights'!$B$47)+(N217*'Pawn Weights'!$B$48)+(O217*'Pawn Weights'!$B$49)+(P217*'Pawn Weights'!B$50)+(Q217*'Pawn Weights'!$B$51), 2)</f>
        <v>61.4</v>
      </c>
      <c r="E217" s="297"/>
      <c r="F217" s="297"/>
      <c r="G217" s="297"/>
      <c r="H217" s="298">
        <v>20.0</v>
      </c>
      <c r="I217" s="298">
        <v>10.0</v>
      </c>
      <c r="J217" s="298">
        <v>10.0</v>
      </c>
      <c r="K217" s="297"/>
      <c r="L217" s="297"/>
      <c r="M217" s="137"/>
      <c r="N217" s="297"/>
      <c r="O217" s="297"/>
      <c r="P217" s="297"/>
      <c r="Q217" s="297"/>
      <c r="R217" s="297"/>
      <c r="S217" s="137"/>
      <c r="T217" s="400"/>
      <c r="U217" s="137"/>
      <c r="V217" s="137"/>
      <c r="W217" s="137"/>
      <c r="X217" s="137"/>
      <c r="Y217" s="137"/>
      <c r="Z217" s="137"/>
    </row>
    <row r="218">
      <c r="A218" s="137"/>
      <c r="B218" s="391" t="s">
        <v>1824</v>
      </c>
      <c r="C218" s="318" t="s">
        <v>1825</v>
      </c>
      <c r="D218" s="289">
        <f>ROUND((F218*'Pawn Weights'!$B$40)+(G218*'Pawn Weights'!$B$41)+(H218*'Pawn Weights'!$B$42)+(I218*'Pawn Weights'!$B$43)+(J218*'Pawn Weights'!$B$44)+(K218*'Pawn Weights'!$B$45)+(L218*'Pawn Weights'!$B$46)+(M218*'Pawn Weights'!$B$47)+(N218*'Pawn Weights'!$B$48)+(O218*'Pawn Weights'!$B$49)+(P218*'Pawn Weights'!B$50)+(Q218*'Pawn Weights'!$B$51), 2)</f>
        <v>59.88</v>
      </c>
      <c r="E218" s="297"/>
      <c r="F218" s="297"/>
      <c r="G218" s="316"/>
      <c r="H218" s="316">
        <v>26.0</v>
      </c>
      <c r="I218" s="298"/>
      <c r="J218" s="318">
        <v>14.0</v>
      </c>
      <c r="K218" s="361"/>
      <c r="L218" s="361"/>
      <c r="M218" s="137"/>
      <c r="N218" s="361"/>
      <c r="O218" s="297"/>
      <c r="P218" s="361"/>
      <c r="Q218" s="361"/>
      <c r="R218" s="297"/>
      <c r="S218" s="137"/>
      <c r="T218" s="400"/>
      <c r="U218" s="137"/>
      <c r="V218" s="137"/>
      <c r="W218" s="137"/>
      <c r="X218" s="137"/>
      <c r="Y218" s="137"/>
      <c r="Z218" s="137"/>
    </row>
    <row r="219">
      <c r="A219" s="137" t="s">
        <v>991</v>
      </c>
      <c r="B219" s="296" t="s">
        <v>992</v>
      </c>
      <c r="C219" s="297" t="s">
        <v>646</v>
      </c>
      <c r="D219" s="289">
        <f>ROUND((F219*'Pawn Weights'!$B$40)+(G219*'Pawn Weights'!$B$41)+(H219*'Pawn Weights'!$B$42)+(I219*'Pawn Weights'!$B$43)+(J219*'Pawn Weights'!$B$44)+(K219*'Pawn Weights'!$B$45)+(L219*'Pawn Weights'!$B$46)+(M219*'Pawn Weights'!$B$47)+(N219*'Pawn Weights'!$B$48)+(O219*'Pawn Weights'!$B$49)+(P219*'Pawn Weights'!B$50)+(Q219*'Pawn Weights'!$B$51), 2)</f>
        <v>59.24</v>
      </c>
      <c r="E219" s="298">
        <v>24.0</v>
      </c>
      <c r="F219" s="295"/>
      <c r="G219" s="295"/>
      <c r="H219" s="298">
        <v>30.0</v>
      </c>
      <c r="I219" s="298">
        <v>17.0</v>
      </c>
      <c r="J219" s="295"/>
      <c r="K219" s="295"/>
      <c r="L219" s="295"/>
      <c r="M219" s="137"/>
      <c r="N219" s="295"/>
      <c r="O219" s="295"/>
      <c r="P219" s="295"/>
      <c r="Q219" s="295"/>
      <c r="R219" s="295"/>
      <c r="S219" s="137"/>
      <c r="T219" s="298" t="s">
        <v>986</v>
      </c>
      <c r="U219" s="137"/>
      <c r="V219" s="137"/>
      <c r="W219" s="137"/>
      <c r="X219" s="137"/>
      <c r="Y219" s="137"/>
      <c r="Z219" s="137"/>
    </row>
    <row r="220">
      <c r="A220" s="137"/>
      <c r="B220" s="317" t="s">
        <v>1826</v>
      </c>
      <c r="C220" s="318" t="s">
        <v>1827</v>
      </c>
      <c r="D220" s="289">
        <f>ROUND((F220*'Pawn Weights'!$B$40)+(G220*'Pawn Weights'!$B$41)+(H220*'Pawn Weights'!$B$42)+(I220*'Pawn Weights'!$B$43)+(J220*'Pawn Weights'!$B$44)+(K220*'Pawn Weights'!$B$45)+(L220*'Pawn Weights'!$B$46)+(M220*'Pawn Weights'!$B$47)+(N220*'Pawn Weights'!$B$48)+(O220*'Pawn Weights'!$B$49)+(P220*'Pawn Weights'!B$50)+(Q220*'Pawn Weights'!$B$51), 2)</f>
        <v>58.66</v>
      </c>
      <c r="E220" s="297"/>
      <c r="F220" s="297"/>
      <c r="G220" s="318">
        <v>14.0</v>
      </c>
      <c r="H220" s="316">
        <v>28.0</v>
      </c>
      <c r="I220" s="298"/>
      <c r="J220" s="295"/>
      <c r="K220" s="297"/>
      <c r="L220" s="297"/>
      <c r="M220" s="137"/>
      <c r="N220" s="295"/>
      <c r="O220" s="295"/>
      <c r="P220" s="295"/>
      <c r="Q220" s="295"/>
      <c r="R220" s="297"/>
      <c r="S220" s="137"/>
      <c r="T220" s="400"/>
      <c r="U220" s="137"/>
      <c r="V220" s="137"/>
      <c r="W220" s="137"/>
      <c r="X220" s="137"/>
      <c r="Y220" s="137"/>
      <c r="Z220" s="137"/>
    </row>
    <row r="221">
      <c r="A221" s="137"/>
      <c r="B221" s="391" t="s">
        <v>1828</v>
      </c>
      <c r="C221" s="318" t="s">
        <v>1816</v>
      </c>
      <c r="D221" s="289">
        <f>ROUND((F221*'Pawn Weights'!$B$40)+(G221*'Pawn Weights'!$B$41)+(H221*'Pawn Weights'!$B$42)+(I221*'Pawn Weights'!$B$43)+(J221*'Pawn Weights'!$B$44)+(K221*'Pawn Weights'!$B$45)+(L221*'Pawn Weights'!$B$46)+(M221*'Pawn Weights'!$B$47)+(N221*'Pawn Weights'!$B$48)+(O221*'Pawn Weights'!$B$49)+(P221*'Pawn Weights'!B$50)+(Q221*'Pawn Weights'!$B$51), 2)</f>
        <v>57.05</v>
      </c>
      <c r="E221" s="297"/>
      <c r="F221" s="297"/>
      <c r="G221" s="316">
        <v>15.0</v>
      </c>
      <c r="H221" s="316"/>
      <c r="I221" s="298"/>
      <c r="J221" s="318">
        <v>10.0</v>
      </c>
      <c r="K221" s="361"/>
      <c r="L221" s="361"/>
      <c r="M221" s="137"/>
      <c r="N221" s="361"/>
      <c r="O221" s="297"/>
      <c r="P221" s="361"/>
      <c r="Q221" s="361"/>
      <c r="R221" s="297"/>
      <c r="S221" s="137"/>
      <c r="T221" s="400"/>
      <c r="U221" s="137"/>
      <c r="V221" s="137"/>
      <c r="W221" s="137"/>
      <c r="X221" s="137"/>
      <c r="Y221" s="137"/>
      <c r="Z221" s="137"/>
    </row>
    <row r="222">
      <c r="A222" s="137"/>
      <c r="B222" s="391" t="s">
        <v>1829</v>
      </c>
      <c r="C222" s="318" t="s">
        <v>1358</v>
      </c>
      <c r="D222" s="289">
        <f>ROUND((F222*'Pawn Weights'!$B$40)+(G222*'Pawn Weights'!$B$41)+(H222*'Pawn Weights'!$B$42)+(I222*'Pawn Weights'!$B$43)+(J222*'Pawn Weights'!$B$44)+(K222*'Pawn Weights'!$B$45)+(L222*'Pawn Weights'!$B$46)+(M222*'Pawn Weights'!$B$47)+(N222*'Pawn Weights'!$B$48)+(O222*'Pawn Weights'!$B$49)+(P222*'Pawn Weights'!B$50)+(Q222*'Pawn Weights'!$B$51), 2)</f>
        <v>56.47</v>
      </c>
      <c r="E222" s="297"/>
      <c r="F222" s="297"/>
      <c r="G222" s="316">
        <v>13.0</v>
      </c>
      <c r="H222" s="316">
        <v>28.0</v>
      </c>
      <c r="I222" s="298"/>
      <c r="J222" s="318"/>
      <c r="K222" s="361"/>
      <c r="L222" s="361"/>
      <c r="M222" s="137"/>
      <c r="N222" s="361"/>
      <c r="O222" s="297"/>
      <c r="P222" s="361"/>
      <c r="Q222" s="361"/>
      <c r="R222" s="297"/>
      <c r="S222" s="137"/>
      <c r="T222" s="400"/>
      <c r="U222" s="137"/>
      <c r="V222" s="137"/>
      <c r="W222" s="137"/>
      <c r="X222" s="137"/>
      <c r="Y222" s="137"/>
      <c r="Z222" s="137"/>
    </row>
    <row r="223">
      <c r="A223" s="137"/>
      <c r="B223" s="296" t="s">
        <v>996</v>
      </c>
      <c r="C223" s="297" t="s">
        <v>997</v>
      </c>
      <c r="D223" s="289">
        <f>ROUND((F223*'Pawn Weights'!$B$40)+(G223*'Pawn Weights'!$B$41)+(H223*'Pawn Weights'!$B$42)+(I223*'Pawn Weights'!$B$43)+(J223*'Pawn Weights'!$B$44)+(K223*'Pawn Weights'!$B$45)+(L223*'Pawn Weights'!$B$46)+(M223*'Pawn Weights'!$B$47)+(N223*'Pawn Weights'!$B$48)+(O223*'Pawn Weights'!$B$49)+(P223*'Pawn Weights'!B$50)+(Q223*'Pawn Weights'!$B$51), 2)</f>
        <v>55.52</v>
      </c>
      <c r="E223" s="298">
        <v>21.0</v>
      </c>
      <c r="F223" s="297"/>
      <c r="G223" s="297"/>
      <c r="H223" s="298">
        <v>28.0</v>
      </c>
      <c r="I223" s="298">
        <v>16.0</v>
      </c>
      <c r="J223" s="297"/>
      <c r="K223" s="361"/>
      <c r="L223" s="361"/>
      <c r="M223" s="137"/>
      <c r="N223" s="361"/>
      <c r="O223" s="297"/>
      <c r="P223" s="361"/>
      <c r="Q223" s="361"/>
      <c r="R223" s="297"/>
      <c r="S223" s="137"/>
      <c r="T223" s="400" t="s">
        <v>986</v>
      </c>
      <c r="U223" s="137"/>
      <c r="V223" s="137"/>
      <c r="W223" s="137"/>
      <c r="X223" s="137"/>
      <c r="Y223" s="137"/>
      <c r="Z223" s="137"/>
    </row>
    <row r="224">
      <c r="A224" s="137"/>
      <c r="B224" s="391" t="s">
        <v>1830</v>
      </c>
      <c r="C224" s="318" t="s">
        <v>1831</v>
      </c>
      <c r="D224" s="289">
        <f>ROUND((F224*'Pawn Weights'!$B$40)+(G224*'Pawn Weights'!$B$41)+(H224*'Pawn Weights'!$B$42)+(I224*'Pawn Weights'!$B$43)+(J224*'Pawn Weights'!$B$44)+(K224*'Pawn Weights'!$B$45)+(L224*'Pawn Weights'!$B$46)+(M224*'Pawn Weights'!$B$47)+(N224*'Pawn Weights'!$B$48)+(O224*'Pawn Weights'!$B$49)+(P224*'Pawn Weights'!B$50)+(Q224*'Pawn Weights'!$B$51), 2)</f>
        <v>54.85</v>
      </c>
      <c r="E224" s="297"/>
      <c r="F224" s="297"/>
      <c r="G224" s="316">
        <v>15.0</v>
      </c>
      <c r="H224" s="316">
        <v>22.0</v>
      </c>
      <c r="I224" s="298"/>
      <c r="J224" s="297"/>
      <c r="K224" s="361"/>
      <c r="L224" s="361"/>
      <c r="M224" s="137"/>
      <c r="N224" s="361"/>
      <c r="O224" s="297"/>
      <c r="P224" s="361"/>
      <c r="Q224" s="361"/>
      <c r="R224" s="297"/>
      <c r="S224" s="137"/>
      <c r="T224" s="400"/>
      <c r="U224" s="137"/>
      <c r="V224" s="137"/>
      <c r="W224" s="137"/>
      <c r="X224" s="137"/>
      <c r="Y224" s="137"/>
      <c r="Z224" s="137"/>
    </row>
    <row r="225">
      <c r="A225" s="137"/>
      <c r="B225" s="383" t="s">
        <v>1000</v>
      </c>
      <c r="C225" s="297" t="s">
        <v>1001</v>
      </c>
      <c r="D225" s="289">
        <f>ROUND((F225*'Pawn Weights'!$B$40)+(G225*'Pawn Weights'!$B$41)+(H225*'Pawn Weights'!$B$42)+(I225*'Pawn Weights'!$B$43)+(J225*'Pawn Weights'!$B$44)+(K225*'Pawn Weights'!$B$45)+(L225*'Pawn Weights'!$B$46)+(M225*'Pawn Weights'!$B$47)+(N225*'Pawn Weights'!$B$48)+(O225*'Pawn Weights'!$B$49)+(P225*'Pawn Weights'!B$50)+(Q225*'Pawn Weights'!$B$51), 2)</f>
        <v>50.7</v>
      </c>
      <c r="E225" s="298">
        <v>16.0</v>
      </c>
      <c r="F225" s="297"/>
      <c r="G225" s="297"/>
      <c r="H225" s="297"/>
      <c r="I225" s="297"/>
      <c r="J225" s="298">
        <v>10.0</v>
      </c>
      <c r="K225" s="361"/>
      <c r="L225" s="359">
        <v>10.0</v>
      </c>
      <c r="M225" s="137"/>
      <c r="N225" s="361"/>
      <c r="O225" s="297"/>
      <c r="P225" s="361"/>
      <c r="Q225" s="361"/>
      <c r="R225" s="295"/>
      <c r="S225" s="137"/>
      <c r="T225" s="297" t="s">
        <v>971</v>
      </c>
      <c r="U225" s="137"/>
      <c r="V225" s="137"/>
      <c r="W225" s="137"/>
      <c r="X225" s="137"/>
      <c r="Y225" s="137"/>
      <c r="Z225" s="137"/>
    </row>
    <row r="226">
      <c r="A226" s="137" t="s">
        <v>965</v>
      </c>
      <c r="B226" s="296" t="s">
        <v>1669</v>
      </c>
      <c r="C226" s="297" t="s">
        <v>1670</v>
      </c>
      <c r="D226" s="289">
        <f>ROUND((F226*'Pawn Weights'!$B$40)+(G226*'Pawn Weights'!$B$41)+(H226*'Pawn Weights'!$B$42)+(I226*'Pawn Weights'!$B$43)+(J226*'Pawn Weights'!$B$44)+(K226*'Pawn Weights'!$B$45)+(L226*'Pawn Weights'!$B$46)+(M226*'Pawn Weights'!$B$47)+(N226*'Pawn Weights'!$B$48)+(O226*'Pawn Weights'!$B$49)+(P226*'Pawn Weights'!B$50)+(Q226*'Pawn Weights'!$B$51), 2)</f>
        <v>48.08</v>
      </c>
      <c r="E226" s="297"/>
      <c r="F226" s="297"/>
      <c r="G226" s="297"/>
      <c r="H226" s="298">
        <v>24.0</v>
      </c>
      <c r="I226" s="298">
        <v>14.0</v>
      </c>
      <c r="J226" s="295"/>
      <c r="K226" s="297"/>
      <c r="L226" s="297"/>
      <c r="M226" s="137"/>
      <c r="N226" s="295"/>
      <c r="O226" s="295"/>
      <c r="P226" s="295"/>
      <c r="Q226" s="295"/>
      <c r="R226" s="297"/>
      <c r="S226" s="137"/>
      <c r="T226" s="400"/>
      <c r="U226" s="137"/>
      <c r="V226" s="137"/>
      <c r="W226" s="137"/>
      <c r="X226" s="137"/>
      <c r="Y226" s="137"/>
      <c r="Z226" s="137"/>
    </row>
    <row r="227">
      <c r="A227" s="137"/>
      <c r="B227" s="296" t="s">
        <v>1671</v>
      </c>
      <c r="C227" s="297" t="s">
        <v>1159</v>
      </c>
      <c r="D227" s="289">
        <f>ROUND((F227*'Pawn Weights'!$B$40)+(G227*'Pawn Weights'!$B$41)+(H227*'Pawn Weights'!$B$42)+(I227*'Pawn Weights'!$B$43)+(J227*'Pawn Weights'!$B$44)+(K227*'Pawn Weights'!$B$45)+(L227*'Pawn Weights'!$B$46)+(M227*'Pawn Weights'!$B$47)+(N227*'Pawn Weights'!$B$48)+(O227*'Pawn Weights'!$B$49)+(P227*'Pawn Weights'!B$50)+(Q227*'Pawn Weights'!$B$51), 2)</f>
        <v>42.92</v>
      </c>
      <c r="E227" s="298">
        <v>15.0</v>
      </c>
      <c r="F227" s="297"/>
      <c r="G227" s="297"/>
      <c r="H227" s="298">
        <v>24.0</v>
      </c>
      <c r="I227" s="298">
        <v>11.0</v>
      </c>
      <c r="J227" s="297"/>
      <c r="K227" s="297"/>
      <c r="L227" s="297"/>
      <c r="M227" s="137"/>
      <c r="N227" s="297"/>
      <c r="O227" s="297"/>
      <c r="P227" s="297"/>
      <c r="Q227" s="297"/>
      <c r="R227" s="297"/>
      <c r="S227" s="137"/>
      <c r="T227" s="400" t="s">
        <v>986</v>
      </c>
      <c r="U227" s="137"/>
      <c r="V227" s="137"/>
      <c r="W227" s="137"/>
      <c r="X227" s="137"/>
      <c r="Y227" s="137"/>
      <c r="Z227" s="137"/>
    </row>
    <row r="228">
      <c r="A228" s="224" t="s">
        <v>1002</v>
      </c>
      <c r="B228" s="323" t="s">
        <v>604</v>
      </c>
      <c r="C228" s="323" t="s">
        <v>605</v>
      </c>
      <c r="D228" s="386" t="s">
        <v>606</v>
      </c>
      <c r="E228" s="224" t="s">
        <v>1003</v>
      </c>
      <c r="F228" s="224" t="s">
        <v>1004</v>
      </c>
      <c r="G228" s="224" t="s">
        <v>561</v>
      </c>
      <c r="H228" s="224" t="s">
        <v>562</v>
      </c>
      <c r="I228" s="224" t="s">
        <v>330</v>
      </c>
      <c r="J228" s="224" t="s">
        <v>563</v>
      </c>
      <c r="K228" s="272" t="s">
        <v>344</v>
      </c>
      <c r="L228" s="224" t="s">
        <v>607</v>
      </c>
      <c r="M228" s="224" t="s">
        <v>564</v>
      </c>
      <c r="N228" s="224" t="s">
        <v>1006</v>
      </c>
      <c r="O228" s="274" t="s">
        <v>610</v>
      </c>
      <c r="P228" s="275" t="s">
        <v>611</v>
      </c>
      <c r="Q228" s="276" t="s">
        <v>612</v>
      </c>
      <c r="R228" s="277" t="s">
        <v>613</v>
      </c>
      <c r="S228" s="323" t="s">
        <v>356</v>
      </c>
      <c r="T228" s="224" t="s">
        <v>615</v>
      </c>
      <c r="U228" s="324"/>
      <c r="V228" s="324"/>
      <c r="W228" s="366" t="s">
        <v>1254</v>
      </c>
    </row>
    <row r="229">
      <c r="A229" s="292"/>
      <c r="B229" s="376" t="s">
        <v>1255</v>
      </c>
      <c r="C229" s="326"/>
      <c r="D229" s="387"/>
      <c r="E229" s="326"/>
      <c r="F229" s="326"/>
      <c r="G229" s="154"/>
      <c r="H229" s="326"/>
      <c r="I229" s="326"/>
      <c r="J229" s="326"/>
      <c r="K229" s="326"/>
      <c r="L229" s="326"/>
      <c r="M229" s="326"/>
      <c r="N229" s="326"/>
      <c r="O229" s="326"/>
      <c r="P229" s="326"/>
      <c r="Q229" s="326"/>
      <c r="R229" s="327"/>
      <c r="S229" s="326"/>
      <c r="T229" s="328"/>
      <c r="U229" s="326"/>
      <c r="V229" s="326"/>
      <c r="W229" s="329"/>
    </row>
    <row r="230">
      <c r="A230" s="295" t="s">
        <v>671</v>
      </c>
      <c r="B230" s="296" t="s">
        <v>1011</v>
      </c>
      <c r="C230" s="330" t="s">
        <v>637</v>
      </c>
      <c r="D230" s="289">
        <f>ROUND((E230*'Pawn Weights'!$B$52)+(G230*'Pawn Weights'!$B$41)+(H230*'Pawn Weights'!$B$42)+(I230*'Pawn Weights'!$B$43)+(J230*'Pawn Weights'!$B$46)+(K230*'Pawn Weights'!$B$44)+(M230*'Pawn Weights'!$B$47)+(N230*'Pawn Weights'!$B$40)+(O230*'Pawn Weights'!$B$49)+(P230*'Pawn Weights'!$B$50)+(Q230*'Pawn Weights'!$B$51)+(F230*'Pawn Weights'!$B$53), 2)</f>
        <v>1053.52</v>
      </c>
      <c r="E230" s="332">
        <v>107.9</v>
      </c>
      <c r="F230" s="332">
        <v>2.6</v>
      </c>
      <c r="G230" s="330"/>
      <c r="H230" s="332">
        <v>38.0</v>
      </c>
      <c r="I230" s="332">
        <v>22.0</v>
      </c>
      <c r="J230" s="330"/>
      <c r="K230" s="332">
        <v>9.0</v>
      </c>
      <c r="L230" s="332">
        <v>31.0</v>
      </c>
      <c r="M230" s="332">
        <v>49.0</v>
      </c>
      <c r="N230" s="330"/>
      <c r="O230" s="330"/>
      <c r="P230" s="330"/>
      <c r="Q230" s="330"/>
      <c r="R230" s="295"/>
      <c r="S230" s="330"/>
      <c r="T230" s="330" t="s">
        <v>986</v>
      </c>
      <c r="U230" s="330"/>
      <c r="V230" s="330"/>
      <c r="W230" s="137"/>
      <c r="X230" s="137"/>
      <c r="Y230" s="137"/>
      <c r="Z230" s="137"/>
    </row>
    <row r="231">
      <c r="A231" s="295" t="s">
        <v>991</v>
      </c>
      <c r="B231" s="296" t="s">
        <v>1018</v>
      </c>
      <c r="C231" s="330" t="s">
        <v>646</v>
      </c>
      <c r="D231" s="289">
        <f>ROUND((E231*'Pawn Weights'!$B$52)+(G231*'Pawn Weights'!$B$41)+(H231*'Pawn Weights'!$B$42)+(I231*'Pawn Weights'!$B$43)+(J231*'Pawn Weights'!$B$46)+(K231*'Pawn Weights'!$B$44)+(M231*'Pawn Weights'!$B$47)+(N231*'Pawn Weights'!$B$40)+(O231*'Pawn Weights'!$B$49)+(P231*'Pawn Weights'!$B$50)+(Q231*'Pawn Weights'!$B$51)+(F231*'Pawn Weights'!$B$53), 2)</f>
        <v>1006.98</v>
      </c>
      <c r="E231" s="332">
        <v>103.1</v>
      </c>
      <c r="F231" s="332">
        <v>2.6</v>
      </c>
      <c r="G231" s="330"/>
      <c r="H231" s="332">
        <v>34.0</v>
      </c>
      <c r="I231" s="332">
        <v>21.0</v>
      </c>
      <c r="J231" s="330"/>
      <c r="K231" s="332">
        <v>8.0</v>
      </c>
      <c r="L231" s="332">
        <v>30.0</v>
      </c>
      <c r="M231" s="332">
        <v>49.0</v>
      </c>
      <c r="N231" s="330"/>
      <c r="O231" s="330"/>
      <c r="P231" s="330"/>
      <c r="Q231" s="330"/>
      <c r="R231" s="295"/>
      <c r="S231" s="330"/>
      <c r="T231" s="298" t="s">
        <v>986</v>
      </c>
      <c r="U231" s="330"/>
      <c r="V231" s="330"/>
      <c r="W231" s="137"/>
      <c r="X231" s="137"/>
      <c r="Y231" s="137"/>
      <c r="Z231" s="137"/>
    </row>
    <row r="232">
      <c r="A232" s="137"/>
      <c r="B232" s="296" t="s">
        <v>1035</v>
      </c>
      <c r="C232" s="330" t="s">
        <v>900</v>
      </c>
      <c r="D232" s="289">
        <f>ROUND((E232*'Pawn Weights'!$B$52)+(G232*'Pawn Weights'!$B$41)+(H232*'Pawn Weights'!$B$42)+(I232*'Pawn Weights'!$B$43)+(J232*'Pawn Weights'!$B$46)+(K232*'Pawn Weights'!$B$44)+(M232*'Pawn Weights'!$B$47)+(N232*'Pawn Weights'!$B$40)+(O232*'Pawn Weights'!$B$49)+(P232*'Pawn Weights'!$B$50)+(Q232*'Pawn Weights'!$B$51)+(F232*'Pawn Weights'!$B$53), 2)</f>
        <v>974.25</v>
      </c>
      <c r="E232" s="332">
        <v>96.5</v>
      </c>
      <c r="F232" s="332">
        <v>2.7</v>
      </c>
      <c r="G232" s="332">
        <v>15.0</v>
      </c>
      <c r="H232" s="332">
        <v>40.0</v>
      </c>
      <c r="I232" s="330"/>
      <c r="J232" s="330"/>
      <c r="K232" s="332">
        <v>20.0</v>
      </c>
      <c r="L232" s="330"/>
      <c r="M232" s="330"/>
      <c r="N232" s="330"/>
      <c r="O232" s="330"/>
      <c r="P232" s="330"/>
      <c r="Q232" s="330"/>
      <c r="R232" s="295"/>
      <c r="S232" s="330"/>
      <c r="T232" s="400" t="s">
        <v>1036</v>
      </c>
      <c r="U232" s="330"/>
      <c r="V232" s="330"/>
      <c r="W232" s="137"/>
      <c r="X232" s="137"/>
      <c r="Y232" s="137"/>
      <c r="Z232" s="137"/>
    </row>
    <row r="233">
      <c r="A233" s="281"/>
      <c r="B233" s="288" t="s">
        <v>1033</v>
      </c>
      <c r="C233" s="326" t="s">
        <v>997</v>
      </c>
      <c r="D233" s="289">
        <f>ROUND((E233*'Pawn Weights'!$B$52)+(G233*'Pawn Weights'!$B$41)+(H233*'Pawn Weights'!$B$42)+(I233*'Pawn Weights'!$B$43)+(J233*'Pawn Weights'!$B$46)+(K233*'Pawn Weights'!$B$44)+(M233*'Pawn Weights'!$B$47)+(N233*'Pawn Weights'!$B$40)+(O233*'Pawn Weights'!$B$49)+(P233*'Pawn Weights'!$B$50)+(Q233*'Pawn Weights'!$B$51)+(F233*'Pawn Weights'!$B$53), 2)</f>
        <v>946.48</v>
      </c>
      <c r="E233" s="326">
        <v>97.7</v>
      </c>
      <c r="F233" s="326">
        <v>2.6</v>
      </c>
      <c r="G233" s="326"/>
      <c r="H233" s="326">
        <v>30.0</v>
      </c>
      <c r="I233" s="326">
        <v>19.0</v>
      </c>
      <c r="J233" s="326"/>
      <c r="K233" s="326">
        <v>10.0</v>
      </c>
      <c r="L233" s="326">
        <v>27.0</v>
      </c>
      <c r="M233" s="326"/>
      <c r="N233" s="326"/>
      <c r="O233" s="326"/>
      <c r="P233" s="326"/>
      <c r="Q233" s="326"/>
      <c r="R233" s="327"/>
      <c r="S233" s="326"/>
      <c r="T233" s="328" t="s">
        <v>1034</v>
      </c>
      <c r="U233" s="326"/>
      <c r="V233" s="326"/>
      <c r="W233" s="329"/>
    </row>
    <row r="234">
      <c r="A234" s="281"/>
      <c r="B234" s="288" t="s">
        <v>1256</v>
      </c>
      <c r="C234" s="326" t="s">
        <v>1159</v>
      </c>
      <c r="D234" s="289">
        <f>ROUND((E234*'Pawn Weights'!$B$52)+(G234*'Pawn Weights'!$B$41)+(H234*'Pawn Weights'!$B$42)+(I234*'Pawn Weights'!$B$43)+(J234*'Pawn Weights'!$B$46)+(K234*'Pawn Weights'!$B$44)+(M234*'Pawn Weights'!$B$47)+(N234*'Pawn Weights'!$B$40)+(O234*'Pawn Weights'!$B$49)+(P234*'Pawn Weights'!$B$50)+(Q234*'Pawn Weights'!$B$51)+(F234*'Pawn Weights'!$B$53), 2)</f>
        <v>883.18</v>
      </c>
      <c r="E234" s="326">
        <v>91.2</v>
      </c>
      <c r="F234" s="326">
        <v>2.6</v>
      </c>
      <c r="G234" s="326"/>
      <c r="H234" s="326">
        <v>28.0</v>
      </c>
      <c r="I234" s="326">
        <v>15.0</v>
      </c>
      <c r="J234" s="326"/>
      <c r="K234" s="326">
        <v>9.0</v>
      </c>
      <c r="L234" s="326">
        <v>21.0</v>
      </c>
      <c r="M234" s="326"/>
      <c r="N234" s="326"/>
      <c r="O234" s="326"/>
      <c r="P234" s="326"/>
      <c r="Q234" s="326"/>
      <c r="R234" s="327"/>
      <c r="S234" s="326"/>
      <c r="T234" s="328" t="s">
        <v>1257</v>
      </c>
      <c r="U234" s="326"/>
      <c r="V234" s="326"/>
      <c r="W234" s="329"/>
    </row>
    <row r="235">
      <c r="A235" s="137"/>
      <c r="B235" s="296" t="s">
        <v>1260</v>
      </c>
      <c r="C235" s="330" t="s">
        <v>708</v>
      </c>
      <c r="D235" s="289">
        <f>ROUND((E235*'Pawn Weights'!$B$52)+(G235*'Pawn Weights'!$B$41)+(H235*'Pawn Weights'!$B$42)+(I235*'Pawn Weights'!$B$43)+(J235*'Pawn Weights'!$B$46)+(K235*'Pawn Weights'!$B$44)+(M235*'Pawn Weights'!$B$47)+(N235*'Pawn Weights'!$B$40)+(O235*'Pawn Weights'!$B$49)+(P235*'Pawn Weights'!$B$50)+(Q235*'Pawn Weights'!$B$51)+(F235*'Pawn Weights'!$B$53), 2)</f>
        <v>866.4</v>
      </c>
      <c r="E235" s="332">
        <v>89.8</v>
      </c>
      <c r="F235" s="332">
        <v>2.6</v>
      </c>
      <c r="G235" s="295"/>
      <c r="H235" s="332">
        <v>70.0</v>
      </c>
      <c r="I235" s="330"/>
      <c r="J235" s="330"/>
      <c r="K235" s="330"/>
      <c r="L235" s="330"/>
      <c r="M235" s="330"/>
      <c r="N235" s="330"/>
      <c r="O235" s="330"/>
      <c r="P235" s="330"/>
      <c r="Q235" s="330"/>
      <c r="R235" s="295"/>
      <c r="S235" s="330"/>
      <c r="T235" s="400"/>
      <c r="U235" s="330"/>
      <c r="V235" s="330"/>
      <c r="W235" s="137"/>
      <c r="X235" s="137"/>
      <c r="Y235" s="137"/>
      <c r="Z235" s="137"/>
    </row>
    <row r="236">
      <c r="A236" s="295"/>
      <c r="B236" s="296" t="s">
        <v>1261</v>
      </c>
      <c r="C236" s="330" t="s">
        <v>881</v>
      </c>
      <c r="D236" s="289">
        <f>ROUND((E236*'Pawn Weights'!$B$52)+(G236*'Pawn Weights'!$B$41)+(H236*'Pawn Weights'!$B$42)+(I236*'Pawn Weights'!$B$43)+(J236*'Pawn Weights'!$B$46)+(K236*'Pawn Weights'!$B$44)+(M236*'Pawn Weights'!$B$47)+(N236*'Pawn Weights'!$B$40)+(O236*'Pawn Weights'!$B$49)+(P236*'Pawn Weights'!$B$50)+(Q236*'Pawn Weights'!$B$51)+(F236*'Pawn Weights'!$B$53), 2)</f>
        <v>858.46</v>
      </c>
      <c r="E236" s="332">
        <v>87.6</v>
      </c>
      <c r="F236" s="332">
        <v>2.7</v>
      </c>
      <c r="G236" s="298">
        <v>14.0</v>
      </c>
      <c r="H236" s="332">
        <v>46.0</v>
      </c>
      <c r="I236" s="330"/>
      <c r="J236" s="330"/>
      <c r="K236" s="330"/>
      <c r="L236" s="332">
        <v>16.0</v>
      </c>
      <c r="M236" s="330"/>
      <c r="N236" s="330"/>
      <c r="O236" s="330"/>
      <c r="P236" s="330"/>
      <c r="Q236" s="330"/>
      <c r="R236" s="295"/>
      <c r="S236" s="330"/>
      <c r="T236" s="400"/>
      <c r="U236" s="330"/>
      <c r="V236" s="330"/>
      <c r="W236" s="137"/>
      <c r="X236" s="137"/>
      <c r="Y236" s="137"/>
      <c r="Z236" s="137"/>
    </row>
    <row r="237">
      <c r="A237" s="315"/>
      <c r="B237" s="296" t="s">
        <v>1262</v>
      </c>
      <c r="C237" s="330" t="s">
        <v>1263</v>
      </c>
      <c r="D237" s="289">
        <f>ROUND((E237*'Pawn Weights'!$B$52)+(G237*'Pawn Weights'!$B$41)+(H237*'Pawn Weights'!$B$42)+(I237*'Pawn Weights'!$B$43)+(J237*'Pawn Weights'!$B$46)+(K237*'Pawn Weights'!$B$44)+(M237*'Pawn Weights'!$B$47)+(N237*'Pawn Weights'!$B$40)+(O237*'Pawn Weights'!$B$49)+(P237*'Pawn Weights'!$B$50)+(Q237*'Pawn Weights'!$B$51)+(F237*'Pawn Weights'!$B$53), 2)</f>
        <v>811.58</v>
      </c>
      <c r="E237" s="332">
        <v>81.2</v>
      </c>
      <c r="F237" s="332">
        <v>2.6</v>
      </c>
      <c r="G237" s="295"/>
      <c r="H237" s="332">
        <v>38.0</v>
      </c>
      <c r="I237" s="330"/>
      <c r="J237" s="330"/>
      <c r="K237" s="332">
        <v>19.0</v>
      </c>
      <c r="L237" s="330"/>
      <c r="M237" s="330"/>
      <c r="N237" s="330"/>
      <c r="O237" s="330"/>
      <c r="P237" s="330"/>
      <c r="Q237" s="330"/>
      <c r="R237" s="295"/>
      <c r="S237" s="330"/>
      <c r="T237" s="400"/>
      <c r="U237" s="330"/>
      <c r="V237" s="330"/>
      <c r="W237" s="137"/>
      <c r="X237" s="137"/>
      <c r="Y237" s="137"/>
      <c r="Z237" s="137"/>
    </row>
    <row r="238">
      <c r="A238" s="219" t="s">
        <v>943</v>
      </c>
      <c r="B238" s="296" t="s">
        <v>1264</v>
      </c>
      <c r="C238" s="330" t="s">
        <v>1265</v>
      </c>
      <c r="D238" s="289">
        <f>ROUND((E238*'Pawn Weights'!$B$52)+(G238*'Pawn Weights'!$B$41)+(H238*'Pawn Weights'!$B$42)+(I238*'Pawn Weights'!$B$43)+(J238*'Pawn Weights'!$B$46)+(K238*'Pawn Weights'!$B$44)+(M238*'Pawn Weights'!$B$47)+(N238*'Pawn Weights'!$B$40)+(O238*'Pawn Weights'!$B$49)+(P238*'Pawn Weights'!$B$50)+(Q238*'Pawn Weights'!$B$51)+(F238*'Pawn Weights'!$B$53), 2)</f>
        <v>727.6</v>
      </c>
      <c r="E238" s="332">
        <v>81.2</v>
      </c>
      <c r="F238" s="332">
        <v>2.6</v>
      </c>
      <c r="G238" s="295"/>
      <c r="H238" s="330"/>
      <c r="I238" s="330"/>
      <c r="J238" s="330"/>
      <c r="K238" s="330"/>
      <c r="L238" s="330"/>
      <c r="M238" s="330"/>
      <c r="N238" s="330"/>
      <c r="O238" s="330"/>
      <c r="P238" s="330"/>
      <c r="Q238" s="330"/>
      <c r="R238" s="295"/>
      <c r="S238" s="330"/>
      <c r="T238" s="402" t="s">
        <v>1266</v>
      </c>
      <c r="U238" s="330"/>
      <c r="V238" s="330"/>
      <c r="W238" s="137"/>
      <c r="X238" s="137"/>
      <c r="Y238" s="137"/>
      <c r="Z238" s="137"/>
    </row>
    <row r="239">
      <c r="A239" s="295" t="s">
        <v>627</v>
      </c>
      <c r="B239" s="296" t="s">
        <v>1267</v>
      </c>
      <c r="C239" s="330" t="s">
        <v>1268</v>
      </c>
      <c r="D239" s="289">
        <f>ROUND((E239*'Pawn Weights'!$B$52)+(G239*'Pawn Weights'!$B$41)+(H239*'Pawn Weights'!$B$42)+(I239*'Pawn Weights'!$B$43)+(J239*'Pawn Weights'!$B$46)+(K239*'Pawn Weights'!$B$44)+(M239*'Pawn Weights'!$B$47)+(N239*'Pawn Weights'!$B$40)+(O239*'Pawn Weights'!$B$49)+(P239*'Pawn Weights'!$B$50)+(Q239*'Pawn Weights'!$B$51)+(F239*'Pawn Weights'!$B$53), 2)</f>
        <v>790.14</v>
      </c>
      <c r="E239" s="332">
        <v>83.4</v>
      </c>
      <c r="F239" s="332">
        <v>2.2</v>
      </c>
      <c r="G239" s="298">
        <v>26.0</v>
      </c>
      <c r="H239" s="330"/>
      <c r="I239" s="330"/>
      <c r="J239" s="330"/>
      <c r="K239" s="330"/>
      <c r="L239" s="332">
        <v>15.0</v>
      </c>
      <c r="M239" s="330"/>
      <c r="N239" s="330"/>
      <c r="O239" s="330"/>
      <c r="P239" s="330"/>
      <c r="Q239" s="330"/>
      <c r="R239" s="295"/>
      <c r="S239" s="330"/>
      <c r="T239" s="400"/>
      <c r="U239" s="330"/>
      <c r="V239" s="330"/>
      <c r="W239" s="137"/>
      <c r="X239" s="137"/>
      <c r="Y239" s="137"/>
      <c r="Z239" s="137"/>
    </row>
    <row r="240">
      <c r="A240" s="292"/>
      <c r="B240" s="311" t="s">
        <v>1832</v>
      </c>
      <c r="C240" s="326" t="s">
        <v>1358</v>
      </c>
      <c r="D240" s="289">
        <f>ROUND((E240*'Pawn Weights'!$B$52)+(G240*'Pawn Weights'!$B$41)+(H240*'Pawn Weights'!$B$42)+(I240*'Pawn Weights'!$B$43)+(J240*'Pawn Weights'!$B$46)+(K240*'Pawn Weights'!$B$44)+(M240*'Pawn Weights'!$B$47)+(N240*'Pawn Weights'!$B$40)+(O240*'Pawn Weights'!$B$49)+(P240*'Pawn Weights'!$B$50)+(Q240*'Pawn Weights'!$B$51)+(F240*'Pawn Weights'!$B$53), 2)</f>
        <v>709.12</v>
      </c>
      <c r="E240" s="326">
        <v>71.7</v>
      </c>
      <c r="F240" s="326">
        <v>2.6</v>
      </c>
      <c r="G240" s="154"/>
      <c r="H240" s="326">
        <v>30.0</v>
      </c>
      <c r="I240" s="326">
        <v>16.0</v>
      </c>
      <c r="J240" s="326"/>
      <c r="K240" s="326"/>
      <c r="L240" s="326">
        <v>13.0</v>
      </c>
      <c r="M240" s="326"/>
      <c r="N240" s="326"/>
      <c r="O240" s="326"/>
      <c r="P240" s="326"/>
      <c r="Q240" s="326"/>
      <c r="R240" s="327"/>
      <c r="S240" s="326"/>
      <c r="T240" s="306"/>
      <c r="U240" s="326"/>
      <c r="V240" s="326"/>
      <c r="W240" s="329"/>
    </row>
    <row r="241">
      <c r="A241" s="292"/>
      <c r="B241" s="311" t="s">
        <v>1833</v>
      </c>
      <c r="C241" s="326" t="s">
        <v>1834</v>
      </c>
      <c r="D241" s="289">
        <f>ROUND((E241*'Pawn Weights'!$B$52)+(G241*'Pawn Weights'!$B$41)+(H241*'Pawn Weights'!$B$42)+(I241*'Pawn Weights'!$B$43)+(J241*'Pawn Weights'!$B$46)+(K241*'Pawn Weights'!$B$44)+(M241*'Pawn Weights'!$B$47)+(N241*'Pawn Weights'!$B$40)+(O241*'Pawn Weights'!$B$49)+(P241*'Pawn Weights'!$B$50)+(Q241*'Pawn Weights'!$B$51)+(F241*'Pawn Weights'!$B$53), 2)</f>
        <v>704.52</v>
      </c>
      <c r="E241" s="326">
        <v>71.7</v>
      </c>
      <c r="F241" s="326">
        <v>2.4</v>
      </c>
      <c r="G241" s="154"/>
      <c r="H241" s="326">
        <v>40.0</v>
      </c>
      <c r="I241" s="326">
        <v>11.0</v>
      </c>
      <c r="J241" s="326"/>
      <c r="K241" s="326"/>
      <c r="L241" s="326">
        <v>12.0</v>
      </c>
      <c r="M241" s="326"/>
      <c r="N241" s="326"/>
      <c r="O241" s="326"/>
      <c r="P241" s="326"/>
      <c r="Q241" s="326"/>
      <c r="R241" s="327"/>
      <c r="S241" s="326"/>
      <c r="T241" s="306"/>
      <c r="U241" s="326"/>
      <c r="V241" s="326"/>
      <c r="W241" s="329"/>
    </row>
    <row r="242">
      <c r="A242" s="224" t="s">
        <v>1040</v>
      </c>
      <c r="B242" s="323" t="s">
        <v>604</v>
      </c>
      <c r="C242" s="323" t="s">
        <v>605</v>
      </c>
      <c r="D242" s="386" t="s">
        <v>606</v>
      </c>
      <c r="E242" s="224" t="s">
        <v>1003</v>
      </c>
      <c r="F242" s="224" t="s">
        <v>1004</v>
      </c>
      <c r="G242" s="224" t="s">
        <v>561</v>
      </c>
      <c r="H242" s="224" t="s">
        <v>562</v>
      </c>
      <c r="I242" s="224" t="s">
        <v>330</v>
      </c>
      <c r="J242" s="224" t="s">
        <v>563</v>
      </c>
      <c r="K242" s="272" t="s">
        <v>344</v>
      </c>
      <c r="L242" s="224" t="s">
        <v>607</v>
      </c>
      <c r="M242" s="224" t="s">
        <v>564</v>
      </c>
      <c r="N242" s="224" t="s">
        <v>1006</v>
      </c>
      <c r="O242" s="274" t="s">
        <v>610</v>
      </c>
      <c r="P242" s="275" t="s">
        <v>611</v>
      </c>
      <c r="Q242" s="276" t="s">
        <v>612</v>
      </c>
      <c r="R242" s="277" t="s">
        <v>613</v>
      </c>
      <c r="S242" s="323" t="s">
        <v>356</v>
      </c>
      <c r="T242" s="224" t="s">
        <v>615</v>
      </c>
      <c r="U242" s="324"/>
      <c r="V242" s="324"/>
      <c r="W242" s="324"/>
    </row>
    <row r="243" ht="14.25" customHeight="1">
      <c r="A243" s="281"/>
      <c r="B243" s="350" t="s">
        <v>1269</v>
      </c>
      <c r="C243" s="326"/>
      <c r="D243" s="387"/>
      <c r="E243" s="326"/>
      <c r="F243" s="326"/>
      <c r="G243" s="326"/>
      <c r="H243" s="326"/>
      <c r="I243" s="326"/>
      <c r="J243" s="326"/>
      <c r="K243" s="326"/>
      <c r="L243" s="326"/>
      <c r="M243" s="326"/>
      <c r="N243" s="326"/>
      <c r="O243" s="326"/>
      <c r="P243" s="326"/>
      <c r="Q243" s="326"/>
      <c r="R243" s="327"/>
      <c r="S243" s="326"/>
      <c r="T243" s="328"/>
      <c r="U243" s="326"/>
      <c r="V243" s="326"/>
      <c r="W243" s="329"/>
    </row>
    <row r="244" ht="14.25" customHeight="1">
      <c r="A244" s="137" t="s">
        <v>671</v>
      </c>
      <c r="B244" s="296" t="s">
        <v>1045</v>
      </c>
      <c r="C244" s="330" t="s">
        <v>637</v>
      </c>
      <c r="D244" s="374">
        <f>ROUND((E244*'Pawn Weights'!$B$54)+(G244*'Pawn Weights'!$B$41)+(H244*'Pawn Weights'!$B$42)+(I244*'Pawn Weights'!$B$43)+(J244*'Pawn Weights'!$B$46)+(K244*'Pawn Weights'!$B$44)+(M244*'Pawn Weights'!$B$47)+(N244*'Pawn Weights'!$B$40)+(O244*'Pawn Weights'!$B$49)+(P244*'Pawn Weights'!$B$50)+(Q244*'Pawn Weights'!$B$51)+(F244*'Pawn Weights'!$B$55)+'Pawn Weights'!$B$56, 2)</f>
        <v>360.16</v>
      </c>
      <c r="E244" s="332">
        <v>108.0</v>
      </c>
      <c r="F244" s="332">
        <v>1.5</v>
      </c>
      <c r="G244" s="330"/>
      <c r="H244" s="332">
        <v>38.0</v>
      </c>
      <c r="I244" s="332">
        <v>22.0</v>
      </c>
      <c r="J244" s="330"/>
      <c r="K244" s="332">
        <v>9.0</v>
      </c>
      <c r="L244" s="332">
        <v>31.0</v>
      </c>
      <c r="M244" s="332">
        <v>49.0</v>
      </c>
      <c r="N244" s="330"/>
      <c r="O244" s="330"/>
      <c r="P244" s="330"/>
      <c r="Q244" s="330"/>
      <c r="R244" s="295"/>
      <c r="S244" s="330"/>
      <c r="T244" s="330" t="s">
        <v>986</v>
      </c>
      <c r="U244" s="330"/>
      <c r="V244" s="330"/>
      <c r="W244" s="137"/>
      <c r="X244" s="137"/>
      <c r="Y244" s="137"/>
      <c r="Z244" s="137"/>
    </row>
    <row r="245" ht="14.25" customHeight="1">
      <c r="A245" s="137" t="s">
        <v>991</v>
      </c>
      <c r="B245" s="296" t="s">
        <v>1051</v>
      </c>
      <c r="C245" s="330" t="s">
        <v>646</v>
      </c>
      <c r="D245" s="374">
        <f>ROUND((E245*'Pawn Weights'!$B$54)+(G245*'Pawn Weights'!$B$41)+(H245*'Pawn Weights'!$B$42)+(I245*'Pawn Weights'!$B$43)+(J245*'Pawn Weights'!$B$46)+(K245*'Pawn Weights'!$B$44)+(M245*'Pawn Weights'!$B$47)+(N245*'Pawn Weights'!$B$40)+(O245*'Pawn Weights'!$B$49)+(P245*'Pawn Weights'!$B$50)+(Q245*'Pawn Weights'!$B$51)+(F245*'Pawn Weights'!$B$55)+'Pawn Weights'!$B$56, 2)</f>
        <v>339.62</v>
      </c>
      <c r="E245" s="332">
        <v>103.0</v>
      </c>
      <c r="F245" s="332">
        <v>1.5</v>
      </c>
      <c r="G245" s="295"/>
      <c r="H245" s="332">
        <v>34.0</v>
      </c>
      <c r="I245" s="332">
        <v>21.0</v>
      </c>
      <c r="J245" s="295"/>
      <c r="K245" s="332">
        <v>8.0</v>
      </c>
      <c r="L245" s="332">
        <v>30.0</v>
      </c>
      <c r="M245" s="332">
        <v>49.0</v>
      </c>
      <c r="N245" s="295"/>
      <c r="O245" s="295"/>
      <c r="P245" s="295"/>
      <c r="Q245" s="295"/>
      <c r="R245" s="295"/>
      <c r="S245" s="295"/>
      <c r="T245" s="295"/>
      <c r="U245" s="295"/>
      <c r="V245" s="295"/>
      <c r="W245" s="137"/>
      <c r="X245" s="137"/>
      <c r="Y245" s="137"/>
      <c r="Z245" s="137"/>
    </row>
    <row r="246">
      <c r="A246" s="137"/>
      <c r="B246" s="317" t="s">
        <v>1058</v>
      </c>
      <c r="C246" s="330" t="s">
        <v>997</v>
      </c>
      <c r="D246" s="374">
        <f>ROUND((E246*'Pawn Weights'!$B$54)+(G246*'Pawn Weights'!$B$41)+(H246*'Pawn Weights'!$B$42)+(I246*'Pawn Weights'!$B$43)+(J246*'Pawn Weights'!$B$46)+(K246*'Pawn Weights'!$B$44)+(M246*'Pawn Weights'!$B$47)+(N246*'Pawn Weights'!$B$40)+(O246*'Pawn Weights'!$B$49)+(P246*'Pawn Weights'!$B$50)+(Q246*'Pawn Weights'!$B$51)+(F246*'Pawn Weights'!$B$55)+'Pawn Weights'!$B$56, 2)</f>
        <v>309.18</v>
      </c>
      <c r="E246" s="332">
        <v>97.7</v>
      </c>
      <c r="F246" s="331">
        <v>1.5</v>
      </c>
      <c r="G246" s="330"/>
      <c r="H246" s="332">
        <v>30.0</v>
      </c>
      <c r="I246" s="332">
        <v>19.0</v>
      </c>
      <c r="J246" s="330"/>
      <c r="K246" s="332">
        <v>10.0</v>
      </c>
      <c r="L246" s="332">
        <v>27.0</v>
      </c>
      <c r="M246" s="330"/>
      <c r="N246" s="330"/>
      <c r="O246" s="330"/>
      <c r="P246" s="330"/>
      <c r="Q246" s="330"/>
      <c r="R246" s="295"/>
      <c r="S246" s="330"/>
      <c r="T246" s="402"/>
      <c r="U246" s="330"/>
      <c r="V246" s="330"/>
      <c r="W246" s="137"/>
      <c r="X246" s="137"/>
      <c r="Y246" s="137"/>
      <c r="Z246" s="137"/>
    </row>
    <row r="247">
      <c r="A247" s="295" t="s">
        <v>627</v>
      </c>
      <c r="B247" s="296" t="s">
        <v>1061</v>
      </c>
      <c r="C247" s="330" t="s">
        <v>1062</v>
      </c>
      <c r="D247" s="374">
        <f>ROUND((E247*'Pawn Weights'!$B$54)+(G247*'Pawn Weights'!$B$41)+(H247*'Pawn Weights'!$B$42)+(I247*'Pawn Weights'!$B$43)+(J247*'Pawn Weights'!$B$46)+(K247*'Pawn Weights'!$B$44)+(M247*'Pawn Weights'!$B$47)+(N247*'Pawn Weights'!$B$40)+(O247*'Pawn Weights'!$B$49)+(P247*'Pawn Weights'!$B$50)+(Q247*'Pawn Weights'!$B$51)+(F247*'Pawn Weights'!$B$55)+'Pawn Weights'!$B$56, 2)</f>
        <v>289.47</v>
      </c>
      <c r="E247" s="332">
        <v>97.5</v>
      </c>
      <c r="F247" s="332">
        <v>1.6</v>
      </c>
      <c r="G247" s="332">
        <v>19.0</v>
      </c>
      <c r="H247" s="330"/>
      <c r="I247" s="330"/>
      <c r="J247" s="330"/>
      <c r="K247" s="332">
        <v>18.0</v>
      </c>
      <c r="L247" s="332">
        <v>28.0</v>
      </c>
      <c r="M247" s="330"/>
      <c r="N247" s="330"/>
      <c r="O247" s="330"/>
      <c r="P247" s="330"/>
      <c r="Q247" s="330"/>
      <c r="R247" s="295"/>
      <c r="S247" s="330"/>
      <c r="T247" s="400"/>
      <c r="U247" s="330"/>
      <c r="V247" s="330"/>
      <c r="W247" s="137"/>
      <c r="X247" s="137"/>
      <c r="Y247" s="137"/>
      <c r="Z247" s="137"/>
    </row>
    <row r="248">
      <c r="A248" s="295"/>
      <c r="B248" s="296" t="s">
        <v>1270</v>
      </c>
      <c r="C248" s="368" t="s">
        <v>1159</v>
      </c>
      <c r="D248" s="374">
        <f>ROUND((E248*'Pawn Weights'!$B$54)+(G248*'Pawn Weights'!$B$41)+(H248*'Pawn Weights'!$B$42)+(I248*'Pawn Weights'!$B$43)+(J248*'Pawn Weights'!$B$46)+(K248*'Pawn Weights'!$B$44)+(M248*'Pawn Weights'!$B$47)+(N248*'Pawn Weights'!$B$40)+(O248*'Pawn Weights'!$B$49)+(P248*'Pawn Weights'!$B$50)+(Q248*'Pawn Weights'!$B$51)+(F248*'Pawn Weights'!$B$55)+'Pawn Weights'!$B$56, 2)</f>
        <v>281.26</v>
      </c>
      <c r="E248" s="332">
        <v>91.0</v>
      </c>
      <c r="F248" s="332">
        <v>1.5</v>
      </c>
      <c r="G248" s="330"/>
      <c r="H248" s="332">
        <v>28.0</v>
      </c>
      <c r="I248" s="332">
        <v>15.0</v>
      </c>
      <c r="J248" s="330"/>
      <c r="K248" s="332">
        <v>9.0</v>
      </c>
      <c r="L248" s="332">
        <v>21.0</v>
      </c>
      <c r="M248" s="330"/>
      <c r="N248" s="330"/>
      <c r="O248" s="330"/>
      <c r="P248" s="330"/>
      <c r="Q248" s="330"/>
      <c r="R248" s="295"/>
      <c r="S248" s="330"/>
      <c r="T248" s="400"/>
      <c r="U248" s="330"/>
      <c r="V248" s="330"/>
      <c r="W248" s="137"/>
      <c r="X248" s="137"/>
      <c r="Y248" s="137"/>
      <c r="Z248" s="137"/>
    </row>
    <row r="249" ht="14.25" customHeight="1">
      <c r="A249" s="281"/>
      <c r="B249" s="311" t="s">
        <v>1271</v>
      </c>
      <c r="C249" s="326" t="s">
        <v>1272</v>
      </c>
      <c r="D249" s="374">
        <f>ROUND((E249*'Pawn Weights'!$B$54)+(G249*'Pawn Weights'!$B$41)+(H249*'Pawn Weights'!$B$42)+(I249*'Pawn Weights'!$B$43)+(J249*'Pawn Weights'!$B$46)+(K249*'Pawn Weights'!$B$44)+(M249*'Pawn Weights'!$B$47)+(N249*'Pawn Weights'!$B$40)+(O249*'Pawn Weights'!$B$49)+(P249*'Pawn Weights'!$B$50)+(Q249*'Pawn Weights'!$B$51)+(F249*'Pawn Weights'!$B$55)+'Pawn Weights'!$B$56, 2)</f>
        <v>271.51</v>
      </c>
      <c r="E249" s="326">
        <v>71.8</v>
      </c>
      <c r="F249" s="326">
        <v>1.4</v>
      </c>
      <c r="G249" s="326">
        <v>15.0</v>
      </c>
      <c r="H249" s="326">
        <v>26.0</v>
      </c>
      <c r="I249" s="326"/>
      <c r="J249" s="326">
        <v>14.0</v>
      </c>
      <c r="K249" s="326"/>
      <c r="L249" s="326"/>
      <c r="M249" s="326"/>
      <c r="N249" s="326"/>
      <c r="O249" s="326"/>
      <c r="P249" s="326"/>
      <c r="Q249" s="326"/>
      <c r="R249" s="327"/>
      <c r="S249" s="326"/>
      <c r="T249" s="328"/>
      <c r="U249" s="326"/>
      <c r="V249" s="326"/>
      <c r="W249" s="329"/>
    </row>
    <row r="250">
      <c r="A250" s="295" t="s">
        <v>627</v>
      </c>
      <c r="B250" s="296" t="s">
        <v>1273</v>
      </c>
      <c r="C250" s="330" t="s">
        <v>1274</v>
      </c>
      <c r="D250" s="374">
        <f>ROUND((E250*'Pawn Weights'!$B$54)+(G250*'Pawn Weights'!$B$41)+(H250*'Pawn Weights'!$B$42)+(I250*'Pawn Weights'!$B$43)+(J250*'Pawn Weights'!$B$46)+(K250*'Pawn Weights'!$B$44)+(M250*'Pawn Weights'!$B$47)+(N250*'Pawn Weights'!$B$40)+(O250*'Pawn Weights'!$B$49)+(P250*'Pawn Weights'!$B$50)+(Q250*'Pawn Weights'!$B$51)+(F250*'Pawn Weights'!$B$55)+'Pawn Weights'!$B$56, 2)</f>
        <v>267.29</v>
      </c>
      <c r="E250" s="332">
        <v>91.3</v>
      </c>
      <c r="F250" s="331">
        <v>1.6</v>
      </c>
      <c r="G250" s="332">
        <v>17.0</v>
      </c>
      <c r="H250" s="330"/>
      <c r="I250" s="330"/>
      <c r="J250" s="330"/>
      <c r="K250" s="332">
        <v>17.0</v>
      </c>
      <c r="L250" s="332">
        <v>25.0</v>
      </c>
      <c r="M250" s="330"/>
      <c r="N250" s="330"/>
      <c r="O250" s="330"/>
      <c r="P250" s="330"/>
      <c r="Q250" s="330"/>
      <c r="R250" s="295"/>
      <c r="S250" s="330"/>
      <c r="T250" s="400"/>
      <c r="U250" s="330"/>
      <c r="V250" s="330"/>
      <c r="W250" s="137"/>
      <c r="X250" s="137"/>
      <c r="Y250" s="137"/>
      <c r="Z250" s="137"/>
    </row>
    <row r="251">
      <c r="A251" s="295" t="s">
        <v>627</v>
      </c>
      <c r="B251" s="296" t="s">
        <v>1275</v>
      </c>
      <c r="C251" s="390" t="s">
        <v>1276</v>
      </c>
      <c r="D251" s="374">
        <f>ROUND((E251*'Pawn Weights'!$B$54)+(G251*'Pawn Weights'!$B$41)+(H251*'Pawn Weights'!$B$42)+(I251*'Pawn Weights'!$B$43)+(J251*'Pawn Weights'!$B$46)+(K251*'Pawn Weights'!$B$44)+(M251*'Pawn Weights'!$B$47)+(N251*'Pawn Weights'!$B$40)+(O251*'Pawn Weights'!$B$49)+(P251*'Pawn Weights'!$B$50)+(Q251*'Pawn Weights'!$B$51)+(F251*'Pawn Weights'!$B$55)+'Pawn Weights'!$B$56, 2)</f>
        <v>245.57</v>
      </c>
      <c r="E251" s="332">
        <v>84.4</v>
      </c>
      <c r="F251" s="332">
        <v>1.6</v>
      </c>
      <c r="G251" s="332">
        <v>16.0</v>
      </c>
      <c r="H251" s="295"/>
      <c r="I251" s="295"/>
      <c r="J251" s="295"/>
      <c r="K251" s="332">
        <v>16.0</v>
      </c>
      <c r="L251" s="332">
        <v>23.0</v>
      </c>
      <c r="M251" s="295"/>
      <c r="N251" s="295"/>
      <c r="O251" s="295"/>
      <c r="P251" s="295"/>
      <c r="Q251" s="295"/>
      <c r="R251" s="295"/>
      <c r="S251" s="295"/>
      <c r="T251" s="400"/>
      <c r="U251" s="295"/>
      <c r="V251" s="295"/>
      <c r="W251" s="137"/>
      <c r="X251" s="137"/>
      <c r="Y251" s="137"/>
      <c r="Z251" s="137"/>
    </row>
    <row r="252">
      <c r="A252" s="295"/>
      <c r="B252" s="296" t="s">
        <v>1277</v>
      </c>
      <c r="C252" s="297" t="s">
        <v>1278</v>
      </c>
      <c r="D252" s="374">
        <f>ROUND((E252*'Pawn Weights'!$B$54)+(G252*'Pawn Weights'!$B$41)+(H252*'Pawn Weights'!$B$42)+(I252*'Pawn Weights'!$B$43)+(J252*'Pawn Weights'!$B$46)+(K252*'Pawn Weights'!$B$44)+(M252*'Pawn Weights'!$B$47)+(N252*'Pawn Weights'!$B$40)+(O252*'Pawn Weights'!$B$49)+(P252*'Pawn Weights'!$B$50)+(Q252*'Pawn Weights'!$B$51)+(F252*'Pawn Weights'!$B$55)+'Pawn Weights'!$B$56, 2)</f>
        <v>220.64</v>
      </c>
      <c r="E252" s="332">
        <v>87.5</v>
      </c>
      <c r="F252" s="332">
        <v>1.6</v>
      </c>
      <c r="G252" s="295"/>
      <c r="H252" s="295"/>
      <c r="I252" s="295"/>
      <c r="J252" s="295"/>
      <c r="K252" s="332">
        <v>17.0</v>
      </c>
      <c r="L252" s="332">
        <v>28.0</v>
      </c>
      <c r="M252" s="295"/>
      <c r="N252" s="295"/>
      <c r="O252" s="295"/>
      <c r="P252" s="295"/>
      <c r="Q252" s="295"/>
      <c r="R252" s="295"/>
      <c r="S252" s="295"/>
      <c r="T252" s="400"/>
      <c r="U252" s="295"/>
      <c r="V252" s="295"/>
      <c r="W252" s="137"/>
      <c r="X252" s="137"/>
      <c r="Y252" s="137"/>
      <c r="Z252" s="137"/>
    </row>
    <row r="253">
      <c r="A253" s="295"/>
      <c r="B253" s="296" t="s">
        <v>1279</v>
      </c>
      <c r="C253" s="330" t="s">
        <v>1280</v>
      </c>
      <c r="D253" s="374">
        <f>ROUND((E253*'Pawn Weights'!$B$54)+(G253*'Pawn Weights'!$B$41)+(H253*'Pawn Weights'!$B$42)+(I253*'Pawn Weights'!$B$43)+(J253*'Pawn Weights'!$B$46)+(K253*'Pawn Weights'!$B$44)+(M253*'Pawn Weights'!$B$47)+(N253*'Pawn Weights'!$B$40)+(O253*'Pawn Weights'!$B$49)+(P253*'Pawn Weights'!$B$50)+(Q253*'Pawn Weights'!$B$51)+(F253*'Pawn Weights'!$B$55)+'Pawn Weights'!$B$56, 2)</f>
        <v>169.33</v>
      </c>
      <c r="E253" s="332">
        <v>83.4</v>
      </c>
      <c r="F253" s="332">
        <v>1.6</v>
      </c>
      <c r="G253" s="295"/>
      <c r="H253" s="330"/>
      <c r="I253" s="330"/>
      <c r="J253" s="330"/>
      <c r="K253" s="330"/>
      <c r="L253" s="332">
        <v>22.0</v>
      </c>
      <c r="M253" s="330"/>
      <c r="N253" s="330"/>
      <c r="O253" s="330"/>
      <c r="P253" s="330"/>
      <c r="Q253" s="330"/>
      <c r="R253" s="295"/>
      <c r="S253" s="330"/>
      <c r="T253" s="400"/>
      <c r="U253" s="330"/>
      <c r="V253" s="330"/>
      <c r="W253" s="137"/>
      <c r="X253" s="137"/>
      <c r="Y253" s="137"/>
      <c r="Z253" s="137"/>
    </row>
    <row r="254">
      <c r="A254" s="219" t="s">
        <v>943</v>
      </c>
      <c r="B254" s="391" t="s">
        <v>1281</v>
      </c>
      <c r="C254" s="368" t="s">
        <v>1282</v>
      </c>
      <c r="D254" s="374">
        <f>ROUND((E254*'Pawn Weights'!$B$54)+(G254*'Pawn Weights'!$B$41)+(H254*'Pawn Weights'!$B$42)+(I254*'Pawn Weights'!$B$43)+(J254*'Pawn Weights'!$B$46)+(K254*'Pawn Weights'!$B$44)+(M254*'Pawn Weights'!$B$47)+(N254*'Pawn Weights'!$B$40)+(O254*'Pawn Weights'!$B$49)+(P254*'Pawn Weights'!$B$50)+(Q254*'Pawn Weights'!$B$51)+(F254*'Pawn Weights'!$B$55)+'Pawn Weights'!$B$56, 2)</f>
        <v>157.82</v>
      </c>
      <c r="E254" s="331">
        <v>71.7</v>
      </c>
      <c r="F254" s="331">
        <v>1.5</v>
      </c>
      <c r="G254" s="295"/>
      <c r="H254" s="330"/>
      <c r="I254" s="330"/>
      <c r="J254" s="330"/>
      <c r="K254" s="330"/>
      <c r="L254" s="332"/>
      <c r="M254" s="330"/>
      <c r="N254" s="330"/>
      <c r="O254" s="330"/>
      <c r="P254" s="330"/>
      <c r="Q254" s="330"/>
      <c r="R254" s="295"/>
      <c r="S254" s="330"/>
      <c r="T254" s="402" t="s">
        <v>1283</v>
      </c>
      <c r="U254" s="330"/>
      <c r="V254" s="330"/>
      <c r="W254" s="137"/>
      <c r="X254" s="137"/>
      <c r="Y254" s="137"/>
      <c r="Z254" s="137"/>
    </row>
    <row r="255">
      <c r="A255" s="224" t="s">
        <v>1284</v>
      </c>
      <c r="B255" s="323" t="s">
        <v>604</v>
      </c>
      <c r="C255" s="323" t="s">
        <v>605</v>
      </c>
      <c r="D255" s="386" t="s">
        <v>606</v>
      </c>
      <c r="E255" s="224" t="s">
        <v>1003</v>
      </c>
      <c r="F255" s="224" t="s">
        <v>1004</v>
      </c>
      <c r="G255" s="224" t="s">
        <v>561</v>
      </c>
      <c r="H255" s="224" t="s">
        <v>562</v>
      </c>
      <c r="I255" s="224" t="s">
        <v>330</v>
      </c>
      <c r="J255" s="224" t="s">
        <v>563</v>
      </c>
      <c r="K255" s="272" t="s">
        <v>344</v>
      </c>
      <c r="L255" s="224" t="s">
        <v>607</v>
      </c>
      <c r="M255" s="224" t="s">
        <v>564</v>
      </c>
      <c r="N255" s="224" t="s">
        <v>1006</v>
      </c>
      <c r="O255" s="274" t="s">
        <v>610</v>
      </c>
      <c r="P255" s="275" t="s">
        <v>611</v>
      </c>
      <c r="Q255" s="276" t="s">
        <v>612</v>
      </c>
      <c r="R255" s="277" t="s">
        <v>613</v>
      </c>
      <c r="S255" s="366"/>
      <c r="T255" s="224" t="s">
        <v>615</v>
      </c>
      <c r="U255" s="324"/>
      <c r="V255" s="324"/>
      <c r="W255" s="324"/>
    </row>
    <row r="256">
      <c r="A256" s="333"/>
      <c r="B256" s="376" t="s">
        <v>1285</v>
      </c>
      <c r="C256" s="354"/>
      <c r="D256" s="392"/>
      <c r="E256" s="354"/>
      <c r="F256" s="354"/>
      <c r="G256" s="354"/>
      <c r="H256" s="354"/>
      <c r="I256" s="354"/>
      <c r="J256" s="354"/>
      <c r="K256" s="354"/>
      <c r="L256" s="354"/>
      <c r="M256" s="354"/>
      <c r="N256" s="354"/>
      <c r="O256" s="354"/>
      <c r="P256" s="354"/>
      <c r="Q256" s="354"/>
      <c r="R256" s="355"/>
      <c r="S256" s="354"/>
      <c r="T256" s="356"/>
      <c r="U256" s="354"/>
      <c r="V256" s="357"/>
      <c r="W256" s="357"/>
      <c r="X256" s="304"/>
      <c r="Y256" s="304"/>
      <c r="Z256" s="304"/>
    </row>
    <row r="257">
      <c r="A257" s="292"/>
      <c r="B257" s="288" t="s">
        <v>1289</v>
      </c>
      <c r="C257" s="326" t="s">
        <v>1122</v>
      </c>
      <c r="D257" s="289">
        <f>ROUND((E257*'Pawn Weights'!$B$52)+(G257*'Pawn Weights'!$B$41)+(H257*'Pawn Weights'!$B$42)+(I257*'Pawn Weights'!$B$43)+(J257*'Pawn Weights'!$B$46)+(K257*'Pawn Weights'!$B$44)+(M257*'Pawn Weights'!$B$47)+(N257*'Pawn Weights'!$B$40)+(O257*'Pawn Weights'!$B$49)+(P257*'Pawn Weights'!$B$50)+(Q257*'Pawn Weights'!$B$51)+(F257*'Pawn Weights'!$B$53), 2)</f>
        <v>868.64</v>
      </c>
      <c r="E257" s="326">
        <v>87.5</v>
      </c>
      <c r="F257" s="326">
        <v>2.6</v>
      </c>
      <c r="G257" s="154"/>
      <c r="H257" s="326">
        <v>30.0</v>
      </c>
      <c r="I257" s="326">
        <v>24.0</v>
      </c>
      <c r="J257" s="326"/>
      <c r="K257" s="326"/>
      <c r="L257" s="326"/>
      <c r="M257" s="326"/>
      <c r="N257" s="326"/>
      <c r="O257" s="326"/>
      <c r="P257" s="326">
        <v>1.0</v>
      </c>
      <c r="Q257" s="326"/>
      <c r="R257" s="327" t="s">
        <v>674</v>
      </c>
      <c r="S257" s="326"/>
      <c r="T257" s="328"/>
      <c r="U257" s="326"/>
      <c r="V257" s="326"/>
      <c r="W257" s="329"/>
    </row>
    <row r="258">
      <c r="A258" s="281"/>
      <c r="B258" s="288" t="s">
        <v>1290</v>
      </c>
      <c r="C258" s="326" t="s">
        <v>1291</v>
      </c>
      <c r="D258" s="289">
        <f>ROUND((E258*'Pawn Weights'!$B$52)+(G258*'Pawn Weights'!$B$41)+(H258*'Pawn Weights'!$B$42)+(I258*'Pawn Weights'!$B$43)+(J258*'Pawn Weights'!$B$46)+(K258*'Pawn Weights'!$B$44)+(M258*'Pawn Weights'!$B$47)+(N258*'Pawn Weights'!$B$40)+(O258*'Pawn Weights'!$B$49)+(P258*'Pawn Weights'!$B$50)+(Q258*'Pawn Weights'!$B$51)+(F258*'Pawn Weights'!$B$53), 2)</f>
        <v>747.6</v>
      </c>
      <c r="E258" s="326">
        <v>83.7</v>
      </c>
      <c r="F258" s="326">
        <v>2.6</v>
      </c>
      <c r="G258" s="154"/>
      <c r="H258" s="326"/>
      <c r="I258" s="326"/>
      <c r="J258" s="326"/>
      <c r="K258" s="326"/>
      <c r="L258" s="326"/>
      <c r="M258" s="326"/>
      <c r="N258" s="326"/>
      <c r="O258" s="326"/>
      <c r="P258" s="326"/>
      <c r="Q258" s="326"/>
      <c r="R258" s="327"/>
      <c r="S258" s="326"/>
      <c r="T258" s="328" t="s">
        <v>1292</v>
      </c>
      <c r="U258" s="326"/>
      <c r="V258" s="326"/>
      <c r="W258" s="329"/>
    </row>
    <row r="259">
      <c r="A259" s="281"/>
      <c r="B259" s="288" t="s">
        <v>1024</v>
      </c>
      <c r="C259" s="326" t="s">
        <v>1025</v>
      </c>
      <c r="D259" s="289">
        <f>ROUND((E259*'Pawn Weights'!$B$52)+(G259*'Pawn Weights'!$B$41)+(H259*'Pawn Weights'!$B$42)+(I259*'Pawn Weights'!$B$43)+(J259*'Pawn Weights'!$B$46)+(K259*'Pawn Weights'!$B$44)+(M259*'Pawn Weights'!$B$47)+(N259*'Pawn Weights'!$B$40)+(O259*'Pawn Weights'!$B$49)+(P259*'Pawn Weights'!$B$50)+(Q259*'Pawn Weights'!$B$51)+(F259*'Pawn Weights'!$B$53), 2)</f>
        <v>973.98</v>
      </c>
      <c r="E259" s="326">
        <v>96.5</v>
      </c>
      <c r="F259" s="326">
        <v>2.7</v>
      </c>
      <c r="G259" s="326"/>
      <c r="H259" s="326">
        <v>52.0</v>
      </c>
      <c r="I259" s="326">
        <v>19.0</v>
      </c>
      <c r="J259" s="326"/>
      <c r="K259" s="326">
        <v>15.0</v>
      </c>
      <c r="L259" s="326"/>
      <c r="M259" s="326"/>
      <c r="N259" s="326"/>
      <c r="O259" s="326"/>
      <c r="P259" s="326"/>
      <c r="Q259" s="326"/>
      <c r="R259" s="327"/>
      <c r="S259" s="326"/>
      <c r="T259" s="328"/>
      <c r="U259" s="326"/>
      <c r="V259" s="326"/>
      <c r="W259" s="329"/>
    </row>
    <row r="260">
      <c r="A260" s="292"/>
      <c r="B260" s="288" t="s">
        <v>1293</v>
      </c>
      <c r="C260" s="326" t="s">
        <v>1294</v>
      </c>
      <c r="D260" s="289">
        <f>ROUND((E260*'Pawn Weights'!$B$52)+(G260*'Pawn Weights'!$B$41)+(H260*'Pawn Weights'!$B$42)+(I260*'Pawn Weights'!$B$43)+(J260*'Pawn Weights'!$B$46)+(K260*'Pawn Weights'!$B$44)+(M260*'Pawn Weights'!$B$47)+(N260*'Pawn Weights'!$B$40)+(O260*'Pawn Weights'!$B$49)+(P260*'Pawn Weights'!$B$50)+(Q260*'Pawn Weights'!$B$51)+(F260*'Pawn Weights'!$B$53), 2)</f>
        <v>847.43</v>
      </c>
      <c r="E260" s="326">
        <v>87.6</v>
      </c>
      <c r="F260" s="326">
        <v>2.5</v>
      </c>
      <c r="G260" s="154">
        <v>17.0</v>
      </c>
      <c r="H260" s="326"/>
      <c r="I260" s="326">
        <v>20.0</v>
      </c>
      <c r="J260" s="326"/>
      <c r="K260" s="326"/>
      <c r="L260" s="326">
        <v>18.0</v>
      </c>
      <c r="M260" s="326"/>
      <c r="N260" s="326"/>
      <c r="O260" s="326"/>
      <c r="P260" s="326"/>
      <c r="Q260" s="326"/>
      <c r="R260" s="327"/>
      <c r="S260" s="326"/>
      <c r="T260" s="328"/>
      <c r="U260" s="326"/>
      <c r="V260" s="326"/>
      <c r="W260" s="329"/>
    </row>
    <row r="261">
      <c r="A261" s="292" t="s">
        <v>627</v>
      </c>
      <c r="B261" s="288" t="s">
        <v>1295</v>
      </c>
      <c r="C261" s="326" t="s">
        <v>1296</v>
      </c>
      <c r="D261" s="289">
        <f>ROUND((E261*'Pawn Weights'!$B$52)+(G261*'Pawn Weights'!$B$41)+(H261*'Pawn Weights'!$B$42)+(I261*'Pawn Weights'!$B$43)+(J261*'Pawn Weights'!$B$46)+(K261*'Pawn Weights'!$B$44)+(M261*'Pawn Weights'!$B$47)+(N261*'Pawn Weights'!$B$40)+(O261*'Pawn Weights'!$B$49)+(P261*'Pawn Weights'!$B$50)+(Q261*'Pawn Weights'!$B$51)+(F261*'Pawn Weights'!$B$53)+95.7, 2)</f>
        <v>905.5</v>
      </c>
      <c r="E261" s="326">
        <v>91.1</v>
      </c>
      <c r="F261" s="326">
        <v>2.7</v>
      </c>
      <c r="G261" s="154"/>
      <c r="H261" s="326"/>
      <c r="I261" s="326"/>
      <c r="J261" s="326"/>
      <c r="K261" s="326"/>
      <c r="L261" s="326">
        <v>9.0</v>
      </c>
      <c r="M261" s="326"/>
      <c r="N261" s="326"/>
      <c r="O261" s="326"/>
      <c r="P261" s="326"/>
      <c r="Q261" s="326"/>
      <c r="R261" s="327"/>
      <c r="S261" s="326"/>
      <c r="T261" s="328" t="s">
        <v>1297</v>
      </c>
      <c r="U261" s="326"/>
      <c r="V261" s="326"/>
      <c r="W261" s="329"/>
    </row>
    <row r="262">
      <c r="A262" s="292" t="s">
        <v>627</v>
      </c>
      <c r="B262" s="288" t="s">
        <v>1055</v>
      </c>
      <c r="C262" s="326" t="s">
        <v>1016</v>
      </c>
      <c r="D262" s="289">
        <f>ROUND((E262*'Pawn Weights'!$B$52)+(G262*'Pawn Weights'!$B$41)+(H262*'Pawn Weights'!$B$42)+(I262*'Pawn Weights'!$B$43)+(J262*'Pawn Weights'!$B$46)+(K262*'Pawn Weights'!$B$44)+(M262*'Pawn Weights'!$B$47)+(N262*'Pawn Weights'!$B$40)+(O262*'Pawn Weights'!$B$49)+(P262*'Pawn Weights'!$B$50)+(Q262*'Pawn Weights'!$B$51)+(F262*'Pawn Weights'!$B$53)+95.7, 2)</f>
        <v>957.5</v>
      </c>
      <c r="E262" s="326">
        <v>97.6</v>
      </c>
      <c r="F262" s="326">
        <v>2.7</v>
      </c>
      <c r="G262" s="326"/>
      <c r="H262" s="326"/>
      <c r="I262" s="326"/>
      <c r="J262" s="326"/>
      <c r="K262" s="326"/>
      <c r="L262" s="326">
        <v>19.0</v>
      </c>
      <c r="M262" s="326"/>
      <c r="N262" s="326"/>
      <c r="O262" s="326"/>
      <c r="P262" s="326"/>
      <c r="Q262" s="326"/>
      <c r="R262" s="327"/>
      <c r="S262" s="326"/>
      <c r="T262" s="328" t="s">
        <v>1297</v>
      </c>
      <c r="U262" s="326"/>
      <c r="V262" s="326"/>
      <c r="W262" s="329"/>
    </row>
    <row r="263" ht="14.25" customHeight="1">
      <c r="A263" s="292" t="s">
        <v>627</v>
      </c>
      <c r="B263" s="288" t="s">
        <v>1298</v>
      </c>
      <c r="C263" s="326" t="s">
        <v>1299</v>
      </c>
      <c r="D263" s="289">
        <f>ROUND((E263*'Pawn Weights'!$B$52)+(G263*'Pawn Weights'!$B$41)+(H263*'Pawn Weights'!$B$42)+(I263*'Pawn Weights'!$B$43)+(J263*'Pawn Weights'!$B$46)+(K263*'Pawn Weights'!$B$44)+(M263*'Pawn Weights'!$B$47)+(N263*'Pawn Weights'!$B$40)+(O263*'Pawn Weights'!$B$49)+(P263*'Pawn Weights'!$B$50)+(Q263*'Pawn Weights'!$B$51)+(F263*'Pawn Weights'!$B$53)+95.7, 2)</f>
        <v>851.1</v>
      </c>
      <c r="E263" s="326">
        <v>84.3</v>
      </c>
      <c r="F263" s="326">
        <v>2.7</v>
      </c>
      <c r="G263" s="154"/>
      <c r="H263" s="326"/>
      <c r="I263" s="326"/>
      <c r="J263" s="326"/>
      <c r="K263" s="326"/>
      <c r="L263" s="326"/>
      <c r="M263" s="326"/>
      <c r="N263" s="326"/>
      <c r="O263" s="326"/>
      <c r="P263" s="326"/>
      <c r="Q263" s="326"/>
      <c r="R263" s="327"/>
      <c r="S263" s="326"/>
      <c r="T263" s="328" t="s">
        <v>1297</v>
      </c>
      <c r="U263" s="326"/>
      <c r="V263" s="326"/>
      <c r="W263" s="329"/>
    </row>
    <row r="264" ht="15.0" customHeight="1">
      <c r="A264" s="292" t="s">
        <v>627</v>
      </c>
      <c r="B264" s="288" t="s">
        <v>1300</v>
      </c>
      <c r="C264" s="326" t="s">
        <v>1268</v>
      </c>
      <c r="D264" s="289">
        <f>ROUND((E264*'Pawn Weights'!$B$52)+(G264*'Pawn Weights'!$B$41)+(H264*'Pawn Weights'!$B$42)+(I264*'Pawn Weights'!$B$43)+(J264*'Pawn Weights'!$B$46)+(K264*'Pawn Weights'!$B$44)+(M264*'Pawn Weights'!$B$47)+(N264*'Pawn Weights'!$B$40)+(O264*'Pawn Weights'!$B$49)+(P264*'Pawn Weights'!$B$50)+(Q264*'Pawn Weights'!$B$51)+(F264*'Pawn Weights'!$B$53), 2)</f>
        <v>790</v>
      </c>
      <c r="E264" s="326">
        <v>83.5</v>
      </c>
      <c r="F264" s="326">
        <v>2.4</v>
      </c>
      <c r="G264" s="154"/>
      <c r="H264" s="326">
        <v>50.0</v>
      </c>
      <c r="I264" s="326"/>
      <c r="J264" s="326"/>
      <c r="K264" s="326"/>
      <c r="L264" s="326"/>
      <c r="M264" s="326"/>
      <c r="N264" s="326"/>
      <c r="O264" s="326"/>
      <c r="P264" s="326"/>
      <c r="Q264" s="326"/>
      <c r="R264" s="327"/>
      <c r="S264" s="326"/>
      <c r="T264" s="328"/>
      <c r="U264" s="326"/>
      <c r="V264" s="326"/>
      <c r="W264" s="329"/>
    </row>
    <row r="265">
      <c r="A265" s="301"/>
      <c r="B265" s="311" t="s">
        <v>1301</v>
      </c>
      <c r="C265" s="326" t="s">
        <v>1302</v>
      </c>
      <c r="D265" s="289">
        <f>ROUND((E265*'Pawn Weights'!$B$52)+(G265*'Pawn Weights'!$B$41)+(H265*'Pawn Weights'!$B$42)+(I265*'Pawn Weights'!$B$43)+(J265*'Pawn Weights'!$B$46)+(K265*'Pawn Weights'!$B$44)+(M265*'Pawn Weights'!$B$47)+(N265*'Pawn Weights'!$B$40)+(O265*'Pawn Weights'!$B$49)+(P265*'Pawn Weights'!$B$50)+(Q265*'Pawn Weights'!$B$51)+(F265*'Pawn Weights'!$B$53), 2)</f>
        <v>725.32</v>
      </c>
      <c r="E265" s="326">
        <v>71.7</v>
      </c>
      <c r="F265" s="326">
        <v>2.7</v>
      </c>
      <c r="G265" s="326"/>
      <c r="H265" s="326">
        <v>32.0</v>
      </c>
      <c r="I265" s="326"/>
      <c r="J265" s="326"/>
      <c r="K265" s="326">
        <v>16.0</v>
      </c>
      <c r="L265" s="326">
        <v>13.0</v>
      </c>
      <c r="M265" s="326"/>
      <c r="N265" s="326"/>
      <c r="O265" s="326"/>
      <c r="P265" s="326"/>
      <c r="Q265" s="326"/>
      <c r="R265" s="327"/>
      <c r="S265" s="326"/>
      <c r="T265" s="328"/>
      <c r="U265" s="326"/>
      <c r="V265" s="326"/>
      <c r="W265" s="329"/>
    </row>
    <row r="266">
      <c r="A266" s="301"/>
      <c r="B266" s="288" t="s">
        <v>1020</v>
      </c>
      <c r="C266" s="326" t="s">
        <v>741</v>
      </c>
      <c r="D266" s="289">
        <f>ROUND((E266*'Pawn Weights'!$B$52)+(G266*'Pawn Weights'!$B$41)+(H266*'Pawn Weights'!$B$42)+(I266*'Pawn Weights'!$B$43)+(J266*'Pawn Weights'!$B$46)+(K266*'Pawn Weights'!$B$44)+(M266*'Pawn Weights'!$B$47)+(N266*'Pawn Weights'!$B$40)+(O266*'Pawn Weights'!$B$49)+(P266*'Pawn Weights'!$B$50)+(Q266*'Pawn Weights'!$B$51)+(F266*'Pawn Weights'!$B$53), 2)</f>
        <v>934.6</v>
      </c>
      <c r="E266" s="326">
        <v>100.2</v>
      </c>
      <c r="F266" s="326">
        <v>2.7</v>
      </c>
      <c r="G266" s="326"/>
      <c r="H266" s="326">
        <v>52.0</v>
      </c>
      <c r="I266" s="326"/>
      <c r="J266" s="326"/>
      <c r="K266" s="326"/>
      <c r="L266" s="326"/>
      <c r="M266" s="326"/>
      <c r="N266" s="326"/>
      <c r="O266" s="326"/>
      <c r="P266" s="326"/>
      <c r="Q266" s="326"/>
      <c r="R266" s="327"/>
      <c r="S266" s="326"/>
      <c r="T266" s="328" t="s">
        <v>1021</v>
      </c>
      <c r="U266" s="326"/>
      <c r="V266" s="326"/>
      <c r="W266" s="329"/>
    </row>
    <row r="267">
      <c r="A267" s="219" t="s">
        <v>1303</v>
      </c>
      <c r="B267" s="317" t="s">
        <v>1304</v>
      </c>
      <c r="C267" s="368" t="s">
        <v>1305</v>
      </c>
      <c r="D267" s="289">
        <f>ROUND((E267*'Pawn Weights'!$B$52)+(G267*'Pawn Weights'!$B$41)+(H267*'Pawn Weights'!$B$42)+(I267*'Pawn Weights'!$B$43)+(J267*'Pawn Weights'!$B$46)+(K267*'Pawn Weights'!$B$44)+(M267*'Pawn Weights'!$B$47)+(N267*'Pawn Weights'!$B$40)+(O267*'Pawn Weights'!$B$49)+(P267*'Pawn Weights'!$B$50)+(Q267*'Pawn Weights'!$B$51)+(F267*'Pawn Weights'!$B$53), 2)</f>
        <v>797.04</v>
      </c>
      <c r="E267" s="331">
        <v>85.4</v>
      </c>
      <c r="F267" s="331">
        <v>1.4</v>
      </c>
      <c r="G267" s="330"/>
      <c r="H267" s="331">
        <v>34.0</v>
      </c>
      <c r="I267" s="368">
        <v>22.0</v>
      </c>
      <c r="J267" s="368"/>
      <c r="K267" s="330"/>
      <c r="L267" s="368"/>
      <c r="M267" s="330"/>
      <c r="N267" s="330"/>
      <c r="O267" s="330"/>
      <c r="P267" s="330"/>
      <c r="Q267" s="330"/>
      <c r="R267" s="295"/>
      <c r="S267" s="330"/>
      <c r="T267" s="402"/>
      <c r="U267" s="330"/>
      <c r="V267" s="330"/>
      <c r="W267" s="137"/>
      <c r="X267" s="137"/>
      <c r="Y267" s="137"/>
      <c r="Z267" s="137"/>
    </row>
    <row r="268">
      <c r="A268" s="219" t="s">
        <v>1303</v>
      </c>
      <c r="B268" s="391" t="s">
        <v>1306</v>
      </c>
      <c r="C268" s="368" t="s">
        <v>1307</v>
      </c>
      <c r="D268" s="289">
        <f>ROUND((E268*'Pawn Weights'!$B$52)+(G268*'Pawn Weights'!$B$41)+(H268*'Pawn Weights'!$B$42)+(I268*'Pawn Weights'!$B$43)+(J268*'Pawn Weights'!$B$46)+(K268*'Pawn Weights'!$B$44)+(M268*'Pawn Weights'!$B$47)+(N268*'Pawn Weights'!$B$40)+(O268*'Pawn Weights'!$B$49)+(P268*'Pawn Weights'!$B$50)+(Q268*'Pawn Weights'!$B$51)+(F268*'Pawn Weights'!$B$53), 2)</f>
        <v>682.34</v>
      </c>
      <c r="E268" s="331">
        <v>71.5</v>
      </c>
      <c r="F268" s="331">
        <v>1.3</v>
      </c>
      <c r="G268" s="368">
        <v>16.0</v>
      </c>
      <c r="H268" s="331"/>
      <c r="I268" s="330"/>
      <c r="J268" s="368"/>
      <c r="K268" s="368">
        <v>15.0</v>
      </c>
      <c r="L268" s="368">
        <v>13.0</v>
      </c>
      <c r="M268" s="330"/>
      <c r="N268" s="330"/>
      <c r="O268" s="330"/>
      <c r="P268" s="330"/>
      <c r="Q268" s="330"/>
      <c r="R268" s="295"/>
      <c r="S268" s="330"/>
      <c r="T268" s="402"/>
      <c r="U268" s="330"/>
      <c r="V268" s="330"/>
      <c r="W268" s="137"/>
      <c r="X268" s="137"/>
      <c r="Y268" s="137"/>
      <c r="Z268" s="137"/>
    </row>
    <row r="269">
      <c r="A269" s="219" t="s">
        <v>1303</v>
      </c>
      <c r="B269" s="391" t="s">
        <v>1308</v>
      </c>
      <c r="C269" s="368" t="s">
        <v>1309</v>
      </c>
      <c r="D269" s="289">
        <f>ROUND((E269*'Pawn Weights'!$B$52)+(G269*'Pawn Weights'!$B$41)+(H269*'Pawn Weights'!$B$42)+(I269*'Pawn Weights'!$B$43)+(J269*'Pawn Weights'!$B$46)+(K269*'Pawn Weights'!$B$44)+(M269*'Pawn Weights'!$B$47)+(N269*'Pawn Weights'!$B$40)+(O269*'Pawn Weights'!$B$49)+(P269*'Pawn Weights'!$B$50)+(Q269*'Pawn Weights'!$B$51)+(F269*'Pawn Weights'!$B$53), 2)</f>
        <v>686.15</v>
      </c>
      <c r="E269" s="331">
        <v>71.8</v>
      </c>
      <c r="F269" s="331">
        <v>1.4</v>
      </c>
      <c r="G269" s="330"/>
      <c r="H269" s="331">
        <v>30.0</v>
      </c>
      <c r="I269" s="330"/>
      <c r="J269" s="368">
        <v>15.0</v>
      </c>
      <c r="K269" s="330"/>
      <c r="L269" s="368">
        <v>13.0</v>
      </c>
      <c r="M269" s="330"/>
      <c r="N269" s="330"/>
      <c r="O269" s="330"/>
      <c r="P269" s="330"/>
      <c r="Q269" s="330"/>
      <c r="R269" s="295"/>
      <c r="S269" s="330"/>
      <c r="T269" s="402"/>
      <c r="U269" s="330"/>
      <c r="V269" s="330"/>
      <c r="W269" s="137"/>
      <c r="X269" s="137"/>
      <c r="Y269" s="137"/>
      <c r="Z269" s="137"/>
    </row>
    <row r="270">
      <c r="A270" s="345"/>
      <c r="B270" s="334" t="s">
        <v>1060</v>
      </c>
      <c r="C270" s="335" t="s">
        <v>1025</v>
      </c>
      <c r="D270" s="289">
        <f>ROUND((E270*'Pawn Weights'!$B$52)+(G270*'Pawn Weights'!$B$41)+(H270*'Pawn Weights'!$B$42)+(I270*'Pawn Weights'!$B$43)+(J270*'Pawn Weights'!$B$46)+(K270*'Pawn Weights'!$B$44)+(M270*'Pawn Weights'!$B$47)+(N270*'Pawn Weights'!$B$40)+(O270*'Pawn Weights'!$B$49)+(P270*'Pawn Weights'!$B$50)+(Q270*'Pawn Weights'!$B$51)+(F270*'Pawn Weights'!$B$53), 2)</f>
        <v>913.35</v>
      </c>
      <c r="E270" s="335">
        <v>96.7</v>
      </c>
      <c r="F270" s="335">
        <v>1.5</v>
      </c>
      <c r="G270" s="335">
        <v>25.0</v>
      </c>
      <c r="H270" s="335">
        <v>40.0</v>
      </c>
      <c r="I270" s="336"/>
      <c r="J270" s="335"/>
      <c r="K270" s="336"/>
      <c r="L270" s="335">
        <v>21.0</v>
      </c>
      <c r="M270" s="336"/>
      <c r="N270" s="336"/>
      <c r="O270" s="336"/>
      <c r="P270" s="336"/>
      <c r="Q270" s="336"/>
      <c r="R270" s="337"/>
      <c r="S270" s="336"/>
      <c r="T270" s="347"/>
      <c r="U270" s="336"/>
      <c r="V270" s="348"/>
      <c r="W270" s="348"/>
      <c r="X270" s="340"/>
      <c r="Y270" s="340"/>
      <c r="Z270" s="340"/>
    </row>
    <row r="271">
      <c r="A271" s="137"/>
      <c r="B271" s="341" t="s">
        <v>1013</v>
      </c>
      <c r="C271" s="342" t="s">
        <v>1014</v>
      </c>
      <c r="D271" s="137"/>
      <c r="E271" s="343">
        <v>103.0</v>
      </c>
      <c r="F271" s="343">
        <v>2.5</v>
      </c>
      <c r="G271" s="343">
        <v>23.0</v>
      </c>
      <c r="H271" s="343">
        <v>44.0</v>
      </c>
      <c r="I271" s="342"/>
      <c r="J271" s="342"/>
      <c r="K271" s="342"/>
      <c r="L271" s="342"/>
      <c r="M271" s="342"/>
      <c r="N271" s="342"/>
      <c r="O271" s="342"/>
      <c r="P271" s="342"/>
      <c r="Q271" s="342"/>
      <c r="R271" s="137"/>
      <c r="S271" s="343"/>
      <c r="T271" s="137"/>
      <c r="U271" s="342"/>
      <c r="V271" s="342"/>
      <c r="W271" s="137"/>
      <c r="X271" s="137"/>
      <c r="Y271" s="137"/>
      <c r="Z271" s="137"/>
    </row>
    <row r="272">
      <c r="A272" s="137"/>
      <c r="B272" s="341" t="s">
        <v>1048</v>
      </c>
      <c r="C272" s="342" t="s">
        <v>1047</v>
      </c>
      <c r="D272" s="137"/>
      <c r="E272" s="343">
        <v>103.0</v>
      </c>
      <c r="F272" s="343">
        <v>1.5</v>
      </c>
      <c r="G272" s="342"/>
      <c r="H272" s="343">
        <v>44.0</v>
      </c>
      <c r="I272" s="342"/>
      <c r="J272" s="343">
        <v>21.0</v>
      </c>
      <c r="K272" s="343"/>
      <c r="L272" s="342"/>
      <c r="M272" s="342"/>
      <c r="N272" s="342"/>
      <c r="O272" s="342"/>
      <c r="P272" s="342"/>
      <c r="Q272" s="342"/>
      <c r="R272" s="137"/>
      <c r="S272" s="343"/>
      <c r="T272" s="137"/>
      <c r="U272" s="342"/>
      <c r="V272" s="342"/>
      <c r="W272" s="137"/>
      <c r="X272" s="137"/>
      <c r="Y272" s="137"/>
      <c r="Z272" s="137"/>
    </row>
    <row r="273">
      <c r="A273" s="345"/>
      <c r="B273" s="354"/>
      <c r="C273" s="354"/>
      <c r="D273" s="354"/>
      <c r="E273" s="354"/>
      <c r="F273" s="354"/>
      <c r="G273" s="354"/>
      <c r="H273" s="354"/>
      <c r="I273" s="354"/>
      <c r="J273" s="354"/>
      <c r="K273" s="354"/>
      <c r="L273" s="354"/>
      <c r="M273" s="354"/>
      <c r="N273" s="354"/>
      <c r="O273" s="354"/>
      <c r="P273" s="354"/>
      <c r="Q273" s="354"/>
      <c r="R273" s="355"/>
      <c r="S273" s="354"/>
      <c r="T273" s="356"/>
      <c r="U273" s="354"/>
      <c r="V273" s="281"/>
      <c r="W273" s="281"/>
      <c r="X273" s="304"/>
      <c r="Y273" s="304"/>
      <c r="Z273" s="304"/>
    </row>
    <row r="274">
      <c r="A274" s="345"/>
      <c r="B274" s="281"/>
      <c r="C274" s="281"/>
      <c r="D274" s="281"/>
      <c r="E274" s="281"/>
      <c r="F274" s="281"/>
      <c r="G274" s="354"/>
      <c r="H274" s="281"/>
      <c r="I274" s="281"/>
      <c r="J274" s="281"/>
      <c r="K274" s="281"/>
      <c r="L274" s="281"/>
      <c r="M274" s="281"/>
      <c r="N274" s="281"/>
      <c r="O274" s="281"/>
      <c r="P274" s="281"/>
      <c r="Q274" s="281"/>
      <c r="R274" s="282"/>
      <c r="S274" s="281"/>
      <c r="T274" s="285"/>
      <c r="U274" s="281"/>
      <c r="V274" s="281"/>
      <c r="W274" s="281"/>
      <c r="X274" s="304"/>
      <c r="Y274" s="304"/>
      <c r="Z274" s="304"/>
    </row>
    <row r="275">
      <c r="A275" s="345"/>
      <c r="B275" s="281"/>
      <c r="C275" s="281"/>
      <c r="D275" s="281"/>
      <c r="E275" s="281"/>
      <c r="F275" s="281"/>
      <c r="G275" s="354"/>
      <c r="H275" s="281"/>
      <c r="I275" s="281"/>
      <c r="J275" s="281"/>
      <c r="K275" s="281"/>
      <c r="L275" s="281"/>
      <c r="M275" s="281"/>
      <c r="N275" s="281"/>
      <c r="O275" s="281"/>
      <c r="P275" s="281"/>
      <c r="Q275" s="281"/>
      <c r="R275" s="282"/>
      <c r="S275" s="281"/>
      <c r="T275" s="285"/>
      <c r="U275" s="281"/>
      <c r="V275" s="281"/>
      <c r="W275" s="281"/>
      <c r="X275" s="304"/>
      <c r="Y275" s="304"/>
      <c r="Z275" s="304"/>
    </row>
    <row r="276">
      <c r="A276" s="345"/>
      <c r="B276" s="281"/>
      <c r="C276" s="281"/>
      <c r="D276" s="281"/>
      <c r="E276" s="281"/>
      <c r="F276" s="281"/>
      <c r="G276" s="354"/>
      <c r="H276" s="281"/>
      <c r="I276" s="281"/>
      <c r="J276" s="281"/>
      <c r="K276" s="281"/>
      <c r="L276" s="281"/>
      <c r="M276" s="281"/>
      <c r="N276" s="281"/>
      <c r="O276" s="281"/>
      <c r="P276" s="281"/>
      <c r="Q276" s="281"/>
      <c r="R276" s="282"/>
      <c r="S276" s="281"/>
      <c r="T276" s="285"/>
      <c r="U276" s="281"/>
      <c r="V276" s="281"/>
      <c r="W276" s="281"/>
      <c r="X276" s="304"/>
      <c r="Y276" s="304"/>
      <c r="Z276" s="304"/>
    </row>
    <row r="277">
      <c r="A277" s="345"/>
      <c r="B277" s="281"/>
      <c r="C277" s="281"/>
      <c r="D277" s="281"/>
      <c r="E277" s="281"/>
      <c r="F277" s="281"/>
      <c r="G277" s="354"/>
      <c r="H277" s="281"/>
      <c r="I277" s="281"/>
      <c r="J277" s="281"/>
      <c r="K277" s="281"/>
      <c r="L277" s="281"/>
      <c r="M277" s="281"/>
      <c r="N277" s="281"/>
      <c r="O277" s="281"/>
      <c r="P277" s="281"/>
      <c r="Q277" s="281"/>
      <c r="R277" s="282"/>
      <c r="S277" s="281"/>
      <c r="T277" s="285"/>
      <c r="U277" s="281"/>
      <c r="V277" s="281"/>
      <c r="W277" s="281"/>
      <c r="X277" s="304"/>
      <c r="Y277" s="304"/>
      <c r="Z277" s="304"/>
    </row>
    <row r="278">
      <c r="A278" s="345"/>
      <c r="B278" s="281"/>
      <c r="C278" s="281"/>
      <c r="D278" s="281"/>
      <c r="E278" s="281"/>
      <c r="F278" s="281"/>
      <c r="G278" s="354"/>
      <c r="H278" s="281"/>
      <c r="I278" s="281"/>
      <c r="J278" s="281"/>
      <c r="K278" s="281"/>
      <c r="L278" s="281"/>
      <c r="M278" s="281"/>
      <c r="N278" s="281"/>
      <c r="O278" s="281"/>
      <c r="P278" s="281"/>
      <c r="Q278" s="281"/>
      <c r="R278" s="282"/>
      <c r="S278" s="281"/>
      <c r="T278" s="285"/>
      <c r="U278" s="281"/>
      <c r="V278" s="281"/>
      <c r="W278" s="281"/>
      <c r="X278" s="304"/>
      <c r="Y278" s="304"/>
      <c r="Z278" s="304"/>
    </row>
    <row r="279">
      <c r="A279" s="345"/>
      <c r="B279" s="281"/>
      <c r="C279" s="281"/>
      <c r="D279" s="281"/>
      <c r="E279" s="281"/>
      <c r="F279" s="281"/>
      <c r="G279" s="354"/>
      <c r="H279" s="281"/>
      <c r="I279" s="281"/>
      <c r="J279" s="281"/>
      <c r="K279" s="281"/>
      <c r="L279" s="281"/>
      <c r="M279" s="281"/>
      <c r="N279" s="281"/>
      <c r="O279" s="281"/>
      <c r="P279" s="281"/>
      <c r="Q279" s="281"/>
      <c r="R279" s="282"/>
      <c r="S279" s="281"/>
      <c r="T279" s="285"/>
      <c r="U279" s="281"/>
      <c r="V279" s="281"/>
      <c r="W279" s="281"/>
      <c r="X279" s="304"/>
      <c r="Y279" s="304"/>
      <c r="Z279" s="304"/>
    </row>
    <row r="280">
      <c r="A280" s="345"/>
      <c r="B280" s="281"/>
      <c r="C280" s="281"/>
      <c r="D280" s="281"/>
      <c r="E280" s="281"/>
      <c r="F280" s="281"/>
      <c r="G280" s="354"/>
      <c r="H280" s="281"/>
      <c r="I280" s="281"/>
      <c r="J280" s="281"/>
      <c r="K280" s="281"/>
      <c r="L280" s="281"/>
      <c r="M280" s="281"/>
      <c r="N280" s="281"/>
      <c r="O280" s="281"/>
      <c r="P280" s="281"/>
      <c r="Q280" s="281"/>
      <c r="R280" s="282"/>
      <c r="S280" s="281"/>
      <c r="T280" s="285"/>
      <c r="U280" s="281"/>
      <c r="V280" s="281"/>
      <c r="W280" s="281"/>
      <c r="X280" s="304"/>
      <c r="Y280" s="304"/>
      <c r="Z280" s="304"/>
    </row>
    <row r="281">
      <c r="A281" s="345"/>
      <c r="B281" s="281"/>
      <c r="C281" s="281"/>
      <c r="D281" s="281"/>
      <c r="E281" s="281"/>
      <c r="F281" s="281"/>
      <c r="G281" s="354"/>
      <c r="H281" s="281"/>
      <c r="I281" s="281"/>
      <c r="J281" s="281"/>
      <c r="K281" s="281"/>
      <c r="L281" s="281"/>
      <c r="M281" s="281"/>
      <c r="N281" s="281"/>
      <c r="O281" s="281"/>
      <c r="P281" s="281"/>
      <c r="Q281" s="281"/>
      <c r="R281" s="282"/>
      <c r="S281" s="281"/>
      <c r="T281" s="285"/>
      <c r="U281" s="281"/>
      <c r="V281" s="281"/>
      <c r="W281" s="281"/>
      <c r="X281" s="304"/>
      <c r="Y281" s="304"/>
      <c r="Z281" s="304"/>
    </row>
    <row r="282">
      <c r="A282" s="345"/>
      <c r="B282" s="281"/>
      <c r="C282" s="281"/>
      <c r="D282" s="281"/>
      <c r="E282" s="281"/>
      <c r="F282" s="281"/>
      <c r="G282" s="354"/>
      <c r="H282" s="281"/>
      <c r="I282" s="281"/>
      <c r="J282" s="281"/>
      <c r="K282" s="281"/>
      <c r="L282" s="281"/>
      <c r="M282" s="281"/>
      <c r="N282" s="281"/>
      <c r="O282" s="281"/>
      <c r="P282" s="281"/>
      <c r="Q282" s="281"/>
      <c r="R282" s="282"/>
      <c r="S282" s="281"/>
      <c r="T282" s="285"/>
      <c r="U282" s="281"/>
      <c r="V282" s="281"/>
      <c r="W282" s="281"/>
      <c r="X282" s="304"/>
      <c r="Y282" s="304"/>
      <c r="Z282" s="304"/>
    </row>
    <row r="283">
      <c r="A283" s="345"/>
      <c r="B283" s="281"/>
      <c r="C283" s="281"/>
      <c r="D283" s="281"/>
      <c r="E283" s="281"/>
      <c r="F283" s="281"/>
      <c r="G283" s="329"/>
      <c r="H283" s="281"/>
      <c r="I283" s="281"/>
      <c r="J283" s="281"/>
      <c r="K283" s="281"/>
      <c r="L283" s="281"/>
      <c r="M283" s="281"/>
      <c r="N283" s="281"/>
      <c r="O283" s="281"/>
      <c r="P283" s="281"/>
      <c r="Q283" s="281"/>
      <c r="R283" s="282"/>
      <c r="S283" s="281"/>
      <c r="T283" s="281"/>
      <c r="U283" s="281"/>
      <c r="V283" s="281"/>
      <c r="W283" s="281"/>
      <c r="X283" s="304"/>
      <c r="Y283" s="304"/>
      <c r="Z283" s="304"/>
    </row>
    <row r="284">
      <c r="A284" s="345"/>
      <c r="B284" s="281"/>
      <c r="C284" s="281"/>
      <c r="D284" s="397"/>
      <c r="E284" s="281"/>
      <c r="F284" s="281"/>
      <c r="G284" s="329"/>
      <c r="H284" s="281"/>
      <c r="I284" s="281"/>
      <c r="J284" s="281"/>
      <c r="K284" s="281"/>
      <c r="L284" s="281"/>
      <c r="M284" s="281"/>
      <c r="N284" s="281"/>
      <c r="O284" s="281"/>
      <c r="P284" s="281"/>
      <c r="Q284" s="281"/>
      <c r="R284" s="282"/>
      <c r="S284" s="281"/>
      <c r="T284" s="281"/>
      <c r="U284" s="281"/>
      <c r="V284" s="281"/>
      <c r="W284" s="281"/>
      <c r="X284" s="304"/>
      <c r="Y284" s="304"/>
      <c r="Z284" s="304"/>
    </row>
    <row r="285">
      <c r="A285" s="345"/>
      <c r="B285" s="281"/>
      <c r="C285" s="281"/>
      <c r="D285" s="397"/>
      <c r="E285" s="281"/>
      <c r="F285" s="281"/>
      <c r="G285" s="329"/>
      <c r="H285" s="281"/>
      <c r="I285" s="281"/>
      <c r="J285" s="281"/>
      <c r="K285" s="281"/>
      <c r="L285" s="281"/>
      <c r="M285" s="281"/>
      <c r="N285" s="281"/>
      <c r="O285" s="281"/>
      <c r="P285" s="281"/>
      <c r="Q285" s="281"/>
      <c r="R285" s="282"/>
      <c r="S285" s="281"/>
      <c r="T285" s="281"/>
      <c r="U285" s="281"/>
      <c r="V285" s="281"/>
      <c r="W285" s="281"/>
      <c r="X285" s="304"/>
      <c r="Y285" s="304"/>
      <c r="Z285" s="304"/>
    </row>
    <row r="286">
      <c r="A286" s="345"/>
      <c r="B286" s="281"/>
      <c r="C286" s="281"/>
      <c r="D286" s="397"/>
      <c r="E286" s="281"/>
      <c r="F286" s="281"/>
      <c r="G286" s="326"/>
      <c r="H286" s="281"/>
      <c r="I286" s="281"/>
      <c r="J286" s="281"/>
      <c r="K286" s="281"/>
      <c r="L286" s="281"/>
      <c r="M286" s="281"/>
      <c r="N286" s="281"/>
      <c r="O286" s="281"/>
      <c r="P286" s="281"/>
      <c r="Q286" s="281"/>
      <c r="R286" s="282"/>
      <c r="S286" s="281"/>
      <c r="T286" s="281"/>
      <c r="U286" s="281"/>
      <c r="V286" s="281"/>
      <c r="W286" s="281"/>
      <c r="X286" s="304"/>
      <c r="Y286" s="304"/>
      <c r="Z286" s="304"/>
    </row>
    <row r="287">
      <c r="A287" s="345"/>
      <c r="B287" s="281"/>
      <c r="C287" s="281"/>
      <c r="D287" s="397"/>
      <c r="E287" s="281"/>
      <c r="F287" s="281"/>
      <c r="G287" s="326"/>
      <c r="H287" s="281"/>
      <c r="I287" s="281"/>
      <c r="J287" s="281"/>
      <c r="K287" s="281"/>
      <c r="L287" s="281"/>
      <c r="M287" s="281"/>
      <c r="N287" s="281"/>
      <c r="O287" s="281"/>
      <c r="P287" s="281"/>
      <c r="Q287" s="281"/>
      <c r="R287" s="282"/>
      <c r="S287" s="281"/>
      <c r="T287" s="281"/>
      <c r="U287" s="281"/>
      <c r="V287" s="281"/>
      <c r="W287" s="281"/>
      <c r="X287" s="304"/>
      <c r="Y287" s="304"/>
      <c r="Z287" s="304"/>
    </row>
    <row r="288">
      <c r="A288" s="345"/>
      <c r="B288" s="281"/>
      <c r="C288" s="281"/>
      <c r="D288" s="397"/>
      <c r="E288" s="281"/>
      <c r="F288" s="281"/>
      <c r="G288" s="326"/>
      <c r="H288" s="281"/>
      <c r="I288" s="281"/>
      <c r="J288" s="281"/>
      <c r="K288" s="281"/>
      <c r="L288" s="281"/>
      <c r="M288" s="281"/>
      <c r="N288" s="281"/>
      <c r="O288" s="281"/>
      <c r="P288" s="281"/>
      <c r="Q288" s="281"/>
      <c r="R288" s="282"/>
      <c r="S288" s="281"/>
      <c r="T288" s="281"/>
      <c r="U288" s="281"/>
      <c r="V288" s="281"/>
      <c r="W288" s="281"/>
      <c r="X288" s="304"/>
      <c r="Y288" s="304"/>
      <c r="Z288" s="304"/>
    </row>
    <row r="289">
      <c r="A289" s="345"/>
      <c r="B289" s="281"/>
      <c r="C289" s="281"/>
      <c r="D289" s="397"/>
      <c r="E289" s="281"/>
      <c r="F289" s="281"/>
      <c r="G289" s="326"/>
      <c r="H289" s="281"/>
      <c r="I289" s="281"/>
      <c r="J289" s="281"/>
      <c r="K289" s="281"/>
      <c r="L289" s="281"/>
      <c r="M289" s="281"/>
      <c r="N289" s="281"/>
      <c r="O289" s="281"/>
      <c r="P289" s="281"/>
      <c r="Q289" s="281"/>
      <c r="R289" s="282"/>
      <c r="S289" s="281"/>
      <c r="T289" s="281"/>
      <c r="U289" s="281"/>
      <c r="V289" s="281"/>
      <c r="W289" s="281"/>
      <c r="X289" s="304"/>
      <c r="Y289" s="304"/>
      <c r="Z289" s="304"/>
    </row>
    <row r="290">
      <c r="A290" s="345"/>
      <c r="B290" s="281"/>
      <c r="C290" s="281"/>
      <c r="D290" s="397"/>
      <c r="E290" s="281"/>
      <c r="F290" s="281"/>
      <c r="G290" s="281"/>
      <c r="H290" s="281"/>
      <c r="I290" s="281"/>
      <c r="J290" s="281"/>
      <c r="K290" s="281"/>
      <c r="L290" s="281"/>
      <c r="M290" s="281"/>
      <c r="N290" s="281"/>
      <c r="O290" s="281"/>
      <c r="P290" s="281"/>
      <c r="Q290" s="281"/>
      <c r="R290" s="282"/>
      <c r="S290" s="281"/>
      <c r="T290" s="281"/>
      <c r="U290" s="281"/>
      <c r="V290" s="281"/>
      <c r="W290" s="281"/>
      <c r="X290" s="304"/>
      <c r="Y290" s="304"/>
      <c r="Z290" s="304"/>
    </row>
    <row r="291">
      <c r="A291" s="345"/>
      <c r="B291" s="281"/>
      <c r="C291" s="281"/>
      <c r="D291" s="397"/>
      <c r="E291" s="281"/>
      <c r="F291" s="281"/>
      <c r="G291" s="281"/>
      <c r="H291" s="281"/>
      <c r="I291" s="281"/>
      <c r="J291" s="281"/>
      <c r="K291" s="281"/>
      <c r="L291" s="281"/>
      <c r="M291" s="281"/>
      <c r="N291" s="281"/>
      <c r="O291" s="281"/>
      <c r="P291" s="281"/>
      <c r="Q291" s="281"/>
      <c r="R291" s="282"/>
      <c r="S291" s="281"/>
      <c r="T291" s="281"/>
      <c r="U291" s="281"/>
      <c r="V291" s="281"/>
      <c r="W291" s="281"/>
      <c r="X291" s="304"/>
      <c r="Y291" s="304"/>
      <c r="Z291" s="304"/>
    </row>
    <row r="292">
      <c r="A292" s="345"/>
      <c r="B292" s="281"/>
      <c r="C292" s="281"/>
      <c r="D292" s="397"/>
      <c r="E292" s="281"/>
      <c r="F292" s="281"/>
      <c r="G292" s="281"/>
      <c r="H292" s="281"/>
      <c r="I292" s="281"/>
      <c r="J292" s="281"/>
      <c r="K292" s="281"/>
      <c r="L292" s="281"/>
      <c r="M292" s="281"/>
      <c r="N292" s="281"/>
      <c r="O292" s="281"/>
      <c r="P292" s="281"/>
      <c r="Q292" s="281"/>
      <c r="R292" s="282"/>
      <c r="S292" s="281"/>
      <c r="T292" s="281"/>
      <c r="U292" s="281"/>
      <c r="V292" s="281"/>
      <c r="W292" s="281"/>
      <c r="X292" s="304"/>
      <c r="Y292" s="304"/>
      <c r="Z292" s="304"/>
    </row>
    <row r="293">
      <c r="A293" s="345"/>
      <c r="B293" s="281"/>
      <c r="C293" s="281"/>
      <c r="D293" s="397"/>
      <c r="E293" s="281"/>
      <c r="F293" s="281"/>
      <c r="G293" s="281"/>
      <c r="H293" s="281"/>
      <c r="I293" s="281"/>
      <c r="J293" s="281"/>
      <c r="K293" s="281"/>
      <c r="L293" s="281"/>
      <c r="M293" s="281"/>
      <c r="N293" s="281"/>
      <c r="O293" s="281"/>
      <c r="P293" s="281"/>
      <c r="Q293" s="281"/>
      <c r="R293" s="282"/>
      <c r="S293" s="281"/>
      <c r="T293" s="281"/>
      <c r="U293" s="281"/>
      <c r="V293" s="281"/>
      <c r="W293" s="281"/>
      <c r="X293" s="304"/>
      <c r="Y293" s="304"/>
      <c r="Z293" s="304"/>
    </row>
    <row r="294">
      <c r="A294" s="345"/>
      <c r="B294" s="281"/>
      <c r="C294" s="281"/>
      <c r="D294" s="397"/>
      <c r="E294" s="281"/>
      <c r="F294" s="281"/>
      <c r="G294" s="281"/>
      <c r="H294" s="281"/>
      <c r="I294" s="281"/>
      <c r="J294" s="281"/>
      <c r="K294" s="281"/>
      <c r="L294" s="281"/>
      <c r="M294" s="281"/>
      <c r="N294" s="281"/>
      <c r="O294" s="281"/>
      <c r="P294" s="281"/>
      <c r="Q294" s="281"/>
      <c r="R294" s="282"/>
      <c r="S294" s="281"/>
      <c r="T294" s="281"/>
      <c r="U294" s="281"/>
      <c r="V294" s="281"/>
      <c r="W294" s="281"/>
      <c r="X294" s="304"/>
      <c r="Y294" s="304"/>
      <c r="Z294" s="304"/>
    </row>
    <row r="295">
      <c r="A295" s="345"/>
      <c r="B295" s="281"/>
      <c r="C295" s="281"/>
      <c r="D295" s="397"/>
      <c r="E295" s="281"/>
      <c r="F295" s="281"/>
      <c r="G295" s="281"/>
      <c r="H295" s="281"/>
      <c r="I295" s="281"/>
      <c r="J295" s="281"/>
      <c r="K295" s="281"/>
      <c r="L295" s="281"/>
      <c r="M295" s="281"/>
      <c r="N295" s="281"/>
      <c r="O295" s="281"/>
      <c r="P295" s="281"/>
      <c r="Q295" s="281"/>
      <c r="R295" s="282"/>
      <c r="S295" s="281"/>
      <c r="T295" s="281"/>
      <c r="U295" s="281"/>
      <c r="V295" s="281"/>
      <c r="W295" s="281"/>
      <c r="X295" s="304"/>
      <c r="Y295" s="304"/>
      <c r="Z295" s="304"/>
    </row>
    <row r="296">
      <c r="A296" s="345"/>
      <c r="B296" s="281"/>
      <c r="C296" s="281"/>
      <c r="D296" s="397"/>
      <c r="E296" s="281"/>
      <c r="F296" s="281"/>
      <c r="G296" s="281"/>
      <c r="H296" s="281"/>
      <c r="I296" s="281"/>
      <c r="J296" s="281"/>
      <c r="K296" s="281"/>
      <c r="L296" s="281"/>
      <c r="M296" s="281"/>
      <c r="N296" s="281"/>
      <c r="O296" s="281"/>
      <c r="P296" s="281"/>
      <c r="Q296" s="281"/>
      <c r="R296" s="282"/>
      <c r="S296" s="281"/>
      <c r="T296" s="281"/>
      <c r="U296" s="281"/>
      <c r="V296" s="281"/>
      <c r="W296" s="281"/>
      <c r="X296" s="304"/>
      <c r="Y296" s="304"/>
      <c r="Z296" s="304"/>
    </row>
    <row r="297">
      <c r="A297" s="345"/>
      <c r="B297" s="281"/>
      <c r="C297" s="281"/>
      <c r="D297" s="397"/>
      <c r="E297" s="281"/>
      <c r="F297" s="281"/>
      <c r="G297" s="281"/>
      <c r="H297" s="281"/>
      <c r="I297" s="281"/>
      <c r="J297" s="281"/>
      <c r="K297" s="281"/>
      <c r="L297" s="281"/>
      <c r="M297" s="281"/>
      <c r="N297" s="281"/>
      <c r="O297" s="281"/>
      <c r="P297" s="281"/>
      <c r="Q297" s="281"/>
      <c r="R297" s="282"/>
      <c r="S297" s="281"/>
      <c r="T297" s="281"/>
      <c r="U297" s="281"/>
      <c r="V297" s="281"/>
      <c r="W297" s="281"/>
      <c r="X297" s="304"/>
      <c r="Y297" s="304"/>
      <c r="Z297" s="304"/>
    </row>
    <row r="298">
      <c r="A298" s="345"/>
      <c r="B298" s="281"/>
      <c r="C298" s="281"/>
      <c r="D298" s="397"/>
      <c r="E298" s="281"/>
      <c r="F298" s="281"/>
      <c r="G298" s="281"/>
      <c r="H298" s="281"/>
      <c r="I298" s="281"/>
      <c r="J298" s="281"/>
      <c r="K298" s="281"/>
      <c r="L298" s="281"/>
      <c r="M298" s="281"/>
      <c r="N298" s="281"/>
      <c r="O298" s="281"/>
      <c r="P298" s="281"/>
      <c r="Q298" s="281"/>
      <c r="R298" s="282"/>
      <c r="S298" s="281"/>
      <c r="T298" s="281"/>
      <c r="U298" s="281"/>
      <c r="V298" s="281"/>
      <c r="W298" s="281"/>
      <c r="X298" s="304"/>
      <c r="Y298" s="304"/>
      <c r="Z298" s="304"/>
    </row>
    <row r="299">
      <c r="A299" s="345"/>
      <c r="B299" s="281"/>
      <c r="C299" s="281"/>
      <c r="D299" s="397"/>
      <c r="E299" s="281"/>
      <c r="F299" s="281"/>
      <c r="G299" s="281"/>
      <c r="H299" s="281"/>
      <c r="I299" s="281"/>
      <c r="J299" s="281"/>
      <c r="K299" s="281"/>
      <c r="L299" s="281"/>
      <c r="M299" s="281"/>
      <c r="N299" s="281"/>
      <c r="O299" s="281"/>
      <c r="P299" s="281"/>
      <c r="Q299" s="281"/>
      <c r="R299" s="282"/>
      <c r="S299" s="281"/>
      <c r="T299" s="281"/>
      <c r="U299" s="281"/>
      <c r="V299" s="281"/>
      <c r="W299" s="281"/>
      <c r="X299" s="304"/>
      <c r="Y299" s="304"/>
      <c r="Z299" s="304"/>
    </row>
    <row r="300">
      <c r="A300" s="345"/>
      <c r="B300" s="281"/>
      <c r="C300" s="281"/>
      <c r="D300" s="397"/>
      <c r="E300" s="281"/>
      <c r="F300" s="281"/>
      <c r="G300" s="281"/>
      <c r="H300" s="281"/>
      <c r="I300" s="281"/>
      <c r="J300" s="281"/>
      <c r="K300" s="281"/>
      <c r="L300" s="281"/>
      <c r="M300" s="281"/>
      <c r="N300" s="281"/>
      <c r="O300" s="281"/>
      <c r="P300" s="281"/>
      <c r="Q300" s="281"/>
      <c r="R300" s="282"/>
      <c r="S300" s="281"/>
      <c r="T300" s="281"/>
      <c r="U300" s="281"/>
      <c r="V300" s="281"/>
      <c r="W300" s="281"/>
      <c r="X300" s="304"/>
      <c r="Y300" s="304"/>
      <c r="Z300" s="304"/>
    </row>
    <row r="301">
      <c r="A301" s="345"/>
      <c r="B301" s="281"/>
      <c r="C301" s="281"/>
      <c r="D301" s="397"/>
      <c r="E301" s="281"/>
      <c r="F301" s="281"/>
      <c r="G301" s="281"/>
      <c r="H301" s="281"/>
      <c r="I301" s="281"/>
      <c r="J301" s="281"/>
      <c r="K301" s="281"/>
      <c r="L301" s="281"/>
      <c r="M301" s="281"/>
      <c r="N301" s="281"/>
      <c r="O301" s="281"/>
      <c r="P301" s="281"/>
      <c r="Q301" s="281"/>
      <c r="R301" s="282"/>
      <c r="S301" s="281"/>
      <c r="T301" s="281"/>
      <c r="U301" s="281"/>
      <c r="V301" s="281"/>
      <c r="W301" s="281"/>
      <c r="X301" s="304"/>
      <c r="Y301" s="304"/>
      <c r="Z301" s="304"/>
    </row>
    <row r="302">
      <c r="A302" s="345"/>
      <c r="B302" s="281"/>
      <c r="C302" s="281"/>
      <c r="D302" s="397"/>
      <c r="E302" s="281"/>
      <c r="F302" s="281"/>
      <c r="G302" s="281"/>
      <c r="H302" s="281"/>
      <c r="I302" s="281"/>
      <c r="J302" s="281"/>
      <c r="K302" s="281"/>
      <c r="L302" s="281"/>
      <c r="M302" s="281"/>
      <c r="N302" s="281"/>
      <c r="O302" s="281"/>
      <c r="P302" s="281"/>
      <c r="Q302" s="281"/>
      <c r="R302" s="282"/>
      <c r="S302" s="281"/>
      <c r="T302" s="281"/>
      <c r="U302" s="281"/>
      <c r="V302" s="281"/>
      <c r="W302" s="281"/>
      <c r="X302" s="304"/>
      <c r="Y302" s="304"/>
      <c r="Z302" s="304"/>
    </row>
    <row r="303">
      <c r="A303" s="345"/>
      <c r="B303" s="281"/>
      <c r="C303" s="281"/>
      <c r="D303" s="397"/>
      <c r="E303" s="281"/>
      <c r="F303" s="281"/>
      <c r="G303" s="281"/>
      <c r="H303" s="281"/>
      <c r="I303" s="281"/>
      <c r="J303" s="281"/>
      <c r="K303" s="281"/>
      <c r="L303" s="281"/>
      <c r="M303" s="281"/>
      <c r="N303" s="281"/>
      <c r="O303" s="281"/>
      <c r="P303" s="281"/>
      <c r="Q303" s="281"/>
      <c r="R303" s="282"/>
      <c r="S303" s="281"/>
      <c r="T303" s="281"/>
      <c r="U303" s="281"/>
      <c r="V303" s="281"/>
      <c r="W303" s="281"/>
      <c r="X303" s="304"/>
      <c r="Y303" s="304"/>
      <c r="Z303" s="304"/>
    </row>
    <row r="304">
      <c r="A304" s="345"/>
      <c r="B304" s="281"/>
      <c r="C304" s="281"/>
      <c r="D304" s="397"/>
      <c r="E304" s="281"/>
      <c r="F304" s="281"/>
      <c r="G304" s="281"/>
      <c r="H304" s="281"/>
      <c r="I304" s="281"/>
      <c r="J304" s="281"/>
      <c r="K304" s="281"/>
      <c r="L304" s="281"/>
      <c r="M304" s="281"/>
      <c r="N304" s="281"/>
      <c r="O304" s="281"/>
      <c r="P304" s="281"/>
      <c r="Q304" s="281"/>
      <c r="R304" s="282"/>
      <c r="S304" s="281"/>
      <c r="T304" s="281"/>
      <c r="U304" s="281"/>
      <c r="V304" s="281"/>
      <c r="W304" s="281"/>
      <c r="X304" s="304"/>
      <c r="Y304" s="304"/>
      <c r="Z304" s="304"/>
    </row>
    <row r="305">
      <c r="A305" s="345"/>
      <c r="B305" s="281"/>
      <c r="C305" s="281"/>
      <c r="D305" s="397"/>
      <c r="E305" s="281"/>
      <c r="F305" s="281"/>
      <c r="G305" s="281"/>
      <c r="H305" s="281"/>
      <c r="I305" s="281"/>
      <c r="J305" s="281"/>
      <c r="K305" s="281"/>
      <c r="L305" s="281"/>
      <c r="M305" s="281"/>
      <c r="N305" s="281"/>
      <c r="O305" s="281"/>
      <c r="P305" s="281"/>
      <c r="Q305" s="281"/>
      <c r="R305" s="282"/>
      <c r="S305" s="281"/>
      <c r="T305" s="281"/>
      <c r="U305" s="281"/>
      <c r="V305" s="281"/>
      <c r="W305" s="281"/>
      <c r="X305" s="304"/>
      <c r="Y305" s="304"/>
      <c r="Z305" s="304"/>
    </row>
    <row r="306">
      <c r="A306" s="345"/>
      <c r="B306" s="281"/>
      <c r="C306" s="281"/>
      <c r="D306" s="397"/>
      <c r="E306" s="281"/>
      <c r="F306" s="281"/>
      <c r="G306" s="281"/>
      <c r="H306" s="281"/>
      <c r="I306" s="281"/>
      <c r="J306" s="281"/>
      <c r="K306" s="281"/>
      <c r="L306" s="281"/>
      <c r="M306" s="281"/>
      <c r="N306" s="281"/>
      <c r="O306" s="281"/>
      <c r="P306" s="281"/>
      <c r="Q306" s="281"/>
      <c r="R306" s="282"/>
      <c r="S306" s="281"/>
      <c r="T306" s="281"/>
      <c r="U306" s="281"/>
      <c r="V306" s="281"/>
      <c r="W306" s="281"/>
      <c r="X306" s="304"/>
      <c r="Y306" s="304"/>
      <c r="Z306" s="304"/>
    </row>
    <row r="307">
      <c r="A307" s="345"/>
      <c r="B307" s="281"/>
      <c r="C307" s="281"/>
      <c r="D307" s="397"/>
      <c r="E307" s="281"/>
      <c r="F307" s="281"/>
      <c r="G307" s="281"/>
      <c r="H307" s="281"/>
      <c r="I307" s="281"/>
      <c r="J307" s="281"/>
      <c r="K307" s="281"/>
      <c r="L307" s="281"/>
      <c r="M307" s="281"/>
      <c r="N307" s="281"/>
      <c r="O307" s="281"/>
      <c r="P307" s="281"/>
      <c r="Q307" s="281"/>
      <c r="R307" s="282"/>
      <c r="S307" s="281"/>
      <c r="T307" s="281"/>
      <c r="U307" s="281"/>
      <c r="V307" s="281"/>
      <c r="W307" s="281"/>
      <c r="X307" s="304"/>
      <c r="Y307" s="304"/>
      <c r="Z307" s="304"/>
    </row>
    <row r="308">
      <c r="A308" s="345"/>
      <c r="B308" s="281"/>
      <c r="C308" s="281"/>
      <c r="D308" s="397"/>
      <c r="E308" s="281"/>
      <c r="F308" s="281"/>
      <c r="G308" s="281"/>
      <c r="H308" s="281"/>
      <c r="I308" s="281"/>
      <c r="J308" s="281"/>
      <c r="K308" s="281"/>
      <c r="L308" s="281"/>
      <c r="M308" s="281"/>
      <c r="N308" s="281"/>
      <c r="O308" s="281"/>
      <c r="P308" s="281"/>
      <c r="Q308" s="281"/>
      <c r="R308" s="282"/>
      <c r="S308" s="281"/>
      <c r="T308" s="281"/>
      <c r="U308" s="281"/>
      <c r="V308" s="281"/>
      <c r="W308" s="281"/>
      <c r="X308" s="304"/>
      <c r="Y308" s="304"/>
      <c r="Z308" s="304"/>
    </row>
    <row r="309">
      <c r="A309" s="345"/>
      <c r="B309" s="281"/>
      <c r="C309" s="281"/>
      <c r="D309" s="397"/>
      <c r="E309" s="281"/>
      <c r="F309" s="281"/>
      <c r="G309" s="281"/>
      <c r="H309" s="281"/>
      <c r="I309" s="281"/>
      <c r="J309" s="281"/>
      <c r="K309" s="281"/>
      <c r="L309" s="281"/>
      <c r="M309" s="281"/>
      <c r="N309" s="281"/>
      <c r="O309" s="281"/>
      <c r="P309" s="281"/>
      <c r="Q309" s="281"/>
      <c r="R309" s="282"/>
      <c r="S309" s="281"/>
      <c r="T309" s="281"/>
      <c r="U309" s="281"/>
      <c r="V309" s="281"/>
      <c r="W309" s="281"/>
      <c r="X309" s="304"/>
      <c r="Y309" s="304"/>
      <c r="Z309" s="304"/>
    </row>
    <row r="310">
      <c r="A310" s="345"/>
      <c r="B310" s="281"/>
      <c r="C310" s="281"/>
      <c r="D310" s="397"/>
      <c r="E310" s="281"/>
      <c r="F310" s="281"/>
      <c r="G310" s="281"/>
      <c r="H310" s="281"/>
      <c r="I310" s="281"/>
      <c r="J310" s="281"/>
      <c r="K310" s="281"/>
      <c r="L310" s="281"/>
      <c r="M310" s="281"/>
      <c r="N310" s="281"/>
      <c r="O310" s="281"/>
      <c r="P310" s="281"/>
      <c r="Q310" s="281"/>
      <c r="R310" s="282"/>
      <c r="S310" s="281"/>
      <c r="T310" s="281"/>
      <c r="U310" s="281"/>
      <c r="V310" s="281"/>
      <c r="W310" s="281"/>
      <c r="X310" s="304"/>
      <c r="Y310" s="304"/>
      <c r="Z310" s="304"/>
    </row>
    <row r="311">
      <c r="A311" s="345"/>
      <c r="B311" s="281"/>
      <c r="C311" s="281"/>
      <c r="D311" s="397"/>
      <c r="E311" s="281"/>
      <c r="F311" s="281"/>
      <c r="G311" s="281"/>
      <c r="H311" s="281"/>
      <c r="I311" s="281"/>
      <c r="J311" s="281"/>
      <c r="K311" s="281"/>
      <c r="L311" s="281"/>
      <c r="M311" s="281"/>
      <c r="N311" s="281"/>
      <c r="O311" s="281"/>
      <c r="P311" s="281"/>
      <c r="Q311" s="281"/>
      <c r="R311" s="282"/>
      <c r="S311" s="281"/>
      <c r="T311" s="281"/>
      <c r="U311" s="281"/>
      <c r="V311" s="281"/>
      <c r="W311" s="281"/>
      <c r="X311" s="304"/>
      <c r="Y311" s="304"/>
      <c r="Z311" s="304"/>
    </row>
    <row r="312">
      <c r="A312" s="345"/>
      <c r="B312" s="281"/>
      <c r="C312" s="281"/>
      <c r="D312" s="397"/>
      <c r="E312" s="281"/>
      <c r="F312" s="281"/>
      <c r="G312" s="281"/>
      <c r="H312" s="281"/>
      <c r="I312" s="281"/>
      <c r="J312" s="281"/>
      <c r="K312" s="281"/>
      <c r="L312" s="281"/>
      <c r="M312" s="281"/>
      <c r="N312" s="281"/>
      <c r="O312" s="281"/>
      <c r="P312" s="281"/>
      <c r="Q312" s="281"/>
      <c r="R312" s="282"/>
      <c r="S312" s="281"/>
      <c r="T312" s="281"/>
      <c r="U312" s="281"/>
      <c r="V312" s="281"/>
      <c r="W312" s="281"/>
      <c r="X312" s="304"/>
      <c r="Y312" s="304"/>
      <c r="Z312" s="304"/>
    </row>
    <row r="313">
      <c r="A313" s="345"/>
      <c r="B313" s="281"/>
      <c r="C313" s="281"/>
      <c r="D313" s="397"/>
      <c r="E313" s="281"/>
      <c r="F313" s="281"/>
      <c r="G313" s="281"/>
      <c r="H313" s="281"/>
      <c r="I313" s="281"/>
      <c r="J313" s="281"/>
      <c r="K313" s="281"/>
      <c r="L313" s="281"/>
      <c r="M313" s="281"/>
      <c r="N313" s="281"/>
      <c r="O313" s="281"/>
      <c r="P313" s="281"/>
      <c r="Q313" s="281"/>
      <c r="R313" s="281"/>
      <c r="S313" s="281"/>
      <c r="T313" s="281"/>
      <c r="U313" s="281"/>
      <c r="V313" s="281"/>
      <c r="W313" s="281"/>
      <c r="X313" s="304"/>
      <c r="Y313" s="304"/>
      <c r="Z313" s="304"/>
    </row>
    <row r="314">
      <c r="A314" s="345"/>
      <c r="B314" s="281"/>
      <c r="C314" s="281"/>
      <c r="D314" s="397"/>
      <c r="E314" s="281"/>
      <c r="F314" s="281"/>
      <c r="G314" s="281"/>
      <c r="H314" s="281"/>
      <c r="I314" s="281"/>
      <c r="J314" s="281"/>
      <c r="K314" s="281"/>
      <c r="L314" s="281"/>
      <c r="M314" s="281"/>
      <c r="N314" s="281"/>
      <c r="O314" s="281"/>
      <c r="P314" s="281"/>
      <c r="Q314" s="281"/>
      <c r="R314" s="281"/>
      <c r="S314" s="281"/>
      <c r="T314" s="281"/>
      <c r="U314" s="281"/>
      <c r="V314" s="281"/>
      <c r="W314" s="281"/>
      <c r="X314" s="304"/>
      <c r="Y314" s="304"/>
      <c r="Z314" s="304"/>
    </row>
    <row r="315">
      <c r="A315" s="345"/>
      <c r="B315" s="281"/>
      <c r="C315" s="281"/>
      <c r="D315" s="397"/>
      <c r="E315" s="281"/>
      <c r="F315" s="281"/>
      <c r="G315" s="281"/>
      <c r="H315" s="281"/>
      <c r="I315" s="281"/>
      <c r="J315" s="281"/>
      <c r="K315" s="281"/>
      <c r="L315" s="281"/>
      <c r="M315" s="281"/>
      <c r="N315" s="281"/>
      <c r="O315" s="281"/>
      <c r="P315" s="281"/>
      <c r="Q315" s="281"/>
      <c r="R315" s="281"/>
      <c r="S315" s="281"/>
      <c r="T315" s="281"/>
      <c r="U315" s="281"/>
      <c r="V315" s="281"/>
      <c r="W315" s="281"/>
      <c r="X315" s="304"/>
      <c r="Y315" s="304"/>
      <c r="Z315" s="304"/>
    </row>
    <row r="316">
      <c r="A316" s="345"/>
      <c r="B316" s="281"/>
      <c r="C316" s="281"/>
      <c r="D316" s="397"/>
      <c r="E316" s="281"/>
      <c r="F316" s="281"/>
      <c r="G316" s="281"/>
      <c r="H316" s="281"/>
      <c r="I316" s="281"/>
      <c r="J316" s="281"/>
      <c r="K316" s="281"/>
      <c r="L316" s="281"/>
      <c r="M316" s="281"/>
      <c r="N316" s="281"/>
      <c r="O316" s="281"/>
      <c r="P316" s="281"/>
      <c r="Q316" s="281"/>
      <c r="R316" s="281"/>
      <c r="S316" s="281"/>
      <c r="T316" s="281"/>
      <c r="U316" s="281"/>
      <c r="V316" s="281"/>
      <c r="W316" s="281"/>
      <c r="X316" s="304"/>
      <c r="Y316" s="304"/>
      <c r="Z316" s="304"/>
    </row>
    <row r="317">
      <c r="A317" s="345"/>
      <c r="B317" s="281"/>
      <c r="C317" s="281"/>
      <c r="D317" s="397"/>
      <c r="E317" s="281"/>
      <c r="F317" s="281"/>
      <c r="G317" s="281"/>
      <c r="H317" s="281"/>
      <c r="I317" s="281"/>
      <c r="J317" s="281"/>
      <c r="K317" s="281"/>
      <c r="L317" s="281"/>
      <c r="M317" s="281"/>
      <c r="N317" s="281"/>
      <c r="O317" s="281"/>
      <c r="P317" s="281"/>
      <c r="Q317" s="281"/>
      <c r="R317" s="281"/>
      <c r="S317" s="281"/>
      <c r="T317" s="281"/>
      <c r="U317" s="281"/>
      <c r="V317" s="281"/>
      <c r="W317" s="281"/>
      <c r="X317" s="304"/>
      <c r="Y317" s="304"/>
      <c r="Z317" s="304"/>
    </row>
    <row r="318">
      <c r="A318" s="345"/>
      <c r="B318" s="281"/>
      <c r="C318" s="281"/>
      <c r="D318" s="397"/>
      <c r="E318" s="281"/>
      <c r="F318" s="281"/>
      <c r="G318" s="281"/>
      <c r="H318" s="281"/>
      <c r="I318" s="281"/>
      <c r="J318" s="281"/>
      <c r="K318" s="281"/>
      <c r="L318" s="281"/>
      <c r="M318" s="281"/>
      <c r="N318" s="281"/>
      <c r="O318" s="281"/>
      <c r="P318" s="281"/>
      <c r="Q318" s="281"/>
      <c r="R318" s="281"/>
      <c r="S318" s="281"/>
      <c r="T318" s="281"/>
      <c r="U318" s="281"/>
      <c r="V318" s="281"/>
      <c r="W318" s="281"/>
      <c r="X318" s="304"/>
      <c r="Y318" s="304"/>
      <c r="Z318" s="304"/>
    </row>
    <row r="319">
      <c r="A319" s="345"/>
      <c r="B319" s="281"/>
      <c r="C319" s="281"/>
      <c r="D319" s="397"/>
      <c r="E319" s="281"/>
      <c r="F319" s="281"/>
      <c r="G319" s="281"/>
      <c r="H319" s="281"/>
      <c r="I319" s="281"/>
      <c r="J319" s="281"/>
      <c r="K319" s="281"/>
      <c r="L319" s="281"/>
      <c r="M319" s="281"/>
      <c r="N319" s="281"/>
      <c r="O319" s="281"/>
      <c r="P319" s="281"/>
      <c r="Q319" s="281"/>
      <c r="R319" s="281"/>
      <c r="S319" s="281"/>
      <c r="T319" s="281"/>
      <c r="U319" s="281"/>
      <c r="V319" s="281"/>
      <c r="W319" s="281"/>
      <c r="X319" s="304"/>
      <c r="Y319" s="304"/>
      <c r="Z319" s="304"/>
    </row>
    <row r="320">
      <c r="A320" s="345"/>
      <c r="B320" s="281"/>
      <c r="C320" s="281"/>
      <c r="D320" s="397"/>
      <c r="E320" s="281"/>
      <c r="F320" s="281"/>
      <c r="G320" s="281"/>
      <c r="H320" s="281"/>
      <c r="I320" s="281"/>
      <c r="J320" s="281"/>
      <c r="K320" s="281"/>
      <c r="L320" s="281"/>
      <c r="M320" s="281"/>
      <c r="N320" s="281"/>
      <c r="O320" s="281"/>
      <c r="P320" s="281"/>
      <c r="Q320" s="281"/>
      <c r="R320" s="281"/>
      <c r="S320" s="281"/>
      <c r="T320" s="281"/>
      <c r="U320" s="281"/>
      <c r="V320" s="281"/>
      <c r="W320" s="281"/>
      <c r="X320" s="304"/>
      <c r="Y320" s="304"/>
      <c r="Z320" s="304"/>
    </row>
    <row r="321">
      <c r="A321" s="345"/>
      <c r="B321" s="281"/>
      <c r="C321" s="281"/>
      <c r="D321" s="397"/>
      <c r="E321" s="281"/>
      <c r="F321" s="281"/>
      <c r="G321" s="281"/>
      <c r="H321" s="281"/>
      <c r="I321" s="281"/>
      <c r="J321" s="281"/>
      <c r="K321" s="281"/>
      <c r="L321" s="281"/>
      <c r="M321" s="281"/>
      <c r="N321" s="281"/>
      <c r="O321" s="281"/>
      <c r="P321" s="281"/>
      <c r="Q321" s="281"/>
      <c r="R321" s="281"/>
      <c r="S321" s="281"/>
      <c r="T321" s="281"/>
      <c r="U321" s="281"/>
      <c r="V321" s="281"/>
      <c r="W321" s="281"/>
      <c r="X321" s="304"/>
      <c r="Y321" s="304"/>
      <c r="Z321" s="304"/>
    </row>
    <row r="322">
      <c r="A322" s="345"/>
      <c r="B322" s="281"/>
      <c r="C322" s="281"/>
      <c r="D322" s="397"/>
      <c r="E322" s="281"/>
      <c r="F322" s="281"/>
      <c r="G322" s="281"/>
      <c r="H322" s="281"/>
      <c r="I322" s="281"/>
      <c r="J322" s="281"/>
      <c r="K322" s="281"/>
      <c r="L322" s="281"/>
      <c r="M322" s="281"/>
      <c r="N322" s="281"/>
      <c r="O322" s="281"/>
      <c r="P322" s="281"/>
      <c r="Q322" s="281"/>
      <c r="R322" s="281"/>
      <c r="S322" s="281"/>
      <c r="T322" s="281"/>
      <c r="U322" s="281"/>
      <c r="V322" s="281"/>
      <c r="W322" s="281"/>
      <c r="X322" s="304"/>
      <c r="Y322" s="304"/>
      <c r="Z322" s="304"/>
    </row>
    <row r="323">
      <c r="A323" s="345"/>
      <c r="B323" s="281"/>
      <c r="C323" s="281"/>
      <c r="D323" s="397"/>
      <c r="E323" s="281"/>
      <c r="F323" s="281"/>
      <c r="G323" s="281"/>
      <c r="H323" s="281"/>
      <c r="I323" s="281"/>
      <c r="J323" s="281"/>
      <c r="K323" s="281"/>
      <c r="L323" s="281"/>
      <c r="M323" s="281"/>
      <c r="N323" s="281"/>
      <c r="O323" s="281"/>
      <c r="P323" s="281"/>
      <c r="Q323" s="281"/>
      <c r="R323" s="281"/>
      <c r="S323" s="281"/>
      <c r="T323" s="281"/>
      <c r="U323" s="281"/>
      <c r="V323" s="281"/>
      <c r="W323" s="281"/>
      <c r="X323" s="304"/>
      <c r="Y323" s="304"/>
      <c r="Z323" s="304"/>
    </row>
    <row r="324">
      <c r="A324" s="345"/>
      <c r="B324" s="281"/>
      <c r="C324" s="281"/>
      <c r="D324" s="397"/>
      <c r="E324" s="281"/>
      <c r="F324" s="281"/>
      <c r="G324" s="281"/>
      <c r="H324" s="281"/>
      <c r="I324" s="281"/>
      <c r="J324" s="281"/>
      <c r="K324" s="281"/>
      <c r="L324" s="281"/>
      <c r="M324" s="281"/>
      <c r="N324" s="281"/>
      <c r="O324" s="281"/>
      <c r="P324" s="281"/>
      <c r="Q324" s="281"/>
      <c r="R324" s="281"/>
      <c r="S324" s="281"/>
      <c r="T324" s="281"/>
      <c r="U324" s="281"/>
      <c r="V324" s="281"/>
      <c r="W324" s="281"/>
      <c r="X324" s="304"/>
      <c r="Y324" s="304"/>
      <c r="Z324" s="304"/>
    </row>
    <row r="325">
      <c r="A325" s="345"/>
      <c r="B325" s="281"/>
      <c r="C325" s="281"/>
      <c r="D325" s="397"/>
      <c r="E325" s="281"/>
      <c r="F325" s="281"/>
      <c r="G325" s="281"/>
      <c r="H325" s="281"/>
      <c r="I325" s="281"/>
      <c r="J325" s="281"/>
      <c r="K325" s="281"/>
      <c r="L325" s="281"/>
      <c r="M325" s="281"/>
      <c r="N325" s="281"/>
      <c r="O325" s="281"/>
      <c r="P325" s="281"/>
      <c r="Q325" s="281"/>
      <c r="R325" s="281"/>
      <c r="S325" s="281"/>
      <c r="T325" s="281"/>
      <c r="U325" s="281"/>
      <c r="V325" s="281"/>
      <c r="W325" s="281"/>
      <c r="X325" s="304"/>
      <c r="Y325" s="304"/>
      <c r="Z325" s="304"/>
    </row>
    <row r="326">
      <c r="A326" s="345"/>
      <c r="B326" s="281"/>
      <c r="C326" s="281"/>
      <c r="D326" s="397"/>
      <c r="E326" s="281"/>
      <c r="F326" s="281"/>
      <c r="G326" s="281"/>
      <c r="H326" s="281"/>
      <c r="I326" s="281"/>
      <c r="J326" s="281"/>
      <c r="K326" s="281"/>
      <c r="L326" s="281"/>
      <c r="M326" s="281"/>
      <c r="N326" s="281"/>
      <c r="O326" s="281"/>
      <c r="P326" s="281"/>
      <c r="Q326" s="281"/>
      <c r="R326" s="281"/>
      <c r="S326" s="281"/>
      <c r="T326" s="281"/>
      <c r="U326" s="281"/>
      <c r="V326" s="281"/>
      <c r="W326" s="281"/>
      <c r="X326" s="304"/>
      <c r="Y326" s="304"/>
      <c r="Z326" s="304"/>
    </row>
    <row r="327">
      <c r="A327" s="345"/>
      <c r="B327" s="281"/>
      <c r="C327" s="281"/>
      <c r="D327" s="397"/>
      <c r="E327" s="281"/>
      <c r="F327" s="281"/>
      <c r="G327" s="281"/>
      <c r="H327" s="281"/>
      <c r="I327" s="281"/>
      <c r="J327" s="281"/>
      <c r="K327" s="281"/>
      <c r="L327" s="281"/>
      <c r="M327" s="281"/>
      <c r="N327" s="281"/>
      <c r="O327" s="281"/>
      <c r="P327" s="281"/>
      <c r="Q327" s="281"/>
      <c r="R327" s="281"/>
      <c r="S327" s="281"/>
      <c r="T327" s="281"/>
      <c r="U327" s="281"/>
      <c r="V327" s="281"/>
      <c r="W327" s="281"/>
      <c r="X327" s="304"/>
      <c r="Y327" s="304"/>
      <c r="Z327" s="304"/>
    </row>
    <row r="328">
      <c r="A328" s="345"/>
      <c r="B328" s="281"/>
      <c r="C328" s="281"/>
      <c r="D328" s="397"/>
      <c r="E328" s="281"/>
      <c r="F328" s="281"/>
      <c r="G328" s="281"/>
      <c r="H328" s="281"/>
      <c r="I328" s="281"/>
      <c r="J328" s="281"/>
      <c r="K328" s="281"/>
      <c r="L328" s="281"/>
      <c r="M328" s="281"/>
      <c r="N328" s="281"/>
      <c r="O328" s="281"/>
      <c r="P328" s="281"/>
      <c r="Q328" s="281"/>
      <c r="R328" s="281"/>
      <c r="S328" s="281"/>
      <c r="T328" s="281"/>
      <c r="U328" s="281"/>
      <c r="V328" s="281"/>
      <c r="W328" s="281"/>
      <c r="X328" s="304"/>
      <c r="Y328" s="304"/>
      <c r="Z328" s="304"/>
    </row>
    <row r="329">
      <c r="A329" s="345"/>
      <c r="B329" s="281"/>
      <c r="C329" s="281"/>
      <c r="D329" s="397"/>
      <c r="E329" s="281"/>
      <c r="F329" s="281"/>
      <c r="G329" s="281"/>
      <c r="H329" s="281"/>
      <c r="I329" s="281"/>
      <c r="J329" s="281"/>
      <c r="K329" s="281"/>
      <c r="L329" s="281"/>
      <c r="M329" s="281"/>
      <c r="N329" s="281"/>
      <c r="O329" s="281"/>
      <c r="P329" s="281"/>
      <c r="Q329" s="281"/>
      <c r="R329" s="281"/>
      <c r="S329" s="281"/>
      <c r="T329" s="281"/>
      <c r="U329" s="281"/>
      <c r="V329" s="281"/>
      <c r="W329" s="281"/>
      <c r="X329" s="304"/>
      <c r="Y329" s="304"/>
      <c r="Z329" s="304"/>
    </row>
    <row r="330">
      <c r="A330" s="345"/>
      <c r="B330" s="281"/>
      <c r="C330" s="281"/>
      <c r="D330" s="397"/>
      <c r="E330" s="281"/>
      <c r="F330" s="281"/>
      <c r="G330" s="281"/>
      <c r="H330" s="281"/>
      <c r="I330" s="281"/>
      <c r="J330" s="281"/>
      <c r="K330" s="281"/>
      <c r="L330" s="281"/>
      <c r="M330" s="281"/>
      <c r="N330" s="281"/>
      <c r="O330" s="281"/>
      <c r="P330" s="281"/>
      <c r="Q330" s="281"/>
      <c r="R330" s="281"/>
      <c r="S330" s="281"/>
      <c r="T330" s="281"/>
      <c r="U330" s="281"/>
      <c r="V330" s="281"/>
      <c r="W330" s="281"/>
      <c r="X330" s="304"/>
      <c r="Y330" s="304"/>
      <c r="Z330" s="304"/>
    </row>
  </sheetData>
  <conditionalFormatting sqref="D1">
    <cfRule type="notContainsBlanks" dxfId="0" priority="1">
      <formula>LEN(TRIM(D1))&gt;0</formula>
    </cfRule>
  </conditionalFormatting>
  <conditionalFormatting sqref="D1">
    <cfRule type="notContainsBlanks" dxfId="1" priority="2">
      <formula>LEN(TRIM(D1))&gt;0</formula>
    </cfRule>
  </conditionalFormatting>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DD"/>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86"/>
    <col customWidth="1" min="2" max="2" width="36.86"/>
    <col customWidth="1" min="3" max="3" width="49.43"/>
    <col customWidth="1" min="4" max="4" width="19.0"/>
    <col customWidth="1" min="5" max="5" width="6.14"/>
    <col customWidth="1" min="6" max="6" width="9.14"/>
    <col customWidth="1" min="7" max="7" width="5.14"/>
    <col customWidth="1" min="8" max="8" width="9.57"/>
    <col customWidth="1" min="9" max="9" width="5.14"/>
    <col customWidth="1" min="10" max="10" width="10.29"/>
    <col customWidth="1" min="11" max="11" width="7.29"/>
    <col customWidth="1" min="12" max="12" width="11.29"/>
    <col customWidth="1" min="13" max="13" width="18.57"/>
    <col customWidth="1" min="14" max="14" width="5.29"/>
    <col customWidth="1" min="15" max="15" width="5.71"/>
    <col customWidth="1" min="16" max="16" width="7.71"/>
    <col customWidth="1" min="17" max="17" width="8.14"/>
    <col customWidth="1" min="18" max="18" width="16.86"/>
    <col customWidth="1" min="19" max="19" width="16.71"/>
    <col customWidth="1" min="20" max="20" width="98.14"/>
    <col customWidth="1" min="21" max="21" width="18.14"/>
    <col customWidth="1" min="23" max="23" width="24.29"/>
    <col customWidth="1" min="24" max="24" width="20.57"/>
  </cols>
  <sheetData>
    <row r="1">
      <c r="A1" s="271" t="s">
        <v>603</v>
      </c>
      <c r="B1" s="272" t="s">
        <v>604</v>
      </c>
      <c r="C1" s="224" t="s">
        <v>605</v>
      </c>
      <c r="D1" s="398" t="s">
        <v>606</v>
      </c>
      <c r="E1" s="272" t="s">
        <v>607</v>
      </c>
      <c r="F1" s="224" t="s">
        <v>608</v>
      </c>
      <c r="G1" s="224" t="s">
        <v>561</v>
      </c>
      <c r="H1" s="224" t="s">
        <v>562</v>
      </c>
      <c r="I1" s="224" t="s">
        <v>330</v>
      </c>
      <c r="J1" s="224" t="s">
        <v>344</v>
      </c>
      <c r="K1" s="224" t="s">
        <v>356</v>
      </c>
      <c r="L1" s="224" t="s">
        <v>563</v>
      </c>
      <c r="M1" s="224" t="s">
        <v>564</v>
      </c>
      <c r="N1" s="273" t="s">
        <v>609</v>
      </c>
      <c r="O1" s="274" t="s">
        <v>610</v>
      </c>
      <c r="P1" s="275" t="s">
        <v>611</v>
      </c>
      <c r="Q1" s="276" t="s">
        <v>612</v>
      </c>
      <c r="R1" s="224" t="s">
        <v>613</v>
      </c>
      <c r="S1" s="224" t="s">
        <v>1173</v>
      </c>
      <c r="T1" s="224" t="s">
        <v>615</v>
      </c>
    </row>
    <row r="2" ht="20.25" customHeight="1">
      <c r="A2" s="278"/>
      <c r="B2" s="399" t="s">
        <v>1496</v>
      </c>
      <c r="C2" s="280"/>
      <c r="D2" s="378"/>
      <c r="E2" s="281"/>
      <c r="F2" s="281"/>
      <c r="G2" s="281"/>
      <c r="H2" s="281"/>
      <c r="I2" s="281"/>
      <c r="J2" s="281"/>
      <c r="K2" s="281"/>
      <c r="L2" s="281"/>
      <c r="M2" s="281"/>
      <c r="N2" s="280"/>
      <c r="O2" s="280"/>
      <c r="P2" s="280"/>
      <c r="Q2" s="280"/>
      <c r="R2" s="282"/>
      <c r="S2" s="281"/>
      <c r="T2" s="285"/>
    </row>
    <row r="3">
      <c r="A3" s="272"/>
      <c r="B3" s="376" t="s">
        <v>1835</v>
      </c>
      <c r="C3" s="280"/>
      <c r="D3" s="378"/>
      <c r="E3" s="281"/>
      <c r="F3" s="281"/>
      <c r="G3" s="281"/>
      <c r="H3" s="281"/>
      <c r="I3" s="281"/>
      <c r="J3" s="281"/>
      <c r="K3" s="281"/>
      <c r="L3" s="281"/>
      <c r="M3" s="281"/>
      <c r="N3" s="281"/>
      <c r="O3" s="281"/>
      <c r="P3" s="281"/>
      <c r="Q3" s="281"/>
      <c r="R3" s="282"/>
      <c r="S3" s="281"/>
      <c r="T3" s="285"/>
    </row>
    <row r="4">
      <c r="A4" s="286" t="s">
        <v>619</v>
      </c>
      <c r="B4" s="379" t="s">
        <v>1312</v>
      </c>
      <c r="C4" s="280"/>
      <c r="D4" s="378"/>
      <c r="E4" s="281"/>
      <c r="F4" s="281"/>
      <c r="G4" s="281"/>
      <c r="H4" s="281"/>
      <c r="I4" s="281"/>
      <c r="J4" s="281"/>
      <c r="K4" s="281"/>
      <c r="L4" s="281"/>
      <c r="M4" s="281"/>
      <c r="N4" s="281"/>
      <c r="O4" s="281"/>
      <c r="P4" s="281"/>
      <c r="Q4" s="281"/>
      <c r="R4" s="282"/>
      <c r="S4" s="281"/>
      <c r="T4" s="285"/>
    </row>
    <row r="5">
      <c r="A5" s="295" t="s">
        <v>627</v>
      </c>
      <c r="B5" s="296" t="s">
        <v>1313</v>
      </c>
      <c r="C5" s="297" t="s">
        <v>629</v>
      </c>
      <c r="D5" s="289">
        <f>ROUND((F5*'Pawn Weights'!$B$60)+(G5*'Pawn Weights'!$B$61)+(H5*'Pawn Weights'!$B$62)+(I5*'Pawn Weights'!$B$63)+(J5*'Pawn Weights'!$B$64)+(K5*'Pawn Weights'!$B$65)+(L5*'Pawn Weights'!$B$66)+(M5*'Pawn Weights'!$B$67)+(N5*'Pawn Weights'!$B$68)+(O5*'Pawn Weights'!$B$69)+(P5*'Pawn Weights'!$B$70)+(Q5*'Pawn Weights'!$B$71), 2)</f>
        <v>337.91</v>
      </c>
      <c r="E5" s="298">
        <v>47.0</v>
      </c>
      <c r="F5" s="298"/>
      <c r="G5" s="297"/>
      <c r="H5" s="298">
        <v>124.0</v>
      </c>
      <c r="I5" s="298">
        <v>51.0</v>
      </c>
      <c r="J5" s="298">
        <v>26.0</v>
      </c>
      <c r="K5" s="297"/>
      <c r="L5" s="297"/>
      <c r="M5" s="137"/>
      <c r="N5" s="298">
        <v>1.0</v>
      </c>
      <c r="O5" s="297"/>
      <c r="P5" s="297"/>
      <c r="Q5" s="298">
        <v>1.0</v>
      </c>
      <c r="R5" s="298" t="s">
        <v>624</v>
      </c>
      <c r="S5" s="137"/>
      <c r="T5" s="297" t="s">
        <v>630</v>
      </c>
      <c r="U5" s="137"/>
      <c r="V5" s="137"/>
      <c r="W5" s="137"/>
      <c r="X5" s="137"/>
      <c r="Y5" s="137"/>
      <c r="Z5" s="137"/>
    </row>
    <row r="6">
      <c r="A6" s="295" t="s">
        <v>635</v>
      </c>
      <c r="B6" s="296" t="s">
        <v>1314</v>
      </c>
      <c r="C6" s="297" t="s">
        <v>637</v>
      </c>
      <c r="D6" s="289">
        <f>ROUND((F6*'Pawn Weights'!$B$60)+(G6*'Pawn Weights'!$B$61)+(H6*'Pawn Weights'!$B$62)+(I6*'Pawn Weights'!$B$63)+(J6*'Pawn Weights'!$B$64)+(K6*'Pawn Weights'!$B$65)+(L6*'Pawn Weights'!$B$66)+(M6*'Pawn Weights'!$B$67)+(N6*'Pawn Weights'!$B$68)+(O6*'Pawn Weights'!$B$69)+(P6*'Pawn Weights'!$B$70)+(Q6*'Pawn Weights'!$B$71), 2)</f>
        <v>286.03</v>
      </c>
      <c r="E6" s="298">
        <v>74.0</v>
      </c>
      <c r="F6" s="298">
        <v>40.0</v>
      </c>
      <c r="G6" s="297"/>
      <c r="H6" s="297"/>
      <c r="I6" s="298">
        <v>39.0</v>
      </c>
      <c r="J6" s="298">
        <v>18.0</v>
      </c>
      <c r="K6" s="297"/>
      <c r="L6" s="297"/>
      <c r="M6" s="359">
        <v>84.0</v>
      </c>
      <c r="N6" s="298">
        <v>1.0</v>
      </c>
      <c r="O6" s="298">
        <v>1.0</v>
      </c>
      <c r="P6" s="298"/>
      <c r="Q6" s="297"/>
      <c r="R6" s="298" t="s">
        <v>1179</v>
      </c>
      <c r="S6" s="137"/>
      <c r="T6" s="295"/>
      <c r="U6" s="137"/>
      <c r="V6" s="137"/>
      <c r="W6" s="137"/>
      <c r="X6" s="137"/>
      <c r="Y6" s="137"/>
      <c r="Z6" s="137"/>
    </row>
    <row r="7" ht="14.25" customHeight="1">
      <c r="A7" s="25" t="s">
        <v>627</v>
      </c>
      <c r="B7" s="288" t="s">
        <v>1319</v>
      </c>
      <c r="C7" s="280" t="s">
        <v>653</v>
      </c>
      <c r="D7" s="289">
        <f>ROUND((F7*'Pawn Weights'!$B$60)+(G7*'Pawn Weights'!$B$61)+(H7*'Pawn Weights'!$B$62)+(I7*'Pawn Weights'!$B$63)+(J7*'Pawn Weights'!$B$64)+(K7*'Pawn Weights'!$B$65)+(L7*'Pawn Weights'!$B$66)+(M7*'Pawn Weights'!$B$67)+(N7*'Pawn Weights'!$B$68)+(O7*'Pawn Weights'!$B$69)+(P7*'Pawn Weights'!$B$70)+(Q7*'Pawn Weights'!$B$71), 2)</f>
        <v>266.88</v>
      </c>
      <c r="E7" s="280">
        <v>28.0</v>
      </c>
      <c r="F7" s="280"/>
      <c r="G7" s="280"/>
      <c r="H7" s="280">
        <v>96.0</v>
      </c>
      <c r="I7" s="280">
        <v>38.0</v>
      </c>
      <c r="J7" s="280">
        <v>13.0</v>
      </c>
      <c r="K7" s="280"/>
      <c r="L7" s="280"/>
      <c r="M7" s="281"/>
      <c r="N7" s="280">
        <v>1.0</v>
      </c>
      <c r="O7" s="280"/>
      <c r="P7" s="280"/>
      <c r="Q7" s="280">
        <v>1.0</v>
      </c>
      <c r="R7" s="290" t="s">
        <v>622</v>
      </c>
      <c r="S7" s="281"/>
      <c r="T7" s="291"/>
      <c r="U7" s="25"/>
      <c r="W7" s="25"/>
    </row>
    <row r="8" ht="14.25" customHeight="1">
      <c r="A8" s="295" t="s">
        <v>1316</v>
      </c>
      <c r="B8" s="296" t="s">
        <v>1317</v>
      </c>
      <c r="C8" s="297" t="s">
        <v>1318</v>
      </c>
      <c r="D8" s="289">
        <f>ROUND((F8*'Pawn Weights'!$B$60)+(G8*'Pawn Weights'!$B$61)+(H8*'Pawn Weights'!$B$62)+(I8*'Pawn Weights'!$B$63)+(J8*'Pawn Weights'!$B$64)+(K8*'Pawn Weights'!$B$65)+(L8*'Pawn Weights'!$B$66)+(M8*'Pawn Weights'!$B$67)+(N8*'Pawn Weights'!$B$68)+(O8*'Pawn Weights'!$B$69)+(P8*'Pawn Weights'!$B$70)+(Q8*'Pawn Weights'!$B$71), 2)</f>
        <v>252.97</v>
      </c>
      <c r="E8" s="298">
        <v>67.0</v>
      </c>
      <c r="F8" s="298">
        <v>34.0</v>
      </c>
      <c r="G8" s="297"/>
      <c r="H8" s="297"/>
      <c r="I8" s="298">
        <v>33.0</v>
      </c>
      <c r="J8" s="298">
        <v>12.0</v>
      </c>
      <c r="K8" s="297"/>
      <c r="L8" s="297"/>
      <c r="M8" s="359">
        <v>84.0</v>
      </c>
      <c r="N8" s="298">
        <v>1.0</v>
      </c>
      <c r="O8" s="298">
        <v>1.0</v>
      </c>
      <c r="P8" s="297"/>
      <c r="Q8" s="297"/>
      <c r="R8" s="298" t="s">
        <v>1179</v>
      </c>
      <c r="S8" s="137"/>
      <c r="T8" s="295"/>
      <c r="U8" s="295"/>
      <c r="V8" s="137"/>
      <c r="W8" s="295"/>
      <c r="X8" s="137"/>
      <c r="Y8" s="137"/>
      <c r="Z8" s="137"/>
    </row>
    <row r="9">
      <c r="A9" s="292" t="s">
        <v>1320</v>
      </c>
      <c r="B9" s="288" t="s">
        <v>1321</v>
      </c>
      <c r="C9" s="154" t="s">
        <v>649</v>
      </c>
      <c r="D9" s="289">
        <f>ROUND((F9*'Pawn Weights'!$B$60)+(G9*'Pawn Weights'!$B$61)+(H9*'Pawn Weights'!$B$62)+(I9*'Pawn Weights'!$B$63)+(J9*'Pawn Weights'!$B$64)+(K9*'Pawn Weights'!$B$65)+(L9*'Pawn Weights'!$B$66)+(M9*'Pawn Weights'!$B$67)+(N9*'Pawn Weights'!$B$68)+(O9*'Pawn Weights'!$B$69)+(P9*'Pawn Weights'!$B$70)+(Q9*'Pawn Weights'!$B$71)-17.6+16.68+6.96, 2)</f>
        <v>230.52</v>
      </c>
      <c r="E9" s="280">
        <v>46.0</v>
      </c>
      <c r="F9" s="280">
        <v>41.0</v>
      </c>
      <c r="G9" s="280">
        <v>32.0</v>
      </c>
      <c r="H9" s="280"/>
      <c r="I9" s="280"/>
      <c r="J9" s="280"/>
      <c r="K9" s="280"/>
      <c r="L9" s="280"/>
      <c r="M9" s="281"/>
      <c r="N9" s="280">
        <v>1.0</v>
      </c>
      <c r="O9" s="280"/>
      <c r="P9" s="280">
        <v>1.0</v>
      </c>
      <c r="Q9" s="280"/>
      <c r="R9" s="290" t="s">
        <v>622</v>
      </c>
      <c r="S9" s="281"/>
      <c r="T9" s="291"/>
    </row>
    <row r="10" ht="14.25" customHeight="1">
      <c r="A10" s="25"/>
      <c r="B10" s="288" t="s">
        <v>1184</v>
      </c>
      <c r="C10" s="280" t="s">
        <v>1185</v>
      </c>
      <c r="D10" s="289">
        <f>ROUND((F10*'Pawn Weights'!$B$60)+(G10*'Pawn Weights'!$B$61)+(H10*'Pawn Weights'!$B$62)+(I10*'Pawn Weights'!$B$63)+(J10*'Pawn Weights'!$B$64)+(K10*'Pawn Weights'!$B$65)+(L10*'Pawn Weights'!$B$66)+(M10*'Pawn Weights'!$B$67)+(N10*'Pawn Weights'!$B$68)+(O10*'Pawn Weights'!$B$69)+(P10*'Pawn Weights'!$B$70)+(Q10*'Pawn Weights'!$B$71)-17.6+16.68+6.96, 2)</f>
        <v>225.76</v>
      </c>
      <c r="E10" s="280">
        <v>36.0</v>
      </c>
      <c r="F10" s="280"/>
      <c r="G10" s="280">
        <v>32.0</v>
      </c>
      <c r="H10" s="280">
        <v>64.0</v>
      </c>
      <c r="I10" s="280"/>
      <c r="J10" s="280">
        <v>16.0</v>
      </c>
      <c r="K10" s="280"/>
      <c r="L10" s="280"/>
      <c r="M10" s="281"/>
      <c r="N10" s="280">
        <v>1.0</v>
      </c>
      <c r="O10" s="280"/>
      <c r="P10" s="280">
        <v>1.0</v>
      </c>
      <c r="Q10" s="280"/>
      <c r="R10" s="290" t="s">
        <v>622</v>
      </c>
      <c r="S10" s="281"/>
      <c r="T10" s="291"/>
    </row>
    <row r="11">
      <c r="A11" s="25" t="s">
        <v>1456</v>
      </c>
      <c r="B11" s="288" t="s">
        <v>1457</v>
      </c>
      <c r="C11" s="280" t="s">
        <v>997</v>
      </c>
      <c r="D11" s="289">
        <f>ROUND((F11*'Pawn Weights'!$B$60)+(G11*'Pawn Weights'!$B$61)+(H11*'Pawn Weights'!$B$62)+(I11*'Pawn Weights'!$B$63)+(J11*'Pawn Weights'!$B$64)+(K11*'Pawn Weights'!$B$65)+(L11*'Pawn Weights'!$B$66)+(M11*'Pawn Weights'!$B$67)+(N11*'Pawn Weights'!$B$68)+(O11*'Pawn Weights'!$B$69)+(P11*'Pawn Weights'!$B$70)+(Q11*'Pawn Weights'!$B$71), 2)</f>
        <v>215.16</v>
      </c>
      <c r="E11" s="280">
        <v>60.0</v>
      </c>
      <c r="F11" s="280">
        <v>37.0</v>
      </c>
      <c r="G11" s="280"/>
      <c r="H11" s="280"/>
      <c r="I11" s="280">
        <v>28.0</v>
      </c>
      <c r="J11" s="280"/>
      <c r="K11" s="280"/>
      <c r="L11" s="280"/>
      <c r="M11" s="281"/>
      <c r="N11" s="280">
        <v>1.0</v>
      </c>
      <c r="O11" s="280">
        <v>1.0</v>
      </c>
      <c r="P11" s="280"/>
      <c r="Q11" s="280"/>
      <c r="R11" s="290" t="s">
        <v>1179</v>
      </c>
      <c r="S11" s="281"/>
      <c r="T11" s="291"/>
    </row>
    <row r="12">
      <c r="A12" s="25" t="s">
        <v>1452</v>
      </c>
      <c r="B12" s="288" t="s">
        <v>1453</v>
      </c>
      <c r="C12" s="280" t="s">
        <v>1454</v>
      </c>
      <c r="D12" s="289">
        <f>ROUND((F12*'Pawn Weights'!$B$60)+(G12*'Pawn Weights'!$B$61)+(H12*'Pawn Weights'!$B$62)+(I12*'Pawn Weights'!$B$63)+(J12*'Pawn Weights'!$B$64)+(K12*'Pawn Weights'!$B$65)+(L12*'Pawn Weights'!$B$66)+(M12*'Pawn Weights'!$B$67)+(N12*'Pawn Weights'!$B$68)+(O12*'Pawn Weights'!$B$69)+(P12*'Pawn Weights'!$B$70)+(Q12*'Pawn Weights'!$B$71)+5.36, 2)</f>
        <v>210.14</v>
      </c>
      <c r="E12" s="280">
        <v>40.0</v>
      </c>
      <c r="F12" s="280">
        <v>36.0</v>
      </c>
      <c r="G12" s="280">
        <v>27.0</v>
      </c>
      <c r="H12" s="280"/>
      <c r="I12" s="280"/>
      <c r="J12" s="280"/>
      <c r="K12" s="280"/>
      <c r="L12" s="280"/>
      <c r="M12" s="281"/>
      <c r="N12" s="280">
        <v>1.0</v>
      </c>
      <c r="O12" s="280">
        <v>1.0</v>
      </c>
      <c r="P12" s="280"/>
      <c r="Q12" s="280"/>
      <c r="R12" s="290" t="s">
        <v>626</v>
      </c>
      <c r="S12" s="281"/>
      <c r="T12" s="291" t="s">
        <v>1455</v>
      </c>
    </row>
    <row r="13" ht="14.25" customHeight="1">
      <c r="A13" s="25"/>
      <c r="B13" s="288" t="s">
        <v>1503</v>
      </c>
      <c r="C13" s="280" t="s">
        <v>790</v>
      </c>
      <c r="D13" s="289">
        <f>ROUND((F13*'Pawn Weights'!$B$60)+(G13*'Pawn Weights'!$B$61)+(H13*'Pawn Weights'!$B$62)+(I13*'Pawn Weights'!$B$63)+(J13*'Pawn Weights'!$B$64)+(K13*'Pawn Weights'!$B$65)+(L13*'Pawn Weights'!$B$66)+(M13*'Pawn Weights'!$B$67)+(N13*'Pawn Weights'!$B$68)+(O13*'Pawn Weights'!$B$69)+(P13*'Pawn Weights'!$B$70)+(Q13*'Pawn Weights'!$B$71), 2)</f>
        <v>208.28</v>
      </c>
      <c r="E13" s="280">
        <v>45.0</v>
      </c>
      <c r="F13" s="280"/>
      <c r="G13" s="280"/>
      <c r="H13" s="280">
        <v>84.0</v>
      </c>
      <c r="I13" s="280">
        <v>42.0</v>
      </c>
      <c r="J13" s="280">
        <v>31.0</v>
      </c>
      <c r="K13" s="280"/>
      <c r="L13" s="280"/>
      <c r="M13" s="281"/>
      <c r="N13" s="280"/>
      <c r="O13" s="280"/>
      <c r="P13" s="280"/>
      <c r="Q13" s="280"/>
      <c r="R13" s="290"/>
      <c r="S13" s="281"/>
      <c r="T13" s="291"/>
    </row>
    <row r="14">
      <c r="A14" s="25"/>
      <c r="B14" s="311" t="s">
        <v>1450</v>
      </c>
      <c r="C14" s="280" t="s">
        <v>1451</v>
      </c>
      <c r="D14" s="289">
        <f>ROUND((F14*'Pawn Weights'!$B$60)+(G14*'Pawn Weights'!$B$61)+(H14*'Pawn Weights'!$B$62)+(I14*'Pawn Weights'!$B$63)+(J14*'Pawn Weights'!$B$64)+(K14*'Pawn Weights'!$B$65)+(L14*'Pawn Weights'!$B$66)+(M14*'Pawn Weights'!$B$67)+(N14*'Pawn Weights'!$B$68)+(O14*'Pawn Weights'!$B$69)+(P14*'Pawn Weights'!$B$70)+(Q14*'Pawn Weights'!$B$71), 2)</f>
        <v>206.86</v>
      </c>
      <c r="E14" s="280">
        <v>21.0</v>
      </c>
      <c r="F14" s="280"/>
      <c r="G14" s="280">
        <v>25.0</v>
      </c>
      <c r="H14" s="280">
        <v>66.0</v>
      </c>
      <c r="I14" s="280"/>
      <c r="J14" s="280">
        <v>14.0</v>
      </c>
      <c r="K14" s="280"/>
      <c r="L14" s="280"/>
      <c r="M14" s="281"/>
      <c r="N14" s="280">
        <v>1.0</v>
      </c>
      <c r="O14" s="280"/>
      <c r="P14" s="280">
        <v>1.0</v>
      </c>
      <c r="Q14" s="280"/>
      <c r="R14" s="290" t="s">
        <v>1179</v>
      </c>
      <c r="S14" s="281"/>
      <c r="T14" s="291"/>
    </row>
    <row r="15">
      <c r="A15" s="25" t="s">
        <v>1836</v>
      </c>
      <c r="B15" s="288" t="s">
        <v>1837</v>
      </c>
      <c r="C15" s="280" t="s">
        <v>1159</v>
      </c>
      <c r="D15" s="289">
        <f>ROUND((F15*'Pawn Weights'!$B$60)+(G15*'Pawn Weights'!$B$61)+(H15*'Pawn Weights'!$B$62)+(I15*'Pawn Weights'!$B$63)+(J15*'Pawn Weights'!$B$64)+(K15*'Pawn Weights'!$B$65)+(L15*'Pawn Weights'!$B$66)+(M15*'Pawn Weights'!$B$67)+(N15*'Pawn Weights'!$B$68)+(O15*'Pawn Weights'!$B$69)+(P15*'Pawn Weights'!$B$70)+(Q15*'Pawn Weights'!$B$71), 2)</f>
        <v>204.62</v>
      </c>
      <c r="E15" s="280">
        <v>51.0</v>
      </c>
      <c r="F15" s="280">
        <v>34.0</v>
      </c>
      <c r="G15" s="280"/>
      <c r="H15" s="280"/>
      <c r="I15" s="280">
        <v>26.0</v>
      </c>
      <c r="J15" s="280"/>
      <c r="K15" s="280"/>
      <c r="L15" s="280"/>
      <c r="M15" s="281"/>
      <c r="N15" s="280">
        <v>1.0</v>
      </c>
      <c r="O15" s="280">
        <v>1.0</v>
      </c>
      <c r="P15" s="280"/>
      <c r="Q15" s="280"/>
      <c r="R15" s="290" t="s">
        <v>1179</v>
      </c>
      <c r="S15" s="281"/>
      <c r="T15" s="291"/>
    </row>
    <row r="16">
      <c r="A16" s="25"/>
      <c r="B16" s="311" t="s">
        <v>1501</v>
      </c>
      <c r="C16" s="280" t="s">
        <v>1695</v>
      </c>
      <c r="D16" s="289">
        <f>ROUND((F16*'Pawn Weights'!$B$60)+(G16*'Pawn Weights'!$B$61)+(H16*'Pawn Weights'!$B$62)+(I16*'Pawn Weights'!$B$63)+(J16*'Pawn Weights'!$B$64)+(K16*'Pawn Weights'!$B$65)+(L16*'Pawn Weights'!$B$66)+(M16*'Pawn Weights'!$B$67)+(N16*'Pawn Weights'!$B$68)+(O16*'Pawn Weights'!$B$69)+(P16*'Pawn Weights'!$B$70)+(Q16*'Pawn Weights'!$B$71), 2)</f>
        <v>202.06</v>
      </c>
      <c r="E16" s="280">
        <v>30.0</v>
      </c>
      <c r="F16" s="280"/>
      <c r="G16" s="280"/>
      <c r="H16" s="280">
        <v>56.0</v>
      </c>
      <c r="I16" s="280">
        <v>22.0</v>
      </c>
      <c r="J16" s="280">
        <v>18.0</v>
      </c>
      <c r="K16" s="280"/>
      <c r="L16" s="280"/>
      <c r="M16" s="281"/>
      <c r="N16" s="280">
        <v>1.0</v>
      </c>
      <c r="O16" s="280"/>
      <c r="P16" s="280"/>
      <c r="Q16" s="280">
        <v>1.0</v>
      </c>
      <c r="R16" s="290" t="s">
        <v>745</v>
      </c>
      <c r="S16" s="281"/>
      <c r="T16" s="291"/>
    </row>
    <row r="17">
      <c r="A17" s="25"/>
      <c r="B17" s="311" t="s">
        <v>1741</v>
      </c>
      <c r="C17" s="280" t="s">
        <v>1742</v>
      </c>
      <c r="D17" s="289">
        <f>ROUND((F17*'Pawn Weights'!$B$60)+(G17*'Pawn Weights'!$B$61)+(H17*'Pawn Weights'!$B$62)+(I17*'Pawn Weights'!$B$63)+(J17*'Pawn Weights'!$B$64)+(K17*'Pawn Weights'!$B$65)+(L17*'Pawn Weights'!$B$66)+(M17*'Pawn Weights'!$B$67)+(N17*'Pawn Weights'!$B$68)+(O17*'Pawn Weights'!$B$69)+(P17*'Pawn Weights'!$B$70)+(Q17*'Pawn Weights'!$B$71), 2)</f>
        <v>193.85</v>
      </c>
      <c r="E17" s="280">
        <v>25.0</v>
      </c>
      <c r="F17" s="280"/>
      <c r="G17" s="280"/>
      <c r="H17" s="280">
        <v>66.0</v>
      </c>
      <c r="I17" s="280">
        <v>25.0</v>
      </c>
      <c r="J17" s="280"/>
      <c r="K17" s="280"/>
      <c r="L17" s="280"/>
      <c r="M17" s="281"/>
      <c r="N17" s="280">
        <v>1.0</v>
      </c>
      <c r="O17" s="280"/>
      <c r="P17" s="280">
        <v>1.0</v>
      </c>
      <c r="Q17" s="280"/>
      <c r="R17" s="290" t="s">
        <v>882</v>
      </c>
      <c r="S17" s="281"/>
      <c r="T17" s="291"/>
      <c r="U17" s="25"/>
      <c r="W17" s="25"/>
    </row>
    <row r="18">
      <c r="A18" s="25"/>
      <c r="B18" s="288" t="s">
        <v>1739</v>
      </c>
      <c r="C18" s="280" t="s">
        <v>881</v>
      </c>
      <c r="D18" s="289">
        <f>ROUND((F18*'Pawn Weights'!$B$60)+(G18*'Pawn Weights'!$B$61)+(H18*'Pawn Weights'!$B$62)+(I18*'Pawn Weights'!$B$63)+(J18*'Pawn Weights'!$B$64)+(K18*'Pawn Weights'!$B$65)+(L18*'Pawn Weights'!$B$66)+(M18*'Pawn Weights'!$B$67)+(N18*'Pawn Weights'!$B$68)+(O18*'Pawn Weights'!$B$69)+(P18*'Pawn Weights'!$B$70)+(Q18*'Pawn Weights'!$B$71), 2)</f>
        <v>191.32</v>
      </c>
      <c r="E18" s="280">
        <v>33.0</v>
      </c>
      <c r="F18" s="280"/>
      <c r="G18" s="280">
        <v>34.0</v>
      </c>
      <c r="H18" s="280">
        <v>100.0</v>
      </c>
      <c r="I18" s="280"/>
      <c r="J18" s="280">
        <v>24.0</v>
      </c>
      <c r="K18" s="280"/>
      <c r="L18" s="280"/>
      <c r="M18" s="281"/>
      <c r="N18" s="280"/>
      <c r="O18" s="280"/>
      <c r="P18" s="280"/>
      <c r="Q18" s="280"/>
      <c r="R18" s="290"/>
      <c r="S18" s="281"/>
      <c r="T18" s="291"/>
    </row>
    <row r="19">
      <c r="A19" s="25"/>
      <c r="B19" s="311" t="s">
        <v>1838</v>
      </c>
      <c r="C19" s="280" t="s">
        <v>1839</v>
      </c>
      <c r="D19" s="289">
        <f>ROUND((F19*'Pawn Weights'!$B$60)+(G19*'Pawn Weights'!$B$61)+(H19*'Pawn Weights'!$B$62)+(I19*'Pawn Weights'!$B$63)+(J19*'Pawn Weights'!$B$64)+(K19*'Pawn Weights'!$B$65)+(L19*'Pawn Weights'!$B$66)+(M19*'Pawn Weights'!$B$67)+(N19*'Pawn Weights'!$B$68)+(O19*'Pawn Weights'!$B$69)+(P19*'Pawn Weights'!$B$70)+(Q19*'Pawn Weights'!$B$71)-17.6+16.68+5.36, 2)</f>
        <v>176.62</v>
      </c>
      <c r="E19" s="280">
        <v>21.0</v>
      </c>
      <c r="F19" s="280"/>
      <c r="G19" s="280"/>
      <c r="H19" s="280">
        <v>66.0</v>
      </c>
      <c r="I19" s="280">
        <v>14.0</v>
      </c>
      <c r="J19" s="280"/>
      <c r="K19" s="280"/>
      <c r="L19" s="280"/>
      <c r="M19" s="281"/>
      <c r="N19" s="280">
        <v>1.0</v>
      </c>
      <c r="O19" s="280"/>
      <c r="P19" s="280">
        <v>1.0</v>
      </c>
      <c r="Q19" s="280"/>
      <c r="R19" s="290" t="s">
        <v>626</v>
      </c>
      <c r="S19" s="281"/>
      <c r="T19" s="291"/>
      <c r="U19" s="25"/>
      <c r="W19" s="25"/>
    </row>
    <row r="20" ht="14.25" customHeight="1">
      <c r="A20" s="25"/>
      <c r="B20" s="311" t="s">
        <v>1840</v>
      </c>
      <c r="C20" s="280" t="s">
        <v>1358</v>
      </c>
      <c r="D20" s="289">
        <f>ROUND((F20*'Pawn Weights'!$B$60)+(G20*'Pawn Weights'!$B$61)+(H20*'Pawn Weights'!$B$62)+(I20*'Pawn Weights'!$B$63)+(J20*'Pawn Weights'!$B$64)+(K20*'Pawn Weights'!$B$65)+(L20*'Pawn Weights'!$B$66)+(M20*'Pawn Weights'!$B$67)+(N20*'Pawn Weights'!$B$68)+(O20*'Pawn Weights'!$B$69)+(P20*'Pawn Weights'!$B$70)+(Q20*'Pawn Weights'!$B$71), 2)</f>
        <v>172.1</v>
      </c>
      <c r="E20" s="280">
        <v>21.0</v>
      </c>
      <c r="F20" s="280"/>
      <c r="G20" s="280">
        <v>25.0</v>
      </c>
      <c r="H20" s="280">
        <v>50.0</v>
      </c>
      <c r="I20" s="280"/>
      <c r="J20" s="280"/>
      <c r="K20" s="280"/>
      <c r="L20" s="280"/>
      <c r="M20" s="281"/>
      <c r="N20" s="280">
        <v>1.0</v>
      </c>
      <c r="O20" s="280">
        <v>1.0</v>
      </c>
      <c r="P20" s="280"/>
      <c r="Q20" s="280"/>
      <c r="R20" s="290" t="s">
        <v>1841</v>
      </c>
      <c r="S20" s="281"/>
      <c r="T20" s="291"/>
      <c r="U20" s="25"/>
      <c r="W20" s="25"/>
    </row>
    <row r="21" ht="14.25" customHeight="1">
      <c r="A21" s="25"/>
      <c r="B21" s="311" t="s">
        <v>1743</v>
      </c>
      <c r="C21" s="280" t="s">
        <v>1744</v>
      </c>
      <c r="D21" s="289">
        <f>ROUND((F21*'Pawn Weights'!$B$60)+(G21*'Pawn Weights'!$B$61)+(H21*'Pawn Weights'!$B$62)+(I21*'Pawn Weights'!$B$63)+(J21*'Pawn Weights'!$B$64)+(K21*'Pawn Weights'!$B$65)+(L21*'Pawn Weights'!$B$66)+(M21*'Pawn Weights'!$B$67)+(N21*'Pawn Weights'!$B$68)+(O21*'Pawn Weights'!$B$69)+(P21*'Pawn Weights'!$B$70)+(Q21*'Pawn Weights'!$B$71), 2)</f>
        <v>171.98</v>
      </c>
      <c r="E21" s="280">
        <v>19.0</v>
      </c>
      <c r="F21" s="280"/>
      <c r="G21" s="280">
        <v>24.0</v>
      </c>
      <c r="H21" s="280">
        <v>60.0</v>
      </c>
      <c r="I21" s="280"/>
      <c r="J21" s="280">
        <v>13.0</v>
      </c>
      <c r="K21" s="280"/>
      <c r="L21" s="280"/>
      <c r="M21" s="281"/>
      <c r="N21" s="280"/>
      <c r="O21" s="280">
        <v>1.0</v>
      </c>
      <c r="P21" s="280">
        <v>1.0</v>
      </c>
      <c r="Q21" s="280">
        <v>1.0</v>
      </c>
      <c r="R21" s="290" t="s">
        <v>745</v>
      </c>
      <c r="S21" s="281"/>
      <c r="T21" s="291"/>
      <c r="U21" s="25"/>
      <c r="W21" s="25"/>
    </row>
    <row r="22" ht="14.25" customHeight="1">
      <c r="A22" s="25"/>
      <c r="B22" s="288" t="s">
        <v>1842</v>
      </c>
      <c r="C22" s="280" t="s">
        <v>790</v>
      </c>
      <c r="D22" s="289">
        <f>ROUND((F22*'Pawn Weights'!$B$60)+(G22*'Pawn Weights'!$B$61)+(H22*'Pawn Weights'!$B$62)+(I22*'Pawn Weights'!$B$63)+(J22*'Pawn Weights'!$B$64)+(K22*'Pawn Weights'!$B$65)+(L22*'Pawn Weights'!$B$66)+(M22*'Pawn Weights'!$B$67)+(N22*'Pawn Weights'!$B$68)+(O22*'Pawn Weights'!$B$69)+(P22*'Pawn Weights'!$B$70)+(Q22*'Pawn Weights'!$B$71), 2)</f>
        <v>168.74</v>
      </c>
      <c r="E22" s="280">
        <v>43.0</v>
      </c>
      <c r="F22" s="280"/>
      <c r="G22" s="280"/>
      <c r="H22" s="280">
        <v>86.0</v>
      </c>
      <c r="I22" s="280">
        <v>42.0</v>
      </c>
      <c r="J22" s="280"/>
      <c r="K22" s="280"/>
      <c r="L22" s="280"/>
      <c r="M22" s="281"/>
      <c r="N22" s="280"/>
      <c r="O22" s="280"/>
      <c r="P22" s="280"/>
      <c r="Q22" s="280"/>
      <c r="R22" s="290"/>
      <c r="S22" s="281"/>
      <c r="T22" s="291"/>
      <c r="U22" s="25"/>
      <c r="W22" s="25"/>
    </row>
    <row r="23" ht="14.25" customHeight="1">
      <c r="A23" s="25"/>
      <c r="B23" s="288" t="s">
        <v>1843</v>
      </c>
      <c r="C23" s="280" t="s">
        <v>1185</v>
      </c>
      <c r="D23" s="289">
        <f>ROUND((F23*'Pawn Weights'!$B$60)+(G23*'Pawn Weights'!$B$61)+(H23*'Pawn Weights'!$B$62)+(I23*'Pawn Weights'!$B$63)+(J23*'Pawn Weights'!$B$64)+(K23*'Pawn Weights'!$B$65)+(L23*'Pawn Weights'!$B$66)+(M23*'Pawn Weights'!$B$67)+(N23*'Pawn Weights'!$B$68)+(O23*'Pawn Weights'!$B$69)+(P23*'Pawn Weights'!$B$70)+(Q23*'Pawn Weights'!$B$71), 2)</f>
        <v>168.36</v>
      </c>
      <c r="E23" s="280">
        <v>36.0</v>
      </c>
      <c r="F23" s="280"/>
      <c r="G23" s="280">
        <v>24.0</v>
      </c>
      <c r="H23" s="280">
        <v>48.0</v>
      </c>
      <c r="I23" s="280"/>
      <c r="J23" s="280"/>
      <c r="K23" s="280"/>
      <c r="L23" s="280"/>
      <c r="M23" s="281"/>
      <c r="N23" s="280">
        <v>1.0</v>
      </c>
      <c r="O23" s="280">
        <v>1.0</v>
      </c>
      <c r="P23" s="280"/>
      <c r="Q23" s="280"/>
      <c r="R23" s="290" t="s">
        <v>1841</v>
      </c>
      <c r="S23" s="281"/>
      <c r="T23" s="291"/>
      <c r="U23" s="25"/>
      <c r="W23" s="25"/>
    </row>
    <row r="24" ht="14.25" customHeight="1">
      <c r="A24" s="25"/>
      <c r="B24" s="311" t="s">
        <v>1746</v>
      </c>
      <c r="C24" s="280" t="s">
        <v>1747</v>
      </c>
      <c r="D24" s="289">
        <f>ROUND((F24*'Pawn Weights'!$B$60)+(G24*'Pawn Weights'!$B$61)+(H24*'Pawn Weights'!$B$62)+(I24*'Pawn Weights'!$B$63)+(J24*'Pawn Weights'!$B$64)+(K24*'Pawn Weights'!$B$65)+(L24*'Pawn Weights'!$B$66)+(M24*'Pawn Weights'!$B$67)+(N24*'Pawn Weights'!$B$68)+(O24*'Pawn Weights'!$B$69)+(P24*'Pawn Weights'!$B$70)+(Q24*'Pawn Weights'!$B$71), 2)</f>
        <v>164.56</v>
      </c>
      <c r="E24" s="280"/>
      <c r="F24" s="280"/>
      <c r="G24" s="280"/>
      <c r="H24" s="280">
        <v>80.0</v>
      </c>
      <c r="I24" s="280">
        <v>30.0</v>
      </c>
      <c r="J24" s="280">
        <v>19.0</v>
      </c>
      <c r="K24" s="280"/>
      <c r="L24" s="280"/>
      <c r="M24" s="281"/>
      <c r="N24" s="280"/>
      <c r="O24" s="280"/>
      <c r="P24" s="280"/>
      <c r="Q24" s="280"/>
      <c r="R24" s="290"/>
      <c r="S24" s="281"/>
      <c r="T24" s="291"/>
      <c r="U24" s="25"/>
      <c r="W24" s="25"/>
    </row>
    <row r="25" ht="14.25" customHeight="1">
      <c r="A25" s="25" t="s">
        <v>627</v>
      </c>
      <c r="B25" s="288" t="s">
        <v>1745</v>
      </c>
      <c r="C25" s="280" t="s">
        <v>904</v>
      </c>
      <c r="D25" s="289">
        <f>ROUND((F25*'Pawn Weights'!$B$60)+(G25*'Pawn Weights'!$B$61)+(H25*'Pawn Weights'!$B$62)+(I25*'Pawn Weights'!$B$63)+(J25*'Pawn Weights'!$B$64)+(K25*'Pawn Weights'!$B$65)+(L25*'Pawn Weights'!$B$66)+(M25*'Pawn Weights'!$B$67)+(N25*'Pawn Weights'!$B$68)+(O25*'Pawn Weights'!$B$69)+(P25*'Pawn Weights'!$B$70)+(Q25*'Pawn Weights'!$B$71), 2)</f>
        <v>162.5</v>
      </c>
      <c r="E25" s="280">
        <v>42.0</v>
      </c>
      <c r="F25" s="280"/>
      <c r="G25" s="280">
        <v>37.0</v>
      </c>
      <c r="H25" s="280">
        <v>74.0</v>
      </c>
      <c r="I25" s="280"/>
      <c r="J25" s="280">
        <v>18.0</v>
      </c>
      <c r="K25" s="280"/>
      <c r="L25" s="280"/>
      <c r="M25" s="281"/>
      <c r="N25" s="280"/>
      <c r="O25" s="280"/>
      <c r="P25" s="280"/>
      <c r="Q25" s="280"/>
      <c r="R25" s="290"/>
      <c r="S25" s="281"/>
      <c r="T25" s="291"/>
      <c r="U25" s="25"/>
      <c r="W25" s="25"/>
    </row>
    <row r="26" ht="14.25" customHeight="1">
      <c r="A26" s="25" t="s">
        <v>627</v>
      </c>
      <c r="B26" s="288" t="s">
        <v>1844</v>
      </c>
      <c r="C26" s="280" t="s">
        <v>1561</v>
      </c>
      <c r="D26" s="289">
        <f>ROUND((F26*'Pawn Weights'!$B$60)+(G26*'Pawn Weights'!$B$61)+(H26*'Pawn Weights'!$B$62)+(I26*'Pawn Weights'!$B$63)+(J26*'Pawn Weights'!$B$64)+(K26*'Pawn Weights'!$B$65)+(L26*'Pawn Weights'!$B$66)+(M26*'Pawn Weights'!$B$67)+(N26*'Pawn Weights'!$B$68)+(O26*'Pawn Weights'!$B$69)+(P26*'Pawn Weights'!$B$70)+(Q26*'Pawn Weights'!$B$71), 2)</f>
        <v>140.14</v>
      </c>
      <c r="E26" s="280">
        <v>21.0</v>
      </c>
      <c r="F26" s="280"/>
      <c r="G26" s="280"/>
      <c r="H26" s="280">
        <v>44.0</v>
      </c>
      <c r="I26" s="280">
        <v>22.0</v>
      </c>
      <c r="J26" s="280"/>
      <c r="K26" s="280"/>
      <c r="L26" s="280"/>
      <c r="M26" s="281"/>
      <c r="N26" s="280"/>
      <c r="O26" s="280">
        <v>1.0</v>
      </c>
      <c r="P26" s="280">
        <v>1.0</v>
      </c>
      <c r="Q26" s="280">
        <v>1.0</v>
      </c>
      <c r="R26" s="290" t="s">
        <v>633</v>
      </c>
      <c r="S26" s="281"/>
      <c r="T26" s="291"/>
      <c r="U26" s="25"/>
      <c r="W26" s="25"/>
    </row>
    <row r="27" ht="14.25" customHeight="1">
      <c r="A27" s="25"/>
      <c r="B27" s="311" t="s">
        <v>1748</v>
      </c>
      <c r="C27" s="280" t="s">
        <v>1437</v>
      </c>
      <c r="D27" s="289">
        <f>ROUND((F27*'Pawn Weights'!$B$60)+(G27*'Pawn Weights'!$B$61)+(H27*'Pawn Weights'!$B$62)+(I27*'Pawn Weights'!$B$63)+(J27*'Pawn Weights'!$B$64)+(K27*'Pawn Weights'!$B$65)+(L27*'Pawn Weights'!$B$66)+(M27*'Pawn Weights'!$B$67)+(N27*'Pawn Weights'!$B$68)+(O27*'Pawn Weights'!$B$69)+(P27*'Pawn Weights'!$B$70)+(Q27*'Pawn Weights'!$B$71), 2)</f>
        <v>139</v>
      </c>
      <c r="E27" s="280">
        <v>34.0</v>
      </c>
      <c r="F27" s="280"/>
      <c r="G27" s="280">
        <v>35.0</v>
      </c>
      <c r="H27" s="280">
        <v>58.0</v>
      </c>
      <c r="I27" s="280"/>
      <c r="J27" s="280">
        <v>15.0</v>
      </c>
      <c r="K27" s="280"/>
      <c r="L27" s="280"/>
      <c r="M27" s="281"/>
      <c r="N27" s="280"/>
      <c r="O27" s="280"/>
      <c r="P27" s="280"/>
      <c r="Q27" s="280"/>
      <c r="R27" s="290"/>
      <c r="S27" s="281"/>
      <c r="T27" s="291"/>
      <c r="U27" s="25"/>
      <c r="W27" s="25"/>
    </row>
    <row r="28" ht="14.25" customHeight="1">
      <c r="A28" s="25"/>
      <c r="B28" s="311" t="s">
        <v>1845</v>
      </c>
      <c r="C28" s="280" t="s">
        <v>1846</v>
      </c>
      <c r="D28" s="289">
        <f>ROUND((F28*'Pawn Weights'!$B$60)+(G28*'Pawn Weights'!$B$61)+(H28*'Pawn Weights'!$B$62)+(I28*'Pawn Weights'!$B$63)+(J28*'Pawn Weights'!$B$64)+(K28*'Pawn Weights'!$B$65)+(L28*'Pawn Weights'!$B$66)+(M28*'Pawn Weights'!$B$67)+(N28*'Pawn Weights'!$B$68)+(O28*'Pawn Weights'!$B$69)+(P28*'Pawn Weights'!$B$70)+(Q28*'Pawn Weights'!$B$71), 2)</f>
        <v>136.82</v>
      </c>
      <c r="E28" s="280">
        <v>22.0</v>
      </c>
      <c r="F28" s="280"/>
      <c r="G28" s="280">
        <v>23.0</v>
      </c>
      <c r="H28" s="280">
        <v>44.0</v>
      </c>
      <c r="I28" s="280"/>
      <c r="J28" s="280"/>
      <c r="K28" s="280"/>
      <c r="L28" s="280"/>
      <c r="M28" s="281"/>
      <c r="N28" s="280"/>
      <c r="O28" s="280">
        <v>2.0</v>
      </c>
      <c r="P28" s="280">
        <v>1.0</v>
      </c>
      <c r="Q28" s="280"/>
      <c r="R28" s="290" t="s">
        <v>1841</v>
      </c>
      <c r="S28" s="281"/>
      <c r="T28" s="291"/>
      <c r="U28" s="25"/>
      <c r="W28" s="25"/>
    </row>
    <row r="29" ht="14.25" customHeight="1">
      <c r="A29" s="25"/>
      <c r="B29" s="288" t="s">
        <v>1847</v>
      </c>
      <c r="C29" s="280" t="s">
        <v>1201</v>
      </c>
      <c r="D29" s="289">
        <f>ROUND((F29*'Pawn Weights'!$B$60)+(G29*'Pawn Weights'!$B$61)+(H29*'Pawn Weights'!$B$62)+(I29*'Pawn Weights'!$B$63)+(J29*'Pawn Weights'!$B$64)+(K29*'Pawn Weights'!$B$65)+(L29*'Pawn Weights'!$B$66)+(M29*'Pawn Weights'!$B$67)+(N29*'Pawn Weights'!$B$68)+(O29*'Pawn Weights'!$B$69)+(P29*'Pawn Weights'!$B$70)+(Q29*'Pawn Weights'!$B$71), 2)</f>
        <v>124.64</v>
      </c>
      <c r="E29" s="280">
        <v>34.0</v>
      </c>
      <c r="F29" s="280"/>
      <c r="G29" s="280">
        <v>36.0</v>
      </c>
      <c r="H29" s="280">
        <v>62.0</v>
      </c>
      <c r="I29" s="280"/>
      <c r="J29" s="280"/>
      <c r="K29" s="280"/>
      <c r="L29" s="280"/>
      <c r="M29" s="281"/>
      <c r="N29" s="280"/>
      <c r="O29" s="280"/>
      <c r="P29" s="280"/>
      <c r="Q29" s="280"/>
      <c r="R29" s="290"/>
      <c r="S29" s="281"/>
      <c r="T29" s="291"/>
      <c r="U29" s="25"/>
      <c r="W29" s="25"/>
    </row>
    <row r="30" ht="14.25" customHeight="1">
      <c r="A30" s="25"/>
      <c r="B30" s="311" t="s">
        <v>1848</v>
      </c>
      <c r="C30" s="280" t="s">
        <v>1849</v>
      </c>
      <c r="D30" s="289">
        <f>ROUND((F30*'Pawn Weights'!$B$60)+(G30*'Pawn Weights'!$B$61)+(H30*'Pawn Weights'!$B$62)+(I30*'Pawn Weights'!$B$63)+(J30*'Pawn Weights'!$B$64)+(K30*'Pawn Weights'!$B$65)+(L30*'Pawn Weights'!$B$66)+(M30*'Pawn Weights'!$B$67)+(N30*'Pawn Weights'!$B$68)+(O30*'Pawn Weights'!$B$69)+(P30*'Pawn Weights'!$B$70)+(Q30*'Pawn Weights'!$B$71), 2)</f>
        <v>95.48</v>
      </c>
      <c r="E30" s="280">
        <v>21.0</v>
      </c>
      <c r="F30" s="280"/>
      <c r="G30" s="280">
        <v>23.0</v>
      </c>
      <c r="H30" s="280">
        <v>30.0</v>
      </c>
      <c r="I30" s="280"/>
      <c r="J30" s="280">
        <v>19.0</v>
      </c>
      <c r="K30" s="280"/>
      <c r="L30" s="280"/>
      <c r="M30" s="281"/>
      <c r="N30" s="280"/>
      <c r="O30" s="280"/>
      <c r="P30" s="280"/>
      <c r="Q30" s="280"/>
      <c r="R30" s="290"/>
      <c r="S30" s="281"/>
      <c r="T30" s="291"/>
      <c r="U30" s="25"/>
      <c r="W30" s="25"/>
    </row>
    <row r="31">
      <c r="A31" s="272" t="s">
        <v>657</v>
      </c>
      <c r="B31" s="281"/>
      <c r="C31" s="281"/>
      <c r="D31" s="360"/>
      <c r="E31" s="281"/>
      <c r="F31" s="281"/>
      <c r="G31" s="281"/>
      <c r="H31" s="281"/>
      <c r="I31" s="281"/>
      <c r="J31" s="281"/>
      <c r="K31" s="281"/>
      <c r="L31" s="281"/>
      <c r="M31" s="281"/>
      <c r="N31" s="281"/>
      <c r="O31" s="281"/>
      <c r="P31" s="281"/>
      <c r="Q31" s="281"/>
      <c r="R31" s="282"/>
      <c r="S31" s="281"/>
      <c r="T31" s="285"/>
    </row>
    <row r="32">
      <c r="A32" s="137" t="s">
        <v>627</v>
      </c>
      <c r="B32" s="341" t="s">
        <v>658</v>
      </c>
      <c r="C32" s="361" t="s">
        <v>659</v>
      </c>
      <c r="D32" s="289">
        <f>ROUND((F32*'Pawn Weights'!$B$60)+(G32*'Pawn Weights'!$B$61)+(H32*'Pawn Weights'!$B$62)+(I32*'Pawn Weights'!$B$63)+(J32*'Pawn Weights'!$B$64)+(K32*'Pawn Weights'!$B$65)+(L32*'Pawn Weights'!$B$66)+(M32*'Pawn Weights'!$B$67)+(N32*'Pawn Weights'!$B$68)+(O32*'Pawn Weights'!$B$69)+(P32*'Pawn Weights'!$B$70)+(Q32*'Pawn Weights'!$B$71), 2)</f>
        <v>146.01</v>
      </c>
      <c r="E32" s="359">
        <v>42.0</v>
      </c>
      <c r="F32" s="137"/>
      <c r="G32" s="137"/>
      <c r="H32" s="359">
        <v>58.0</v>
      </c>
      <c r="I32" s="137"/>
      <c r="J32" s="137"/>
      <c r="K32" s="359">
        <v>29.0</v>
      </c>
      <c r="L32" s="137"/>
      <c r="M32" s="359">
        <v>150.0</v>
      </c>
      <c r="N32" s="137"/>
      <c r="O32" s="137"/>
      <c r="P32" s="359">
        <v>1.0</v>
      </c>
      <c r="Q32" s="137"/>
      <c r="R32" s="359" t="s">
        <v>660</v>
      </c>
      <c r="S32" s="137"/>
      <c r="T32" s="361" t="s">
        <v>661</v>
      </c>
      <c r="U32" s="137"/>
      <c r="V32" s="137"/>
      <c r="W32" s="137"/>
      <c r="X32" s="137"/>
      <c r="Y32" s="137"/>
      <c r="Z32" s="137"/>
    </row>
    <row r="33">
      <c r="A33" s="137" t="s">
        <v>676</v>
      </c>
      <c r="B33" s="341" t="s">
        <v>677</v>
      </c>
      <c r="C33" s="361" t="s">
        <v>678</v>
      </c>
      <c r="D33" s="289">
        <f>ROUND((F33*'Pawn Weights'!$B$60)+(G33*'Pawn Weights'!$B$61)+(H33*'Pawn Weights'!$B$62)+(I33*'Pawn Weights'!$B$63)+(J33*'Pawn Weights'!$B$64)+(K33*'Pawn Weights'!$B$65)+(L33*'Pawn Weights'!$B$66)+(M33*'Pawn Weights'!$B$67)+(N33*'Pawn Weights'!$B$68)+(O33*'Pawn Weights'!$B$69)+(P33*'Pawn Weights'!$B$70)+(Q33*'Pawn Weights'!$B$71)+39.2, 2)</f>
        <v>134.52</v>
      </c>
      <c r="E33" s="359">
        <v>19.0</v>
      </c>
      <c r="F33" s="361"/>
      <c r="G33" s="359">
        <v>18.0</v>
      </c>
      <c r="H33" s="359">
        <v>64.0</v>
      </c>
      <c r="I33" s="361"/>
      <c r="J33" s="361"/>
      <c r="K33" s="361"/>
      <c r="L33" s="361"/>
      <c r="M33" s="137"/>
      <c r="N33" s="361"/>
      <c r="O33" s="361"/>
      <c r="P33" s="361"/>
      <c r="Q33" s="361"/>
      <c r="R33" s="137"/>
      <c r="S33" s="137"/>
      <c r="T33" s="362" t="s">
        <v>679</v>
      </c>
      <c r="U33" s="194"/>
      <c r="V33" s="194"/>
      <c r="W33" s="137"/>
      <c r="X33" s="137"/>
      <c r="Y33" s="137"/>
      <c r="Z33" s="137"/>
    </row>
    <row r="34" ht="14.25" customHeight="1">
      <c r="A34" s="295" t="s">
        <v>671</v>
      </c>
      <c r="B34" s="296" t="s">
        <v>672</v>
      </c>
      <c r="C34" s="297" t="s">
        <v>673</v>
      </c>
      <c r="D34" s="289">
        <f>ROUND((F34*'Pawn Weights'!$B$60)+(G34*'Pawn Weights'!$B$61)+(H34*'Pawn Weights'!$B$62)+(I34*'Pawn Weights'!$B$63)+(J34*'Pawn Weights'!$B$64)+(K34*'Pawn Weights'!$B$65)+(L34*'Pawn Weights'!$B$66)+(M34*'Pawn Weights'!$B$67)+(N34*'Pawn Weights'!$B$68)+(O34*'Pawn Weights'!$B$69)+(P34*'Pawn Weights'!$B$70)+(Q34*'Pawn Weights'!$B$71), 2)</f>
        <v>126.82</v>
      </c>
      <c r="E34" s="298">
        <v>39.0</v>
      </c>
      <c r="F34" s="297"/>
      <c r="G34" s="297"/>
      <c r="H34" s="298">
        <v>58.0</v>
      </c>
      <c r="I34" s="298">
        <v>26.0</v>
      </c>
      <c r="J34" s="297"/>
      <c r="K34" s="297"/>
      <c r="L34" s="297"/>
      <c r="M34" s="137"/>
      <c r="N34" s="297"/>
      <c r="O34" s="297"/>
      <c r="P34" s="298">
        <v>1.0</v>
      </c>
      <c r="Q34" s="297"/>
      <c r="R34" s="298" t="s">
        <v>674</v>
      </c>
      <c r="S34" s="137"/>
      <c r="T34" s="297" t="s">
        <v>675</v>
      </c>
      <c r="U34" s="295"/>
      <c r="V34" s="137"/>
      <c r="W34" s="295"/>
      <c r="X34" s="137"/>
      <c r="Y34" s="137"/>
      <c r="Z34" s="137"/>
    </row>
    <row r="35">
      <c r="A35" s="281"/>
      <c r="B35" s="288" t="s">
        <v>684</v>
      </c>
      <c r="C35" s="280" t="s">
        <v>685</v>
      </c>
      <c r="D35" s="289">
        <f>ROUND((F35*'Pawn Weights'!$B$60)+(G35*'Pawn Weights'!$B$61)+(H35*'Pawn Weights'!$B$62)+(I35*'Pawn Weights'!$B$63)+(J35*'Pawn Weights'!$B$64)+(K35*'Pawn Weights'!$B$65)+(L35*'Pawn Weights'!$B$66)+(M35*'Pawn Weights'!$B$67)+(N35*'Pawn Weights'!$B$68)+(O35*'Pawn Weights'!$B$69)+(P35*'Pawn Weights'!$B$70)+(Q35*'Pawn Weights'!$B$71), 2)</f>
        <v>116.98</v>
      </c>
      <c r="E35" s="280">
        <v>26.0</v>
      </c>
      <c r="F35" s="280"/>
      <c r="G35" s="280">
        <v>27.0</v>
      </c>
      <c r="H35" s="280">
        <v>70.0</v>
      </c>
      <c r="I35" s="280"/>
      <c r="J35" s="280"/>
      <c r="K35" s="280"/>
      <c r="L35" s="280"/>
      <c r="M35" s="281"/>
      <c r="N35" s="280"/>
      <c r="O35" s="280"/>
      <c r="P35" s="280"/>
      <c r="Q35" s="280"/>
      <c r="R35" s="290"/>
      <c r="S35" s="281"/>
      <c r="T35" s="222"/>
      <c r="U35" s="281"/>
      <c r="W35" s="281"/>
    </row>
    <row r="36">
      <c r="A36" s="281"/>
      <c r="B36" s="288" t="s">
        <v>680</v>
      </c>
      <c r="C36" s="280" t="s">
        <v>681</v>
      </c>
      <c r="D36" s="289">
        <f>ROUND((F36*'Pawn Weights'!$B$60)+(G36*'Pawn Weights'!$B$61)+(H36*'Pawn Weights'!$B$62)+(I36*'Pawn Weights'!$B$63)+(J36*'Pawn Weights'!$B$64)+(K36*'Pawn Weights'!$B$65)+(L36*'Pawn Weights'!$B$66)+(M36*'Pawn Weights'!$B$67)+(N36*'Pawn Weights'!$B$68)+(O36*'Pawn Weights'!$B$69)+(P36*'Pawn Weights'!$B$70)+(Q36*'Pawn Weights'!$B$71), 2)</f>
        <v>115.71</v>
      </c>
      <c r="E36" s="280">
        <v>24.0</v>
      </c>
      <c r="F36" s="280">
        <v>32.0</v>
      </c>
      <c r="G36" s="280"/>
      <c r="H36" s="280"/>
      <c r="I36" s="280">
        <v>23.0</v>
      </c>
      <c r="J36" s="280"/>
      <c r="K36" s="280"/>
      <c r="L36" s="280"/>
      <c r="M36" s="280"/>
      <c r="N36" s="280"/>
      <c r="O36" s="280"/>
      <c r="P36" s="280"/>
      <c r="Q36" s="280"/>
      <c r="R36" s="290"/>
      <c r="S36" s="281"/>
      <c r="T36" s="222"/>
      <c r="U36" s="281"/>
      <c r="W36" s="281"/>
    </row>
    <row r="37">
      <c r="A37" s="137" t="s">
        <v>991</v>
      </c>
      <c r="B37" s="296" t="s">
        <v>1075</v>
      </c>
      <c r="C37" s="297" t="s">
        <v>673</v>
      </c>
      <c r="D37" s="289">
        <f>ROUND((F37*'Pawn Weights'!$B$60)+(G37*'Pawn Weights'!$B$61)+(H37*'Pawn Weights'!$B$62)+(I37*'Pawn Weights'!$B$63)+(J37*'Pawn Weights'!$B$64)+(K37*'Pawn Weights'!$B$65)+(L37*'Pawn Weights'!$B$66)+(M37*'Pawn Weights'!$B$67)+(N37*'Pawn Weights'!$B$68)+(O37*'Pawn Weights'!$B$69)+(P37*'Pawn Weights'!$B$70)+(Q37*'Pawn Weights'!$B$71), 2)</f>
        <v>110.94</v>
      </c>
      <c r="E37" s="298">
        <v>35.0</v>
      </c>
      <c r="F37" s="297"/>
      <c r="G37" s="297"/>
      <c r="H37" s="298">
        <v>50.0</v>
      </c>
      <c r="I37" s="298">
        <v>22.0</v>
      </c>
      <c r="J37" s="297"/>
      <c r="K37" s="297"/>
      <c r="L37" s="297"/>
      <c r="M37" s="295"/>
      <c r="N37" s="297"/>
      <c r="O37" s="297"/>
      <c r="P37" s="298">
        <v>1.0</v>
      </c>
      <c r="Q37" s="297"/>
      <c r="R37" s="298" t="s">
        <v>1076</v>
      </c>
      <c r="S37" s="137"/>
      <c r="T37" s="297" t="s">
        <v>675</v>
      </c>
      <c r="U37" s="137"/>
      <c r="V37" s="137"/>
      <c r="W37" s="137"/>
      <c r="X37" s="137"/>
      <c r="Y37" s="137"/>
      <c r="Z37" s="137"/>
    </row>
    <row r="38">
      <c r="A38" s="281"/>
      <c r="B38" s="288" t="s">
        <v>686</v>
      </c>
      <c r="C38" s="280" t="s">
        <v>687</v>
      </c>
      <c r="D38" s="289">
        <f>ROUND((F38*'Pawn Weights'!$B$60)+(G38*'Pawn Weights'!$B$61)+(H38*'Pawn Weights'!$B$62)+(I38*'Pawn Weights'!$B$63)+(J38*'Pawn Weights'!$B$64)+(K38*'Pawn Weights'!$B$65)+(L38*'Pawn Weights'!$B$66)+(M38*'Pawn Weights'!$B$67)+(N38*'Pawn Weights'!$B$68)+(O38*'Pawn Weights'!$B$69)+(P38*'Pawn Weights'!$B$70)+(Q38*'Pawn Weights'!$B$71), 2)</f>
        <v>100.92</v>
      </c>
      <c r="E38" s="280">
        <v>18.0</v>
      </c>
      <c r="F38" s="280"/>
      <c r="G38" s="280">
        <v>20.0</v>
      </c>
      <c r="H38" s="280">
        <v>42.0</v>
      </c>
      <c r="I38" s="280"/>
      <c r="J38" s="280">
        <v>18.0</v>
      </c>
      <c r="K38" s="280"/>
      <c r="L38" s="280"/>
      <c r="M38" s="280"/>
      <c r="N38" s="280"/>
      <c r="O38" s="280"/>
      <c r="P38" s="280"/>
      <c r="Q38" s="280"/>
      <c r="R38" s="290"/>
      <c r="S38" s="281"/>
      <c r="T38" s="294"/>
      <c r="U38" s="281"/>
      <c r="W38" s="281"/>
    </row>
    <row r="39">
      <c r="A39" s="281"/>
      <c r="B39" s="288" t="s">
        <v>682</v>
      </c>
      <c r="C39" s="280" t="s">
        <v>683</v>
      </c>
      <c r="D39" s="289">
        <f>ROUND((F39*'Pawn Weights'!$B$60)+(G39*'Pawn Weights'!$B$61)+(H39*'Pawn Weights'!$B$62)+(I39*'Pawn Weights'!$B$63)+(J39*'Pawn Weights'!$B$64)+(K39*'Pawn Weights'!$B$65)+(L39*'Pawn Weights'!$B$66)+(M39*'Pawn Weights'!$B$67)+(N39*'Pawn Weights'!$B$68)+(O39*'Pawn Weights'!$B$69)+(P39*'Pawn Weights'!$B$70)+(Q39*'Pawn Weights'!$B$71), 2)</f>
        <v>109.31</v>
      </c>
      <c r="E39" s="280">
        <v>24.0</v>
      </c>
      <c r="F39" s="280"/>
      <c r="G39" s="280"/>
      <c r="H39" s="280">
        <v>64.0</v>
      </c>
      <c r="I39" s="280">
        <v>23.0</v>
      </c>
      <c r="J39" s="280"/>
      <c r="K39" s="280"/>
      <c r="L39" s="280"/>
      <c r="M39" s="281"/>
      <c r="N39" s="280"/>
      <c r="O39" s="280"/>
      <c r="P39" s="280"/>
      <c r="Q39" s="280"/>
      <c r="R39" s="290"/>
      <c r="S39" s="281"/>
      <c r="T39" s="294"/>
      <c r="U39" s="281"/>
      <c r="W39" s="281"/>
    </row>
    <row r="40">
      <c r="A40" s="281"/>
      <c r="B40" s="288" t="s">
        <v>1517</v>
      </c>
      <c r="C40" s="280" t="s">
        <v>1278</v>
      </c>
      <c r="D40" s="289">
        <f>ROUND((F40*'Pawn Weights'!$B$60)+(G40*'Pawn Weights'!$B$61)+(H40*'Pawn Weights'!$B$62)+(I40*'Pawn Weights'!$B$63)+(J40*'Pawn Weights'!$B$64)+(K40*'Pawn Weights'!$B$65)+(L40*'Pawn Weights'!$B$66)+(M40*'Pawn Weights'!$B$67)+(N40*'Pawn Weights'!$B$68)+(O40*'Pawn Weights'!$B$69)+(P40*'Pawn Weights'!$B$70)+(Q40*'Pawn Weights'!$B$71), 2)</f>
        <v>99.88</v>
      </c>
      <c r="E40" s="280">
        <v>22.0</v>
      </c>
      <c r="F40" s="280">
        <v>28.0</v>
      </c>
      <c r="G40" s="280">
        <v>22.0</v>
      </c>
      <c r="H40" s="280"/>
      <c r="I40" s="280"/>
      <c r="J40" s="280"/>
      <c r="K40" s="280"/>
      <c r="L40" s="280"/>
      <c r="M40" s="280"/>
      <c r="N40" s="280"/>
      <c r="O40" s="280"/>
      <c r="P40" s="280"/>
      <c r="Q40" s="280"/>
      <c r="R40" s="290"/>
      <c r="S40" s="281"/>
      <c r="T40" s="222"/>
      <c r="U40" s="281"/>
      <c r="V40" s="281"/>
      <c r="W40" s="281"/>
      <c r="X40" s="281"/>
    </row>
    <row r="41">
      <c r="A41" s="281"/>
      <c r="B41" s="288" t="s">
        <v>1077</v>
      </c>
      <c r="C41" s="280" t="s">
        <v>1078</v>
      </c>
      <c r="D41" s="289">
        <f>ROUND((F41*'Pawn Weights'!$B$60)+(G41*'Pawn Weights'!$B$61)+(H41*'Pawn Weights'!$B$62)+(I41*'Pawn Weights'!$B$63)+(J41*'Pawn Weights'!$B$64)+(K41*'Pawn Weights'!$B$65)+(L41*'Pawn Weights'!$B$66)+(M41*'Pawn Weights'!$B$67)+(N41*'Pawn Weights'!$B$68)+(O41*'Pawn Weights'!$B$69)+(P41*'Pawn Weights'!$B$70)+(Q41*'Pawn Weights'!$B$71), 2)</f>
        <v>99.58</v>
      </c>
      <c r="E41" s="280">
        <v>21.0</v>
      </c>
      <c r="F41" s="280"/>
      <c r="G41" s="280">
        <v>20.0</v>
      </c>
      <c r="H41" s="280">
        <v>42.0</v>
      </c>
      <c r="I41" s="280"/>
      <c r="J41" s="280">
        <v>17.0</v>
      </c>
      <c r="K41" s="280"/>
      <c r="L41" s="280"/>
      <c r="M41" s="280"/>
      <c r="N41" s="280"/>
      <c r="O41" s="280"/>
      <c r="P41" s="280"/>
      <c r="Q41" s="280"/>
      <c r="R41" s="290"/>
      <c r="S41" s="281"/>
      <c r="T41" s="222"/>
      <c r="U41" s="281"/>
      <c r="W41" s="281"/>
    </row>
    <row r="42" ht="14.25" customHeight="1">
      <c r="A42" s="295" t="s">
        <v>676</v>
      </c>
      <c r="B42" s="296" t="s">
        <v>688</v>
      </c>
      <c r="C42" s="297" t="s">
        <v>678</v>
      </c>
      <c r="D42" s="289">
        <f>ROUND((F42*'Pawn Weights'!$B$60)+(G42*'Pawn Weights'!$B$61)+(H42*'Pawn Weights'!$B$62)+(I42*'Pawn Weights'!$B$63)+(J42*'Pawn Weights'!$B$64)+(K42*'Pawn Weights'!$B$65)+(L42*'Pawn Weights'!$B$66)+(M42*'Pawn Weights'!$B$67)+(N42*'Pawn Weights'!$B$68)+(O42*'Pawn Weights'!$B$69)+(P42*'Pawn Weights'!$B$70)+(Q42*'Pawn Weights'!$B$71), 2)</f>
        <v>95.32</v>
      </c>
      <c r="E42" s="298">
        <v>19.0</v>
      </c>
      <c r="F42" s="297"/>
      <c r="G42" s="298">
        <v>18.0</v>
      </c>
      <c r="H42" s="298">
        <v>64.0</v>
      </c>
      <c r="I42" s="297"/>
      <c r="J42" s="297"/>
      <c r="K42" s="297"/>
      <c r="L42" s="297"/>
      <c r="M42" s="137"/>
      <c r="N42" s="297"/>
      <c r="O42" s="297"/>
      <c r="P42" s="297"/>
      <c r="Q42" s="297"/>
      <c r="R42" s="295"/>
      <c r="S42" s="137"/>
      <c r="T42" s="297" t="s">
        <v>689</v>
      </c>
      <c r="U42" s="295"/>
      <c r="V42" s="137"/>
      <c r="W42" s="295"/>
      <c r="X42" s="137"/>
      <c r="Y42" s="137"/>
      <c r="Z42" s="137"/>
    </row>
    <row r="43">
      <c r="A43" s="137" t="s">
        <v>995</v>
      </c>
      <c r="B43" s="296" t="s">
        <v>1509</v>
      </c>
      <c r="C43" s="297" t="s">
        <v>1510</v>
      </c>
      <c r="D43" s="289">
        <f>ROUND((F43*'Pawn Weights'!$B$60)+(G43*'Pawn Weights'!$B$61)+(H43*'Pawn Weights'!$B$62)+(I43*'Pawn Weights'!$B$63)+(J43*'Pawn Weights'!$B$64)+(K43*'Pawn Weights'!$B$65)+(L43*'Pawn Weights'!$B$66)+(M43*'Pawn Weights'!$B$67)+(N43*'Pawn Weights'!$B$68)+(O43*'Pawn Weights'!$B$69)+(P43*'Pawn Weights'!$B$70)+(Q43*'Pawn Weights'!$B$71), 2)</f>
        <v>95.06</v>
      </c>
      <c r="E43" s="332">
        <v>31.0</v>
      </c>
      <c r="F43" s="295"/>
      <c r="G43" s="295"/>
      <c r="H43" s="332">
        <v>42.0</v>
      </c>
      <c r="I43" s="332">
        <v>18.0</v>
      </c>
      <c r="J43" s="295"/>
      <c r="K43" s="295"/>
      <c r="L43" s="295"/>
      <c r="M43" s="295"/>
      <c r="N43" s="295"/>
      <c r="O43" s="295"/>
      <c r="P43" s="332">
        <v>1.0</v>
      </c>
      <c r="Q43" s="295"/>
      <c r="R43" s="332" t="s">
        <v>674</v>
      </c>
      <c r="S43" s="343"/>
      <c r="T43" s="137"/>
      <c r="U43" s="137"/>
      <c r="V43" s="137"/>
      <c r="W43" s="137"/>
      <c r="X43" s="137"/>
      <c r="Y43" s="137"/>
      <c r="Z43" s="137"/>
    </row>
    <row r="44">
      <c r="A44" s="137"/>
      <c r="B44" s="383" t="s">
        <v>1519</v>
      </c>
      <c r="C44" s="297" t="s">
        <v>1520</v>
      </c>
      <c r="D44" s="289">
        <f>ROUND((F44*'Pawn Weights'!$B$60)+(G44*'Pawn Weights'!$B$61)+(H44*'Pawn Weights'!$B$62)+(I44*'Pawn Weights'!$B$63)+(J44*'Pawn Weights'!$B$64)+(K44*'Pawn Weights'!$B$65)+(L44*'Pawn Weights'!$B$66)+(M44*'Pawn Weights'!$B$67)+(N44*'Pawn Weights'!$B$68)+(O44*'Pawn Weights'!$B$69)+(P44*'Pawn Weights'!$B$70)+(Q44*'Pawn Weights'!$B$71), 2)</f>
        <v>93.26</v>
      </c>
      <c r="E44" s="297"/>
      <c r="F44" s="298">
        <v>22.0</v>
      </c>
      <c r="G44" s="298">
        <v>15.0</v>
      </c>
      <c r="H44" s="297"/>
      <c r="I44" s="297"/>
      <c r="J44" s="298">
        <v>14.0</v>
      </c>
      <c r="K44" s="297"/>
      <c r="L44" s="297"/>
      <c r="M44" s="297"/>
      <c r="N44" s="297"/>
      <c r="O44" s="297"/>
      <c r="P44" s="297"/>
      <c r="Q44" s="297"/>
      <c r="R44" s="295"/>
      <c r="S44" s="137"/>
      <c r="T44" s="344"/>
      <c r="U44" s="137"/>
      <c r="V44" s="137"/>
      <c r="W44" s="137"/>
      <c r="X44" s="137"/>
      <c r="Y44" s="137"/>
      <c r="Z44" s="137"/>
    </row>
    <row r="45">
      <c r="A45" s="281"/>
      <c r="B45" s="288" t="s">
        <v>1511</v>
      </c>
      <c r="C45" s="326" t="s">
        <v>1512</v>
      </c>
      <c r="D45" s="289">
        <f>ROUND((F45*'Pawn Weights'!$B$60)+(G45*'Pawn Weights'!$B$61)+(H45*'Pawn Weights'!$B$62)+(I45*'Pawn Weights'!$B$63)+(J45*'Pawn Weights'!$B$64)+(K45*'Pawn Weights'!$B$65)+(L45*'Pawn Weights'!$B$66)+(M45*'Pawn Weights'!$B$67)+(N45*'Pawn Weights'!$B$68)+(O45*'Pawn Weights'!$B$69)+(P45*'Pawn Weights'!$B$70)+(Q45*'Pawn Weights'!$B$71), 2)</f>
        <v>93.1</v>
      </c>
      <c r="E45" s="326">
        <v>19.0</v>
      </c>
      <c r="F45" s="326"/>
      <c r="G45" s="326"/>
      <c r="H45" s="326">
        <v>34.0</v>
      </c>
      <c r="I45" s="326">
        <v>30.0</v>
      </c>
      <c r="J45" s="326"/>
      <c r="K45" s="326"/>
      <c r="L45" s="326"/>
      <c r="M45" s="420"/>
      <c r="N45" s="326"/>
      <c r="O45" s="326"/>
      <c r="P45" s="326"/>
      <c r="Q45" s="326"/>
      <c r="R45" s="327"/>
      <c r="S45" s="281"/>
      <c r="T45" s="222"/>
      <c r="U45" s="281"/>
      <c r="V45" s="281"/>
      <c r="W45" s="281"/>
      <c r="X45" s="281"/>
    </row>
    <row r="46">
      <c r="A46" s="281"/>
      <c r="B46" s="311" t="s">
        <v>1513</v>
      </c>
      <c r="C46" s="280" t="s">
        <v>1514</v>
      </c>
      <c r="D46" s="289">
        <f>ROUND((F46*'Pawn Weights'!$B$60)+(G46*'Pawn Weights'!$B$61)+(H46*'Pawn Weights'!$B$62)+(I46*'Pawn Weights'!$B$63)+(J46*'Pawn Weights'!$B$64)+(K46*'Pawn Weights'!$B$65)+(L46*'Pawn Weights'!$B$66)+(M46*'Pawn Weights'!$B$67)+(N46*'Pawn Weights'!$B$68)+(O46*'Pawn Weights'!$B$69)+(P46*'Pawn Weights'!$B$70)+(Q46*'Pawn Weights'!$B$71), 2)</f>
        <v>92.95</v>
      </c>
      <c r="E46" s="326"/>
      <c r="F46" s="326"/>
      <c r="G46" s="326"/>
      <c r="H46" s="326">
        <v>50.0</v>
      </c>
      <c r="I46" s="326">
        <v>15.0</v>
      </c>
      <c r="J46" s="326">
        <v>10.0</v>
      </c>
      <c r="K46" s="326"/>
      <c r="L46" s="326"/>
      <c r="M46" s="420"/>
      <c r="N46" s="326"/>
      <c r="O46" s="326"/>
      <c r="P46" s="326"/>
      <c r="Q46" s="326"/>
      <c r="R46" s="327"/>
      <c r="S46" s="281"/>
      <c r="T46" s="222"/>
      <c r="U46" s="281"/>
      <c r="V46" s="281"/>
      <c r="W46" s="281"/>
      <c r="X46" s="281"/>
    </row>
    <row r="47" ht="14.25" customHeight="1">
      <c r="A47" s="295"/>
      <c r="B47" s="296" t="s">
        <v>690</v>
      </c>
      <c r="C47" s="297" t="s">
        <v>691</v>
      </c>
      <c r="D47" s="289">
        <f>ROUND((F47*'Pawn Weights'!$B$60)+(G47*'Pawn Weights'!$B$61)+(H47*'Pawn Weights'!$B$62)+(I47*'Pawn Weights'!$B$63)+(J47*'Pawn Weights'!$B$64)+(K47*'Pawn Weights'!$B$65)+(L47*'Pawn Weights'!$B$66)+(M47*'Pawn Weights'!$B$67)+(N47*'Pawn Weights'!$B$68)+(O47*'Pawn Weights'!$B$69)+(P47*'Pawn Weights'!$B$70)+(Q47*'Pawn Weights'!$B$71), 2)</f>
        <v>92.48</v>
      </c>
      <c r="E47" s="297"/>
      <c r="F47" s="297"/>
      <c r="G47" s="297"/>
      <c r="H47" s="297"/>
      <c r="I47" s="297"/>
      <c r="J47" s="298">
        <v>22.0</v>
      </c>
      <c r="K47" s="297"/>
      <c r="L47" s="298">
        <v>21.0</v>
      </c>
      <c r="M47" s="137"/>
      <c r="N47" s="297"/>
      <c r="O47" s="297"/>
      <c r="P47" s="297"/>
      <c r="Q47" s="297"/>
      <c r="R47" s="295"/>
      <c r="S47" s="137"/>
      <c r="T47" s="295"/>
      <c r="U47" s="295"/>
      <c r="V47" s="137"/>
      <c r="W47" s="295"/>
      <c r="X47" s="137"/>
      <c r="Y47" s="137"/>
      <c r="Z47" s="137"/>
    </row>
    <row r="48">
      <c r="A48" s="281"/>
      <c r="B48" s="311" t="s">
        <v>1518</v>
      </c>
      <c r="C48" s="280" t="s">
        <v>1512</v>
      </c>
      <c r="D48" s="289">
        <f>ROUND((F48*'Pawn Weights'!$B$60)+(G48*'Pawn Weights'!$B$61)+(H48*'Pawn Weights'!$B$62)+(I48*'Pawn Weights'!$B$63)+(J48*'Pawn Weights'!$B$64)+(K48*'Pawn Weights'!$B$65)+(L48*'Pawn Weights'!$B$66)+(M48*'Pawn Weights'!$B$67)+(N48*'Pawn Weights'!$B$68)+(O48*'Pawn Weights'!$B$69)+(P48*'Pawn Weights'!$B$70)+(Q48*'Pawn Weights'!$B$71), 2)</f>
        <v>89.54</v>
      </c>
      <c r="E48" s="280">
        <v>18.0</v>
      </c>
      <c r="F48" s="280"/>
      <c r="G48" s="280"/>
      <c r="H48" s="280">
        <v>38.0</v>
      </c>
      <c r="I48" s="280">
        <v>18.0</v>
      </c>
      <c r="J48" s="280">
        <v>12.0</v>
      </c>
      <c r="K48" s="280"/>
      <c r="L48" s="280"/>
      <c r="M48" s="280"/>
      <c r="N48" s="280"/>
      <c r="O48" s="280"/>
      <c r="P48" s="280"/>
      <c r="Q48" s="280"/>
      <c r="R48" s="290"/>
      <c r="S48" s="281"/>
      <c r="T48" s="222"/>
      <c r="U48" s="281"/>
      <c r="V48" s="281"/>
      <c r="W48" s="281"/>
      <c r="X48" s="281"/>
    </row>
    <row r="49">
      <c r="A49" s="281"/>
      <c r="B49" s="311" t="s">
        <v>1754</v>
      </c>
      <c r="C49" s="280" t="s">
        <v>1755</v>
      </c>
      <c r="D49" s="289">
        <f>ROUND((F49*'Pawn Weights'!$B$60)+(G49*'Pawn Weights'!$B$61)+(H49*'Pawn Weights'!$B$62)+(I49*'Pawn Weights'!$B$63)+(J49*'Pawn Weights'!$B$64)+(K49*'Pawn Weights'!$B$65)+(L49*'Pawn Weights'!$B$66)+(M49*'Pawn Weights'!$B$67)+(N49*'Pawn Weights'!$B$68)+(O49*'Pawn Weights'!$B$69)+(P49*'Pawn Weights'!$B$70)+(Q49*'Pawn Weights'!$B$71), 2)</f>
        <v>87.49</v>
      </c>
      <c r="E49" s="280"/>
      <c r="F49" s="280"/>
      <c r="G49" s="280"/>
      <c r="H49" s="280">
        <v>54.0</v>
      </c>
      <c r="I49" s="280">
        <v>17.0</v>
      </c>
      <c r="J49" s="280"/>
      <c r="K49" s="280"/>
      <c r="L49" s="280"/>
      <c r="M49" s="280"/>
      <c r="N49" s="280"/>
      <c r="O49" s="280"/>
      <c r="P49" s="280"/>
      <c r="Q49" s="280"/>
      <c r="R49" s="290"/>
      <c r="S49" s="281"/>
      <c r="T49" s="222"/>
      <c r="U49" s="281"/>
      <c r="V49" s="281"/>
      <c r="W49" s="281"/>
      <c r="X49" s="281"/>
    </row>
    <row r="50">
      <c r="A50" s="281"/>
      <c r="B50" s="311" t="s">
        <v>1436</v>
      </c>
      <c r="C50" s="280" t="s">
        <v>1437</v>
      </c>
      <c r="D50" s="289">
        <f>ROUND((F50*'Pawn Weights'!$B$60)+(G50*'Pawn Weights'!$B$61)+(H50*'Pawn Weights'!$B$62)+(I50*'Pawn Weights'!$B$63)+(J50*'Pawn Weights'!$B$64)+(K50*'Pawn Weights'!$B$65)+(L50*'Pawn Weights'!$B$66)+(M50*'Pawn Weights'!$B$67)+(N50*'Pawn Weights'!$B$68)+(O50*'Pawn Weights'!$B$69)+(P50*'Pawn Weights'!$B$70)+(Q50*'Pawn Weights'!$B$71), 2)</f>
        <v>86.48</v>
      </c>
      <c r="E50" s="280">
        <v>18.0</v>
      </c>
      <c r="F50" s="280"/>
      <c r="G50" s="280">
        <v>19.0</v>
      </c>
      <c r="H50" s="280">
        <v>36.0</v>
      </c>
      <c r="I50" s="280"/>
      <c r="J50" s="280">
        <v>13.0</v>
      </c>
      <c r="K50" s="280"/>
      <c r="L50" s="280"/>
      <c r="M50" s="280"/>
      <c r="N50" s="280"/>
      <c r="O50" s="280"/>
      <c r="P50" s="280"/>
      <c r="Q50" s="280"/>
      <c r="R50" s="290"/>
      <c r="S50" s="281"/>
      <c r="T50" s="222"/>
      <c r="U50" s="281"/>
      <c r="V50" s="281"/>
      <c r="W50" s="281"/>
      <c r="X50" s="281"/>
    </row>
    <row r="51">
      <c r="A51" s="281"/>
      <c r="B51" s="311" t="s">
        <v>1751</v>
      </c>
      <c r="C51" s="280" t="s">
        <v>1752</v>
      </c>
      <c r="D51" s="289">
        <f>ROUND((F51*'Pawn Weights'!$B$60)+(G51*'Pawn Weights'!$B$61)+(H51*'Pawn Weights'!$B$62)+(I51*'Pawn Weights'!$B$63)+(J51*'Pawn Weights'!$B$64)+(K51*'Pawn Weights'!$B$65)+(L51*'Pawn Weights'!$B$66)+(M51*'Pawn Weights'!$B$67)+(N51*'Pawn Weights'!$B$68)+(O51*'Pawn Weights'!$B$69)+(P51*'Pawn Weights'!$B$70)+(Q51*'Pawn Weights'!$B$71), 2)</f>
        <v>77.44</v>
      </c>
      <c r="E51" s="280"/>
      <c r="F51" s="280"/>
      <c r="G51" s="280">
        <v>23.0</v>
      </c>
      <c r="H51" s="280">
        <v>20.0</v>
      </c>
      <c r="I51" s="280"/>
      <c r="J51" s="280">
        <v>13.0</v>
      </c>
      <c r="K51" s="280"/>
      <c r="L51" s="280"/>
      <c r="M51" s="280"/>
      <c r="N51" s="280"/>
      <c r="O51" s="280"/>
      <c r="P51" s="280"/>
      <c r="Q51" s="280"/>
      <c r="R51" s="290"/>
      <c r="S51" s="281"/>
      <c r="T51" s="222"/>
      <c r="U51" s="281"/>
      <c r="V51" s="281"/>
      <c r="W51" s="281"/>
      <c r="X51" s="281"/>
    </row>
    <row r="52">
      <c r="A52" s="272" t="s">
        <v>692</v>
      </c>
      <c r="B52" s="281"/>
      <c r="C52" s="281"/>
      <c r="D52" s="360"/>
      <c r="E52" s="281"/>
      <c r="F52" s="281"/>
      <c r="G52" s="281"/>
      <c r="H52" s="281"/>
      <c r="I52" s="281"/>
      <c r="J52" s="281"/>
      <c r="K52" s="281"/>
      <c r="L52" s="281"/>
      <c r="M52" s="281"/>
      <c r="N52" s="281"/>
      <c r="O52" s="281"/>
      <c r="P52" s="281"/>
      <c r="Q52" s="281"/>
      <c r="R52" s="282"/>
      <c r="S52" s="281"/>
      <c r="T52" s="285"/>
      <c r="U52" s="281"/>
      <c r="V52" s="281"/>
      <c r="W52" s="281"/>
    </row>
    <row r="53">
      <c r="A53" s="301"/>
      <c r="B53" s="288" t="s">
        <v>709</v>
      </c>
      <c r="C53" s="280" t="s">
        <v>710</v>
      </c>
      <c r="D53" s="289">
        <f>ROUND((F53*'Pawn Weights'!$B$60)+(G53*'Pawn Weights'!$B$61)+(H53*'Pawn Weights'!$B$62)+(I53*'Pawn Weights'!$B$63)+(J53*'Pawn Weights'!$B$64)+(K53*'Pawn Weights'!$B$65)+(L53*'Pawn Weights'!$B$66)+(M53*'Pawn Weights'!$B$67)+(N53*'Pawn Weights'!$B$68)+(O53*'Pawn Weights'!$B$69)+(P53*'Pawn Weights'!$B$70)+(Q53*'Pawn Weights'!$B$71)+3.48, 2)</f>
        <v>200.02</v>
      </c>
      <c r="E53" s="280">
        <v>28.0</v>
      </c>
      <c r="F53" s="280"/>
      <c r="G53" s="280">
        <v>33.0</v>
      </c>
      <c r="H53" s="280">
        <v>60.0</v>
      </c>
      <c r="I53" s="280">
        <v>16.0</v>
      </c>
      <c r="J53" s="280"/>
      <c r="K53" s="280"/>
      <c r="L53" s="280">
        <v>10.0</v>
      </c>
      <c r="M53" s="281"/>
      <c r="N53" s="280"/>
      <c r="O53" s="280">
        <v>1.0</v>
      </c>
      <c r="P53" s="280"/>
      <c r="Q53" s="280"/>
      <c r="R53" s="290" t="s">
        <v>711</v>
      </c>
      <c r="S53" s="281"/>
      <c r="T53" s="291" t="s">
        <v>1192</v>
      </c>
      <c r="U53" s="281"/>
      <c r="V53" s="281"/>
      <c r="W53" s="281"/>
    </row>
    <row r="54">
      <c r="A54" s="295"/>
      <c r="B54" s="296" t="s">
        <v>1190</v>
      </c>
      <c r="C54" s="297" t="s">
        <v>1191</v>
      </c>
      <c r="D54" s="289">
        <f>ROUND((F54*'Pawn Weights'!$B$60)+(G54*'Pawn Weights'!$B$61)+(H54*'Pawn Weights'!$B$62)+(I54*'Pawn Weights'!$B$63)+(J54*'Pawn Weights'!$B$64)+(K54*'Pawn Weights'!$B$65)+(L54*'Pawn Weights'!$B$66)+(M54*'Pawn Weights'!$B$67)+(N54*'Pawn Weights'!$B$68)+(O54*'Pawn Weights'!$B$69)+(P54*'Pawn Weights'!$B$70)+(Q54*'Pawn Weights'!$B$71), 2)</f>
        <v>173.48</v>
      </c>
      <c r="E54" s="298">
        <v>34.0</v>
      </c>
      <c r="F54" s="297"/>
      <c r="G54" s="298">
        <v>29.0</v>
      </c>
      <c r="H54" s="298">
        <v>74.0</v>
      </c>
      <c r="I54" s="297"/>
      <c r="J54" s="297"/>
      <c r="K54" s="298">
        <v>38.0</v>
      </c>
      <c r="L54" s="297"/>
      <c r="M54" s="137"/>
      <c r="N54" s="297"/>
      <c r="O54" s="297"/>
      <c r="P54" s="297"/>
      <c r="Q54" s="297"/>
      <c r="R54" s="295"/>
      <c r="S54" s="137"/>
      <c r="T54" s="295"/>
      <c r="U54" s="137"/>
      <c r="V54" s="137"/>
      <c r="W54" s="137"/>
      <c r="X54" s="137"/>
      <c r="Y54" s="137"/>
      <c r="Z54" s="137"/>
    </row>
    <row r="55">
      <c r="A55" s="295" t="s">
        <v>627</v>
      </c>
      <c r="B55" s="296" t="s">
        <v>1322</v>
      </c>
      <c r="C55" s="297" t="s">
        <v>1191</v>
      </c>
      <c r="D55" s="289">
        <f>ROUND((F55*'Pawn Weights'!$B$60)+(G55*'Pawn Weights'!$B$61)+(H55*'Pawn Weights'!$B$62)+(I55*'Pawn Weights'!$B$63)+(J55*'Pawn Weights'!$B$64)+(K55*'Pawn Weights'!$B$65)+(L55*'Pawn Weights'!$B$66)+(M55*'Pawn Weights'!$B$67)+(N55*'Pawn Weights'!$B$68)+(O55*'Pawn Weights'!$B$69)+(P55*'Pawn Weights'!$B$70)+(Q55*'Pawn Weights'!$B$71), 2)</f>
        <v>168.71</v>
      </c>
      <c r="E55" s="298">
        <v>19.0</v>
      </c>
      <c r="F55" s="297"/>
      <c r="G55" s="298">
        <v>27.0</v>
      </c>
      <c r="H55" s="298">
        <v>74.0</v>
      </c>
      <c r="I55" s="297"/>
      <c r="J55" s="297"/>
      <c r="K55" s="298">
        <v>37.0</v>
      </c>
      <c r="L55" s="297"/>
      <c r="M55" s="137"/>
      <c r="N55" s="297"/>
      <c r="O55" s="297"/>
      <c r="P55" s="297"/>
      <c r="Q55" s="297"/>
      <c r="R55" s="295"/>
      <c r="S55" s="137"/>
      <c r="T55" s="295"/>
      <c r="U55" s="137"/>
      <c r="V55" s="137"/>
      <c r="W55" s="137"/>
      <c r="X55" s="137"/>
      <c r="Y55" s="137"/>
      <c r="Z55" s="137"/>
    </row>
    <row r="56">
      <c r="A56" s="301"/>
      <c r="B56" s="288" t="s">
        <v>1326</v>
      </c>
      <c r="C56" s="280" t="s">
        <v>900</v>
      </c>
      <c r="D56" s="289">
        <f>ROUND((F56*'Pawn Weights'!$B$60)+(G56*'Pawn Weights'!$B$61)+(H56*'Pawn Weights'!$B$62)+(I56*'Pawn Weights'!$B$63)+(J56*'Pawn Weights'!$B$64)+(K56*'Pawn Weights'!$B$65)+(L56*'Pawn Weights'!$B$66)+(M56*'Pawn Weights'!$B$67)+(N56*'Pawn Weights'!$B$68)+(O56*'Pawn Weights'!$B$69)+(P56*'Pawn Weights'!$B$70)+(Q56*'Pawn Weights'!$B$71), 2)</f>
        <v>167.29</v>
      </c>
      <c r="E56" s="280"/>
      <c r="F56" s="280"/>
      <c r="G56" s="280">
        <v>22.0</v>
      </c>
      <c r="H56" s="280">
        <v>64.0</v>
      </c>
      <c r="I56" s="280">
        <v>33.0</v>
      </c>
      <c r="J56" s="280"/>
      <c r="K56" s="280"/>
      <c r="L56" s="280"/>
      <c r="M56" s="281"/>
      <c r="N56" s="280"/>
      <c r="O56" s="280"/>
      <c r="P56" s="280"/>
      <c r="Q56" s="280"/>
      <c r="R56" s="290"/>
      <c r="S56" s="281"/>
      <c r="T56" s="291"/>
      <c r="U56" s="281"/>
      <c r="V56" s="281"/>
      <c r="W56" s="281"/>
    </row>
    <row r="57">
      <c r="A57" s="295" t="s">
        <v>635</v>
      </c>
      <c r="B57" s="296" t="s">
        <v>1324</v>
      </c>
      <c r="C57" s="297" t="s">
        <v>637</v>
      </c>
      <c r="D57" s="289">
        <f>ROUND((F57*'Pawn Weights'!$B$60)+(G57*'Pawn Weights'!$B$61)+(H57*'Pawn Weights'!$B$62)+(I57*'Pawn Weights'!$B$63)+(J57*'Pawn Weights'!$B$64)+(K57*'Pawn Weights'!$B$65)+(L57*'Pawn Weights'!$B$66)+(M57*'Pawn Weights'!$B$67)+(N57*'Pawn Weights'!$B$68)+(O57*'Pawn Weights'!$B$69)+(P57*'Pawn Weights'!$B$70)+(Q57*'Pawn Weights'!$B$71), 2)</f>
        <v>162.27</v>
      </c>
      <c r="E57" s="298">
        <v>58.0</v>
      </c>
      <c r="F57" s="298">
        <v>30.0</v>
      </c>
      <c r="G57" s="297"/>
      <c r="H57" s="297"/>
      <c r="I57" s="298">
        <v>31.0</v>
      </c>
      <c r="J57" s="297"/>
      <c r="K57" s="297"/>
      <c r="L57" s="297"/>
      <c r="M57" s="137"/>
      <c r="N57" s="297"/>
      <c r="O57" s="298">
        <v>1.0</v>
      </c>
      <c r="P57" s="298">
        <v>1.0</v>
      </c>
      <c r="Q57" s="295"/>
      <c r="R57" s="298" t="s">
        <v>1189</v>
      </c>
      <c r="S57" s="137"/>
      <c r="T57" s="297" t="s">
        <v>1325</v>
      </c>
      <c r="U57" s="137"/>
      <c r="V57" s="137"/>
      <c r="W57" s="137"/>
      <c r="X57" s="137"/>
      <c r="Y57" s="137"/>
      <c r="Z57" s="137"/>
    </row>
    <row r="58">
      <c r="A58" s="301"/>
      <c r="B58" s="288" t="s">
        <v>1327</v>
      </c>
      <c r="C58" s="280" t="s">
        <v>1278</v>
      </c>
      <c r="D58" s="289">
        <f>ROUND((F58*'Pawn Weights'!$B$60)+(G58*'Pawn Weights'!$B$61)+(H58*'Pawn Weights'!$B$62)+(I58*'Pawn Weights'!$B$63)+(J58*'Pawn Weights'!$B$64)+(K58*'Pawn Weights'!$B$65)+(L58*'Pawn Weights'!$B$66)+(M58*'Pawn Weights'!$B$67)+(N58*'Pawn Weights'!$B$68)+(O58*'Pawn Weights'!$B$69)+(P58*'Pawn Weights'!$B$70)+(Q58*'Pawn Weights'!$B$71)-35.2+33.36+4.02, 2)</f>
        <v>154.17</v>
      </c>
      <c r="E58" s="280">
        <v>30.0</v>
      </c>
      <c r="F58" s="280"/>
      <c r="G58" s="280"/>
      <c r="H58" s="280">
        <v>58.0</v>
      </c>
      <c r="I58" s="280">
        <v>21.0</v>
      </c>
      <c r="J58" s="280">
        <v>13.0</v>
      </c>
      <c r="K58" s="280"/>
      <c r="L58" s="280"/>
      <c r="M58" s="281"/>
      <c r="N58" s="280"/>
      <c r="O58" s="280"/>
      <c r="P58" s="280">
        <v>2.0</v>
      </c>
      <c r="Q58" s="280"/>
      <c r="R58" s="290" t="s">
        <v>832</v>
      </c>
      <c r="S58" s="281"/>
      <c r="T58" s="291"/>
      <c r="U58" s="281"/>
      <c r="V58" s="281"/>
      <c r="W58" s="281"/>
      <c r="X58" s="281"/>
    </row>
    <row r="59">
      <c r="A59" s="301" t="s">
        <v>654</v>
      </c>
      <c r="B59" s="288" t="s">
        <v>1328</v>
      </c>
      <c r="C59" s="280" t="s">
        <v>790</v>
      </c>
      <c r="D59" s="289">
        <f>ROUND((F59*'Pawn Weights'!$B$60)+(G59*'Pawn Weights'!$B$61)+(H59*'Pawn Weights'!$B$62)+(I59*'Pawn Weights'!$B$63)+(J59*'Pawn Weights'!$B$64)+(K59*'Pawn Weights'!$B$65)+(L59*'Pawn Weights'!$B$66)+(M59*'Pawn Weights'!$B$67)+(N59*'Pawn Weights'!$B$68)+(O59*'Pawn Weights'!$B$69)+(P59*'Pawn Weights'!$B$70)+(Q59*'Pawn Weights'!$B$71)-17.6+16.68+4.02, 2)</f>
        <v>145.58</v>
      </c>
      <c r="E59" s="280">
        <v>31.0</v>
      </c>
      <c r="F59" s="280">
        <v>26.0</v>
      </c>
      <c r="G59" s="280">
        <v>18.0</v>
      </c>
      <c r="H59" s="280"/>
      <c r="I59" s="280"/>
      <c r="J59" s="280">
        <v>14.0</v>
      </c>
      <c r="K59" s="280"/>
      <c r="L59" s="280"/>
      <c r="M59" s="281"/>
      <c r="N59" s="280"/>
      <c r="O59" s="280">
        <v>1.0</v>
      </c>
      <c r="P59" s="280">
        <v>1.0</v>
      </c>
      <c r="Q59" s="280"/>
      <c r="R59" s="290" t="s">
        <v>832</v>
      </c>
      <c r="S59" s="281"/>
      <c r="T59" s="291" t="s">
        <v>1329</v>
      </c>
      <c r="U59" s="281"/>
      <c r="V59" s="281"/>
      <c r="W59" s="281"/>
    </row>
    <row r="60">
      <c r="A60" s="301" t="s">
        <v>647</v>
      </c>
      <c r="B60" s="288" t="s">
        <v>1458</v>
      </c>
      <c r="C60" s="280" t="s">
        <v>1195</v>
      </c>
      <c r="D60" s="289">
        <f>ROUND((F60*'Pawn Weights'!$B$60)+(G60*'Pawn Weights'!$B$61)+(H60*'Pawn Weights'!$B$62)+(I60*'Pawn Weights'!$B$63)+(J60*'Pawn Weights'!$B$64)+(K60*'Pawn Weights'!$B$65)+(L60*'Pawn Weights'!$B$66)+(M60*'Pawn Weights'!$B$67)+(N60*'Pawn Weights'!$B$68)+(O60*'Pawn Weights'!$B$69)+(P60*'Pawn Weights'!$B$70)+(Q60*'Pawn Weights'!$B$71), 2)</f>
        <v>144.54</v>
      </c>
      <c r="E60" s="280">
        <v>37.0</v>
      </c>
      <c r="F60" s="280">
        <v>30.0</v>
      </c>
      <c r="G60" s="280"/>
      <c r="H60" s="280"/>
      <c r="I60" s="280">
        <v>22.0</v>
      </c>
      <c r="J60" s="280"/>
      <c r="K60" s="280"/>
      <c r="L60" s="280"/>
      <c r="M60" s="281"/>
      <c r="N60" s="280"/>
      <c r="O60" s="280"/>
      <c r="P60" s="280">
        <v>1.0</v>
      </c>
      <c r="Q60" s="280">
        <v>1.0</v>
      </c>
      <c r="R60" s="290" t="s">
        <v>702</v>
      </c>
      <c r="S60" s="281"/>
      <c r="T60" s="291" t="s">
        <v>1459</v>
      </c>
      <c r="U60" s="281"/>
      <c r="V60" s="281"/>
      <c r="W60" s="281"/>
      <c r="X60" s="281"/>
    </row>
    <row r="61">
      <c r="A61" s="295" t="s">
        <v>644</v>
      </c>
      <c r="B61" s="296" t="s">
        <v>1460</v>
      </c>
      <c r="C61" s="297" t="s">
        <v>646</v>
      </c>
      <c r="D61" s="289">
        <f>ROUND((F61*'Pawn Weights'!$B$60)+(G61*'Pawn Weights'!$B$61)+(H61*'Pawn Weights'!$B$62)+(I61*'Pawn Weights'!$B$63)+(J61*'Pawn Weights'!$B$64)+(K61*'Pawn Weights'!$B$65)+(L61*'Pawn Weights'!$B$66)+(M61*'Pawn Weights'!$B$67)+(N61*'Pawn Weights'!$B$68)+(O61*'Pawn Weights'!$B$69)+(P61*'Pawn Weights'!$B$70)+(Q61*'Pawn Weights'!$B$71), 2)</f>
        <v>143.39</v>
      </c>
      <c r="E61" s="298">
        <v>52.0</v>
      </c>
      <c r="F61" s="298">
        <v>25.0</v>
      </c>
      <c r="G61" s="297"/>
      <c r="H61" s="297"/>
      <c r="I61" s="298">
        <v>27.0</v>
      </c>
      <c r="J61" s="297"/>
      <c r="K61" s="297"/>
      <c r="L61" s="297"/>
      <c r="M61" s="137"/>
      <c r="N61" s="297"/>
      <c r="O61" s="298">
        <v>1.0</v>
      </c>
      <c r="P61" s="298">
        <v>1.0</v>
      </c>
      <c r="Q61" s="297"/>
      <c r="R61" s="298" t="s">
        <v>1189</v>
      </c>
      <c r="S61" s="137"/>
      <c r="T61" s="295"/>
      <c r="U61" s="137"/>
      <c r="V61" s="137"/>
      <c r="W61" s="137"/>
      <c r="X61" s="137"/>
      <c r="Y61" s="137"/>
      <c r="Z61" s="137"/>
    </row>
    <row r="62">
      <c r="A62" s="301" t="s">
        <v>1439</v>
      </c>
      <c r="B62" s="311" t="s">
        <v>1440</v>
      </c>
      <c r="C62" s="280" t="s">
        <v>1441</v>
      </c>
      <c r="D62" s="289">
        <f>ROUND((F62*'Pawn Weights'!$B$60)+(G62*'Pawn Weights'!$B$61)+(H62*'Pawn Weights'!$B$62)+(I62*'Pawn Weights'!$B$63)+(J62*'Pawn Weights'!$B$64)+(K62*'Pawn Weights'!$B$65)+(L62*'Pawn Weights'!$B$66)+(M62*'Pawn Weights'!$B$67)+(N62*'Pawn Weights'!$B$68)+(O62*'Pawn Weights'!$B$69)+(P62*'Pawn Weights'!$B$70)+(Q62*'Pawn Weights'!$B$71), 2)</f>
        <v>134.14</v>
      </c>
      <c r="E62" s="280">
        <v>13.0</v>
      </c>
      <c r="F62" s="280"/>
      <c r="G62" s="280">
        <v>25.0</v>
      </c>
      <c r="H62" s="280">
        <v>34.0</v>
      </c>
      <c r="I62" s="280"/>
      <c r="J62" s="280">
        <v>16.0</v>
      </c>
      <c r="K62" s="280"/>
      <c r="L62" s="280"/>
      <c r="M62" s="281"/>
      <c r="N62" s="280"/>
      <c r="O62" s="280">
        <v>1.0</v>
      </c>
      <c r="P62" s="280"/>
      <c r="Q62" s="280">
        <v>1.0</v>
      </c>
      <c r="R62" s="290" t="s">
        <v>702</v>
      </c>
      <c r="S62" s="281"/>
      <c r="T62" s="291" t="s">
        <v>1442</v>
      </c>
      <c r="U62" s="281"/>
      <c r="V62" s="281"/>
      <c r="W62" s="281"/>
    </row>
    <row r="63">
      <c r="A63" s="301"/>
      <c r="B63" s="311" t="s">
        <v>1757</v>
      </c>
      <c r="C63" s="280" t="s">
        <v>1758</v>
      </c>
      <c r="D63" s="289">
        <f>ROUND((F63*'Pawn Weights'!$B$60)+(G63*'Pawn Weights'!$B$61)+(H63*'Pawn Weights'!$B$62)+(I63*'Pawn Weights'!$B$63)+(J63*'Pawn Weights'!$B$64)+(K63*'Pawn Weights'!$B$65)+(L63*'Pawn Weights'!$B$66)+(M63*'Pawn Weights'!$B$67)+(N63*'Pawn Weights'!$B$68)+(O63*'Pawn Weights'!$B$69)+(P63*'Pawn Weights'!$B$70)+(Q63*'Pawn Weights'!$B$71), 2)</f>
        <v>131.33</v>
      </c>
      <c r="E63" s="280">
        <v>24.0</v>
      </c>
      <c r="F63" s="280"/>
      <c r="G63" s="280"/>
      <c r="H63" s="280">
        <v>20.0</v>
      </c>
      <c r="I63" s="280">
        <v>23.0</v>
      </c>
      <c r="J63" s="280">
        <v>23.0</v>
      </c>
      <c r="K63" s="280"/>
      <c r="L63" s="280"/>
      <c r="M63" s="281"/>
      <c r="N63" s="280"/>
      <c r="O63" s="280">
        <v>2.0</v>
      </c>
      <c r="P63" s="280"/>
      <c r="Q63" s="280"/>
      <c r="R63" s="290" t="s">
        <v>1759</v>
      </c>
      <c r="S63" s="281"/>
      <c r="T63" s="291"/>
      <c r="U63" s="281"/>
      <c r="V63" s="281"/>
      <c r="W63" s="281"/>
    </row>
    <row r="64">
      <c r="A64" s="301" t="s">
        <v>1068</v>
      </c>
      <c r="B64" s="288" t="s">
        <v>1850</v>
      </c>
      <c r="C64" s="280" t="s">
        <v>997</v>
      </c>
      <c r="D64" s="289">
        <f>ROUND((F64*'Pawn Weights'!$B$60)+(G64*'Pawn Weights'!$B$61)+(H64*'Pawn Weights'!$B$62)+(I64*'Pawn Weights'!$B$63)+(J64*'Pawn Weights'!$B$64)+(K64*'Pawn Weights'!$B$65)+(L64*'Pawn Weights'!$B$66)+(M64*'Pawn Weights'!$B$67)+(N64*'Pawn Weights'!$B$68)+(O64*'Pawn Weights'!$B$69)+(P64*'Pawn Weights'!$B$70)+(Q64*'Pawn Weights'!$B$71), 2)</f>
        <v>130.88</v>
      </c>
      <c r="E64" s="280">
        <v>48.0</v>
      </c>
      <c r="F64" s="280">
        <v>22.0</v>
      </c>
      <c r="G64" s="280"/>
      <c r="H64" s="280"/>
      <c r="I64" s="280">
        <v>24.0</v>
      </c>
      <c r="J64" s="280"/>
      <c r="K64" s="280"/>
      <c r="L64" s="280"/>
      <c r="M64" s="281"/>
      <c r="N64" s="280"/>
      <c r="O64" s="280">
        <v>1.0</v>
      </c>
      <c r="P64" s="280">
        <v>1.0</v>
      </c>
      <c r="Q64" s="280"/>
      <c r="R64" s="290" t="s">
        <v>1189</v>
      </c>
      <c r="S64" s="281"/>
      <c r="T64" s="291"/>
      <c r="U64" s="281"/>
      <c r="V64" s="281"/>
      <c r="W64" s="281"/>
    </row>
    <row r="65">
      <c r="A65" s="301" t="s">
        <v>1499</v>
      </c>
      <c r="B65" s="288" t="s">
        <v>1851</v>
      </c>
      <c r="C65" s="280" t="s">
        <v>1159</v>
      </c>
      <c r="D65" s="289">
        <f>ROUND((F65*'Pawn Weights'!$B$60)+(G65*'Pawn Weights'!$B$61)+(H65*'Pawn Weights'!$B$62)+(I65*'Pawn Weights'!$B$63)+(J65*'Pawn Weights'!$B$64)+(K65*'Pawn Weights'!$B$65)+(L65*'Pawn Weights'!$B$66)+(M65*'Pawn Weights'!$B$67)+(N65*'Pawn Weights'!$B$68)+(O65*'Pawn Weights'!$B$69)+(P65*'Pawn Weights'!$B$70)+(Q65*'Pawn Weights'!$B$71), 2)</f>
        <v>120.34</v>
      </c>
      <c r="E65" s="280">
        <v>42.0</v>
      </c>
      <c r="F65" s="280">
        <v>19.0</v>
      </c>
      <c r="G65" s="280"/>
      <c r="H65" s="280"/>
      <c r="I65" s="280">
        <v>22.0</v>
      </c>
      <c r="J65" s="280"/>
      <c r="K65" s="280"/>
      <c r="L65" s="280"/>
      <c r="M65" s="281"/>
      <c r="N65" s="280"/>
      <c r="O65" s="280">
        <v>1.0</v>
      </c>
      <c r="P65" s="280">
        <v>1.0</v>
      </c>
      <c r="Q65" s="280"/>
      <c r="R65" s="290" t="s">
        <v>1189</v>
      </c>
      <c r="S65" s="281"/>
      <c r="T65" s="291" t="s">
        <v>925</v>
      </c>
      <c r="U65" s="281"/>
      <c r="V65" s="281"/>
      <c r="W65" s="281"/>
      <c r="X65" s="281"/>
    </row>
    <row r="66">
      <c r="A66" s="301"/>
      <c r="B66" s="311" t="s">
        <v>1852</v>
      </c>
      <c r="C66" s="280" t="s">
        <v>1853</v>
      </c>
      <c r="D66" s="289">
        <f>ROUND((F66*'Pawn Weights'!$B$60)+(G66*'Pawn Weights'!$B$61)+(H66*'Pawn Weights'!$B$62)+(I66*'Pawn Weights'!$B$63)+(J66*'Pawn Weights'!$B$64)+(K66*'Pawn Weights'!$B$65)+(L66*'Pawn Weights'!$B$66)+(M66*'Pawn Weights'!$B$67)+(N66*'Pawn Weights'!$B$68)+(O66*'Pawn Weights'!$B$69)+(P66*'Pawn Weights'!$B$70)+(Q66*'Pawn Weights'!$B$71), 2)</f>
        <v>112.7</v>
      </c>
      <c r="E66" s="280"/>
      <c r="F66" s="280"/>
      <c r="G66" s="280">
        <v>25.0</v>
      </c>
      <c r="H66" s="280">
        <v>34.0</v>
      </c>
      <c r="I66" s="280"/>
      <c r="J66" s="280"/>
      <c r="K66" s="280"/>
      <c r="L66" s="280"/>
      <c r="M66" s="281"/>
      <c r="N66" s="280"/>
      <c r="O66" s="280">
        <v>1.0</v>
      </c>
      <c r="P66" s="280">
        <v>1.0</v>
      </c>
      <c r="R66" s="290" t="s">
        <v>812</v>
      </c>
      <c r="S66" s="281"/>
      <c r="T66" s="291"/>
      <c r="U66" s="281"/>
      <c r="V66" s="281"/>
      <c r="W66" s="281"/>
    </row>
    <row r="67">
      <c r="A67" s="301"/>
      <c r="B67" s="311" t="s">
        <v>1760</v>
      </c>
      <c r="C67" s="280" t="s">
        <v>1761</v>
      </c>
      <c r="D67" s="289">
        <f>ROUND((F67*'Pawn Weights'!$B$60)+(G67*'Pawn Weights'!$B$61)+(H67*'Pawn Weights'!$B$62)+(I67*'Pawn Weights'!$B$63)+(J67*'Pawn Weights'!$B$64)+(K67*'Pawn Weights'!$B$65)+(L67*'Pawn Weights'!$B$66)+(M67*'Pawn Weights'!$B$67)+(N67*'Pawn Weights'!$B$68)+(O67*'Pawn Weights'!$B$69)+(P67*'Pawn Weights'!$B$70)+(Q67*'Pawn Weights'!$B$71)+4.02, 2)</f>
        <v>102.02</v>
      </c>
      <c r="E67" s="280">
        <v>16.0</v>
      </c>
      <c r="F67" s="280"/>
      <c r="G67" s="280">
        <v>23.0</v>
      </c>
      <c r="H67" s="280"/>
      <c r="I67" s="280"/>
      <c r="J67" s="280">
        <v>17.0</v>
      </c>
      <c r="K67" s="280"/>
      <c r="L67" s="280"/>
      <c r="M67" s="281"/>
      <c r="N67" s="280"/>
      <c r="O67" s="280">
        <v>2.0</v>
      </c>
      <c r="P67" s="280"/>
      <c r="R67" s="290" t="s">
        <v>832</v>
      </c>
      <c r="S67" s="281"/>
      <c r="T67" s="291"/>
      <c r="U67" s="281"/>
      <c r="V67" s="281"/>
      <c r="W67" s="281"/>
    </row>
    <row r="68">
      <c r="A68" s="301"/>
      <c r="B68" s="288" t="s">
        <v>1763</v>
      </c>
      <c r="C68" s="280" t="s">
        <v>1665</v>
      </c>
      <c r="D68" s="289">
        <f>ROUND((F68*'Pawn Weights'!$B$60)+(G68*'Pawn Weights'!$B$61)+(H68*'Pawn Weights'!$B$62)+(I68*'Pawn Weights'!$B$63)+(J68*'Pawn Weights'!$B$64)+(K68*'Pawn Weights'!$B$65)+(L68*'Pawn Weights'!$B$66)+(M68*'Pawn Weights'!$B$67)+(N68*'Pawn Weights'!$B$68)+(O68*'Pawn Weights'!$B$69)+(P68*'Pawn Weights'!$B$70)+(Q68*'Pawn Weights'!$B$71), 2)</f>
        <v>101.86</v>
      </c>
      <c r="E68" s="280">
        <v>33.0</v>
      </c>
      <c r="F68" s="280"/>
      <c r="G68" s="280">
        <v>39.0</v>
      </c>
      <c r="H68" s="280">
        <v>34.0</v>
      </c>
      <c r="I68" s="280"/>
      <c r="J68" s="280"/>
      <c r="K68" s="280"/>
      <c r="L68" s="280"/>
      <c r="M68" s="281"/>
      <c r="N68" s="280"/>
      <c r="O68" s="280"/>
      <c r="P68" s="280"/>
      <c r="Q68" s="280"/>
      <c r="R68" s="290"/>
      <c r="S68" s="281"/>
      <c r="T68" s="291"/>
      <c r="U68" s="281"/>
      <c r="V68" s="281"/>
      <c r="W68" s="281"/>
    </row>
    <row r="69">
      <c r="A69" s="301"/>
      <c r="B69" s="311" t="s">
        <v>1854</v>
      </c>
      <c r="C69" s="280" t="s">
        <v>1214</v>
      </c>
      <c r="D69" s="289">
        <f>ROUND((F69*'Pawn Weights'!$B$60)+(G69*'Pawn Weights'!$B$61)+(H69*'Pawn Weights'!$B$62)+(I69*'Pawn Weights'!$B$63)+(J69*'Pawn Weights'!$B$64)+(K69*'Pawn Weights'!$B$65)+(L69*'Pawn Weights'!$B$66)+(M69*'Pawn Weights'!$B$67)+(N69*'Pawn Weights'!$B$68)+(O69*'Pawn Weights'!$B$69)+(P69*'Pawn Weights'!$B$70)+(Q69*'Pawn Weights'!$B$71), 2)</f>
        <v>93.5</v>
      </c>
      <c r="E69" s="280">
        <v>18.0</v>
      </c>
      <c r="F69" s="280"/>
      <c r="G69" s="280">
        <v>25.0</v>
      </c>
      <c r="H69" s="280">
        <v>50.0</v>
      </c>
      <c r="I69" s="280"/>
      <c r="J69" s="280"/>
      <c r="K69" s="280"/>
      <c r="L69" s="280"/>
      <c r="M69" s="281"/>
      <c r="N69" s="280"/>
      <c r="O69" s="280"/>
      <c r="P69" s="280"/>
      <c r="R69" s="290"/>
      <c r="S69" s="281"/>
      <c r="T69" s="291"/>
      <c r="U69" s="281"/>
      <c r="V69" s="281"/>
      <c r="W69" s="281"/>
    </row>
    <row r="70">
      <c r="A70" s="301"/>
      <c r="B70" s="288" t="s">
        <v>1855</v>
      </c>
      <c r="C70" s="280" t="s">
        <v>1856</v>
      </c>
      <c r="D70" s="289">
        <f>ROUND((F70*'Pawn Weights'!$B$60)+(G70*'Pawn Weights'!$B$61)+(H70*'Pawn Weights'!$B$62)+(I70*'Pawn Weights'!$B$63)+(J70*'Pawn Weights'!$B$64)+(K70*'Pawn Weights'!$B$65)+(L70*'Pawn Weights'!$B$66)+(M70*'Pawn Weights'!$B$67)+(N70*'Pawn Weights'!$B$68)+(O70*'Pawn Weights'!$B$69)+(P70*'Pawn Weights'!$B$70)+(Q70*'Pawn Weights'!$B$71), 2)</f>
        <v>87.76</v>
      </c>
      <c r="E70" s="280">
        <v>22.0</v>
      </c>
      <c r="F70" s="280"/>
      <c r="G70" s="280">
        <v>24.0</v>
      </c>
      <c r="H70" s="280">
        <v>46.0</v>
      </c>
      <c r="I70" s="280"/>
      <c r="J70" s="280"/>
      <c r="K70" s="280"/>
      <c r="L70" s="280"/>
      <c r="M70" s="281"/>
      <c r="N70" s="280"/>
      <c r="O70" s="280"/>
      <c r="P70" s="280"/>
      <c r="Q70" s="280"/>
      <c r="R70" s="290"/>
      <c r="S70" s="281"/>
      <c r="T70" s="291"/>
      <c r="U70" s="281"/>
      <c r="V70" s="281"/>
      <c r="W70" s="281"/>
    </row>
    <row r="71">
      <c r="A71" s="272" t="s">
        <v>724</v>
      </c>
      <c r="B71" s="281"/>
      <c r="C71" s="281"/>
      <c r="D71" s="360"/>
      <c r="E71" s="281"/>
      <c r="F71" s="281"/>
      <c r="G71" s="281"/>
      <c r="H71" s="281"/>
      <c r="I71" s="281"/>
      <c r="J71" s="281"/>
      <c r="K71" s="281"/>
      <c r="L71" s="281"/>
      <c r="M71" s="281"/>
      <c r="N71" s="281"/>
      <c r="O71" s="281"/>
      <c r="P71" s="281"/>
      <c r="Q71" s="280"/>
      <c r="R71" s="282"/>
      <c r="S71" s="281"/>
      <c r="T71" s="285"/>
      <c r="U71" s="281"/>
      <c r="V71" s="281"/>
      <c r="W71" s="281"/>
    </row>
    <row r="72">
      <c r="A72" s="281"/>
      <c r="B72" s="302" t="s">
        <v>738</v>
      </c>
      <c r="C72" s="280" t="s">
        <v>739</v>
      </c>
      <c r="D72" s="289">
        <f>ROUND((F72*'Pawn Weights'!$B$60)+(G72*'Pawn Weights'!$B$61)+(H72*'Pawn Weights'!$B$62)+(I72*'Pawn Weights'!$B$63)+(J72*'Pawn Weights'!$B$64)+(K72*'Pawn Weights'!$B$65)+(L72*'Pawn Weights'!$B$66)+(M72*'Pawn Weights'!$B$67)+(N72*'Pawn Weights'!$B$68)+(O72*'Pawn Weights'!$B$69)+(P72*'Pawn Weights'!$B$70)+(Q72*'Pawn Weights'!$B$71), 2)</f>
        <v>119.1</v>
      </c>
      <c r="E72" s="280"/>
      <c r="F72" s="280"/>
      <c r="G72" s="280"/>
      <c r="H72" s="280">
        <v>60.0</v>
      </c>
      <c r="I72" s="280">
        <v>30.0</v>
      </c>
      <c r="J72" s="280"/>
      <c r="K72" s="280"/>
      <c r="L72" s="280"/>
      <c r="M72" s="280"/>
      <c r="N72" s="280"/>
      <c r="O72" s="280"/>
      <c r="P72" s="280"/>
      <c r="Q72" s="280"/>
      <c r="R72" s="290"/>
      <c r="S72" s="281"/>
      <c r="T72" s="222"/>
      <c r="U72" s="281"/>
      <c r="V72" s="281"/>
      <c r="W72" s="281"/>
      <c r="X72" s="281"/>
    </row>
    <row r="73" ht="1.5" customHeight="1">
      <c r="A73" s="281"/>
      <c r="B73" s="302" t="s">
        <v>740</v>
      </c>
      <c r="C73" s="280" t="s">
        <v>741</v>
      </c>
      <c r="D73" s="289">
        <f>ROUND((F73*'Pawn Weights'!$B$60)+(G73*'Pawn Weights'!$B$61)+(H73*'Pawn Weights'!$B$62)+(I73*'Pawn Weights'!$B$63)+(J73*'Pawn Weights'!$B$64)+(K73*'Pawn Weights'!$B$65)+(L73*'Pawn Weights'!$B$66)+(M73*'Pawn Weights'!$B$67)+(N73*'Pawn Weights'!$B$68)+(O73*'Pawn Weights'!$B$69)+(P73*'Pawn Weights'!$B$70)+(Q73*'Pawn Weights'!$B$71), 2)</f>
        <v>116.72</v>
      </c>
      <c r="E73" s="280">
        <v>28.0</v>
      </c>
      <c r="F73" s="280"/>
      <c r="G73" s="280">
        <v>28.0</v>
      </c>
      <c r="H73" s="280">
        <v>68.0</v>
      </c>
      <c r="I73" s="280"/>
      <c r="J73" s="280"/>
      <c r="K73" s="280"/>
      <c r="L73" s="280"/>
      <c r="M73" s="280"/>
      <c r="N73" s="280"/>
      <c r="O73" s="280"/>
      <c r="P73" s="280"/>
      <c r="Q73" s="280"/>
      <c r="R73" s="290"/>
      <c r="S73" s="281"/>
      <c r="T73" s="222"/>
      <c r="U73" s="281"/>
      <c r="V73" s="281"/>
      <c r="W73" s="281"/>
      <c r="X73" s="281"/>
    </row>
    <row r="74">
      <c r="A74" s="292" t="s">
        <v>627</v>
      </c>
      <c r="B74" s="288" t="s">
        <v>729</v>
      </c>
      <c r="C74" s="280" t="s">
        <v>730</v>
      </c>
      <c r="D74" s="289">
        <f>ROUND((F74*'Pawn Weights'!$B$60)+(G74*'Pawn Weights'!$B$61)+(H74*'Pawn Weights'!$B$62)+(I74*'Pawn Weights'!$B$63)+(J74*'Pawn Weights'!$B$64)+(K74*'Pawn Weights'!$B$65)+(L74*'Pawn Weights'!$B$66)+(M74*'Pawn Weights'!$B$67)+(N74*'Pawn Weights'!$B$68)+(O74*'Pawn Weights'!$B$69)+(P74*'Pawn Weights'!$B$70)+(Q74*'Pawn Weights'!$B$71)+2.68, 2)</f>
        <v>117.59</v>
      </c>
      <c r="E74" s="280"/>
      <c r="F74" s="280"/>
      <c r="G74" s="280"/>
      <c r="H74" s="280">
        <v>52.0</v>
      </c>
      <c r="I74" s="280">
        <v>23.0</v>
      </c>
      <c r="J74" s="280"/>
      <c r="K74" s="280"/>
      <c r="L74" s="280"/>
      <c r="M74" s="281"/>
      <c r="N74" s="280"/>
      <c r="O74" s="280">
        <v>1.0</v>
      </c>
      <c r="P74" s="280"/>
      <c r="Q74" s="280"/>
      <c r="R74" s="290" t="s">
        <v>731</v>
      </c>
      <c r="S74" s="281"/>
      <c r="T74" s="222"/>
      <c r="U74" s="281"/>
      <c r="V74" s="281"/>
      <c r="W74" s="281"/>
      <c r="X74" s="281"/>
    </row>
    <row r="75">
      <c r="A75" s="303" t="s">
        <v>627</v>
      </c>
      <c r="B75" s="302" t="s">
        <v>734</v>
      </c>
      <c r="C75" s="154" t="s">
        <v>735</v>
      </c>
      <c r="D75" s="289">
        <f>ROUND((F75*'Pawn Weights'!$B$60)+(G75*'Pawn Weights'!$B$61)+(H75*'Pawn Weights'!$B$62)+(I75*'Pawn Weights'!$B$63)+(J75*'Pawn Weights'!$B$64)+(K75*'Pawn Weights'!$B$65)+(L75*'Pawn Weights'!$B$66)+(M75*'Pawn Weights'!$B$67)+(N75*'Pawn Weights'!$B$68)+(O75*'Pawn Weights'!$B$69)+(P75*'Pawn Weights'!$B$70)+(Q75*'Pawn Weights'!$B$71), 2)</f>
        <v>115.48</v>
      </c>
      <c r="E75" s="280">
        <v>25.0</v>
      </c>
      <c r="F75" s="280">
        <v>23.0</v>
      </c>
      <c r="G75" s="280"/>
      <c r="H75" s="280"/>
      <c r="I75" s="280">
        <v>24.0</v>
      </c>
      <c r="J75" s="280"/>
      <c r="K75" s="280"/>
      <c r="L75" s="280"/>
      <c r="M75" s="281"/>
      <c r="N75" s="280"/>
      <c r="O75" s="280"/>
      <c r="P75" s="280"/>
      <c r="Q75" s="280">
        <v>1.0</v>
      </c>
      <c r="R75" s="290" t="s">
        <v>736</v>
      </c>
      <c r="S75" s="281"/>
      <c r="T75" s="291" t="s">
        <v>1330</v>
      </c>
      <c r="U75" s="281"/>
      <c r="V75" s="281"/>
      <c r="W75" s="281"/>
      <c r="X75" s="304"/>
      <c r="Y75" s="304"/>
      <c r="Z75" s="304"/>
    </row>
    <row r="76">
      <c r="A76" s="281"/>
      <c r="B76" s="302" t="s">
        <v>1084</v>
      </c>
      <c r="C76" s="280" t="s">
        <v>900</v>
      </c>
      <c r="D76" s="289">
        <f>ROUND((F76*'Pawn Weights'!$B$60)+(G76*'Pawn Weights'!$B$61)+(H76*'Pawn Weights'!$B$62)+(I76*'Pawn Weights'!$B$63)+(J76*'Pawn Weights'!$B$64)+(K76*'Pawn Weights'!$B$65)+(L76*'Pawn Weights'!$B$66)+(M76*'Pawn Weights'!$B$67)+(N76*'Pawn Weights'!$B$68)+(O76*'Pawn Weights'!$B$69)+(P76*'Pawn Weights'!$B$70)+(Q76*'Pawn Weights'!$B$71), 2)</f>
        <v>112.62</v>
      </c>
      <c r="E76" s="280">
        <v>22.0</v>
      </c>
      <c r="F76" s="280">
        <v>33.0</v>
      </c>
      <c r="G76" s="280">
        <v>23.0</v>
      </c>
      <c r="H76" s="280"/>
      <c r="I76" s="280"/>
      <c r="J76" s="280"/>
      <c r="K76" s="280"/>
      <c r="L76" s="280"/>
      <c r="M76" s="280"/>
      <c r="N76" s="280"/>
      <c r="O76" s="280"/>
      <c r="P76" s="280"/>
      <c r="Q76" s="280"/>
      <c r="R76" s="290"/>
      <c r="S76" s="281"/>
      <c r="T76" s="222"/>
      <c r="U76" s="281"/>
      <c r="V76" s="281"/>
      <c r="W76" s="281"/>
      <c r="X76" s="281"/>
    </row>
    <row r="77">
      <c r="A77" s="137"/>
      <c r="B77" s="341" t="s">
        <v>728</v>
      </c>
      <c r="C77" s="361" t="s">
        <v>1082</v>
      </c>
      <c r="D77" s="289">
        <f>ROUND((F77*'Pawn Weights'!$B$60)+(G77*'Pawn Weights'!$B$61)+(H77*'Pawn Weights'!$B$62)+(I77*'Pawn Weights'!$B$63)+(J77*'Pawn Weights'!$B$64)+(K77*'Pawn Weights'!$B$65)+(L77*'Pawn Weights'!$B$66)+(M77*'Pawn Weights'!$B$67)+(N77*'Pawn Weights'!$B$68)+(O77*'Pawn Weights'!$B$69)+(P77*'Pawn Weights'!$B$70)+(Q77*'Pawn Weights'!$B$71), 2)</f>
        <v>110.04</v>
      </c>
      <c r="E77" s="359">
        <v>34.0</v>
      </c>
      <c r="F77" s="361"/>
      <c r="G77" s="361"/>
      <c r="H77" s="359">
        <v>46.0</v>
      </c>
      <c r="I77" s="359">
        <v>20.0</v>
      </c>
      <c r="J77" s="361"/>
      <c r="K77" s="361"/>
      <c r="L77" s="361"/>
      <c r="M77" s="359">
        <v>112.0</v>
      </c>
      <c r="N77" s="361"/>
      <c r="O77" s="361"/>
      <c r="P77" s="361"/>
      <c r="Q77" s="297"/>
      <c r="R77" s="137"/>
      <c r="S77" s="137"/>
      <c r="T77" s="361" t="s">
        <v>704</v>
      </c>
      <c r="U77" s="137"/>
      <c r="V77" s="137"/>
      <c r="W77" s="137"/>
      <c r="X77" s="137"/>
      <c r="Y77" s="137"/>
      <c r="Z77" s="137"/>
    </row>
    <row r="78">
      <c r="A78" s="281"/>
      <c r="B78" s="288" t="s">
        <v>1533</v>
      </c>
      <c r="C78" s="280" t="s">
        <v>1534</v>
      </c>
      <c r="D78" s="289">
        <f>ROUND((F78*'Pawn Weights'!$B$60)+(G78*'Pawn Weights'!$B$61)+(H78*'Pawn Weights'!$B$62)+(I78*'Pawn Weights'!$B$63)+(J78*'Pawn Weights'!$B$64)+(K78*'Pawn Weights'!$B$65)+(L78*'Pawn Weights'!$B$66)+(M78*'Pawn Weights'!$B$67)+(N78*'Pawn Weights'!$B$68)+(O78*'Pawn Weights'!$B$69)+(P78*'Pawn Weights'!$B$70)+(Q78*'Pawn Weights'!$B$71), 2)</f>
        <v>103.28</v>
      </c>
      <c r="E78" s="280">
        <v>28.0</v>
      </c>
      <c r="F78" s="280"/>
      <c r="G78" s="280"/>
      <c r="H78" s="280">
        <v>56.0</v>
      </c>
      <c r="I78" s="280">
        <v>24.0</v>
      </c>
      <c r="J78" s="280"/>
      <c r="K78" s="280"/>
      <c r="L78" s="280"/>
      <c r="M78" s="281"/>
      <c r="N78" s="280"/>
      <c r="O78" s="280"/>
      <c r="P78" s="280"/>
      <c r="Q78" s="280"/>
      <c r="R78" s="290"/>
      <c r="S78" s="281"/>
      <c r="T78" s="222"/>
      <c r="U78" s="281"/>
      <c r="V78" s="281"/>
      <c r="W78" s="281"/>
      <c r="X78" s="281"/>
    </row>
    <row r="79">
      <c r="A79" s="281"/>
      <c r="B79" s="302" t="s">
        <v>1200</v>
      </c>
      <c r="C79" s="280" t="s">
        <v>1201</v>
      </c>
      <c r="D79" s="289">
        <f>ROUND((F79*'Pawn Weights'!$B$60)+(G79*'Pawn Weights'!$B$61)+(H79*'Pawn Weights'!$B$62)+(I79*'Pawn Weights'!$B$63)+(J79*'Pawn Weights'!$B$64)+(K79*'Pawn Weights'!$B$65)+(L79*'Pawn Weights'!$B$66)+(M79*'Pawn Weights'!$B$67)+(N79*'Pawn Weights'!$B$68)+(O79*'Pawn Weights'!$B$69)+(P79*'Pawn Weights'!$B$70)+(Q79*'Pawn Weights'!$B$71), 2)</f>
        <v>98.54</v>
      </c>
      <c r="E79" s="280">
        <v>21.0</v>
      </c>
      <c r="F79" s="280"/>
      <c r="G79" s="280">
        <v>24.0</v>
      </c>
      <c r="H79" s="280">
        <v>34.0</v>
      </c>
      <c r="I79" s="280"/>
      <c r="J79" s="280">
        <v>17.0</v>
      </c>
      <c r="K79" s="280"/>
      <c r="L79" s="280"/>
      <c r="M79" s="280"/>
      <c r="N79" s="280"/>
      <c r="O79" s="280"/>
      <c r="P79" s="280"/>
      <c r="Q79" s="280"/>
      <c r="R79" s="290"/>
      <c r="S79" s="281"/>
      <c r="T79" s="222"/>
      <c r="U79" s="281"/>
      <c r="V79" s="281"/>
      <c r="W79" s="281"/>
      <c r="X79" s="281"/>
    </row>
    <row r="80">
      <c r="A80" s="281"/>
      <c r="B80" s="421" t="s">
        <v>1535</v>
      </c>
      <c r="C80" s="280" t="s">
        <v>1536</v>
      </c>
      <c r="D80" s="289">
        <f>ROUND((F80*'Pawn Weights'!$B$60)+(G80*'Pawn Weights'!$B$61)+(H80*'Pawn Weights'!$B$62)+(I80*'Pawn Weights'!$B$63)+(J80*'Pawn Weights'!$B$64)+(K80*'Pawn Weights'!$B$65)+(L80*'Pawn Weights'!$B$66)+(M80*'Pawn Weights'!$B$67)+(N80*'Pawn Weights'!$B$68)+(O80*'Pawn Weights'!$B$69)+(P80*'Pawn Weights'!$B$70)+(Q80*'Pawn Weights'!$B$71), 2)</f>
        <v>86.9</v>
      </c>
      <c r="E80" s="280">
        <v>15.0</v>
      </c>
      <c r="F80" s="280"/>
      <c r="G80" s="280"/>
      <c r="H80" s="280">
        <v>30.0</v>
      </c>
      <c r="I80" s="280">
        <v>18.0</v>
      </c>
      <c r="J80" s="280">
        <v>16.0</v>
      </c>
      <c r="K80" s="280"/>
      <c r="L80" s="280"/>
      <c r="M80" s="280"/>
      <c r="N80" s="280"/>
      <c r="O80" s="280"/>
      <c r="P80" s="280"/>
      <c r="Q80" s="280"/>
      <c r="R80" s="290"/>
      <c r="S80" s="281"/>
      <c r="T80" s="222"/>
      <c r="U80" s="281"/>
      <c r="V80" s="281"/>
      <c r="W80" s="281"/>
      <c r="X80" s="281"/>
    </row>
    <row r="81">
      <c r="A81" s="281"/>
      <c r="B81" s="421" t="s">
        <v>1537</v>
      </c>
      <c r="C81" s="280" t="s">
        <v>1307</v>
      </c>
      <c r="D81" s="289">
        <f>ROUND((F81*'Pawn Weights'!$B$60)+(G81*'Pawn Weights'!$B$61)+(H81*'Pawn Weights'!$B$62)+(I81*'Pawn Weights'!$B$63)+(J81*'Pawn Weights'!$B$64)+(K81*'Pawn Weights'!$B$65)+(L81*'Pawn Weights'!$B$66)+(M81*'Pawn Weights'!$B$67)+(N81*'Pawn Weights'!$B$68)+(O81*'Pawn Weights'!$B$69)+(P81*'Pawn Weights'!$B$70)+(Q81*'Pawn Weights'!$B$71), 2)</f>
        <v>83.17</v>
      </c>
      <c r="E81" s="280">
        <v>19.0</v>
      </c>
      <c r="F81" s="280">
        <v>19.0</v>
      </c>
      <c r="G81" s="280"/>
      <c r="H81" s="280"/>
      <c r="I81" s="280">
        <v>21.0</v>
      </c>
      <c r="J81" s="280"/>
      <c r="K81" s="280"/>
      <c r="L81" s="280"/>
      <c r="M81" s="280"/>
      <c r="N81" s="280"/>
      <c r="O81" s="280"/>
      <c r="P81" s="280"/>
      <c r="Q81" s="280"/>
      <c r="R81" s="290"/>
      <c r="S81" s="281"/>
      <c r="T81" s="222"/>
      <c r="U81" s="281"/>
      <c r="V81" s="281"/>
      <c r="W81" s="281"/>
      <c r="X81" s="281"/>
    </row>
    <row r="82">
      <c r="A82" s="281"/>
      <c r="B82" s="421" t="s">
        <v>1766</v>
      </c>
      <c r="C82" s="280" t="s">
        <v>1520</v>
      </c>
      <c r="D82" s="289">
        <f>ROUND((F82*'Pawn Weights'!$B$60)+(G82*'Pawn Weights'!$B$61)+(H82*'Pawn Weights'!$B$62)+(I82*'Pawn Weights'!$B$63)+(J82*'Pawn Weights'!$B$64)+(K82*'Pawn Weights'!$B$65)+(L82*'Pawn Weights'!$B$66)+(M82*'Pawn Weights'!$B$67)+(N82*'Pawn Weights'!$B$68)+(O82*'Pawn Weights'!$B$69)+(P82*'Pawn Weights'!$B$70)+(Q82*'Pawn Weights'!$B$71), 2)</f>
        <v>80.92</v>
      </c>
      <c r="E82" s="280"/>
      <c r="F82" s="280"/>
      <c r="G82" s="280">
        <v>25.0</v>
      </c>
      <c r="H82" s="280">
        <v>20.0</v>
      </c>
      <c r="I82" s="280"/>
      <c r="J82" s="280">
        <v>13.0</v>
      </c>
      <c r="K82" s="280"/>
      <c r="L82" s="280"/>
      <c r="M82" s="280"/>
      <c r="N82" s="280"/>
      <c r="O82" s="280"/>
      <c r="P82" s="280"/>
      <c r="Q82" s="280"/>
      <c r="R82" s="290"/>
      <c r="S82" s="281"/>
      <c r="T82" s="222"/>
      <c r="U82" s="281"/>
      <c r="V82" s="281"/>
      <c r="W82" s="281"/>
      <c r="X82" s="281"/>
    </row>
    <row r="83">
      <c r="A83" s="281"/>
      <c r="B83" s="421" t="s">
        <v>1857</v>
      </c>
      <c r="C83" s="280" t="s">
        <v>1858</v>
      </c>
      <c r="D83" s="289">
        <f>ROUND((F83*'Pawn Weights'!$B$60)+(G83*'Pawn Weights'!$B$61)+(H83*'Pawn Weights'!$B$62)+(I83*'Pawn Weights'!$B$63)+(J83*'Pawn Weights'!$B$64)+(K83*'Pawn Weights'!$B$65)+(L83*'Pawn Weights'!$B$66)+(M83*'Pawn Weights'!$B$67)+(N83*'Pawn Weights'!$B$68)+(O83*'Pawn Weights'!$B$69)+(P83*'Pawn Weights'!$B$70)+(Q83*'Pawn Weights'!$B$71), 2)</f>
        <v>79.72</v>
      </c>
      <c r="E83" s="280">
        <v>19.0</v>
      </c>
      <c r="F83" s="280">
        <v>22.0</v>
      </c>
      <c r="G83" s="280">
        <v>18.0</v>
      </c>
      <c r="H83" s="280"/>
      <c r="I83" s="280"/>
      <c r="J83" s="280"/>
      <c r="K83" s="280"/>
      <c r="L83" s="280"/>
      <c r="M83" s="280"/>
      <c r="N83" s="280"/>
      <c r="O83" s="280"/>
      <c r="P83" s="280"/>
      <c r="Q83" s="280"/>
      <c r="R83" s="290"/>
      <c r="S83" s="281"/>
      <c r="T83" s="222"/>
      <c r="U83" s="281"/>
      <c r="V83" s="281"/>
      <c r="W83" s="281"/>
      <c r="X83" s="281"/>
    </row>
    <row r="84">
      <c r="A84" s="281"/>
      <c r="B84" s="302" t="s">
        <v>1538</v>
      </c>
      <c r="C84" s="280" t="s">
        <v>1104</v>
      </c>
      <c r="D84" s="289">
        <f>ROUND((F84*'Pawn Weights'!$B$60)+(G84*'Pawn Weights'!$B$61)+(H84*'Pawn Weights'!$B$62)+(I84*'Pawn Weights'!$B$63)+(J84*'Pawn Weights'!$B$64)+(K84*'Pawn Weights'!$B$65)+(L84*'Pawn Weights'!$B$66)+(M84*'Pawn Weights'!$B$67)+(N84*'Pawn Weights'!$B$68)+(O84*'Pawn Weights'!$B$69)+(P84*'Pawn Weights'!$B$70)+(Q84*'Pawn Weights'!$B$71), 2)</f>
        <v>78.64</v>
      </c>
      <c r="E84" s="280">
        <v>31.0</v>
      </c>
      <c r="F84" s="280">
        <v>26.0</v>
      </c>
      <c r="G84" s="280"/>
      <c r="H84" s="280"/>
      <c r="I84" s="280"/>
      <c r="J84" s="280">
        <v>16.0</v>
      </c>
      <c r="K84" s="280"/>
      <c r="L84" s="280"/>
      <c r="M84" s="280"/>
      <c r="N84" s="280"/>
      <c r="O84" s="280"/>
      <c r="P84" s="280"/>
      <c r="Q84" s="280"/>
      <c r="R84" s="290"/>
      <c r="S84" s="281"/>
      <c r="T84" s="222"/>
      <c r="U84" s="281"/>
      <c r="V84" s="281"/>
      <c r="W84" s="281"/>
      <c r="X84" s="281"/>
    </row>
    <row r="85">
      <c r="A85" s="281"/>
      <c r="B85" s="421" t="s">
        <v>1540</v>
      </c>
      <c r="C85" s="280" t="s">
        <v>1541</v>
      </c>
      <c r="D85" s="289">
        <f>ROUND((F85*'Pawn Weights'!$B$60)+(G85*'Pawn Weights'!$B$61)+(H85*'Pawn Weights'!$B$62)+(I85*'Pawn Weights'!$B$63)+(J85*'Pawn Weights'!$B$64)+(K85*'Pawn Weights'!$B$65)+(L85*'Pawn Weights'!$B$66)+(M85*'Pawn Weights'!$B$67)+(N85*'Pawn Weights'!$B$68)+(O85*'Pawn Weights'!$B$69)+(P85*'Pawn Weights'!$B$70)+(Q85*'Pawn Weights'!$B$71), 2)</f>
        <v>72.58</v>
      </c>
      <c r="E85" s="280">
        <v>21.0</v>
      </c>
      <c r="F85" s="280">
        <v>14.0</v>
      </c>
      <c r="G85" s="280">
        <v>14.0</v>
      </c>
      <c r="H85" s="280"/>
      <c r="I85" s="280"/>
      <c r="J85" s="280">
        <v>13.0</v>
      </c>
      <c r="K85" s="280"/>
      <c r="L85" s="280"/>
      <c r="M85" s="280"/>
      <c r="N85" s="280"/>
      <c r="O85" s="280"/>
      <c r="P85" s="280"/>
      <c r="Q85" s="280"/>
      <c r="R85" s="290"/>
      <c r="S85" s="281"/>
      <c r="T85" s="222"/>
      <c r="U85" s="281"/>
      <c r="V85" s="281"/>
      <c r="W85" s="281"/>
      <c r="X85" s="281"/>
    </row>
    <row r="86">
      <c r="A86" s="281"/>
      <c r="B86" s="421" t="s">
        <v>1767</v>
      </c>
      <c r="C86" s="280" t="s">
        <v>1541</v>
      </c>
      <c r="D86" s="289">
        <f>ROUND((F86*'Pawn Weights'!$B$60)+(G86*'Pawn Weights'!$B$61)+(H86*'Pawn Weights'!$B$62)+(I86*'Pawn Weights'!$B$63)+(J86*'Pawn Weights'!$B$64)+(K86*'Pawn Weights'!$B$65)+(L86*'Pawn Weights'!$B$66)+(M86*'Pawn Weights'!$B$67)+(N86*'Pawn Weights'!$B$68)+(O86*'Pawn Weights'!$B$69)+(P86*'Pawn Weights'!$B$70)+(Q86*'Pawn Weights'!$B$71), 2)</f>
        <v>71.12</v>
      </c>
      <c r="E86" s="280">
        <v>19.0</v>
      </c>
      <c r="F86" s="280"/>
      <c r="G86" s="280">
        <v>14.0</v>
      </c>
      <c r="H86" s="280">
        <v>28.0</v>
      </c>
      <c r="I86" s="280"/>
      <c r="J86" s="280">
        <v>14.0</v>
      </c>
      <c r="K86" s="280"/>
      <c r="L86" s="280"/>
      <c r="M86" s="280"/>
      <c r="N86" s="280"/>
      <c r="O86" s="280"/>
      <c r="P86" s="280"/>
      <c r="Q86" s="280"/>
      <c r="R86" s="290"/>
      <c r="S86" s="281"/>
      <c r="T86" s="222"/>
      <c r="U86" s="281"/>
      <c r="V86" s="281"/>
      <c r="W86" s="281"/>
      <c r="X86" s="281"/>
    </row>
    <row r="87">
      <c r="A87" s="272" t="s">
        <v>742</v>
      </c>
      <c r="B87" s="281"/>
      <c r="C87" s="281"/>
      <c r="D87" s="360"/>
      <c r="E87" s="281"/>
      <c r="F87" s="281"/>
      <c r="G87" s="281"/>
      <c r="H87" s="281"/>
      <c r="I87" s="281"/>
      <c r="J87" s="281"/>
      <c r="K87" s="281"/>
      <c r="L87" s="281"/>
      <c r="M87" s="281"/>
      <c r="N87" s="281"/>
      <c r="O87" s="281"/>
      <c r="P87" s="281"/>
      <c r="Q87" s="281"/>
      <c r="R87" s="282"/>
      <c r="S87" s="281"/>
      <c r="T87" s="222"/>
      <c r="U87" s="281"/>
      <c r="V87" s="281"/>
      <c r="W87" s="281"/>
    </row>
    <row r="88">
      <c r="A88" s="137"/>
      <c r="B88" s="381" t="s">
        <v>749</v>
      </c>
      <c r="C88" s="361" t="s">
        <v>750</v>
      </c>
      <c r="D88" s="289">
        <f>ROUND((F88*'Pawn Weights'!$B$60)+(G88*'Pawn Weights'!$B$61)+(H88*'Pawn Weights'!$B$62)+(I88*'Pawn Weights'!$B$63)+(J88*'Pawn Weights'!$B$64)+(K88*'Pawn Weights'!$B$65)+(L88*'Pawn Weights'!$B$66)+(M88*'Pawn Weights'!$B$67)+(N88*'Pawn Weights'!$B$68)+(O88*'Pawn Weights'!$B$69)+(P88*'Pawn Weights'!$B$70)+(Q88*'Pawn Weights'!$B$71)-17.6+16.68+8, 2)</f>
        <v>342.18</v>
      </c>
      <c r="E88" s="359">
        <v>45.0</v>
      </c>
      <c r="F88" s="361"/>
      <c r="G88" s="359">
        <v>42.0</v>
      </c>
      <c r="H88" s="359">
        <v>120.0</v>
      </c>
      <c r="I88" s="361"/>
      <c r="J88" s="359">
        <v>30.0</v>
      </c>
      <c r="K88" s="359">
        <v>38.0</v>
      </c>
      <c r="L88" s="361"/>
      <c r="M88" s="137"/>
      <c r="N88" s="361"/>
      <c r="O88" s="359">
        <v>2.0</v>
      </c>
      <c r="P88" s="359">
        <v>1.0</v>
      </c>
      <c r="Q88" s="361"/>
      <c r="R88" s="359" t="s">
        <v>745</v>
      </c>
      <c r="S88" s="137"/>
      <c r="T88" s="406" t="s">
        <v>748</v>
      </c>
      <c r="U88" s="137"/>
      <c r="V88" s="137"/>
      <c r="W88" s="137"/>
      <c r="X88" s="137"/>
      <c r="Y88" s="137"/>
      <c r="Z88" s="137"/>
    </row>
    <row r="89">
      <c r="A89" s="137" t="s">
        <v>627</v>
      </c>
      <c r="B89" s="381" t="s">
        <v>753</v>
      </c>
      <c r="C89" s="361" t="s">
        <v>750</v>
      </c>
      <c r="D89" s="289">
        <f>ROUND((F89*'Pawn Weights'!$B$60)+(G89*'Pawn Weights'!$B$61)+(H89*'Pawn Weights'!$B$62)+(I89*'Pawn Weights'!$B$63)+(J89*'Pawn Weights'!$B$64)+(K89*'Pawn Weights'!$B$65)+(L89*'Pawn Weights'!$B$66)+(M89*'Pawn Weights'!$B$67)+(N89*'Pawn Weights'!$B$68)+(O89*'Pawn Weights'!$B$69)+(P89*'Pawn Weights'!$B$70)+(Q89*'Pawn Weights'!$B$71)+8, 2)</f>
        <v>298.12</v>
      </c>
      <c r="E89" s="359">
        <v>43.0</v>
      </c>
      <c r="F89" s="361"/>
      <c r="G89" s="359">
        <v>44.0</v>
      </c>
      <c r="H89" s="359">
        <v>104.0</v>
      </c>
      <c r="I89" s="361"/>
      <c r="J89" s="361"/>
      <c r="K89" s="359">
        <v>44.0</v>
      </c>
      <c r="L89" s="361"/>
      <c r="M89" s="137"/>
      <c r="N89" s="361"/>
      <c r="O89" s="359">
        <v>3.0</v>
      </c>
      <c r="P89" s="361"/>
      <c r="Q89" s="361"/>
      <c r="R89" s="359" t="s">
        <v>745</v>
      </c>
      <c r="S89" s="137"/>
      <c r="T89" s="406" t="s">
        <v>748</v>
      </c>
      <c r="U89" s="137"/>
      <c r="V89" s="137"/>
      <c r="W89" s="137"/>
      <c r="X89" s="137"/>
      <c r="Y89" s="137"/>
      <c r="Z89" s="137"/>
    </row>
    <row r="90">
      <c r="A90" s="281"/>
      <c r="B90" s="305" t="s">
        <v>764</v>
      </c>
      <c r="C90" s="307" t="s">
        <v>765</v>
      </c>
      <c r="D90" s="289">
        <f>ROUND((F90*'Pawn Weights'!$B$60)+(G90*'Pawn Weights'!$B$61)+(H90*'Pawn Weights'!$B$62)+(I90*'Pawn Weights'!$B$63)+(J90*'Pawn Weights'!$B$64)+(K90*'Pawn Weights'!$B$65)+(L90*'Pawn Weights'!$B$66)+(M90*'Pawn Weights'!$B$67)+(N90*'Pawn Weights'!$B$68)+(O90*'Pawn Weights'!$B$69)+(P90*'Pawn Weights'!$B$70)+(Q90*'Pawn Weights'!$B$71), 2)</f>
        <v>251.9</v>
      </c>
      <c r="E90" s="280">
        <v>24.0</v>
      </c>
      <c r="F90" s="280"/>
      <c r="G90" s="280"/>
      <c r="H90" s="280">
        <v>92.0</v>
      </c>
      <c r="I90" s="280">
        <v>36.0</v>
      </c>
      <c r="J90" s="280">
        <v>27.0</v>
      </c>
      <c r="K90" s="280"/>
      <c r="L90" s="280"/>
      <c r="M90" s="281"/>
      <c r="N90" s="280"/>
      <c r="O90" s="280"/>
      <c r="P90" s="280">
        <v>2.0</v>
      </c>
      <c r="Q90" s="280">
        <v>1.0</v>
      </c>
      <c r="R90" s="290" t="s">
        <v>745</v>
      </c>
      <c r="S90" s="281"/>
      <c r="T90" s="291"/>
      <c r="U90" s="281"/>
      <c r="V90" s="281"/>
      <c r="W90" s="281"/>
    </row>
    <row r="91">
      <c r="A91" s="137"/>
      <c r="B91" s="308" t="s">
        <v>777</v>
      </c>
      <c r="C91" s="297" t="s">
        <v>775</v>
      </c>
      <c r="D91" s="367">
        <f>ROUND((F91*'Pawn Weights'!$B$60)+(G91*'Pawn Weights'!$B$61)+(H91*'Pawn Weights'!$B$62)+(I91*'Pawn Weights'!$B$63)+(J91*'Pawn Weights'!$B$64)+(K91*'Pawn Weights'!$B$65)+(L91*'Pawn Weights'!$B$66)+(M91*'Pawn Weights'!$B$67)+(N91*'Pawn Weights'!$B$68)+(O91*'Pawn Weights'!$B$69)+(P91*'Pawn Weights'!$B$70)+(Q91*'Pawn Weights'!$B$71), 2)</f>
        <v>241.72</v>
      </c>
      <c r="E91" s="298">
        <v>51.0</v>
      </c>
      <c r="F91" s="297"/>
      <c r="G91" s="298">
        <v>44.0</v>
      </c>
      <c r="H91" s="298">
        <v>102.0</v>
      </c>
      <c r="I91" s="297"/>
      <c r="J91" s="298">
        <v>34.0</v>
      </c>
      <c r="K91" s="297"/>
      <c r="L91" s="297"/>
      <c r="M91" s="137"/>
      <c r="N91" s="297"/>
      <c r="O91" s="298">
        <v>1.0</v>
      </c>
      <c r="P91" s="297"/>
      <c r="Q91" s="297"/>
      <c r="R91" s="298" t="s">
        <v>674</v>
      </c>
      <c r="S91" s="137"/>
      <c r="T91" s="295"/>
      <c r="U91" s="137"/>
      <c r="V91" s="137"/>
      <c r="W91" s="137"/>
      <c r="X91" s="137"/>
      <c r="Y91" s="137"/>
      <c r="Z91" s="137"/>
    </row>
    <row r="92">
      <c r="A92" s="137" t="s">
        <v>635</v>
      </c>
      <c r="B92" s="308" t="s">
        <v>1331</v>
      </c>
      <c r="C92" s="297" t="s">
        <v>637</v>
      </c>
      <c r="D92" s="289">
        <f>ROUND((F92*'Pawn Weights'!$B$60)+(G92*'Pawn Weights'!$B$61)+(H92*'Pawn Weights'!$B$62)+(I92*'Pawn Weights'!$B$63)+(J92*'Pawn Weights'!$B$64)+(K92*'Pawn Weights'!$B$65)+(L92*'Pawn Weights'!$B$66)+(M92*'Pawn Weights'!$B$67)+(N92*'Pawn Weights'!$B$68)+(O92*'Pawn Weights'!$B$69)+(P92*'Pawn Weights'!$B$70)+(Q92*'Pawn Weights'!$B$71)-17.6+16.68+7.88, 2)</f>
        <v>240.37</v>
      </c>
      <c r="E92" s="298">
        <v>71.0</v>
      </c>
      <c r="F92" s="298">
        <v>32.0</v>
      </c>
      <c r="G92" s="297"/>
      <c r="H92" s="297"/>
      <c r="I92" s="298">
        <v>35.0</v>
      </c>
      <c r="J92" s="298">
        <v>17.0</v>
      </c>
      <c r="K92" s="297"/>
      <c r="L92" s="297"/>
      <c r="M92" s="359">
        <v>84.0</v>
      </c>
      <c r="N92" s="297"/>
      <c r="O92" s="298">
        <v>2.0</v>
      </c>
      <c r="P92" s="298">
        <v>1.0</v>
      </c>
      <c r="Q92" s="297"/>
      <c r="R92" s="298" t="s">
        <v>624</v>
      </c>
      <c r="S92" s="137"/>
      <c r="T92" s="297" t="s">
        <v>755</v>
      </c>
      <c r="U92" s="137"/>
      <c r="V92" s="137"/>
      <c r="W92" s="137"/>
      <c r="X92" s="137"/>
      <c r="Y92" s="137"/>
      <c r="Z92" s="137"/>
    </row>
    <row r="93">
      <c r="A93" s="137"/>
      <c r="B93" s="308" t="s">
        <v>774</v>
      </c>
      <c r="C93" s="297" t="s">
        <v>775</v>
      </c>
      <c r="D93" s="367">
        <f>ROUND((F93*'Pawn Weights'!$B$60)+(G93*'Pawn Weights'!$B$61)+(H93*'Pawn Weights'!$B$62)+(I93*'Pawn Weights'!$B$63)+(J93*'Pawn Weights'!$B$64)+(K93*'Pawn Weights'!$B$65)+(L93*'Pawn Weights'!$B$66)+(M93*'Pawn Weights'!$B$67)+(N93*'Pawn Weights'!$B$68)+(O93*'Pawn Weights'!$B$69)+(P93*'Pawn Weights'!$B$70)+(Q93*'Pawn Weights'!$B$71)-17.6+16.68+4, 2)</f>
        <v>236.71</v>
      </c>
      <c r="E93" s="298">
        <v>39.0</v>
      </c>
      <c r="F93" s="297"/>
      <c r="G93" s="298">
        <v>47.0</v>
      </c>
      <c r="H93" s="298">
        <v>102.0</v>
      </c>
      <c r="I93" s="297"/>
      <c r="J93" s="297"/>
      <c r="K93" s="298">
        <v>25.0</v>
      </c>
      <c r="L93" s="297"/>
      <c r="M93" s="137"/>
      <c r="N93" s="297"/>
      <c r="O93" s="297"/>
      <c r="P93" s="298">
        <v>1.0</v>
      </c>
      <c r="Q93" s="297"/>
      <c r="R93" s="298" t="s">
        <v>660</v>
      </c>
      <c r="S93" s="137"/>
      <c r="T93" s="295"/>
      <c r="U93" s="137"/>
      <c r="V93" s="137"/>
      <c r="W93" s="137"/>
      <c r="X93" s="137"/>
      <c r="Y93" s="137"/>
      <c r="Z93" s="137"/>
    </row>
    <row r="94">
      <c r="A94" s="292"/>
      <c r="B94" s="305" t="s">
        <v>776</v>
      </c>
      <c r="C94" s="280" t="s">
        <v>739</v>
      </c>
      <c r="D94" s="289">
        <f>ROUND((F94*'Pawn Weights'!$B$60)+(G94*'Pawn Weights'!$B$61)+(H94*'Pawn Weights'!$B$62)+(I94*'Pawn Weights'!$B$63)+(J94*'Pawn Weights'!$B$64)+(K94*'Pawn Weights'!$B$65)+(L94*'Pawn Weights'!$B$66)+(M94*'Pawn Weights'!$B$67)+(N94*'Pawn Weights'!$B$68)+(O94*'Pawn Weights'!$B$69)+(P94*'Pawn Weights'!$B$70)+(Q94*'Pawn Weights'!$B$71)-35.2+33.36+7.88, 2)</f>
        <v>232.23</v>
      </c>
      <c r="E94" s="280"/>
      <c r="F94" s="280"/>
      <c r="G94" s="280"/>
      <c r="H94" s="280">
        <v>96.0</v>
      </c>
      <c r="I94" s="280">
        <v>25.0</v>
      </c>
      <c r="J94" s="280">
        <v>21.0</v>
      </c>
      <c r="K94" s="280"/>
      <c r="L94" s="280"/>
      <c r="M94" s="281"/>
      <c r="N94" s="280"/>
      <c r="O94" s="280">
        <v>1.0</v>
      </c>
      <c r="P94" s="280">
        <v>2.0</v>
      </c>
      <c r="Q94" s="280"/>
      <c r="R94" s="290" t="s">
        <v>624</v>
      </c>
      <c r="S94" s="281"/>
      <c r="T94" s="291"/>
      <c r="U94" s="281"/>
      <c r="V94" s="281"/>
      <c r="W94" s="281"/>
    </row>
    <row r="95">
      <c r="A95" s="301"/>
      <c r="B95" s="305" t="s">
        <v>1333</v>
      </c>
      <c r="C95" s="280" t="s">
        <v>710</v>
      </c>
      <c r="D95" s="289">
        <f>ROUND((F95*'Pawn Weights'!$B$60)+(G95*'Pawn Weights'!$B$61)+(H95*'Pawn Weights'!$B$62)+(I95*'Pawn Weights'!$B$63)+(J95*'Pawn Weights'!$B$64)+(K95*'Pawn Weights'!$B$65)+(L95*'Pawn Weights'!$B$66)+(M95*'Pawn Weights'!$B$67)+(N95*'Pawn Weights'!$B$68)+(O95*'Pawn Weights'!$B$69)+(P95*'Pawn Weights'!$B$70)+(Q95*'Pawn Weights'!$B$71), 2)</f>
        <v>231.02</v>
      </c>
      <c r="E95" s="280">
        <v>19.0</v>
      </c>
      <c r="F95" s="280"/>
      <c r="G95" s="280">
        <v>36.0</v>
      </c>
      <c r="H95" s="280">
        <v>88.0</v>
      </c>
      <c r="I95" s="280">
        <v>14.0</v>
      </c>
      <c r="J95" s="280"/>
      <c r="K95" s="280"/>
      <c r="L95" s="280"/>
      <c r="M95" s="281"/>
      <c r="N95" s="280"/>
      <c r="O95" s="280">
        <v>1.0</v>
      </c>
      <c r="P95" s="280">
        <v>1.0</v>
      </c>
      <c r="Q95" s="280">
        <v>1.0</v>
      </c>
      <c r="R95" s="290" t="s">
        <v>622</v>
      </c>
      <c r="S95" s="281"/>
      <c r="T95" s="291"/>
      <c r="U95" s="281"/>
      <c r="V95" s="281"/>
      <c r="W95" s="281"/>
    </row>
    <row r="96">
      <c r="A96" s="292" t="s">
        <v>647</v>
      </c>
      <c r="B96" s="305" t="s">
        <v>1332</v>
      </c>
      <c r="C96" s="280" t="s">
        <v>741</v>
      </c>
      <c r="D96" s="289">
        <f>ROUND((F96*'Pawn Weights'!$B$60)+(G96*'Pawn Weights'!$B$61)+(H96*'Pawn Weights'!$B$62)+(I96*'Pawn Weights'!$B$63)+(J96*'Pawn Weights'!$B$64)+(K96*'Pawn Weights'!$B$65)+(L96*'Pawn Weights'!$B$66)+(M96*'Pawn Weights'!$B$67)+(N96*'Pawn Weights'!$B$68)+(O96*'Pawn Weights'!$B$69)+(P96*'Pawn Weights'!$B$70)+(Q96*'Pawn Weights'!$B$71), 2)</f>
        <v>224.14</v>
      </c>
      <c r="E96" s="280">
        <v>46.0</v>
      </c>
      <c r="F96" s="280">
        <v>41.0</v>
      </c>
      <c r="G96" s="280">
        <v>32.0</v>
      </c>
      <c r="H96" s="280"/>
      <c r="I96" s="280"/>
      <c r="J96" s="280">
        <v>19.0</v>
      </c>
      <c r="K96" s="280"/>
      <c r="L96" s="280"/>
      <c r="M96" s="281"/>
      <c r="N96" s="280"/>
      <c r="O96" s="280">
        <v>1.0</v>
      </c>
      <c r="P96" s="280">
        <v>1.0</v>
      </c>
      <c r="Q96" s="280">
        <v>1.0</v>
      </c>
      <c r="R96" s="290" t="s">
        <v>624</v>
      </c>
      <c r="S96" s="281"/>
      <c r="T96" s="291"/>
      <c r="U96" s="281"/>
      <c r="V96" s="281"/>
      <c r="W96" s="281"/>
    </row>
    <row r="97">
      <c r="A97" s="295" t="s">
        <v>644</v>
      </c>
      <c r="B97" s="308" t="s">
        <v>1335</v>
      </c>
      <c r="C97" s="363" t="s">
        <v>646</v>
      </c>
      <c r="D97" s="289">
        <f>ROUND((F97*'Pawn Weights'!$B$60)+(G97*'Pawn Weights'!$B$61)+(H97*'Pawn Weights'!$B$62)+(I97*'Pawn Weights'!$B$63)+(J97*'Pawn Weights'!$B$64)+(K97*'Pawn Weights'!$B$65)+(L97*'Pawn Weights'!$B$66)+(M97*'Pawn Weights'!$B$67)+(N97*'Pawn Weights'!$B$68)+(O97*'Pawn Weights'!$B$69)+(P97*'Pawn Weights'!$B$70)+(Q97*'Pawn Weights'!$B$71)-17.6+16.68+7.88, 2)</f>
        <v>212.82</v>
      </c>
      <c r="E97" s="298">
        <v>64.0</v>
      </c>
      <c r="F97" s="298">
        <v>27.0</v>
      </c>
      <c r="G97" s="295"/>
      <c r="H97" s="295"/>
      <c r="I97" s="298">
        <v>30.0</v>
      </c>
      <c r="J97" s="298">
        <v>12.0</v>
      </c>
      <c r="K97" s="295"/>
      <c r="L97" s="295"/>
      <c r="M97" s="359">
        <v>84.0</v>
      </c>
      <c r="N97" s="295"/>
      <c r="O97" s="298">
        <v>2.0</v>
      </c>
      <c r="P97" s="298">
        <v>1.0</v>
      </c>
      <c r="Q97" s="295"/>
      <c r="R97" s="298" t="s">
        <v>624</v>
      </c>
      <c r="S97" s="137"/>
      <c r="T97" s="295"/>
      <c r="U97" s="137"/>
      <c r="V97" s="137"/>
      <c r="W97" s="137"/>
      <c r="X97" s="137"/>
      <c r="Y97" s="137"/>
      <c r="Z97" s="137"/>
    </row>
    <row r="98">
      <c r="A98" s="301" t="s">
        <v>627</v>
      </c>
      <c r="B98" s="305" t="s">
        <v>1461</v>
      </c>
      <c r="C98" s="307" t="s">
        <v>761</v>
      </c>
      <c r="D98" s="289">
        <f>ROUND((F98*'Pawn Weights'!$B$60)+(G98*'Pawn Weights'!$B$61)+(H98*'Pawn Weights'!$B$62)+(I98*'Pawn Weights'!$B$63)+(J98*'Pawn Weights'!$B$64)+(K98*'Pawn Weights'!$B$65)+(L98*'Pawn Weights'!$B$66)+(M98*'Pawn Weights'!$B$67)+(N98*'Pawn Weights'!$B$68)+(O98*'Pawn Weights'!$B$69)+(P98*'Pawn Weights'!$B$70)+(Q98*'Pawn Weights'!$B$71), 2)</f>
        <v>205.75</v>
      </c>
      <c r="E98" s="280">
        <v>56.0</v>
      </c>
      <c r="F98" s="280"/>
      <c r="G98" s="280"/>
      <c r="H98" s="280">
        <v>84.0</v>
      </c>
      <c r="I98" s="280">
        <v>35.0</v>
      </c>
      <c r="J98" s="280"/>
      <c r="K98" s="280"/>
      <c r="L98" s="280"/>
      <c r="M98" s="281"/>
      <c r="N98" s="280"/>
      <c r="O98" s="280">
        <v>1.0</v>
      </c>
      <c r="P98" s="280">
        <v>1.0</v>
      </c>
      <c r="Q98" s="280">
        <v>1.0</v>
      </c>
      <c r="R98" s="290" t="s">
        <v>622</v>
      </c>
      <c r="S98" s="281"/>
      <c r="T98" s="306" t="s">
        <v>1462</v>
      </c>
      <c r="U98" s="281"/>
      <c r="V98" s="281"/>
      <c r="W98" s="281"/>
    </row>
    <row r="99">
      <c r="A99" s="301" t="s">
        <v>627</v>
      </c>
      <c r="B99" s="305" t="s">
        <v>1422</v>
      </c>
      <c r="C99" s="280" t="s">
        <v>1423</v>
      </c>
      <c r="D99" s="289">
        <f>ROUND((F99*'Pawn Weights'!$B$60)+(G99*'Pawn Weights'!$B$61)+(H99*'Pawn Weights'!$B$62)+(I99*'Pawn Weights'!$B$63)+(J99*'Pawn Weights'!$B$64)+(K99*'Pawn Weights'!$B$65)+(L99*'Pawn Weights'!$B$66)+(M99*'Pawn Weights'!$B$67)+(N99*'Pawn Weights'!$B$68)+(O99*'Pawn Weights'!$B$69)+(P99*'Pawn Weights'!$B$70)+(Q99*'Pawn Weights'!$B$71), 2)</f>
        <v>203.52</v>
      </c>
      <c r="E99" s="280">
        <v>12.0</v>
      </c>
      <c r="F99" s="280">
        <v>32.0</v>
      </c>
      <c r="G99" s="280">
        <v>40.0</v>
      </c>
      <c r="H99" s="280"/>
      <c r="I99" s="280"/>
      <c r="J99" s="280">
        <v>8.0</v>
      </c>
      <c r="K99" s="280"/>
      <c r="L99" s="280"/>
      <c r="M99" s="281"/>
      <c r="N99" s="280"/>
      <c r="O99" s="280">
        <v>1.0</v>
      </c>
      <c r="P99" s="280">
        <v>1.0</v>
      </c>
      <c r="Q99" s="280">
        <v>1.0</v>
      </c>
      <c r="R99" s="290" t="s">
        <v>622</v>
      </c>
      <c r="S99" s="281"/>
      <c r="T99" s="291"/>
      <c r="U99" s="281"/>
      <c r="V99" s="281"/>
      <c r="W99" s="281"/>
    </row>
    <row r="100">
      <c r="A100" s="301" t="s">
        <v>627</v>
      </c>
      <c r="B100" s="305" t="s">
        <v>1463</v>
      </c>
      <c r="C100" s="307" t="s">
        <v>1464</v>
      </c>
      <c r="D100" s="289">
        <f>ROUND((F100*'Pawn Weights'!$B$60)+(G100*'Pawn Weights'!$B$61)+(H100*'Pawn Weights'!$B$62)+(I100*'Pawn Weights'!$B$63)+(J100*'Pawn Weights'!$B$64)+(K100*'Pawn Weights'!$B$65)+(L100*'Pawn Weights'!$B$66)+(M100*'Pawn Weights'!$B$67)+(N100*'Pawn Weights'!$B$68)+(O100*'Pawn Weights'!$B$69)+(P100*'Pawn Weights'!$B$70)+(Q100*'Pawn Weights'!$B$71), 2)</f>
        <v>193.87</v>
      </c>
      <c r="E100" s="280">
        <v>25.0</v>
      </c>
      <c r="F100" s="280"/>
      <c r="G100" s="280"/>
      <c r="H100" s="280">
        <v>80.0</v>
      </c>
      <c r="I100" s="280">
        <v>31.0</v>
      </c>
      <c r="J100" s="280"/>
      <c r="K100" s="280"/>
      <c r="L100" s="280"/>
      <c r="M100" s="281"/>
      <c r="N100" s="280"/>
      <c r="O100" s="280">
        <v>1.0</v>
      </c>
      <c r="P100" s="280">
        <v>1.0</v>
      </c>
      <c r="Q100" s="280">
        <v>1.0</v>
      </c>
      <c r="R100" s="290" t="s">
        <v>622</v>
      </c>
      <c r="S100" s="281"/>
      <c r="T100" s="291" t="s">
        <v>1465</v>
      </c>
      <c r="U100" s="281"/>
      <c r="V100" s="281"/>
      <c r="W100" s="281"/>
    </row>
    <row r="101">
      <c r="A101" s="301" t="s">
        <v>627</v>
      </c>
      <c r="B101" s="305" t="s">
        <v>1447</v>
      </c>
      <c r="C101" s="307" t="s">
        <v>1448</v>
      </c>
      <c r="D101" s="289">
        <f>ROUND((F101*'Pawn Weights'!$B$60)+(G101*'Pawn Weights'!$B$61)+(H101*'Pawn Weights'!$B$62)+(I101*'Pawn Weights'!$B$63)+(J101*'Pawn Weights'!$B$64)+(K101*'Pawn Weights'!$B$65)+(L101*'Pawn Weights'!$B$66)+(M101*'Pawn Weights'!$B$67)+(N101*'Pawn Weights'!$B$68)+(O101*'Pawn Weights'!$B$69)+(P101*'Pawn Weights'!$B$70)+(Q101*'Pawn Weights'!$B$71), 2)</f>
        <v>190.2</v>
      </c>
      <c r="E101" s="280">
        <v>39.0</v>
      </c>
      <c r="F101" s="280"/>
      <c r="G101" s="280">
        <v>38.0</v>
      </c>
      <c r="H101" s="280">
        <v>108.0</v>
      </c>
      <c r="I101" s="280"/>
      <c r="J101" s="280">
        <v>12.0</v>
      </c>
      <c r="K101" s="280"/>
      <c r="L101" s="280"/>
      <c r="M101" s="281"/>
      <c r="N101" s="280"/>
      <c r="O101" s="280"/>
      <c r="P101" s="280"/>
      <c r="Q101" s="280"/>
      <c r="R101" s="290"/>
      <c r="S101" s="281"/>
      <c r="T101" s="291"/>
      <c r="U101" s="281"/>
      <c r="V101" s="281"/>
      <c r="W101" s="281"/>
    </row>
    <row r="102">
      <c r="A102" s="292" t="s">
        <v>1068</v>
      </c>
      <c r="B102" s="305" t="s">
        <v>1467</v>
      </c>
      <c r="C102" s="280" t="s">
        <v>997</v>
      </c>
      <c r="D102" s="289">
        <f>ROUND((F102*'Pawn Weights'!$B$60)+(G102*'Pawn Weights'!$B$61)+(H102*'Pawn Weights'!$B$62)+(I102*'Pawn Weights'!$B$63)+(J102*'Pawn Weights'!$B$64)+(K102*'Pawn Weights'!$B$65)+(L102*'Pawn Weights'!$B$66)+(M102*'Pawn Weights'!$B$67)+(N102*'Pawn Weights'!$B$68)+(O102*'Pawn Weights'!$B$69)+(P102*'Pawn Weights'!$B$70)+(Q102*'Pawn Weights'!$B$71)-17.6+16.68+7.88, 2)</f>
        <v>187.06</v>
      </c>
      <c r="E102" s="280">
        <v>57.0</v>
      </c>
      <c r="F102" s="280">
        <v>31.0</v>
      </c>
      <c r="G102" s="280"/>
      <c r="H102" s="280"/>
      <c r="I102" s="280">
        <v>30.0</v>
      </c>
      <c r="J102" s="280"/>
      <c r="K102" s="280"/>
      <c r="L102" s="280"/>
      <c r="M102" s="281"/>
      <c r="N102" s="280"/>
      <c r="O102" s="280">
        <v>2.0</v>
      </c>
      <c r="P102" s="280">
        <v>1.0</v>
      </c>
      <c r="Q102" s="280"/>
      <c r="R102" s="290" t="s">
        <v>624</v>
      </c>
      <c r="S102" s="281"/>
      <c r="T102" s="291"/>
      <c r="U102" s="281"/>
      <c r="V102" s="281"/>
      <c r="W102" s="281"/>
    </row>
    <row r="103">
      <c r="A103" s="301" t="s">
        <v>627</v>
      </c>
      <c r="B103" s="305" t="s">
        <v>1466</v>
      </c>
      <c r="C103" s="307" t="s">
        <v>771</v>
      </c>
      <c r="D103" s="289">
        <f>ROUND((F103*'Pawn Weights'!$B$60)+(G103*'Pawn Weights'!$B$61)+(H103*'Pawn Weights'!$B$62)+(I103*'Pawn Weights'!$B$63)+(J103*'Pawn Weights'!$B$64)+(K103*'Pawn Weights'!$B$65)+(L103*'Pawn Weights'!$B$66)+(M103*'Pawn Weights'!$B$67)+(N103*'Pawn Weights'!$B$68)+(O103*'Pawn Weights'!$B$69)+(P103*'Pawn Weights'!$B$70)+(Q103*'Pawn Weights'!$B$71), 2)</f>
        <v>185.81</v>
      </c>
      <c r="E103" s="280">
        <v>48.0</v>
      </c>
      <c r="F103" s="280"/>
      <c r="G103" s="280"/>
      <c r="H103" s="280">
        <v>68.0</v>
      </c>
      <c r="I103" s="280">
        <v>33.0</v>
      </c>
      <c r="J103" s="280"/>
      <c r="K103" s="280"/>
      <c r="L103" s="280"/>
      <c r="M103" s="281"/>
      <c r="N103" s="280"/>
      <c r="O103" s="280">
        <v>1.0</v>
      </c>
      <c r="P103" s="280">
        <v>1.0</v>
      </c>
      <c r="Q103" s="280">
        <v>1.0</v>
      </c>
      <c r="R103" s="290" t="s">
        <v>622</v>
      </c>
      <c r="S103" s="281"/>
      <c r="T103" s="291" t="s">
        <v>1462</v>
      </c>
      <c r="U103" s="281"/>
      <c r="V103" s="281"/>
      <c r="W103" s="281"/>
    </row>
    <row r="104">
      <c r="A104" s="281"/>
      <c r="B104" s="305" t="s">
        <v>1445</v>
      </c>
      <c r="C104" s="307" t="s">
        <v>1106</v>
      </c>
      <c r="D104" s="289">
        <f>ROUND((F104*'Pawn Weights'!$B$60)+(G104*'Pawn Weights'!$B$61)+(H104*'Pawn Weights'!$B$62)+(I104*'Pawn Weights'!$B$63)+(J104*'Pawn Weights'!$B$64)+(K104*'Pawn Weights'!$B$65)+(L104*'Pawn Weights'!$B$66)+(M104*'Pawn Weights'!$B$67)+(N104*'Pawn Weights'!$B$68)+(O104*'Pawn Weights'!$B$69)+(P104*'Pawn Weights'!$B$70)+(Q104*'Pawn Weights'!$B$71), 2)</f>
        <v>183.86</v>
      </c>
      <c r="E104" s="280">
        <v>36.0</v>
      </c>
      <c r="F104" s="280"/>
      <c r="G104" s="280">
        <v>37.0</v>
      </c>
      <c r="H104" s="280">
        <v>90.0</v>
      </c>
      <c r="I104" s="280"/>
      <c r="J104" s="280">
        <v>22.0</v>
      </c>
      <c r="K104" s="280"/>
      <c r="L104" s="280"/>
      <c r="M104" s="281"/>
      <c r="N104" s="280"/>
      <c r="O104" s="280"/>
      <c r="P104" s="280"/>
      <c r="Q104" s="280"/>
      <c r="R104" s="290"/>
      <c r="S104" s="281"/>
      <c r="T104" s="291"/>
      <c r="U104" s="281"/>
      <c r="V104" s="281"/>
      <c r="W104" s="281"/>
    </row>
    <row r="105">
      <c r="A105" s="292" t="s">
        <v>1859</v>
      </c>
      <c r="B105" s="305" t="s">
        <v>1860</v>
      </c>
      <c r="C105" s="280" t="s">
        <v>1163</v>
      </c>
      <c r="D105" s="289">
        <f>ROUND((F105*'Pawn Weights'!$B$60)+(G105*'Pawn Weights'!$B$61)+(H105*'Pawn Weights'!$B$62)+(I105*'Pawn Weights'!$B$63)+(J105*'Pawn Weights'!$B$64)+(K105*'Pawn Weights'!$B$65)+(L105*'Pawn Weights'!$B$66)+(M105*'Pawn Weights'!$B$67)+(N105*'Pawn Weights'!$B$68)+(O105*'Pawn Weights'!$B$69)+(P105*'Pawn Weights'!$B$70)+(Q105*'Pawn Weights'!$B$71)-17.6+16.68+8.8, 2)</f>
        <v>182.53</v>
      </c>
      <c r="E105" s="280">
        <v>31.0</v>
      </c>
      <c r="F105" s="280">
        <v>33.0</v>
      </c>
      <c r="G105" s="280"/>
      <c r="H105" s="280"/>
      <c r="I105" s="280">
        <v>25.0</v>
      </c>
      <c r="J105" s="280"/>
      <c r="K105" s="280"/>
      <c r="L105" s="280"/>
      <c r="M105" s="281"/>
      <c r="N105" s="280"/>
      <c r="O105" s="280">
        <v>2.0</v>
      </c>
      <c r="P105" s="280">
        <v>1.0</v>
      </c>
      <c r="Q105" s="280"/>
      <c r="R105" s="290" t="s">
        <v>643</v>
      </c>
      <c r="S105" s="281"/>
      <c r="T105" s="291" t="s">
        <v>1861</v>
      </c>
      <c r="U105" s="281"/>
      <c r="V105" s="281"/>
      <c r="W105" s="281"/>
    </row>
    <row r="106">
      <c r="A106" s="301" t="s">
        <v>1499</v>
      </c>
      <c r="B106" s="305" t="s">
        <v>1862</v>
      </c>
      <c r="C106" s="307" t="s">
        <v>1159</v>
      </c>
      <c r="D106" s="289">
        <f>ROUND((F106*'Pawn Weights'!$B$60)+(G106*'Pawn Weights'!$B$61)+(H106*'Pawn Weights'!$B$62)+(I106*'Pawn Weights'!$B$63)+(J106*'Pawn Weights'!$B$64)+(K106*'Pawn Weights'!$B$65)+(L106*'Pawn Weights'!$B$66)+(M106*'Pawn Weights'!$B$67)+(N106*'Pawn Weights'!$B$68)+(O106*'Pawn Weights'!$B$69)+(P106*'Pawn Weights'!$B$70)+(Q106*'Pawn Weights'!$B$71)-17.6+16.68+7.88, 2)</f>
        <v>178.72</v>
      </c>
      <c r="E106" s="280">
        <v>51.0</v>
      </c>
      <c r="F106" s="280">
        <v>29.0</v>
      </c>
      <c r="G106" s="280"/>
      <c r="H106" s="280"/>
      <c r="I106" s="280">
        <v>28.0</v>
      </c>
      <c r="J106" s="280"/>
      <c r="K106" s="280"/>
      <c r="L106" s="280"/>
      <c r="M106" s="281"/>
      <c r="N106" s="280"/>
      <c r="O106" s="280">
        <v>2.0</v>
      </c>
      <c r="P106" s="280">
        <v>1.0</v>
      </c>
      <c r="Q106" s="280"/>
      <c r="R106" s="290" t="s">
        <v>624</v>
      </c>
      <c r="S106" s="281"/>
      <c r="T106" s="291"/>
      <c r="U106" s="281"/>
      <c r="V106" s="281"/>
      <c r="W106" s="281"/>
    </row>
    <row r="107" ht="15.0" customHeight="1">
      <c r="A107" s="301"/>
      <c r="B107" s="422" t="s">
        <v>1557</v>
      </c>
      <c r="C107" s="307" t="s">
        <v>1665</v>
      </c>
      <c r="D107" s="289">
        <f>ROUND((F107*'Pawn Weights'!$B$60)+(G107*'Pawn Weights'!$B$61)+(H107*'Pawn Weights'!$B$62)+(I107*'Pawn Weights'!$B$63)+(J107*'Pawn Weights'!$B$64)+(K107*'Pawn Weights'!$B$65)+(L107*'Pawn Weights'!$B$66)+(M107*'Pawn Weights'!$B$67)+(N107*'Pawn Weights'!$B$68)+(O107*'Pawn Weights'!$B$69)+(P107*'Pawn Weights'!$B$70)+(Q107*'Pawn Weights'!$B$71)-52.8+50.04+6.96, 2)</f>
        <v>161.72</v>
      </c>
      <c r="E107" s="280">
        <v>36.0</v>
      </c>
      <c r="F107" s="280"/>
      <c r="G107" s="280">
        <v>28.0</v>
      </c>
      <c r="H107" s="280">
        <v>56.0</v>
      </c>
      <c r="I107" s="280"/>
      <c r="J107" s="280"/>
      <c r="K107" s="280"/>
      <c r="L107" s="280"/>
      <c r="M107" s="281"/>
      <c r="N107" s="280"/>
      <c r="O107" s="280"/>
      <c r="P107" s="280">
        <v>3.0</v>
      </c>
      <c r="Q107" s="280"/>
      <c r="R107" s="290" t="s">
        <v>622</v>
      </c>
      <c r="S107" s="281"/>
      <c r="T107" s="291" t="s">
        <v>1580</v>
      </c>
      <c r="U107" s="281"/>
      <c r="V107" s="281"/>
      <c r="W107" s="281"/>
    </row>
    <row r="108" ht="18.0" customHeight="1">
      <c r="A108" s="301"/>
      <c r="B108" s="422" t="s">
        <v>1775</v>
      </c>
      <c r="C108" s="307" t="s">
        <v>1358</v>
      </c>
      <c r="D108" s="289">
        <f>ROUND((F108*'Pawn Weights'!$B$60)+(G108*'Pawn Weights'!$B$61)+(H108*'Pawn Weights'!$B$62)+(I108*'Pawn Weights'!$B$63)+(J108*'Pawn Weights'!$B$64)+(K108*'Pawn Weights'!$B$65)+(L108*'Pawn Weights'!$B$66)+(M108*'Pawn Weights'!$B$67)+(N108*'Pawn Weights'!$B$68)+(O108*'Pawn Weights'!$B$69)+(P108*'Pawn Weights'!$B$70)+(Q108*'Pawn Weights'!$B$71), 2)</f>
        <v>155.52</v>
      </c>
      <c r="E108" s="280">
        <v>21.0</v>
      </c>
      <c r="F108" s="280"/>
      <c r="G108" s="280">
        <v>28.0</v>
      </c>
      <c r="H108" s="280">
        <v>54.0</v>
      </c>
      <c r="I108" s="280"/>
      <c r="J108" s="280"/>
      <c r="K108" s="280"/>
      <c r="L108" s="280"/>
      <c r="M108" s="281"/>
      <c r="N108" s="280"/>
      <c r="O108" s="280">
        <v>2.0</v>
      </c>
      <c r="P108" s="280"/>
      <c r="Q108" s="280">
        <v>1.0</v>
      </c>
      <c r="R108" s="290" t="s">
        <v>882</v>
      </c>
      <c r="S108" s="281"/>
      <c r="T108" s="291"/>
      <c r="U108" s="281"/>
      <c r="V108" s="281"/>
      <c r="W108" s="281"/>
    </row>
    <row r="109" ht="18.0" customHeight="1">
      <c r="A109" s="301" t="s">
        <v>627</v>
      </c>
      <c r="B109" s="422" t="s">
        <v>1863</v>
      </c>
      <c r="C109" s="307" t="s">
        <v>1864</v>
      </c>
      <c r="D109" s="289">
        <f>ROUND((F109*'Pawn Weights'!$B$60)+(G109*'Pawn Weights'!$B$61)+(H109*'Pawn Weights'!$B$62)+(I109*'Pawn Weights'!$B$63)+(J109*'Pawn Weights'!$B$64)+(K109*'Pawn Weights'!$B$65)+(L109*'Pawn Weights'!$B$66)+(M109*'Pawn Weights'!$B$67)+(N109*'Pawn Weights'!$B$68)+(O109*'Pawn Weights'!$B$69)+(P109*'Pawn Weights'!$B$70)+(Q109*'Pawn Weights'!$B$71), 2)</f>
        <v>150.04</v>
      </c>
      <c r="E109" s="280"/>
      <c r="F109" s="280"/>
      <c r="G109" s="280">
        <v>26.0</v>
      </c>
      <c r="H109" s="280">
        <v>52.0</v>
      </c>
      <c r="I109" s="280"/>
      <c r="J109" s="280"/>
      <c r="K109" s="280"/>
      <c r="L109" s="280"/>
      <c r="M109" s="281"/>
      <c r="N109" s="280"/>
      <c r="O109" s="280">
        <v>2.0</v>
      </c>
      <c r="P109" s="280"/>
      <c r="Q109" s="280">
        <v>1.0</v>
      </c>
      <c r="R109" s="290" t="s">
        <v>633</v>
      </c>
      <c r="S109" s="281"/>
      <c r="T109" s="291" t="s">
        <v>1472</v>
      </c>
      <c r="U109" s="281"/>
      <c r="V109" s="281"/>
      <c r="W109" s="281"/>
    </row>
    <row r="110">
      <c r="A110" s="301" t="s">
        <v>627</v>
      </c>
      <c r="B110" s="305" t="s">
        <v>1865</v>
      </c>
      <c r="C110" s="307" t="s">
        <v>1419</v>
      </c>
      <c r="D110" s="289">
        <f>ROUND((F110*'Pawn Weights'!$B$60)+(G110*'Pawn Weights'!$B$61)+(H110*'Pawn Weights'!$B$62)+(I110*'Pawn Weights'!$B$63)+(J110*'Pawn Weights'!$B$64)+(K110*'Pawn Weights'!$B$65)+(L110*'Pawn Weights'!$B$66)+(M110*'Pawn Weights'!$B$67)+(N110*'Pawn Weights'!$B$68)+(O110*'Pawn Weights'!$B$69)+(P110*'Pawn Weights'!$B$70)+(Q110*'Pawn Weights'!$B$71), 2)</f>
        <v>147.96</v>
      </c>
      <c r="E110" s="280">
        <v>40.0</v>
      </c>
      <c r="F110" s="280"/>
      <c r="G110" s="280"/>
      <c r="H110" s="280">
        <v>40.0</v>
      </c>
      <c r="I110" s="280">
        <v>28.0</v>
      </c>
      <c r="J110" s="280"/>
      <c r="K110" s="280"/>
      <c r="L110" s="280"/>
      <c r="M110" s="281"/>
      <c r="N110" s="280"/>
      <c r="O110" s="280">
        <v>1.0</v>
      </c>
      <c r="P110" s="280">
        <v>1.0</v>
      </c>
      <c r="Q110" s="280">
        <v>1.0</v>
      </c>
      <c r="R110" s="290" t="s">
        <v>622</v>
      </c>
      <c r="S110" s="281"/>
      <c r="T110" s="291"/>
      <c r="U110" s="281"/>
      <c r="V110" s="281"/>
      <c r="W110" s="281"/>
    </row>
    <row r="111">
      <c r="A111" s="301"/>
      <c r="B111" s="422" t="s">
        <v>1774</v>
      </c>
      <c r="C111" s="307" t="s">
        <v>1645</v>
      </c>
      <c r="D111" s="289">
        <f>ROUND((F111*'Pawn Weights'!$B$60)+(G111*'Pawn Weights'!$B$61)+(H111*'Pawn Weights'!$B$62)+(I111*'Pawn Weights'!$B$63)+(J111*'Pawn Weights'!$B$64)+(K111*'Pawn Weights'!$B$65)+(L111*'Pawn Weights'!$B$66)+(M111*'Pawn Weights'!$B$67)+(N111*'Pawn Weights'!$B$68)+(O111*'Pawn Weights'!$B$69)+(P111*'Pawn Weights'!$B$70)+(Q111*'Pawn Weights'!$B$71), 2)</f>
        <v>146.72</v>
      </c>
      <c r="E111" s="280">
        <v>26.0</v>
      </c>
      <c r="F111" s="280"/>
      <c r="G111" s="280">
        <v>31.0</v>
      </c>
      <c r="H111" s="280">
        <v>70.0</v>
      </c>
      <c r="I111" s="280"/>
      <c r="J111" s="280">
        <v>17.0</v>
      </c>
      <c r="K111" s="280"/>
      <c r="L111" s="280"/>
      <c r="M111" s="281"/>
      <c r="N111" s="280"/>
      <c r="O111" s="280"/>
      <c r="P111" s="280"/>
      <c r="Q111" s="280"/>
      <c r="R111" s="290"/>
      <c r="S111" s="281"/>
      <c r="T111" s="291"/>
      <c r="U111" s="281"/>
      <c r="V111" s="281"/>
      <c r="W111" s="281"/>
    </row>
    <row r="112">
      <c r="A112" s="301"/>
      <c r="B112" s="422" t="s">
        <v>1866</v>
      </c>
      <c r="C112" s="307" t="s">
        <v>1867</v>
      </c>
      <c r="D112" s="289">
        <f>ROUND((F112*'Pawn Weights'!$B$60)+(G112*'Pawn Weights'!$B$61)+(H112*'Pawn Weights'!$B$62)+(I112*'Pawn Weights'!$B$63)+(J112*'Pawn Weights'!$B$64)+(K112*'Pawn Weights'!$B$65)+(L112*'Pawn Weights'!$B$66)+(M112*'Pawn Weights'!$B$67)+(N112*'Pawn Weights'!$B$68)+(O112*'Pawn Weights'!$B$69)+(P112*'Pawn Weights'!$B$70)+(Q112*'Pawn Weights'!$B$71), 2)</f>
        <v>142.4</v>
      </c>
      <c r="E112" s="280"/>
      <c r="F112" s="280"/>
      <c r="G112" s="280">
        <v>40.0</v>
      </c>
      <c r="H112" s="280">
        <v>46.0</v>
      </c>
      <c r="I112" s="280"/>
      <c r="J112" s="280">
        <v>20.0</v>
      </c>
      <c r="K112" s="280"/>
      <c r="L112" s="280"/>
      <c r="M112" s="281"/>
      <c r="N112" s="280"/>
      <c r="O112" s="280"/>
      <c r="P112" s="280"/>
      <c r="Q112" s="280"/>
      <c r="R112" s="290"/>
      <c r="S112" s="281"/>
      <c r="T112" s="291"/>
      <c r="U112" s="281"/>
      <c r="V112" s="281"/>
      <c r="W112" s="281"/>
    </row>
    <row r="113">
      <c r="A113" s="301"/>
      <c r="B113" s="422" t="s">
        <v>1868</v>
      </c>
      <c r="C113" s="307" t="s">
        <v>1869</v>
      </c>
      <c r="D113" s="289">
        <f>ROUND((F113*'Pawn Weights'!$B$60)+(G113*'Pawn Weights'!$B$61)+(H113*'Pawn Weights'!$B$62)+(I113*'Pawn Weights'!$B$63)+(J113*'Pawn Weights'!$B$64)+(K113*'Pawn Weights'!$B$65)+(L113*'Pawn Weights'!$B$66)+(M113*'Pawn Weights'!$B$67)+(N113*'Pawn Weights'!$B$68)+(O113*'Pawn Weights'!$B$69)+(P113*'Pawn Weights'!$B$70)+(Q113*'Pawn Weights'!$B$71), 2)</f>
        <v>141.52</v>
      </c>
      <c r="E113" s="280">
        <v>29.0</v>
      </c>
      <c r="F113" s="280"/>
      <c r="G113" s="280">
        <v>28.0</v>
      </c>
      <c r="H113" s="280">
        <v>40.0</v>
      </c>
      <c r="I113" s="280"/>
      <c r="J113" s="280"/>
      <c r="K113" s="280"/>
      <c r="L113" s="280"/>
      <c r="M113" s="281"/>
      <c r="N113" s="280"/>
      <c r="O113" s="280">
        <v>1.0</v>
      </c>
      <c r="P113" s="280">
        <v>1.0</v>
      </c>
      <c r="Q113" s="280">
        <v>1.0</v>
      </c>
      <c r="R113" s="290" t="s">
        <v>1841</v>
      </c>
      <c r="S113" s="281"/>
      <c r="T113" s="291"/>
      <c r="U113" s="281"/>
      <c r="V113" s="281"/>
      <c r="W113" s="281"/>
    </row>
    <row r="114">
      <c r="A114" s="301"/>
      <c r="B114" s="422" t="s">
        <v>1870</v>
      </c>
      <c r="C114" s="307" t="s">
        <v>1214</v>
      </c>
      <c r="D114" s="289">
        <f>ROUND((F114*'Pawn Weights'!$B$60)+(G114*'Pawn Weights'!$B$61)+(H114*'Pawn Weights'!$B$62)+(I114*'Pawn Weights'!$B$63)+(J114*'Pawn Weights'!$B$64)+(K114*'Pawn Weights'!$B$65)+(L114*'Pawn Weights'!$B$66)+(M114*'Pawn Weights'!$B$67)+(N114*'Pawn Weights'!$B$68)+(O114*'Pawn Weights'!$B$69)+(P114*'Pawn Weights'!$B$70)+(Q114*'Pawn Weights'!$B$71)-35.2+33.36+7.88, 2)</f>
        <v>140.36</v>
      </c>
      <c r="E114" s="280">
        <v>28.0</v>
      </c>
      <c r="F114" s="280"/>
      <c r="G114" s="280"/>
      <c r="H114" s="280">
        <v>50.0</v>
      </c>
      <c r="I114" s="280">
        <v>16.0</v>
      </c>
      <c r="J114" s="280"/>
      <c r="K114" s="280"/>
      <c r="L114" s="280"/>
      <c r="M114" s="281"/>
      <c r="N114" s="280"/>
      <c r="O114" s="280">
        <v>1.0</v>
      </c>
      <c r="P114" s="280">
        <v>2.0</v>
      </c>
      <c r="Q114" s="280"/>
      <c r="R114" s="290" t="s">
        <v>624</v>
      </c>
      <c r="S114" s="281"/>
      <c r="T114" s="291"/>
      <c r="U114" s="281"/>
      <c r="V114" s="281"/>
      <c r="W114" s="281"/>
    </row>
    <row r="115">
      <c r="A115" s="301"/>
      <c r="B115" s="422" t="s">
        <v>1777</v>
      </c>
      <c r="C115" s="307" t="s">
        <v>1778</v>
      </c>
      <c r="D115" s="289">
        <f>ROUND((F115*'Pawn Weights'!$B$60)+(G115*'Pawn Weights'!$B$61)+(H115*'Pawn Weights'!$B$62)+(I115*'Pawn Weights'!$B$63)+(J115*'Pawn Weights'!$B$64)+(K115*'Pawn Weights'!$B$65)+(L115*'Pawn Weights'!$B$66)+(M115*'Pawn Weights'!$B$67)+(N115*'Pawn Weights'!$B$68)+(O115*'Pawn Weights'!$B$69)+(P115*'Pawn Weights'!$B$70)+(Q115*'Pawn Weights'!$B$71), 2)</f>
        <v>133.37</v>
      </c>
      <c r="E115" s="280">
        <v>35.0</v>
      </c>
      <c r="F115" s="280"/>
      <c r="G115" s="280"/>
      <c r="H115" s="280">
        <v>92.0</v>
      </c>
      <c r="I115" s="280">
        <v>21.0</v>
      </c>
      <c r="J115" s="280"/>
      <c r="K115" s="280"/>
      <c r="L115" s="280"/>
      <c r="M115" s="281"/>
      <c r="N115" s="280"/>
      <c r="O115" s="280"/>
      <c r="P115" s="280"/>
      <c r="Q115" s="280"/>
      <c r="R115" s="290"/>
      <c r="S115" s="281"/>
      <c r="T115" s="291"/>
      <c r="U115" s="281"/>
      <c r="V115" s="281"/>
      <c r="W115" s="281"/>
    </row>
    <row r="116">
      <c r="A116" s="301"/>
      <c r="B116" s="422" t="s">
        <v>1871</v>
      </c>
      <c r="C116" s="307" t="s">
        <v>1307</v>
      </c>
      <c r="D116" s="289">
        <f>ROUND((F116*'Pawn Weights'!$B$60)+(G116*'Pawn Weights'!$B$61)+(H116*'Pawn Weights'!$B$62)+(I116*'Pawn Weights'!$B$63)+(J116*'Pawn Weights'!$B$64)+(K116*'Pawn Weights'!$B$65)+(L116*'Pawn Weights'!$B$66)+(M116*'Pawn Weights'!$B$67)+(N116*'Pawn Weights'!$B$68)+(O116*'Pawn Weights'!$B$69)+(P116*'Pawn Weights'!$B$70)+(Q116*'Pawn Weights'!$B$71), 2)</f>
        <v>127.6</v>
      </c>
      <c r="E116" s="280">
        <v>30.0</v>
      </c>
      <c r="F116" s="280"/>
      <c r="G116" s="280">
        <v>20.0</v>
      </c>
      <c r="H116" s="280">
        <v>40.0</v>
      </c>
      <c r="I116" s="280"/>
      <c r="J116" s="280"/>
      <c r="K116" s="280"/>
      <c r="L116" s="280"/>
      <c r="M116" s="281"/>
      <c r="N116" s="280"/>
      <c r="O116" s="280">
        <v>2.0</v>
      </c>
      <c r="P116" s="280"/>
      <c r="Q116" s="280">
        <v>1.0</v>
      </c>
      <c r="R116" s="290" t="s">
        <v>622</v>
      </c>
      <c r="S116" s="281"/>
      <c r="T116" s="291"/>
      <c r="U116" s="281"/>
      <c r="V116" s="281"/>
      <c r="W116" s="281"/>
    </row>
    <row r="117">
      <c r="A117" s="301"/>
      <c r="B117" s="305" t="s">
        <v>1872</v>
      </c>
      <c r="C117" s="307" t="s">
        <v>1106</v>
      </c>
      <c r="D117" s="289">
        <f>ROUND((F117*'Pawn Weights'!$B$60)+(G117*'Pawn Weights'!$B$61)+(H117*'Pawn Weights'!$B$62)+(I117*'Pawn Weights'!$B$63)+(J117*'Pawn Weights'!$B$64)+(K117*'Pawn Weights'!$B$65)+(L117*'Pawn Weights'!$B$66)+(M117*'Pawn Weights'!$B$67)+(N117*'Pawn Weights'!$B$68)+(O117*'Pawn Weights'!$B$69)+(P117*'Pawn Weights'!$B$70)+(Q117*'Pawn Weights'!$B$71), 2)</f>
        <v>127.28</v>
      </c>
      <c r="E117" s="280">
        <v>33.0</v>
      </c>
      <c r="F117" s="280"/>
      <c r="G117" s="280"/>
      <c r="H117" s="280">
        <v>80.0</v>
      </c>
      <c r="I117" s="280">
        <v>24.0</v>
      </c>
      <c r="J117" s="280"/>
      <c r="K117" s="280"/>
      <c r="L117" s="280"/>
      <c r="M117" s="281"/>
      <c r="N117" s="280"/>
      <c r="O117" s="280"/>
      <c r="P117" s="280"/>
      <c r="Q117" s="280"/>
      <c r="R117" s="290"/>
      <c r="S117" s="281"/>
      <c r="T117" s="291"/>
      <c r="U117" s="281"/>
      <c r="V117" s="281"/>
      <c r="W117" s="281"/>
    </row>
    <row r="118">
      <c r="A118" s="301"/>
      <c r="B118" s="422" t="s">
        <v>1873</v>
      </c>
      <c r="C118" s="307" t="s">
        <v>1874</v>
      </c>
      <c r="D118" s="289">
        <f>ROUND((F118*'Pawn Weights'!$B$60)+(G118*'Pawn Weights'!$B$61)+(H118*'Pawn Weights'!$B$62)+(I118*'Pawn Weights'!$B$63)+(J118*'Pawn Weights'!$B$64)+(K118*'Pawn Weights'!$B$65)+(L118*'Pawn Weights'!$B$66)+(M118*'Pawn Weights'!$B$67)+(N118*'Pawn Weights'!$B$68)+(O118*'Pawn Weights'!$B$69)+(P118*'Pawn Weights'!$B$70)+(Q118*'Pawn Weights'!$B$71), 2)</f>
        <v>125.68</v>
      </c>
      <c r="E118" s="280">
        <v>24.0</v>
      </c>
      <c r="F118" s="280"/>
      <c r="G118" s="280">
        <v>32.0</v>
      </c>
      <c r="H118" s="280">
        <v>70.0</v>
      </c>
      <c r="I118" s="280"/>
      <c r="J118" s="280"/>
      <c r="K118" s="280"/>
      <c r="L118" s="280"/>
      <c r="M118" s="281"/>
      <c r="N118" s="280"/>
      <c r="O118" s="280"/>
      <c r="P118" s="280"/>
      <c r="Q118" s="280"/>
      <c r="R118" s="290"/>
      <c r="S118" s="281"/>
      <c r="T118" s="291"/>
      <c r="U118" s="281"/>
      <c r="V118" s="281"/>
      <c r="W118" s="281"/>
    </row>
    <row r="119">
      <c r="A119" s="272" t="s">
        <v>779</v>
      </c>
      <c r="B119" s="281"/>
      <c r="C119" s="281"/>
      <c r="D119" s="360"/>
      <c r="E119" s="281"/>
      <c r="F119" s="281"/>
      <c r="G119" s="281"/>
      <c r="H119" s="281"/>
      <c r="I119" s="281"/>
      <c r="J119" s="281"/>
      <c r="K119" s="281"/>
      <c r="L119" s="281"/>
      <c r="M119" s="281"/>
      <c r="N119" s="281"/>
      <c r="O119" s="281"/>
      <c r="P119" s="281"/>
      <c r="Q119" s="281"/>
      <c r="R119" s="282"/>
      <c r="S119" s="281"/>
      <c r="T119" s="285"/>
      <c r="U119" s="281"/>
      <c r="V119" s="281"/>
      <c r="W119" s="281"/>
    </row>
    <row r="120">
      <c r="A120" s="137"/>
      <c r="B120" s="341" t="s">
        <v>795</v>
      </c>
      <c r="C120" s="361" t="s">
        <v>691</v>
      </c>
      <c r="D120" s="289">
        <f>ROUND((F120*'Pawn Weights'!$B$60)+(G120*'Pawn Weights'!$B$61)+(H120*'Pawn Weights'!$B$62)+(I120*'Pawn Weights'!$B$63)+(J120*'Pawn Weights'!$B$64)+(K120*'Pawn Weights'!$B$65)+(L120*'Pawn Weights'!$B$66)+(M120*'Pawn Weights'!$B$67)+(N120*'Pawn Weights'!$B$68)+(O120*'Pawn Weights'!$B$69)+(P120*'Pawn Weights'!$B$70)+(Q120*'Pawn Weights'!$B$71)-17.6+16.68+3.94, 2)</f>
        <v>135.66</v>
      </c>
      <c r="E120" s="359">
        <v>22.0</v>
      </c>
      <c r="F120" s="361"/>
      <c r="G120" s="359">
        <v>17.0</v>
      </c>
      <c r="H120" s="359">
        <v>50.0</v>
      </c>
      <c r="I120" s="359">
        <v>18.0</v>
      </c>
      <c r="J120" s="361"/>
      <c r="K120" s="361"/>
      <c r="L120" s="361"/>
      <c r="M120" s="361"/>
      <c r="N120" s="361"/>
      <c r="O120" s="361"/>
      <c r="P120" s="359">
        <v>1.0</v>
      </c>
      <c r="Q120" s="361"/>
      <c r="R120" s="359" t="s">
        <v>736</v>
      </c>
      <c r="S120" s="137"/>
      <c r="T120" s="137"/>
      <c r="U120" s="137"/>
      <c r="V120" s="137"/>
      <c r="W120" s="137"/>
      <c r="X120" s="137"/>
      <c r="Y120" s="137"/>
      <c r="Z120" s="137"/>
    </row>
    <row r="121">
      <c r="A121" s="137" t="s">
        <v>627</v>
      </c>
      <c r="B121" s="341" t="s">
        <v>787</v>
      </c>
      <c r="C121" s="361" t="s">
        <v>788</v>
      </c>
      <c r="D121" s="289">
        <f>ROUND((F121*'Pawn Weights'!$B$60)+(G121*'Pawn Weights'!$B$61)+(H121*'Pawn Weights'!$B$62)+(I121*'Pawn Weights'!$B$63)+(J121*'Pawn Weights'!$B$64)+(K121*'Pawn Weights'!$B$65)+(L121*'Pawn Weights'!$B$66)+(M121*'Pawn Weights'!$B$67)+(N121*'Pawn Weights'!$B$68)+(O121*'Pawn Weights'!$B$69)+(P121*'Pawn Weights'!$B$70)+(Q121*'Pawn Weights'!$B$71), 2)</f>
        <v>127.37</v>
      </c>
      <c r="E121" s="359">
        <v>15.0</v>
      </c>
      <c r="F121" s="361"/>
      <c r="G121" s="359">
        <v>21.0</v>
      </c>
      <c r="H121" s="359">
        <v>56.0</v>
      </c>
      <c r="I121" s="361"/>
      <c r="J121" s="361"/>
      <c r="K121" s="359">
        <v>27.0</v>
      </c>
      <c r="L121" s="361"/>
      <c r="M121" s="361"/>
      <c r="N121" s="361"/>
      <c r="O121" s="361"/>
      <c r="P121" s="361"/>
      <c r="Q121" s="361"/>
      <c r="R121" s="137"/>
      <c r="S121" s="137"/>
      <c r="T121" s="137"/>
      <c r="U121" s="137"/>
      <c r="V121" s="137"/>
      <c r="W121" s="137"/>
      <c r="X121" s="137"/>
      <c r="Y121" s="137"/>
      <c r="Z121" s="137"/>
    </row>
    <row r="122">
      <c r="A122" s="137" t="s">
        <v>627</v>
      </c>
      <c r="B122" s="341" t="s">
        <v>796</v>
      </c>
      <c r="C122" s="361" t="s">
        <v>788</v>
      </c>
      <c r="D122" s="289">
        <f>ROUND((F122*'Pawn Weights'!$B$60)+(G122*'Pawn Weights'!$B$61)+(H122*'Pawn Weights'!$B$62)+(I122*'Pawn Weights'!$B$63)+(J122*'Pawn Weights'!$B$64)+(K122*'Pawn Weights'!$B$65)+(L122*'Pawn Weights'!$B$66)+(M122*'Pawn Weights'!$B$67)+(N122*'Pawn Weights'!$B$68)+(O122*'Pawn Weights'!$B$69)+(P122*'Pawn Weights'!$B$70)+(Q122*'Pawn Weights'!$B$71), 2)</f>
        <v>119.63</v>
      </c>
      <c r="E122" s="359">
        <v>34.0</v>
      </c>
      <c r="F122" s="361"/>
      <c r="G122" s="359">
        <v>20.0</v>
      </c>
      <c r="H122" s="359">
        <v>50.0</v>
      </c>
      <c r="I122" s="361"/>
      <c r="J122" s="361"/>
      <c r="K122" s="359">
        <v>27.0</v>
      </c>
      <c r="L122" s="361"/>
      <c r="M122" s="361"/>
      <c r="N122" s="361"/>
      <c r="O122" s="361"/>
      <c r="P122" s="361"/>
      <c r="Q122" s="361"/>
      <c r="R122" s="137"/>
      <c r="S122" s="137"/>
      <c r="T122" s="137"/>
      <c r="U122" s="137"/>
      <c r="V122" s="137"/>
      <c r="W122" s="137"/>
      <c r="X122" s="137"/>
      <c r="Y122" s="137"/>
      <c r="Z122" s="137"/>
    </row>
    <row r="123">
      <c r="A123" s="281"/>
      <c r="B123" s="288" t="s">
        <v>1092</v>
      </c>
      <c r="C123" s="280" t="s">
        <v>957</v>
      </c>
      <c r="D123" s="289">
        <f>ROUND((F123*'Pawn Weights'!$B$60)+(G123*'Pawn Weights'!$B$61)+(H123*'Pawn Weights'!$B$62)+(I123*'Pawn Weights'!$B$63)+(J123*'Pawn Weights'!$B$64)+(K123*'Pawn Weights'!$B$65)+(L123*'Pawn Weights'!$B$66)+(M123*'Pawn Weights'!$B$67)+(N123*'Pawn Weights'!$B$68)+(O123*'Pawn Weights'!$B$69)+(P123*'Pawn Weights'!$B$70)+(Q123*'Pawn Weights'!$B$71), 2)</f>
        <v>114.88</v>
      </c>
      <c r="E123" s="280">
        <v>18.0</v>
      </c>
      <c r="F123" s="280"/>
      <c r="G123" s="280"/>
      <c r="H123" s="280">
        <v>50.0</v>
      </c>
      <c r="I123" s="280">
        <v>24.0</v>
      </c>
      <c r="J123" s="280"/>
      <c r="K123" s="280"/>
      <c r="L123" s="280"/>
      <c r="M123" s="280"/>
      <c r="N123" s="280"/>
      <c r="O123" s="280"/>
      <c r="P123" s="280">
        <v>1.0</v>
      </c>
      <c r="Q123" s="280"/>
      <c r="R123" s="290" t="s">
        <v>674</v>
      </c>
      <c r="S123" s="281"/>
      <c r="T123" s="294"/>
      <c r="U123" s="281"/>
      <c r="V123" s="281"/>
      <c r="W123" s="281"/>
      <c r="X123" s="281"/>
    </row>
    <row r="124">
      <c r="A124" s="281"/>
      <c r="B124" s="288" t="s">
        <v>1207</v>
      </c>
      <c r="C124" s="307" t="s">
        <v>871</v>
      </c>
      <c r="D124" s="289">
        <f>ROUND((F124*'Pawn Weights'!$B$60)+(G124*'Pawn Weights'!$B$61)+(H124*'Pawn Weights'!$B$62)+(I124*'Pawn Weights'!$B$63)+(J124*'Pawn Weights'!$B$64)+(K124*'Pawn Weights'!$B$65)+(L124*'Pawn Weights'!$B$66)+(M124*'Pawn Weights'!$B$67)+(N124*'Pawn Weights'!$B$68)+(O124*'Pawn Weights'!$B$69)+(P124*'Pawn Weights'!$B$70)+(Q124*'Pawn Weights'!$B$71), 2)</f>
        <v>111.36</v>
      </c>
      <c r="E124" s="280">
        <v>24.0</v>
      </c>
      <c r="F124" s="280"/>
      <c r="G124" s="280">
        <v>24.0</v>
      </c>
      <c r="H124" s="280">
        <v>52.0</v>
      </c>
      <c r="I124" s="280"/>
      <c r="J124" s="280"/>
      <c r="K124" s="280"/>
      <c r="L124" s="280"/>
      <c r="M124" s="280"/>
      <c r="N124" s="280"/>
      <c r="O124" s="280"/>
      <c r="P124" s="280"/>
      <c r="Q124" s="280">
        <v>1.0</v>
      </c>
      <c r="R124" s="290" t="s">
        <v>660</v>
      </c>
      <c r="S124" s="281"/>
      <c r="T124" s="294"/>
      <c r="U124" s="281"/>
      <c r="V124" s="281"/>
      <c r="W124" s="281"/>
      <c r="X124" s="281"/>
    </row>
    <row r="125">
      <c r="A125" s="281"/>
      <c r="B125" s="288" t="s">
        <v>1337</v>
      </c>
      <c r="C125" s="307" t="s">
        <v>1338</v>
      </c>
      <c r="D125" s="289">
        <f>ROUND((F125*'Pawn Weights'!$B$60)+(G125*'Pawn Weights'!$B$61)+(H125*'Pawn Weights'!$B$62)+(I125*'Pawn Weights'!$B$63)+(J125*'Pawn Weights'!$B$64)+(K125*'Pawn Weights'!$B$65)+(L125*'Pawn Weights'!$B$66)+(M125*'Pawn Weights'!$B$67)+(N125*'Pawn Weights'!$B$68)+(O125*'Pawn Weights'!$B$69)+(P125*'Pawn Weights'!$B$70)+(Q125*'Pawn Weights'!$B$71), 2)</f>
        <v>111.07</v>
      </c>
      <c r="E125" s="280"/>
      <c r="F125" s="280"/>
      <c r="G125" s="280">
        <v>17.0</v>
      </c>
      <c r="H125" s="280">
        <v>48.0</v>
      </c>
      <c r="I125" s="280">
        <v>17.0</v>
      </c>
      <c r="J125" s="280"/>
      <c r="K125" s="280"/>
      <c r="L125" s="280"/>
      <c r="M125" s="280"/>
      <c r="N125" s="280"/>
      <c r="O125" s="280"/>
      <c r="P125" s="280"/>
      <c r="Q125" s="280"/>
      <c r="R125" s="290"/>
      <c r="S125" s="281"/>
      <c r="T125" s="294"/>
      <c r="U125" s="281"/>
      <c r="V125" s="281"/>
      <c r="W125" s="281"/>
      <c r="X125" s="281"/>
    </row>
    <row r="126">
      <c r="A126" s="137" t="s">
        <v>671</v>
      </c>
      <c r="B126" s="296" t="s">
        <v>1339</v>
      </c>
      <c r="C126" s="297" t="s">
        <v>1090</v>
      </c>
      <c r="D126" s="289">
        <f>ROUND((F126*'Pawn Weights'!$B$60)+(G126*'Pawn Weights'!$B$61)+(H126*'Pawn Weights'!$B$62)+(I126*'Pawn Weights'!$B$63)+(J126*'Pawn Weights'!$B$64)+(K126*'Pawn Weights'!$B$65)+(L126*'Pawn Weights'!$B$66)+(M126*'Pawn Weights'!$B$67)+(N126*'Pawn Weights'!$B$68)+(O126*'Pawn Weights'!$B$69)+(P126*'Pawn Weights'!$B$70)+(Q126*'Pawn Weights'!$B$71), 2)</f>
        <v>108.88</v>
      </c>
      <c r="E126" s="298">
        <v>37.0</v>
      </c>
      <c r="F126" s="298">
        <v>28.0</v>
      </c>
      <c r="G126" s="295"/>
      <c r="H126" s="295"/>
      <c r="I126" s="298">
        <v>24.0</v>
      </c>
      <c r="J126" s="295"/>
      <c r="K126" s="295"/>
      <c r="L126" s="295"/>
      <c r="M126" s="295"/>
      <c r="N126" s="295"/>
      <c r="O126" s="295"/>
      <c r="P126" s="295"/>
      <c r="Q126" s="295"/>
      <c r="R126" s="298" t="s">
        <v>1340</v>
      </c>
      <c r="S126" s="137"/>
      <c r="T126" s="295" t="s">
        <v>850</v>
      </c>
      <c r="U126" s="137"/>
      <c r="V126" s="137"/>
      <c r="W126" s="137"/>
      <c r="X126" s="137"/>
      <c r="Y126" s="137"/>
      <c r="Z126" s="137"/>
    </row>
    <row r="127" ht="14.25" customHeight="1">
      <c r="A127" s="281"/>
      <c r="B127" s="288" t="s">
        <v>1208</v>
      </c>
      <c r="C127" s="280" t="s">
        <v>1209</v>
      </c>
      <c r="D127" s="289">
        <f>ROUND((F127*'Pawn Weights'!$B$60)+(G127*'Pawn Weights'!$B$61)+(H127*'Pawn Weights'!$B$62)+(I127*'Pawn Weights'!$B$63)+(J127*'Pawn Weights'!$B$64)+(K127*'Pawn Weights'!$B$65)+(L127*'Pawn Weights'!$B$66)+(M127*'Pawn Weights'!$B$67)+(N127*'Pawn Weights'!$B$68)+(O127*'Pawn Weights'!$B$69)+(P127*'Pawn Weights'!$B$70)+(Q127*'Pawn Weights'!$B$71), 2)</f>
        <v>94.4</v>
      </c>
      <c r="E127" s="280">
        <v>18.0</v>
      </c>
      <c r="F127" s="280"/>
      <c r="G127" s="280">
        <v>20.0</v>
      </c>
      <c r="H127" s="280">
        <v>42.0</v>
      </c>
      <c r="I127" s="280"/>
      <c r="J127" s="280"/>
      <c r="K127" s="280"/>
      <c r="L127" s="280"/>
      <c r="M127" s="280"/>
      <c r="N127" s="280"/>
      <c r="O127" s="280"/>
      <c r="P127" s="280"/>
      <c r="Q127" s="280">
        <v>1.0</v>
      </c>
      <c r="R127" s="290" t="s">
        <v>660</v>
      </c>
      <c r="S127" s="281"/>
      <c r="T127" s="222"/>
      <c r="U127" s="281"/>
      <c r="V127" s="281"/>
      <c r="W127" s="281"/>
      <c r="X127" s="281"/>
    </row>
    <row r="128">
      <c r="A128" s="281"/>
      <c r="B128" s="288" t="s">
        <v>1565</v>
      </c>
      <c r="C128" s="280" t="s">
        <v>1566</v>
      </c>
      <c r="D128" s="289">
        <f>ROUND((F128*'Pawn Weights'!$B$60)+(G128*'Pawn Weights'!$B$61)+(H128*'Pawn Weights'!$B$62)+(I128*'Pawn Weights'!$B$63)+(J128*'Pawn Weights'!$B$64)+(K128*'Pawn Weights'!$B$65)+(L128*'Pawn Weights'!$B$66)+(M128*'Pawn Weights'!$B$67)+(N128*'Pawn Weights'!$B$68)+(O128*'Pawn Weights'!$B$69)+(P128*'Pawn Weights'!$B$70)+(Q128*'Pawn Weights'!$B$71), 2)</f>
        <v>93.34</v>
      </c>
      <c r="E128" s="280">
        <v>25.0</v>
      </c>
      <c r="F128" s="280"/>
      <c r="G128" s="280"/>
      <c r="H128" s="280">
        <v>50.0</v>
      </c>
      <c r="I128" s="280">
        <v>22.0</v>
      </c>
      <c r="J128" s="280"/>
      <c r="K128" s="280"/>
      <c r="L128" s="280"/>
      <c r="M128" s="280"/>
      <c r="N128" s="280"/>
      <c r="O128" s="280"/>
      <c r="P128" s="280"/>
      <c r="Q128" s="280"/>
      <c r="R128" s="290"/>
      <c r="S128" s="281"/>
      <c r="T128" s="222"/>
      <c r="U128" s="281"/>
      <c r="V128" s="281"/>
      <c r="W128" s="281"/>
      <c r="X128" s="281"/>
    </row>
    <row r="129">
      <c r="A129" s="301" t="s">
        <v>627</v>
      </c>
      <c r="B129" s="288" t="s">
        <v>1468</v>
      </c>
      <c r="C129" s="307" t="s">
        <v>1464</v>
      </c>
      <c r="D129" s="289">
        <f>ROUND((F129*'Pawn Weights'!$B$60)+(G129*'Pawn Weights'!$B$61)+(H129*'Pawn Weights'!$B$62)+(I129*'Pawn Weights'!$B$63)+(J129*'Pawn Weights'!$B$64)+(K129*'Pawn Weights'!$B$65)+(L129*'Pawn Weights'!$B$66)+(M129*'Pawn Weights'!$B$67)+(N129*'Pawn Weights'!$B$68)+(O129*'Pawn Weights'!$B$69)+(P129*'Pawn Weights'!$B$70)+(Q129*'Pawn Weights'!$B$71)-17.6+16.68+3.48, 2)</f>
        <v>91.65</v>
      </c>
      <c r="E129" s="280">
        <v>25.0</v>
      </c>
      <c r="F129" s="280"/>
      <c r="G129" s="280"/>
      <c r="H129" s="280">
        <v>38.0</v>
      </c>
      <c r="I129" s="280">
        <v>17.0</v>
      </c>
      <c r="J129" s="280"/>
      <c r="K129" s="280"/>
      <c r="L129" s="280"/>
      <c r="M129" s="280"/>
      <c r="N129" s="280"/>
      <c r="O129" s="280"/>
      <c r="P129" s="280">
        <v>1.0</v>
      </c>
      <c r="Q129" s="280"/>
      <c r="R129" s="290" t="s">
        <v>711</v>
      </c>
      <c r="S129" s="281"/>
      <c r="T129" s="294" t="s">
        <v>1469</v>
      </c>
      <c r="U129" s="281"/>
      <c r="V129" s="281"/>
      <c r="W129" s="281"/>
      <c r="X129" s="281"/>
    </row>
    <row r="130" ht="4.5" customHeight="1">
      <c r="A130" s="292" t="s">
        <v>627</v>
      </c>
      <c r="B130" s="288" t="s">
        <v>1215</v>
      </c>
      <c r="C130" s="307" t="s">
        <v>1216</v>
      </c>
      <c r="D130" s="289">
        <f>ROUND((F130*'Pawn Weights'!$B$60)+(G130*'Pawn Weights'!$B$61)+(H130*'Pawn Weights'!$B$62)+(I130*'Pawn Weights'!$B$63)+(J130*'Pawn Weights'!$B$64)+(K130*'Pawn Weights'!$B$65)+(L130*'Pawn Weights'!$B$66)+(M130*'Pawn Weights'!$B$67)+(N130*'Pawn Weights'!$B$68)+(O130*'Pawn Weights'!$B$69)+(P130*'Pawn Weights'!$B$70)+(Q130*'Pawn Weights'!$B$71), 2)</f>
        <v>90.1</v>
      </c>
      <c r="E130" s="280">
        <v>21.0</v>
      </c>
      <c r="F130" s="280"/>
      <c r="G130" s="280">
        <v>15.0</v>
      </c>
      <c r="H130" s="280">
        <v>64.0</v>
      </c>
      <c r="I130" s="280"/>
      <c r="J130" s="280"/>
      <c r="K130" s="280"/>
      <c r="L130" s="280"/>
      <c r="M130" s="280"/>
      <c r="N130" s="280"/>
      <c r="O130" s="280"/>
      <c r="P130" s="280"/>
      <c r="Q130" s="280"/>
      <c r="R130" s="290"/>
      <c r="S130" s="281"/>
      <c r="T130" s="294"/>
      <c r="U130" s="281"/>
      <c r="V130" s="281"/>
      <c r="W130" s="281"/>
      <c r="X130" s="281"/>
    </row>
    <row r="131">
      <c r="A131" s="281"/>
      <c r="B131" s="288" t="s">
        <v>1213</v>
      </c>
      <c r="C131" s="280" t="s">
        <v>1214</v>
      </c>
      <c r="D131" s="289">
        <f>ROUND((F131*'Pawn Weights'!$B$60)+(G131*'Pawn Weights'!$B$61)+(H131*'Pawn Weights'!$B$62)+(I131*'Pawn Weights'!$B$63)+(J131*'Pawn Weights'!$B$64)+(K131*'Pawn Weights'!$B$65)+(L131*'Pawn Weights'!$B$66)+(M131*'Pawn Weights'!$B$67)+(N131*'Pawn Weights'!$B$68)+(O131*'Pawn Weights'!$B$69)+(P131*'Pawn Weights'!$B$70)+(Q131*'Pawn Weights'!$B$71), 2)</f>
        <v>87.76</v>
      </c>
      <c r="E131" s="280">
        <v>22.0</v>
      </c>
      <c r="F131" s="280"/>
      <c r="G131" s="280">
        <v>24.0</v>
      </c>
      <c r="H131" s="280">
        <v>46.0</v>
      </c>
      <c r="I131" s="280"/>
      <c r="J131" s="280"/>
      <c r="K131" s="280"/>
      <c r="L131" s="280"/>
      <c r="M131" s="280"/>
      <c r="N131" s="280"/>
      <c r="O131" s="280"/>
      <c r="P131" s="280"/>
      <c r="Q131" s="280"/>
      <c r="R131" s="290"/>
      <c r="S131" s="281"/>
      <c r="T131" s="222"/>
      <c r="U131" s="281"/>
      <c r="V131" s="281"/>
      <c r="W131" s="281"/>
      <c r="X131" s="281"/>
    </row>
    <row r="132">
      <c r="A132" s="301" t="s">
        <v>627</v>
      </c>
      <c r="B132" s="311" t="s">
        <v>1470</v>
      </c>
      <c r="C132" s="280" t="s">
        <v>1471</v>
      </c>
      <c r="D132" s="289">
        <f>ROUND((F132*'Pawn Weights'!$B$60)+(G132*'Pawn Weights'!$B$61)+(H132*'Pawn Weights'!$B$62)+(I132*'Pawn Weights'!$B$63)+(J132*'Pawn Weights'!$B$64)+(K132*'Pawn Weights'!$B$65)+(L132*'Pawn Weights'!$B$66)+(M132*'Pawn Weights'!$B$67)+(N132*'Pawn Weights'!$B$68)+(O132*'Pawn Weights'!$B$69)+(P132*'Pawn Weights'!$B$70)+(Q132*'Pawn Weights'!$B$71), 2)</f>
        <v>86.92</v>
      </c>
      <c r="E132" s="280"/>
      <c r="F132" s="280"/>
      <c r="G132" s="280">
        <v>18.0</v>
      </c>
      <c r="H132" s="280">
        <v>38.0</v>
      </c>
      <c r="I132" s="280"/>
      <c r="J132" s="280"/>
      <c r="K132" s="280"/>
      <c r="L132" s="280"/>
      <c r="M132" s="280"/>
      <c r="N132" s="280"/>
      <c r="O132" s="280"/>
      <c r="P132" s="280"/>
      <c r="Q132" s="280">
        <v>1.0</v>
      </c>
      <c r="R132" s="290" t="s">
        <v>674</v>
      </c>
      <c r="S132" s="281"/>
      <c r="T132" s="294" t="s">
        <v>1472</v>
      </c>
      <c r="U132" s="281"/>
      <c r="V132" s="281"/>
      <c r="W132" s="281"/>
      <c r="X132" s="281"/>
    </row>
    <row r="133">
      <c r="A133" s="292"/>
      <c r="B133" s="288" t="s">
        <v>1875</v>
      </c>
      <c r="C133" s="307" t="s">
        <v>1222</v>
      </c>
      <c r="D133" s="289">
        <f>ROUND((F133*'Pawn Weights'!$B$60)+(G133*'Pawn Weights'!$B$61)+(H133*'Pawn Weights'!$B$62)+(I133*'Pawn Weights'!$B$63)+(J133*'Pawn Weights'!$B$64)+(K133*'Pawn Weights'!$B$65)+(L133*'Pawn Weights'!$B$66)+(M133*'Pawn Weights'!$B$67)+(N133*'Pawn Weights'!$B$68)+(O133*'Pawn Weights'!$B$69)+(P133*'Pawn Weights'!$B$70)+(Q133*'Pawn Weights'!$B$71), 2)</f>
        <v>80.54</v>
      </c>
      <c r="E133" s="280">
        <v>18.0</v>
      </c>
      <c r="F133" s="280"/>
      <c r="G133" s="280">
        <v>21.0</v>
      </c>
      <c r="H133" s="280">
        <v>44.0</v>
      </c>
      <c r="I133" s="280"/>
      <c r="J133" s="280"/>
      <c r="K133" s="280"/>
      <c r="L133" s="280"/>
      <c r="M133" s="280"/>
      <c r="N133" s="280"/>
      <c r="O133" s="280"/>
      <c r="P133" s="280"/>
      <c r="Q133" s="280"/>
      <c r="R133" s="290"/>
      <c r="S133" s="281"/>
      <c r="T133" s="294"/>
      <c r="U133" s="281"/>
      <c r="V133" s="281"/>
      <c r="W133" s="281"/>
      <c r="X133" s="281"/>
    </row>
    <row r="134">
      <c r="A134" s="281"/>
      <c r="B134" s="311" t="s">
        <v>1780</v>
      </c>
      <c r="C134" s="280" t="s">
        <v>1781</v>
      </c>
      <c r="D134" s="289">
        <f>ROUND((F134*'Pawn Weights'!$B$60)+(G134*'Pawn Weights'!$B$61)+(H134*'Pawn Weights'!$B$62)+(I134*'Pawn Weights'!$B$63)+(J134*'Pawn Weights'!$B$64)+(K134*'Pawn Weights'!$B$65)+(L134*'Pawn Weights'!$B$66)+(M134*'Pawn Weights'!$B$67)+(N134*'Pawn Weights'!$B$68)+(O134*'Pawn Weights'!$B$69)+(P134*'Pawn Weights'!$B$70)+(Q134*'Pawn Weights'!$B$71), 2)</f>
        <v>77.4</v>
      </c>
      <c r="E134" s="280">
        <v>18.0</v>
      </c>
      <c r="F134" s="280"/>
      <c r="G134" s="280"/>
      <c r="H134" s="280">
        <v>38.0</v>
      </c>
      <c r="I134" s="280">
        <v>20.0</v>
      </c>
      <c r="J134" s="280"/>
      <c r="K134" s="280"/>
      <c r="L134" s="280"/>
      <c r="M134" s="280"/>
      <c r="N134" s="280"/>
      <c r="O134" s="280"/>
      <c r="P134" s="280"/>
      <c r="Q134" s="280"/>
      <c r="R134" s="290"/>
      <c r="S134" s="281"/>
      <c r="T134" s="222"/>
      <c r="U134" s="281"/>
      <c r="V134" s="281"/>
      <c r="W134" s="281"/>
      <c r="X134" s="281"/>
    </row>
    <row r="135">
      <c r="A135" s="281"/>
      <c r="B135" s="322" t="s">
        <v>1571</v>
      </c>
      <c r="C135" s="280" t="s">
        <v>1572</v>
      </c>
      <c r="D135" s="289">
        <f>ROUND((F135*'Pawn Weights'!$B$60)+(G135*'Pawn Weights'!$B$61)+(H135*'Pawn Weights'!$B$62)+(I135*'Pawn Weights'!$B$63)+(J135*'Pawn Weights'!$B$64)+(K135*'Pawn Weights'!$B$65)+(L135*'Pawn Weights'!$B$66)+(M135*'Pawn Weights'!$B$67)+(N135*'Pawn Weights'!$B$68)+(O135*'Pawn Weights'!$B$69)+(P135*'Pawn Weights'!$B$70)+(Q135*'Pawn Weights'!$B$71), 2)</f>
        <v>74.94</v>
      </c>
      <c r="E135" s="280"/>
      <c r="F135" s="280"/>
      <c r="G135" s="280">
        <v>12.0</v>
      </c>
      <c r="H135" s="280">
        <v>42.0</v>
      </c>
      <c r="I135" s="280"/>
      <c r="J135" s="280">
        <v>9.0</v>
      </c>
      <c r="K135" s="280"/>
      <c r="L135" s="280"/>
      <c r="M135" s="280"/>
      <c r="N135" s="280"/>
      <c r="O135" s="280"/>
      <c r="P135" s="280"/>
      <c r="Q135" s="280"/>
      <c r="R135" s="290"/>
      <c r="S135" s="281"/>
      <c r="T135" s="222"/>
      <c r="U135" s="281"/>
      <c r="V135" s="281"/>
      <c r="W135" s="281"/>
      <c r="X135" s="281"/>
    </row>
    <row r="136">
      <c r="A136" s="281"/>
      <c r="B136" s="311" t="s">
        <v>1779</v>
      </c>
      <c r="C136" s="280" t="s">
        <v>1761</v>
      </c>
      <c r="D136" s="289">
        <f>ROUND((F136*'Pawn Weights'!$B$60)+(G136*'Pawn Weights'!$B$61)+(H136*'Pawn Weights'!$B$62)+(I136*'Pawn Weights'!$B$63)+(J136*'Pawn Weights'!$B$64)+(K136*'Pawn Weights'!$B$65)+(L136*'Pawn Weights'!$B$66)+(M136*'Pawn Weights'!$B$67)+(N136*'Pawn Weights'!$B$68)+(O136*'Pawn Weights'!$B$69)+(P136*'Pawn Weights'!$B$70)+(Q136*'Pawn Weights'!$B$71), 2)</f>
        <v>74.8</v>
      </c>
      <c r="E136" s="280">
        <v>18.0</v>
      </c>
      <c r="F136" s="280"/>
      <c r="G136" s="280">
        <v>20.0</v>
      </c>
      <c r="H136" s="280">
        <v>40.0</v>
      </c>
      <c r="I136" s="280"/>
      <c r="J136" s="280"/>
      <c r="K136" s="280"/>
      <c r="L136" s="280"/>
      <c r="M136" s="280"/>
      <c r="N136" s="280"/>
      <c r="O136" s="280"/>
      <c r="P136" s="280"/>
      <c r="Q136" s="280"/>
      <c r="R136" s="290"/>
      <c r="S136" s="281"/>
      <c r="T136" s="222"/>
      <c r="U136" s="281"/>
      <c r="V136" s="281"/>
      <c r="W136" s="281"/>
      <c r="X136" s="281"/>
    </row>
    <row r="137">
      <c r="A137" s="281"/>
      <c r="B137" s="311" t="s">
        <v>1876</v>
      </c>
      <c r="C137" s="280" t="s">
        <v>1665</v>
      </c>
      <c r="D137" s="289">
        <f>ROUND((F137*'Pawn Weights'!$B$60)+(G137*'Pawn Weights'!$B$61)+(H137*'Pawn Weights'!$B$62)+(I137*'Pawn Weights'!$B$63)+(J137*'Pawn Weights'!$B$64)+(K137*'Pawn Weights'!$B$65)+(L137*'Pawn Weights'!$B$66)+(M137*'Pawn Weights'!$B$67)+(N137*'Pawn Weights'!$B$68)+(O137*'Pawn Weights'!$B$69)+(P137*'Pawn Weights'!$B$70)+(Q137*'Pawn Weights'!$B$71), 2)</f>
        <v>71.61</v>
      </c>
      <c r="E137" s="280"/>
      <c r="F137" s="280"/>
      <c r="G137" s="280"/>
      <c r="H137" s="280">
        <v>46.0</v>
      </c>
      <c r="I137" s="280">
        <v>13.0</v>
      </c>
      <c r="J137" s="280"/>
      <c r="K137" s="280"/>
      <c r="L137" s="280"/>
      <c r="M137" s="280"/>
      <c r="N137" s="280"/>
      <c r="O137" s="280"/>
      <c r="P137" s="280"/>
      <c r="Q137" s="280"/>
      <c r="R137" s="290"/>
      <c r="S137" s="281"/>
      <c r="T137" s="222"/>
      <c r="U137" s="281"/>
      <c r="V137" s="281"/>
      <c r="W137" s="281"/>
      <c r="X137" s="281"/>
    </row>
    <row r="138">
      <c r="A138" s="292"/>
      <c r="B138" s="288" t="s">
        <v>1877</v>
      </c>
      <c r="C138" s="280" t="s">
        <v>1878</v>
      </c>
      <c r="D138" s="289">
        <f>ROUND((F138*'Pawn Weights'!$B$60)+(G138*'Pawn Weights'!$B$61)+(H138*'Pawn Weights'!$B$62)+(I138*'Pawn Weights'!$B$63)+(J138*'Pawn Weights'!$B$64)+(K138*'Pawn Weights'!$B$65)+(L138*'Pawn Weights'!$B$66)+(M138*'Pawn Weights'!$B$67)+(N138*'Pawn Weights'!$B$68)+(O138*'Pawn Weights'!$B$69)+(P138*'Pawn Weights'!$B$70)+(Q138*'Pawn Weights'!$B$71), 2)</f>
        <v>70.92</v>
      </c>
      <c r="E138" s="280">
        <v>27.0</v>
      </c>
      <c r="F138" s="280">
        <v>18.0</v>
      </c>
      <c r="G138" s="280">
        <v>18.0</v>
      </c>
      <c r="H138" s="280"/>
      <c r="I138" s="280"/>
      <c r="J138" s="280"/>
      <c r="K138" s="280"/>
      <c r="L138" s="280"/>
      <c r="M138" s="280"/>
      <c r="N138" s="280"/>
      <c r="O138" s="280"/>
      <c r="P138" s="280"/>
      <c r="Q138" s="280"/>
      <c r="R138" s="290"/>
      <c r="S138" s="281"/>
      <c r="T138" s="222"/>
      <c r="U138" s="281"/>
      <c r="V138" s="281"/>
      <c r="W138" s="281"/>
      <c r="X138" s="281"/>
    </row>
    <row r="139">
      <c r="A139" s="292"/>
      <c r="B139" s="288" t="s">
        <v>1879</v>
      </c>
      <c r="C139" s="280" t="s">
        <v>1880</v>
      </c>
      <c r="D139" s="289">
        <f>ROUND((F139*'Pawn Weights'!$B$60)+(G139*'Pawn Weights'!$B$61)+(H139*'Pawn Weights'!$B$62)+(I139*'Pawn Weights'!$B$63)+(J139*'Pawn Weights'!$B$64)+(K139*'Pawn Weights'!$B$65)+(L139*'Pawn Weights'!$B$66)+(M139*'Pawn Weights'!$B$67)+(N139*'Pawn Weights'!$B$68)+(O139*'Pawn Weights'!$B$69)+(P139*'Pawn Weights'!$B$70)+(Q139*'Pawn Weights'!$B$71), 2)</f>
        <v>69.06</v>
      </c>
      <c r="E139" s="280">
        <v>16.0</v>
      </c>
      <c r="F139" s="280"/>
      <c r="G139" s="280">
        <v>19.0</v>
      </c>
      <c r="H139" s="280">
        <v>36.0</v>
      </c>
      <c r="I139" s="280"/>
      <c r="J139" s="280"/>
      <c r="K139" s="280"/>
      <c r="L139" s="280"/>
      <c r="M139" s="280"/>
      <c r="N139" s="280"/>
      <c r="O139" s="280"/>
      <c r="P139" s="280"/>
      <c r="Q139" s="280"/>
      <c r="R139" s="290"/>
      <c r="S139" s="281"/>
      <c r="T139" s="222"/>
      <c r="U139" s="281"/>
      <c r="V139" s="281"/>
      <c r="W139" s="281"/>
      <c r="X139" s="281"/>
    </row>
    <row r="140">
      <c r="A140" s="281"/>
      <c r="B140" s="311" t="s">
        <v>1210</v>
      </c>
      <c r="C140" s="280" t="s">
        <v>1211</v>
      </c>
      <c r="D140" s="289">
        <f>ROUND((F140*'Pawn Weights'!$B$60)+(G140*'Pawn Weights'!$B$61)+(H140*'Pawn Weights'!$B$62)+(I140*'Pawn Weights'!$B$63)+(J140*'Pawn Weights'!$B$64)+(K140*'Pawn Weights'!$B$65)+(L140*'Pawn Weights'!$B$66)+(M140*'Pawn Weights'!$B$67)+(N140*'Pawn Weights'!$B$68)+(O140*'Pawn Weights'!$B$69)+(P140*'Pawn Weights'!$B$70)+(Q140*'Pawn Weights'!$B$71), 2)</f>
        <v>69.02</v>
      </c>
      <c r="E140" s="280">
        <v>15.0</v>
      </c>
      <c r="F140" s="280"/>
      <c r="G140" s="280">
        <v>18.0</v>
      </c>
      <c r="H140" s="280"/>
      <c r="I140" s="280"/>
      <c r="J140" s="280">
        <v>15.0</v>
      </c>
      <c r="K140" s="280"/>
      <c r="L140" s="280"/>
      <c r="M140" s="280"/>
      <c r="N140" s="280"/>
      <c r="O140" s="280">
        <v>1.0</v>
      </c>
      <c r="P140" s="280"/>
      <c r="Q140" s="280"/>
      <c r="R140" s="290" t="s">
        <v>1212</v>
      </c>
      <c r="S140" s="281"/>
      <c r="T140" s="222"/>
      <c r="U140" s="281"/>
      <c r="V140" s="281"/>
      <c r="W140" s="281"/>
      <c r="X140" s="281"/>
    </row>
    <row r="141">
      <c r="A141" s="272" t="s">
        <v>800</v>
      </c>
      <c r="B141" s="281"/>
      <c r="C141" s="281"/>
      <c r="D141" s="360"/>
      <c r="E141" s="281"/>
      <c r="F141" s="281"/>
      <c r="G141" s="281"/>
      <c r="H141" s="281"/>
      <c r="I141" s="281"/>
      <c r="J141" s="281"/>
      <c r="K141" s="281"/>
      <c r="L141" s="281"/>
      <c r="M141" s="281"/>
      <c r="N141" s="281"/>
      <c r="O141" s="281"/>
      <c r="P141" s="281"/>
      <c r="Q141" s="281"/>
      <c r="R141" s="282"/>
      <c r="S141" s="281"/>
      <c r="T141" s="285"/>
      <c r="U141" s="281"/>
      <c r="V141" s="281"/>
      <c r="W141" s="281"/>
    </row>
    <row r="142">
      <c r="A142" s="137" t="s">
        <v>627</v>
      </c>
      <c r="B142" s="341" t="s">
        <v>801</v>
      </c>
      <c r="C142" s="361" t="s">
        <v>802</v>
      </c>
      <c r="D142" s="289">
        <f>ROUND((F142*'Pawn Weights'!$B$60)+(G142*'Pawn Weights'!$B$61)+(H142*'Pawn Weights'!$B$62)+(I142*'Pawn Weights'!$B$63)+(J142*'Pawn Weights'!$B$64)+(K142*'Pawn Weights'!$B$65)+(L142*'Pawn Weights'!$B$66)+(M142*'Pawn Weights'!$B$67)+(N142*'Pawn Weights'!$B$68)+(O142*'Pawn Weights'!$B$69)+(P142*'Pawn Weights'!$B$70)+(Q142*'Pawn Weights'!$B$71)+5.91, 2)</f>
        <v>276.29</v>
      </c>
      <c r="E142" s="359">
        <v>33.0</v>
      </c>
      <c r="F142" s="361"/>
      <c r="G142" s="359">
        <v>30.0</v>
      </c>
      <c r="H142" s="359">
        <v>90.0</v>
      </c>
      <c r="I142" s="359">
        <v>30.0</v>
      </c>
      <c r="J142" s="361"/>
      <c r="K142" s="361"/>
      <c r="L142" s="361"/>
      <c r="M142" s="359">
        <v>154.0</v>
      </c>
      <c r="N142" s="361"/>
      <c r="O142" s="359">
        <v>2.0</v>
      </c>
      <c r="P142" s="361"/>
      <c r="Q142" s="361"/>
      <c r="R142" s="359" t="s">
        <v>702</v>
      </c>
      <c r="S142" s="137"/>
      <c r="T142" s="137"/>
      <c r="U142" s="137"/>
      <c r="V142" s="137"/>
      <c r="W142" s="137"/>
      <c r="X142" s="137"/>
      <c r="Y142" s="137"/>
      <c r="Z142" s="137"/>
    </row>
    <row r="143">
      <c r="A143" s="137" t="s">
        <v>627</v>
      </c>
      <c r="B143" s="341" t="s">
        <v>808</v>
      </c>
      <c r="C143" s="361" t="s">
        <v>802</v>
      </c>
      <c r="D143" s="289">
        <f>ROUND((F143*'Pawn Weights'!$B$60)+(G143*'Pawn Weights'!$B$61)+(H143*'Pawn Weights'!$B$62)+(I143*'Pawn Weights'!$B$63)+(J143*'Pawn Weights'!$B$64)+(K143*'Pawn Weights'!$B$65)+(L143*'Pawn Weights'!$B$66)+(M143*'Pawn Weights'!$B$67)+(N143*'Pawn Weights'!$B$68)+(O143*'Pawn Weights'!$B$69)+(P143*'Pawn Weights'!$B$70)+(Q143*'Pawn Weights'!$B$71)-35.2+33.36+6, 2)</f>
        <v>211.42</v>
      </c>
      <c r="E143" s="359">
        <v>33.0</v>
      </c>
      <c r="F143" s="361"/>
      <c r="G143" s="359">
        <v>30.0</v>
      </c>
      <c r="H143" s="359">
        <v>76.0</v>
      </c>
      <c r="I143" s="361"/>
      <c r="J143" s="361"/>
      <c r="K143" s="359">
        <v>34.0</v>
      </c>
      <c r="L143" s="361"/>
      <c r="M143" s="137"/>
      <c r="N143" s="361"/>
      <c r="O143" s="361"/>
      <c r="P143" s="359">
        <v>2.0</v>
      </c>
      <c r="Q143" s="361"/>
      <c r="R143" s="359" t="s">
        <v>809</v>
      </c>
      <c r="S143" s="137"/>
      <c r="T143" s="137"/>
      <c r="U143" s="137"/>
      <c r="V143" s="137"/>
      <c r="W143" s="137"/>
      <c r="X143" s="137"/>
      <c r="Y143" s="137"/>
      <c r="Z143" s="137"/>
    </row>
    <row r="144">
      <c r="A144" s="137"/>
      <c r="B144" s="341" t="s">
        <v>817</v>
      </c>
      <c r="C144" s="361" t="s">
        <v>818</v>
      </c>
      <c r="D144" s="289">
        <f>ROUND((F144*'Pawn Weights'!$B$60)+(G144*'Pawn Weights'!$B$61)+(H144*'Pawn Weights'!$B$62)+(I144*'Pawn Weights'!$B$63)+(J144*'Pawn Weights'!$B$64)+(K144*'Pawn Weights'!$B$65)+(L144*'Pawn Weights'!$B$66)+(M144*'Pawn Weights'!$B$67)+(N144*'Pawn Weights'!$B$68)+(O144*'Pawn Weights'!$B$69)+(P144*'Pawn Weights'!$B$70)+(Q144*'Pawn Weights'!$B$71)-17.6+16.68+3.48, 2)</f>
        <v>188.84</v>
      </c>
      <c r="E144" s="359">
        <v>30.0</v>
      </c>
      <c r="F144" s="361"/>
      <c r="G144" s="359">
        <v>34.0</v>
      </c>
      <c r="H144" s="359">
        <v>78.0</v>
      </c>
      <c r="I144" s="359">
        <v>16.0</v>
      </c>
      <c r="J144" s="361"/>
      <c r="K144" s="361"/>
      <c r="L144" s="361"/>
      <c r="M144" s="137"/>
      <c r="N144" s="361"/>
      <c r="O144" s="361"/>
      <c r="P144" s="359">
        <v>1.0</v>
      </c>
      <c r="Q144" s="361"/>
      <c r="R144" s="359" t="s">
        <v>711</v>
      </c>
      <c r="S144" s="137"/>
      <c r="T144" s="137"/>
      <c r="U144" s="137"/>
      <c r="V144" s="137"/>
      <c r="W144" s="137"/>
      <c r="X144" s="137"/>
      <c r="Y144" s="137"/>
      <c r="Z144" s="137"/>
    </row>
    <row r="145">
      <c r="B145" s="288" t="s">
        <v>1094</v>
      </c>
      <c r="C145" s="280" t="s">
        <v>1025</v>
      </c>
      <c r="D145" s="289">
        <f>ROUND((F145*'Pawn Weights'!$B$60)+(G145*'Pawn Weights'!$B$61)+(H145*'Pawn Weights'!$B$62)+(I145*'Pawn Weights'!$B$63)+(J145*'Pawn Weights'!$B$64)+(K145*'Pawn Weights'!$B$65)+(L145*'Pawn Weights'!$B$66)+(M145*'Pawn Weights'!$B$67)+(N145*'Pawn Weights'!$B$68)+(O145*'Pawn Weights'!$B$69)+(P145*'Pawn Weights'!$B$70)+(Q145*'Pawn Weights'!$B$71), 2)</f>
        <v>177.42</v>
      </c>
      <c r="E145" s="280">
        <v>37.0</v>
      </c>
      <c r="F145" s="280"/>
      <c r="G145" s="280">
        <v>33.0</v>
      </c>
      <c r="H145" s="280">
        <v>66.0</v>
      </c>
      <c r="I145" s="280"/>
      <c r="J145" s="280"/>
      <c r="K145" s="280"/>
      <c r="L145" s="280">
        <v>18.0</v>
      </c>
      <c r="M145" s="281"/>
      <c r="N145" s="280"/>
      <c r="O145" s="280"/>
      <c r="P145" s="280"/>
      <c r="Q145" s="280"/>
      <c r="R145" s="290"/>
      <c r="S145" s="281"/>
      <c r="T145" s="291" t="s">
        <v>1192</v>
      </c>
      <c r="U145" s="281"/>
      <c r="V145" s="281"/>
      <c r="W145" s="281"/>
    </row>
    <row r="146">
      <c r="A146" s="301"/>
      <c r="B146" s="288" t="s">
        <v>824</v>
      </c>
      <c r="C146" s="280" t="s">
        <v>825</v>
      </c>
      <c r="D146" s="289">
        <f>ROUND((F146*'Pawn Weights'!$B$60)+(G146*'Pawn Weights'!$B$61)+(H146*'Pawn Weights'!$B$62)+(I146*'Pawn Weights'!$B$63)+(J146*'Pawn Weights'!$B$64)+(K146*'Pawn Weights'!$B$65)+(L146*'Pawn Weights'!$B$66)+(M146*'Pawn Weights'!$B$67)+(N146*'Pawn Weights'!$B$68)+(O146*'Pawn Weights'!$B$69)+(P146*'Pawn Weights'!$B$70)+(Q146*'Pawn Weights'!$B$71), 2)</f>
        <v>158.42</v>
      </c>
      <c r="E146" s="280">
        <v>31.0</v>
      </c>
      <c r="F146" s="280"/>
      <c r="G146" s="280"/>
      <c r="H146" s="280">
        <v>72.0</v>
      </c>
      <c r="I146" s="280">
        <v>26.0</v>
      </c>
      <c r="J146" s="280"/>
      <c r="K146" s="280"/>
      <c r="L146" s="280"/>
      <c r="M146" s="281"/>
      <c r="N146" s="280"/>
      <c r="O146" s="280"/>
      <c r="P146" s="280"/>
      <c r="Q146" s="280">
        <v>2.0</v>
      </c>
      <c r="R146" s="290" t="s">
        <v>702</v>
      </c>
      <c r="S146" s="281"/>
      <c r="T146" s="291"/>
      <c r="U146" s="281"/>
      <c r="V146" s="281"/>
      <c r="W146" s="281"/>
    </row>
    <row r="147">
      <c r="A147" s="295" t="s">
        <v>635</v>
      </c>
      <c r="B147" s="296" t="s">
        <v>1343</v>
      </c>
      <c r="C147" s="297" t="s">
        <v>637</v>
      </c>
      <c r="D147" s="289">
        <f>ROUND((F147*'Pawn Weights'!$B$60)+(G147*'Pawn Weights'!$B$61)+(H147*'Pawn Weights'!$B$62)+(I147*'Pawn Weights'!$B$63)+(J147*'Pawn Weights'!$B$64)+(K147*'Pawn Weights'!$B$65)+(L147*'Pawn Weights'!$B$66)+(M147*'Pawn Weights'!$B$67)+(N147*'Pawn Weights'!$B$68)+(O147*'Pawn Weights'!$B$69)+(P147*'Pawn Weights'!$B$70)+(Q147*'Pawn Weights'!$B$71), 2)</f>
        <v>156.49</v>
      </c>
      <c r="E147" s="298">
        <v>58.0</v>
      </c>
      <c r="F147" s="298">
        <v>38.0</v>
      </c>
      <c r="G147" s="297"/>
      <c r="H147" s="297"/>
      <c r="I147" s="298">
        <v>37.0</v>
      </c>
      <c r="J147" s="297"/>
      <c r="K147" s="297"/>
      <c r="L147" s="297"/>
      <c r="M147" s="137"/>
      <c r="N147" s="297"/>
      <c r="O147" s="297"/>
      <c r="P147" s="297"/>
      <c r="Q147" s="297"/>
      <c r="R147" s="295"/>
      <c r="S147" s="137"/>
      <c r="T147" s="297" t="s">
        <v>827</v>
      </c>
      <c r="U147" s="137"/>
      <c r="V147" s="137"/>
      <c r="W147" s="137"/>
      <c r="X147" s="137"/>
      <c r="Y147" s="137"/>
      <c r="Z147" s="137"/>
    </row>
    <row r="148">
      <c r="B148" s="288" t="s">
        <v>1223</v>
      </c>
      <c r="C148" s="280" t="s">
        <v>1224</v>
      </c>
      <c r="D148" s="289">
        <f>ROUND((F148*'Pawn Weights'!$B$60)+(G148*'Pawn Weights'!$B$61)+(H148*'Pawn Weights'!$B$62)+(I148*'Pawn Weights'!$B$63)+(J148*'Pawn Weights'!$B$64)+(K148*'Pawn Weights'!$B$65)+(L148*'Pawn Weights'!$B$66)+(M148*'Pawn Weights'!$B$67)+(N148*'Pawn Weights'!$B$68)+(O148*'Pawn Weights'!$B$69)+(P148*'Pawn Weights'!$B$70)+(Q148*'Pawn Weights'!$B$71), 2)</f>
        <v>155.46</v>
      </c>
      <c r="E148" s="280">
        <v>34.0</v>
      </c>
      <c r="F148" s="280"/>
      <c r="G148" s="280">
        <v>29.0</v>
      </c>
      <c r="H148" s="280">
        <v>60.0</v>
      </c>
      <c r="I148" s="280"/>
      <c r="J148" s="280"/>
      <c r="K148" s="280"/>
      <c r="L148" s="280">
        <v>15.0</v>
      </c>
      <c r="M148" s="281"/>
      <c r="N148" s="280"/>
      <c r="O148" s="280"/>
      <c r="P148" s="280"/>
      <c r="Q148" s="280"/>
      <c r="R148" s="290"/>
      <c r="S148" s="281"/>
      <c r="T148" s="291"/>
      <c r="U148" s="281"/>
      <c r="V148" s="281"/>
      <c r="W148" s="281"/>
    </row>
    <row r="149">
      <c r="A149" s="301" t="s">
        <v>647</v>
      </c>
      <c r="B149" s="288" t="s">
        <v>1342</v>
      </c>
      <c r="C149" s="280" t="s">
        <v>957</v>
      </c>
      <c r="D149" s="289">
        <f>ROUND((F149*'Pawn Weights'!$B$60)+(G149*'Pawn Weights'!$B$61)+(H149*'Pawn Weights'!$B$62)+(I149*'Pawn Weights'!$B$63)+(J149*'Pawn Weights'!$B$64)+(K149*'Pawn Weights'!$B$65)+(L149*'Pawn Weights'!$B$66)+(M149*'Pawn Weights'!$B$67)+(N149*'Pawn Weights'!$B$68)+(O149*'Pawn Weights'!$B$69)+(P149*'Pawn Weights'!$B$70)+(Q149*'Pawn Weights'!$B$71), 2)</f>
        <v>150.92</v>
      </c>
      <c r="E149" s="280">
        <v>34.0</v>
      </c>
      <c r="F149" s="280">
        <v>35.0</v>
      </c>
      <c r="G149" s="280">
        <v>24.0</v>
      </c>
      <c r="H149" s="280"/>
      <c r="I149" s="280"/>
      <c r="J149" s="280">
        <v>24.0</v>
      </c>
      <c r="K149" s="280"/>
      <c r="L149" s="280"/>
      <c r="M149" s="281"/>
      <c r="N149" s="280"/>
      <c r="O149" s="280"/>
      <c r="P149" s="280"/>
      <c r="Q149" s="280"/>
      <c r="R149" s="290"/>
      <c r="S149" s="281"/>
      <c r="T149" s="291"/>
      <c r="U149" s="281"/>
      <c r="V149" s="281"/>
      <c r="W149" s="281"/>
    </row>
    <row r="150">
      <c r="A150" s="25" t="s">
        <v>627</v>
      </c>
      <c r="B150" s="311" t="s">
        <v>1097</v>
      </c>
      <c r="C150" s="280" t="s">
        <v>904</v>
      </c>
      <c r="D150" s="289">
        <f>ROUND((F150*'Pawn Weights'!$B$60)+(G150*'Pawn Weights'!$B$61)+(H150*'Pawn Weights'!$B$62)+(I150*'Pawn Weights'!$B$63)+(J150*'Pawn Weights'!$B$64)+(K150*'Pawn Weights'!$B$65)+(L150*'Pawn Weights'!$B$66)+(M150*'Pawn Weights'!$B$67)+(N150*'Pawn Weights'!$B$68)+(O150*'Pawn Weights'!$B$69)+(P150*'Pawn Weights'!$B$70)+(Q150*'Pawn Weights'!$B$71)-17.6+16.68+6, 2)</f>
        <v>146.34</v>
      </c>
      <c r="E150" s="280"/>
      <c r="F150" s="280"/>
      <c r="G150" s="280"/>
      <c r="H150" s="280">
        <v>36.0</v>
      </c>
      <c r="I150" s="280">
        <v>24.0</v>
      </c>
      <c r="J150" s="280">
        <v>17.0</v>
      </c>
      <c r="K150" s="280"/>
      <c r="L150" s="280"/>
      <c r="M150" s="281"/>
      <c r="N150" s="280"/>
      <c r="O150" s="280">
        <v>1.0</v>
      </c>
      <c r="P150" s="280">
        <v>1.0</v>
      </c>
      <c r="Q150" s="280"/>
      <c r="R150" s="290" t="s">
        <v>809</v>
      </c>
      <c r="S150" s="281"/>
      <c r="T150" s="291"/>
      <c r="U150" s="281"/>
      <c r="V150" s="281"/>
      <c r="W150" s="281"/>
    </row>
    <row r="151">
      <c r="B151" s="288" t="s">
        <v>1221</v>
      </c>
      <c r="C151" s="280" t="s">
        <v>1222</v>
      </c>
      <c r="D151" s="289">
        <f>ROUND((F151*'Pawn Weights'!$B$60)+(G151*'Pawn Weights'!$B$61)+(H151*'Pawn Weights'!$B$62)+(I151*'Pawn Weights'!$B$63)+(J151*'Pawn Weights'!$B$64)+(K151*'Pawn Weights'!$B$65)+(L151*'Pawn Weights'!$B$66)+(M151*'Pawn Weights'!$B$67)+(N151*'Pawn Weights'!$B$68)+(O151*'Pawn Weights'!$B$69)+(P151*'Pawn Weights'!$B$70)+(Q151*'Pawn Weights'!$B$71), 2)</f>
        <v>138.1</v>
      </c>
      <c r="E151" s="280">
        <v>22.0</v>
      </c>
      <c r="F151" s="280"/>
      <c r="G151" s="280">
        <v>35.0</v>
      </c>
      <c r="H151" s="280">
        <v>42.0</v>
      </c>
      <c r="I151" s="280"/>
      <c r="J151" s="280"/>
      <c r="K151" s="280"/>
      <c r="L151" s="280"/>
      <c r="M151" s="281"/>
      <c r="N151" s="280"/>
      <c r="O151" s="280">
        <v>1.0</v>
      </c>
      <c r="P151" s="280"/>
      <c r="Q151" s="280">
        <v>1.0</v>
      </c>
      <c r="R151" s="290" t="s">
        <v>702</v>
      </c>
      <c r="S151" s="281"/>
      <c r="T151" s="291"/>
      <c r="U151" s="281"/>
      <c r="V151" s="281"/>
      <c r="W151" s="281"/>
    </row>
    <row r="152">
      <c r="A152" s="137" t="s">
        <v>644</v>
      </c>
      <c r="B152" s="296" t="s">
        <v>1474</v>
      </c>
      <c r="C152" s="297" t="s">
        <v>1475</v>
      </c>
      <c r="D152" s="289">
        <f>ROUND((F152*'Pawn Weights'!$B$60)+(G152*'Pawn Weights'!$B$61)+(H152*'Pawn Weights'!$B$62)+(I152*'Pawn Weights'!$B$63)+(J152*'Pawn Weights'!$B$64)+(K152*'Pawn Weights'!$B$65)+(L152*'Pawn Weights'!$B$66)+(M152*'Pawn Weights'!$B$67)+(N152*'Pawn Weights'!$B$68)+(O152*'Pawn Weights'!$B$69)+(P152*'Pawn Weights'!$B$70)+(Q152*'Pawn Weights'!$B$71), 2)</f>
        <v>135.64</v>
      </c>
      <c r="E152" s="298">
        <v>51.0</v>
      </c>
      <c r="F152" s="298">
        <v>33.0</v>
      </c>
      <c r="G152" s="297"/>
      <c r="H152" s="297"/>
      <c r="I152" s="298">
        <v>32.0</v>
      </c>
      <c r="J152" s="297"/>
      <c r="K152" s="297"/>
      <c r="L152" s="297"/>
      <c r="M152" s="137"/>
      <c r="N152" s="297"/>
      <c r="O152" s="297"/>
      <c r="P152" s="297"/>
      <c r="Q152" s="297"/>
      <c r="R152" s="295"/>
      <c r="S152" s="137"/>
      <c r="T152" s="297" t="s">
        <v>1476</v>
      </c>
      <c r="U152" s="137"/>
      <c r="V152" s="137"/>
      <c r="W152" s="137"/>
      <c r="X152" s="137"/>
      <c r="Y152" s="137"/>
      <c r="Z152" s="137"/>
    </row>
    <row r="153">
      <c r="B153" s="288" t="s">
        <v>1473</v>
      </c>
      <c r="C153" s="280" t="s">
        <v>904</v>
      </c>
      <c r="D153" s="289">
        <f>ROUND((F153*'Pawn Weights'!$B$60)+(G153*'Pawn Weights'!$B$61)+(H153*'Pawn Weights'!$B$62)+(I153*'Pawn Weights'!$B$63)+(J153*'Pawn Weights'!$B$64)+(K153*'Pawn Weights'!$B$65)+(L153*'Pawn Weights'!$B$66)+(M153*'Pawn Weights'!$B$67)+(N153*'Pawn Weights'!$B$68)+(O153*'Pawn Weights'!$B$69)+(P153*'Pawn Weights'!$B$70)+(Q153*'Pawn Weights'!$B$71), 2)</f>
        <v>133.3</v>
      </c>
      <c r="E153" s="280">
        <v>25.0</v>
      </c>
      <c r="F153" s="280">
        <v>36.0</v>
      </c>
      <c r="G153" s="280">
        <v>18.0</v>
      </c>
      <c r="H153" s="280"/>
      <c r="I153" s="280"/>
      <c r="J153" s="280">
        <v>17.0</v>
      </c>
      <c r="K153" s="280"/>
      <c r="L153" s="280"/>
      <c r="M153" s="281"/>
      <c r="N153" s="280"/>
      <c r="O153" s="280"/>
      <c r="P153" s="280"/>
      <c r="Q153" s="280"/>
      <c r="R153" s="290"/>
      <c r="S153" s="281"/>
      <c r="T153" s="291"/>
      <c r="U153" s="281"/>
      <c r="V153" s="281"/>
      <c r="W153" s="281"/>
    </row>
    <row r="154" ht="15.0" customHeight="1">
      <c r="A154" s="301" t="s">
        <v>627</v>
      </c>
      <c r="B154" s="288" t="s">
        <v>1477</v>
      </c>
      <c r="C154" s="280" t="s">
        <v>904</v>
      </c>
      <c r="D154" s="289">
        <f>ROUND((F154*'Pawn Weights'!$B$60)+(G154*'Pawn Weights'!$B$61)+(H154*'Pawn Weights'!$B$62)+(I154*'Pawn Weights'!$B$63)+(J154*'Pawn Weights'!$B$64)+(K154*'Pawn Weights'!$B$65)+(L154*'Pawn Weights'!$B$66)+(M154*'Pawn Weights'!$B$67)+(N154*'Pawn Weights'!$B$68)+(O154*'Pawn Weights'!$B$69)+(P154*'Pawn Weights'!$B$70)+(Q154*'Pawn Weights'!$B$71), 2)</f>
        <v>126.05</v>
      </c>
      <c r="E154" s="280">
        <v>33.0</v>
      </c>
      <c r="F154" s="280"/>
      <c r="G154" s="280"/>
      <c r="H154" s="280">
        <v>50.0</v>
      </c>
      <c r="I154" s="280">
        <v>25.0</v>
      </c>
      <c r="J154" s="280">
        <v>20.0</v>
      </c>
      <c r="K154" s="280"/>
      <c r="L154" s="280"/>
      <c r="M154" s="281"/>
      <c r="N154" s="280"/>
      <c r="O154" s="280"/>
      <c r="P154" s="280"/>
      <c r="Q154" s="280"/>
      <c r="R154" s="290"/>
      <c r="S154" s="281"/>
      <c r="T154" s="291"/>
      <c r="U154" s="281"/>
      <c r="V154" s="281"/>
      <c r="W154" s="281"/>
    </row>
    <row r="155">
      <c r="A155" s="301" t="s">
        <v>654</v>
      </c>
      <c r="B155" s="288" t="s">
        <v>1881</v>
      </c>
      <c r="C155" s="280" t="s">
        <v>1116</v>
      </c>
      <c r="D155" s="289">
        <f>ROUND((F155*'Pawn Weights'!$B$60)+(G155*'Pawn Weights'!$B$61)+(H155*'Pawn Weights'!$B$62)+(I155*'Pawn Weights'!$B$63)+(J155*'Pawn Weights'!$B$64)+(K155*'Pawn Weights'!$B$65)+(L155*'Pawn Weights'!$B$66)+(M155*'Pawn Weights'!$B$67)+(N155*'Pawn Weights'!$B$68)+(O155*'Pawn Weights'!$B$69)+(P155*'Pawn Weights'!$B$70)+(Q155*'Pawn Weights'!$B$71), 2)</f>
        <v>121.4</v>
      </c>
      <c r="E155" s="280">
        <v>26.0</v>
      </c>
      <c r="F155" s="280">
        <v>27.0</v>
      </c>
      <c r="G155" s="280">
        <v>21.0</v>
      </c>
      <c r="H155" s="280"/>
      <c r="I155" s="280"/>
      <c r="J155" s="280">
        <v>19.0</v>
      </c>
      <c r="K155" s="280"/>
      <c r="L155" s="280"/>
      <c r="M155" s="281"/>
      <c r="N155" s="280"/>
      <c r="O155" s="280"/>
      <c r="P155" s="280"/>
      <c r="Q155" s="280"/>
      <c r="R155" s="290"/>
      <c r="S155" s="281"/>
      <c r="T155" s="291"/>
      <c r="U155" s="281"/>
      <c r="V155" s="281"/>
      <c r="W155" s="281"/>
    </row>
    <row r="156">
      <c r="A156" s="301" t="s">
        <v>1068</v>
      </c>
      <c r="B156" s="288" t="s">
        <v>1882</v>
      </c>
      <c r="C156" s="280" t="s">
        <v>997</v>
      </c>
      <c r="D156" s="289">
        <f>ROUND((F156*'Pawn Weights'!$B$60)+(G156*'Pawn Weights'!$B$61)+(H156*'Pawn Weights'!$B$62)+(I156*'Pawn Weights'!$B$63)+(J156*'Pawn Weights'!$B$64)+(K156*'Pawn Weights'!$B$65)+(L156*'Pawn Weights'!$B$66)+(M156*'Pawn Weights'!$B$67)+(N156*'Pawn Weights'!$B$68)+(O156*'Pawn Weights'!$B$69)+(P156*'Pawn Weights'!$B$70)+(Q156*'Pawn Weights'!$B$71), 2)</f>
        <v>120.93</v>
      </c>
      <c r="E156" s="280">
        <v>45.0</v>
      </c>
      <c r="F156" s="280">
        <v>29.0</v>
      </c>
      <c r="G156" s="280"/>
      <c r="H156" s="280"/>
      <c r="I156" s="280">
        <v>29.0</v>
      </c>
      <c r="J156" s="280"/>
      <c r="K156" s="280"/>
      <c r="L156" s="280"/>
      <c r="M156" s="281"/>
      <c r="N156" s="280"/>
      <c r="O156" s="280"/>
      <c r="P156" s="280"/>
      <c r="Q156" s="280"/>
      <c r="R156" s="290"/>
      <c r="S156" s="281"/>
      <c r="T156" s="291"/>
      <c r="U156" s="281"/>
      <c r="V156" s="281"/>
      <c r="W156" s="281"/>
    </row>
    <row r="157">
      <c r="B157" s="288" t="s">
        <v>1883</v>
      </c>
      <c r="C157" s="280" t="s">
        <v>1566</v>
      </c>
      <c r="D157" s="289">
        <f>ROUND((F157*'Pawn Weights'!$B$60)+(G157*'Pawn Weights'!$B$61)+(H157*'Pawn Weights'!$B$62)+(I157*'Pawn Weights'!$B$63)+(J157*'Pawn Weights'!$B$64)+(K157*'Pawn Weights'!$B$65)+(L157*'Pawn Weights'!$B$66)+(M157*'Pawn Weights'!$B$67)+(N157*'Pawn Weights'!$B$68)+(O157*'Pawn Weights'!$B$69)+(P157*'Pawn Weights'!$B$70)+(Q157*'Pawn Weights'!$B$71), 2)</f>
        <v>120.69</v>
      </c>
      <c r="E157" s="280">
        <v>22.0</v>
      </c>
      <c r="F157" s="280"/>
      <c r="G157" s="280"/>
      <c r="H157" s="280">
        <v>52.0</v>
      </c>
      <c r="I157" s="280">
        <v>17.0</v>
      </c>
      <c r="J157" s="280"/>
      <c r="K157" s="280"/>
      <c r="L157" s="280"/>
      <c r="M157" s="281"/>
      <c r="N157" s="280"/>
      <c r="O157" s="280">
        <v>1.0</v>
      </c>
      <c r="P157" s="280"/>
      <c r="Q157" s="280">
        <v>1.0</v>
      </c>
      <c r="R157" s="290" t="s">
        <v>695</v>
      </c>
      <c r="S157" s="281"/>
      <c r="T157" s="291"/>
      <c r="U157" s="281"/>
      <c r="V157" s="281"/>
      <c r="W157" s="281"/>
    </row>
    <row r="158">
      <c r="A158" s="25"/>
      <c r="B158" s="311" t="s">
        <v>1782</v>
      </c>
      <c r="C158" s="280" t="s">
        <v>1783</v>
      </c>
      <c r="D158" s="289">
        <f>ROUND((F158*'Pawn Weights'!$B$60)+(G158*'Pawn Weights'!$B$61)+(H158*'Pawn Weights'!$B$62)+(I158*'Pawn Weights'!$B$63)+(J158*'Pawn Weights'!$B$64)+(K158*'Pawn Weights'!$B$65)+(L158*'Pawn Weights'!$B$66)+(M158*'Pawn Weights'!$B$67)+(N158*'Pawn Weights'!$B$68)+(O158*'Pawn Weights'!$B$69)+(P158*'Pawn Weights'!$B$70)+(Q158*'Pawn Weights'!$B$71), 2)</f>
        <v>120.18</v>
      </c>
      <c r="E158" s="280">
        <v>20.0</v>
      </c>
      <c r="F158" s="280"/>
      <c r="G158" s="280">
        <v>27.0</v>
      </c>
      <c r="H158" s="280">
        <v>38.0</v>
      </c>
      <c r="I158" s="280"/>
      <c r="J158" s="280"/>
      <c r="K158" s="280"/>
      <c r="L158" s="280"/>
      <c r="M158" s="281"/>
      <c r="N158" s="280"/>
      <c r="O158" s="280">
        <v>1.0</v>
      </c>
      <c r="P158" s="280"/>
      <c r="Q158" s="280">
        <v>1.0</v>
      </c>
      <c r="R158" s="290" t="s">
        <v>1189</v>
      </c>
      <c r="S158" s="281"/>
      <c r="T158" s="291"/>
      <c r="U158" s="281"/>
      <c r="V158" s="281"/>
      <c r="W158" s="281"/>
    </row>
    <row r="159">
      <c r="B159" s="311" t="s">
        <v>1583</v>
      </c>
      <c r="C159" s="280" t="s">
        <v>1584</v>
      </c>
      <c r="D159" s="289">
        <f>ROUND((F159*'Pawn Weights'!$B$60)+(G159*'Pawn Weights'!$B$61)+(H159*'Pawn Weights'!$B$62)+(I159*'Pawn Weights'!$B$63)+(J159*'Pawn Weights'!$B$64)+(K159*'Pawn Weights'!$B$65)+(L159*'Pawn Weights'!$B$66)+(M159*'Pawn Weights'!$B$67)+(N159*'Pawn Weights'!$B$68)+(O159*'Pawn Weights'!$B$69)+(P159*'Pawn Weights'!$B$70)+(Q159*'Pawn Weights'!$B$71), 2)</f>
        <v>114.83</v>
      </c>
      <c r="E159" s="280">
        <v>16.0</v>
      </c>
      <c r="F159" s="280"/>
      <c r="G159" s="280"/>
      <c r="H159" s="280">
        <v>48.0</v>
      </c>
      <c r="I159" s="280">
        <v>21.0</v>
      </c>
      <c r="J159" s="280">
        <v>19.0</v>
      </c>
      <c r="K159" s="280"/>
      <c r="L159" s="280"/>
      <c r="M159" s="281"/>
      <c r="N159" s="280"/>
      <c r="O159" s="280"/>
      <c r="P159" s="280"/>
      <c r="Q159" s="280"/>
      <c r="R159" s="290"/>
      <c r="S159" s="281"/>
      <c r="T159" s="291"/>
      <c r="U159" s="281"/>
      <c r="V159" s="281"/>
      <c r="W159" s="281"/>
    </row>
    <row r="160">
      <c r="A160" s="25"/>
      <c r="B160" s="311" t="s">
        <v>1884</v>
      </c>
      <c r="C160" s="280" t="s">
        <v>1787</v>
      </c>
      <c r="D160" s="289">
        <f>ROUND((F160*'Pawn Weights'!$B$60)+(G160*'Pawn Weights'!$B$61)+(H160*'Pawn Weights'!$B$62)+(I160*'Pawn Weights'!$B$63)+(J160*'Pawn Weights'!$B$64)+(K160*'Pawn Weights'!$B$65)+(L160*'Pawn Weights'!$B$66)+(M160*'Pawn Weights'!$B$67)+(N160*'Pawn Weights'!$B$68)+(O160*'Pawn Weights'!$B$69)+(P160*'Pawn Weights'!$B$70)+(Q160*'Pawn Weights'!$B$71), 2)</f>
        <v>112.7</v>
      </c>
      <c r="E160" s="280">
        <v>12.0</v>
      </c>
      <c r="F160" s="280"/>
      <c r="G160" s="280">
        <v>25.0</v>
      </c>
      <c r="H160" s="280">
        <v>34.0</v>
      </c>
      <c r="I160" s="280"/>
      <c r="J160" s="280"/>
      <c r="K160" s="280"/>
      <c r="L160" s="280"/>
      <c r="M160" s="281"/>
      <c r="N160" s="280"/>
      <c r="O160" s="280">
        <v>1.0</v>
      </c>
      <c r="P160" s="280"/>
      <c r="Q160" s="280">
        <v>1.0</v>
      </c>
      <c r="R160" s="290" t="s">
        <v>832</v>
      </c>
      <c r="S160" s="281"/>
      <c r="T160" s="291"/>
      <c r="U160" s="281"/>
      <c r="V160" s="281"/>
      <c r="W160" s="281"/>
    </row>
    <row r="161">
      <c r="A161" s="301" t="s">
        <v>1499</v>
      </c>
      <c r="B161" s="288" t="s">
        <v>1885</v>
      </c>
      <c r="C161" s="280" t="s">
        <v>1159</v>
      </c>
      <c r="D161" s="289">
        <f>ROUND((F161*'Pawn Weights'!$B$60)+(G161*'Pawn Weights'!$B$61)+(H161*'Pawn Weights'!$B$62)+(I161*'Pawn Weights'!$B$63)+(J161*'Pawn Weights'!$B$64)+(K161*'Pawn Weights'!$B$65)+(L161*'Pawn Weights'!$B$66)+(M161*'Pawn Weights'!$B$67)+(N161*'Pawn Weights'!$B$68)+(O161*'Pawn Weights'!$B$69)+(P161*'Pawn Weights'!$B$70)+(Q161*'Pawn Weights'!$B$71), 2)</f>
        <v>108.19</v>
      </c>
      <c r="E161" s="280">
        <v>40.0</v>
      </c>
      <c r="F161" s="280">
        <v>25.0</v>
      </c>
      <c r="G161" s="280"/>
      <c r="H161" s="280"/>
      <c r="I161" s="280">
        <v>27.0</v>
      </c>
      <c r="J161" s="280"/>
      <c r="K161" s="280"/>
      <c r="L161" s="280"/>
      <c r="M161" s="281"/>
      <c r="N161" s="280"/>
      <c r="O161" s="280"/>
      <c r="P161" s="280"/>
      <c r="Q161" s="280"/>
      <c r="R161" s="290"/>
      <c r="S161" s="281"/>
      <c r="T161" s="291"/>
      <c r="U161" s="281"/>
      <c r="V161" s="281"/>
      <c r="W161" s="281"/>
    </row>
    <row r="162">
      <c r="A162" s="25"/>
      <c r="B162" s="311" t="s">
        <v>1786</v>
      </c>
      <c r="C162" s="280" t="s">
        <v>1787</v>
      </c>
      <c r="D162" s="289">
        <f>ROUND((F162*'Pawn Weights'!$B$60)+(G162*'Pawn Weights'!$B$61)+(H162*'Pawn Weights'!$B$62)+(I162*'Pawn Weights'!$B$63)+(J162*'Pawn Weights'!$B$64)+(K162*'Pawn Weights'!$B$65)+(L162*'Pawn Weights'!$B$66)+(M162*'Pawn Weights'!$B$67)+(N162*'Pawn Weights'!$B$68)+(O162*'Pawn Weights'!$B$69)+(P162*'Pawn Weights'!$B$70)+(Q162*'Pawn Weights'!$B$71), 2)</f>
        <v>106.88</v>
      </c>
      <c r="E162" s="280">
        <v>33.0</v>
      </c>
      <c r="F162" s="280"/>
      <c r="G162" s="280">
        <v>32.0</v>
      </c>
      <c r="H162" s="280">
        <v>16.0</v>
      </c>
      <c r="I162" s="280"/>
      <c r="J162" s="280"/>
      <c r="K162" s="280"/>
      <c r="L162" s="280"/>
      <c r="M162" s="281"/>
      <c r="N162" s="280"/>
      <c r="O162" s="280">
        <v>1.0</v>
      </c>
      <c r="P162" s="280">
        <v>1.0</v>
      </c>
      <c r="Q162" s="280"/>
      <c r="R162" s="290" t="s">
        <v>1759</v>
      </c>
      <c r="S162" s="281"/>
      <c r="T162" s="291"/>
      <c r="U162" s="281"/>
      <c r="V162" s="281"/>
      <c r="W162" s="281"/>
    </row>
    <row r="163">
      <c r="B163" s="288" t="s">
        <v>1886</v>
      </c>
      <c r="C163" s="280" t="s">
        <v>1280</v>
      </c>
      <c r="D163" s="289">
        <f>ROUND((F163*'Pawn Weights'!$B$60)+(G163*'Pawn Weights'!$B$61)+(H163*'Pawn Weights'!$B$62)+(I163*'Pawn Weights'!$B$63)+(J163*'Pawn Weights'!$B$64)+(K163*'Pawn Weights'!$B$65)+(L163*'Pawn Weights'!$B$66)+(M163*'Pawn Weights'!$B$67)+(N163*'Pawn Weights'!$B$68)+(O163*'Pawn Weights'!$B$69)+(P163*'Pawn Weights'!$B$70)+(Q163*'Pawn Weights'!$B$71), 2)</f>
        <v>104.46</v>
      </c>
      <c r="E163" s="280">
        <v>22.0</v>
      </c>
      <c r="F163" s="280"/>
      <c r="G163" s="280">
        <v>29.0</v>
      </c>
      <c r="H163" s="280">
        <v>54.0</v>
      </c>
      <c r="I163" s="280"/>
      <c r="J163" s="280"/>
      <c r="K163" s="280"/>
      <c r="L163" s="280"/>
      <c r="M163" s="281"/>
      <c r="N163" s="280"/>
      <c r="O163" s="280"/>
      <c r="P163" s="280"/>
      <c r="Q163" s="280"/>
      <c r="R163" s="290"/>
      <c r="S163" s="281"/>
      <c r="T163" s="291"/>
      <c r="U163" s="281"/>
      <c r="V163" s="281"/>
      <c r="W163" s="281"/>
    </row>
    <row r="164">
      <c r="A164" s="301"/>
      <c r="B164" s="311" t="s">
        <v>1887</v>
      </c>
      <c r="C164" s="280" t="s">
        <v>1787</v>
      </c>
      <c r="D164" s="289">
        <f>ROUND((F164*'Pawn Weights'!$B$60)+(G164*'Pawn Weights'!$B$61)+(H164*'Pawn Weights'!$B$62)+(I164*'Pawn Weights'!$B$63)+(J164*'Pawn Weights'!$B$64)+(K164*'Pawn Weights'!$B$65)+(L164*'Pawn Weights'!$B$66)+(M164*'Pawn Weights'!$B$67)+(N164*'Pawn Weights'!$B$68)+(O164*'Pawn Weights'!$B$69)+(P164*'Pawn Weights'!$B$70)+(Q164*'Pawn Weights'!$B$71), 2)</f>
        <v>100.69</v>
      </c>
      <c r="E164" s="280">
        <v>25.0</v>
      </c>
      <c r="F164" s="280"/>
      <c r="G164" s="280"/>
      <c r="H164" s="280">
        <v>32.0</v>
      </c>
      <c r="I164" s="280">
        <v>17.0</v>
      </c>
      <c r="J164" s="280"/>
      <c r="K164" s="280"/>
      <c r="L164" s="280"/>
      <c r="M164" s="281"/>
      <c r="N164" s="280"/>
      <c r="O164" s="280">
        <v>2.0</v>
      </c>
      <c r="P164" s="280"/>
      <c r="Q164" s="280"/>
      <c r="R164" s="290" t="s">
        <v>1189</v>
      </c>
      <c r="S164" s="281"/>
      <c r="T164" s="291"/>
      <c r="U164" s="281"/>
      <c r="V164" s="281"/>
      <c r="W164" s="281"/>
    </row>
    <row r="165">
      <c r="A165" s="25"/>
      <c r="B165" s="311" t="s">
        <v>1888</v>
      </c>
      <c r="C165" s="280" t="s">
        <v>1889</v>
      </c>
      <c r="D165" s="289">
        <f>ROUND((F165*'Pawn Weights'!$B$60)+(G165*'Pawn Weights'!$B$61)+(H165*'Pawn Weights'!$B$62)+(I165*'Pawn Weights'!$B$63)+(J165*'Pawn Weights'!$B$64)+(K165*'Pawn Weights'!$B$65)+(L165*'Pawn Weights'!$B$66)+(M165*'Pawn Weights'!$B$67)+(N165*'Pawn Weights'!$B$68)+(O165*'Pawn Weights'!$B$69)+(P165*'Pawn Weights'!$B$70)+(Q165*'Pawn Weights'!$B$71), 2)</f>
        <v>90.98</v>
      </c>
      <c r="E165" s="280">
        <v>21.0</v>
      </c>
      <c r="F165" s="280"/>
      <c r="G165" s="280">
        <v>27.0</v>
      </c>
      <c r="H165" s="280">
        <v>44.0</v>
      </c>
      <c r="I165" s="280"/>
      <c r="J165" s="280"/>
      <c r="K165" s="280"/>
      <c r="L165" s="280"/>
      <c r="M165" s="281"/>
      <c r="N165" s="280"/>
      <c r="O165" s="280"/>
      <c r="P165" s="280"/>
      <c r="Q165" s="280"/>
      <c r="R165" s="290"/>
      <c r="S165" s="281"/>
      <c r="T165" s="291"/>
      <c r="U165" s="281"/>
      <c r="V165" s="281"/>
      <c r="W165" s="281"/>
    </row>
    <row r="166">
      <c r="A166" s="272" t="s">
        <v>828</v>
      </c>
      <c r="B166" s="281"/>
      <c r="C166" s="281"/>
      <c r="D166" s="360"/>
      <c r="E166" s="281"/>
      <c r="F166" s="281"/>
      <c r="G166" s="281"/>
      <c r="H166" s="281"/>
      <c r="I166" s="281"/>
      <c r="J166" s="281"/>
      <c r="K166" s="281"/>
      <c r="L166" s="281"/>
      <c r="M166" s="281"/>
      <c r="N166" s="281"/>
      <c r="O166" s="281"/>
      <c r="P166" s="281"/>
      <c r="Q166" s="281"/>
      <c r="R166" s="282"/>
      <c r="S166" s="281"/>
      <c r="T166" s="285"/>
      <c r="U166" s="281"/>
      <c r="V166" s="281"/>
      <c r="W166" s="281"/>
    </row>
    <row r="167">
      <c r="A167" s="292"/>
      <c r="B167" s="288" t="s">
        <v>830</v>
      </c>
      <c r="C167" s="280" t="s">
        <v>649</v>
      </c>
      <c r="D167" s="289">
        <f>ROUND((F167*'Pawn Weights'!$B$60)+(G167*'Pawn Weights'!$B$61)+(H167*'Pawn Weights'!$B$62)+(I167*'Pawn Weights'!$B$63)+(J167*'Pawn Weights'!$B$64)+(K167*'Pawn Weights'!$B$65)+(L167*'Pawn Weights'!$B$66)+(M167*'Pawn Weights'!$B$67)+(N167*'Pawn Weights'!$B$68)+(O167*'Pawn Weights'!$B$69)+(P167*'Pawn Weights'!$B$70)+(Q167*'Pawn Weights'!$B$71), 2)</f>
        <v>234.66</v>
      </c>
      <c r="E167" s="280">
        <v>25.0</v>
      </c>
      <c r="F167" s="280"/>
      <c r="G167" s="280">
        <v>29.0</v>
      </c>
      <c r="H167" s="280">
        <v>74.0</v>
      </c>
      <c r="I167" s="280"/>
      <c r="J167" s="280"/>
      <c r="K167" s="280"/>
      <c r="L167" s="280">
        <v>25.0</v>
      </c>
      <c r="M167" s="281"/>
      <c r="N167" s="280"/>
      <c r="O167" s="280">
        <v>1.0</v>
      </c>
      <c r="P167" s="280"/>
      <c r="Q167" s="280">
        <v>1.0</v>
      </c>
      <c r="R167" s="290" t="s">
        <v>695</v>
      </c>
      <c r="S167" s="281"/>
      <c r="T167" s="291"/>
      <c r="U167" s="281"/>
      <c r="V167" s="281"/>
      <c r="W167" s="281"/>
    </row>
    <row r="168">
      <c r="A168" s="295"/>
      <c r="B168" s="296" t="s">
        <v>843</v>
      </c>
      <c r="C168" s="297" t="s">
        <v>844</v>
      </c>
      <c r="D168" s="367">
        <f>ROUND((F168*'Pawn Weights'!$B$60)+(G168*'Pawn Weights'!$B$61)+(H168*'Pawn Weights'!$B$62)+(I168*'Pawn Weights'!$B$63)+(J168*'Pawn Weights'!$B$64)+(K168*'Pawn Weights'!$B$65)+(L168*'Pawn Weights'!$B$66)+(M168*'Pawn Weights'!$B$67)+(N168*'Pawn Weights'!$B$68)+(O168*'Pawn Weights'!$B$69)+(P168*'Pawn Weights'!$B$70)+(Q168*'Pawn Weights'!$B$71)-17.6+16.68+3.48, 2)</f>
        <v>188.14</v>
      </c>
      <c r="E168" s="298">
        <v>33.0</v>
      </c>
      <c r="F168" s="297"/>
      <c r="G168" s="298">
        <v>34.0</v>
      </c>
      <c r="H168" s="298">
        <v>78.0</v>
      </c>
      <c r="I168" s="297"/>
      <c r="J168" s="298">
        <v>23.0</v>
      </c>
      <c r="K168" s="297"/>
      <c r="L168" s="297"/>
      <c r="M168" s="137"/>
      <c r="N168" s="297"/>
      <c r="O168" s="297"/>
      <c r="P168" s="298">
        <v>1.0</v>
      </c>
      <c r="Q168" s="297"/>
      <c r="R168" s="298" t="s">
        <v>711</v>
      </c>
      <c r="S168" s="137"/>
      <c r="T168" s="295"/>
      <c r="U168" s="137"/>
      <c r="V168" s="137"/>
      <c r="W168" s="137"/>
      <c r="X168" s="137"/>
      <c r="Y168" s="137"/>
      <c r="Z168" s="137"/>
    </row>
    <row r="169">
      <c r="A169" s="292" t="s">
        <v>627</v>
      </c>
      <c r="B169" s="288" t="s">
        <v>845</v>
      </c>
      <c r="C169" s="280" t="s">
        <v>846</v>
      </c>
      <c r="D169" s="289">
        <f>ROUND((F169*'Pawn Weights'!$B$60)+(G169*'Pawn Weights'!$B$61)+(H169*'Pawn Weights'!$B$62)+(I169*'Pawn Weights'!$B$63)+(J169*'Pawn Weights'!$B$64)+(K169*'Pawn Weights'!$B$65)+(L169*'Pawn Weights'!$B$66)+(M169*'Pawn Weights'!$B$67)+(N169*'Pawn Weights'!$B$68)+(O169*'Pawn Weights'!$B$69)+(P169*'Pawn Weights'!$B$70)+(Q169*'Pawn Weights'!$B$71), 2)</f>
        <v>181</v>
      </c>
      <c r="E169" s="280">
        <v>14.0</v>
      </c>
      <c r="F169" s="280"/>
      <c r="G169" s="280">
        <v>32.0</v>
      </c>
      <c r="H169" s="280">
        <v>66.0</v>
      </c>
      <c r="I169" s="280"/>
      <c r="J169" s="280">
        <v>18.0</v>
      </c>
      <c r="K169" s="280"/>
      <c r="L169" s="280"/>
      <c r="M169" s="281"/>
      <c r="N169" s="280"/>
      <c r="O169" s="280"/>
      <c r="P169" s="280"/>
      <c r="Q169" s="280">
        <v>2.0</v>
      </c>
      <c r="R169" s="290" t="s">
        <v>695</v>
      </c>
      <c r="S169" s="281"/>
      <c r="T169" s="291"/>
      <c r="U169" s="281"/>
      <c r="V169" s="281"/>
      <c r="W169" s="281"/>
    </row>
    <row r="170">
      <c r="A170" s="292" t="s">
        <v>627</v>
      </c>
      <c r="B170" s="288" t="s">
        <v>1099</v>
      </c>
      <c r="C170" s="280" t="s">
        <v>846</v>
      </c>
      <c r="D170" s="289">
        <f>ROUND((F170*'Pawn Weights'!$B$60)+(G170*'Pawn Weights'!$B$61)+(H170*'Pawn Weights'!$B$62)+(I170*'Pawn Weights'!$B$63)+(J170*'Pawn Weights'!$B$64)+(K170*'Pawn Weights'!$B$65)+(L170*'Pawn Weights'!$B$66)+(M170*'Pawn Weights'!$B$67)+(N170*'Pawn Weights'!$B$68)+(O170*'Pawn Weights'!$B$69)+(P170*'Pawn Weights'!$B$70)+(Q170*'Pawn Weights'!$B$71), 2)</f>
        <v>164.27</v>
      </c>
      <c r="E170" s="280">
        <v>20.0</v>
      </c>
      <c r="F170" s="280"/>
      <c r="G170" s="280">
        <v>17.0</v>
      </c>
      <c r="H170" s="280">
        <v>66.0</v>
      </c>
      <c r="I170" s="280">
        <v>17.0</v>
      </c>
      <c r="J170" s="280"/>
      <c r="K170" s="280"/>
      <c r="L170" s="280"/>
      <c r="M170" s="281"/>
      <c r="N170" s="280"/>
      <c r="O170" s="280"/>
      <c r="P170" s="280">
        <v>1.0</v>
      </c>
      <c r="Q170" s="280">
        <v>1.0</v>
      </c>
      <c r="R170" s="290" t="s">
        <v>695</v>
      </c>
      <c r="S170" s="281"/>
      <c r="T170" s="291"/>
      <c r="U170" s="281"/>
      <c r="V170" s="281"/>
      <c r="W170" s="281"/>
    </row>
    <row r="171">
      <c r="A171" s="137" t="s">
        <v>671</v>
      </c>
      <c r="B171" s="296" t="s">
        <v>1346</v>
      </c>
      <c r="C171" s="297" t="s">
        <v>849</v>
      </c>
      <c r="D171" s="289">
        <f>ROUND((F171*'Pawn Weights'!$B$60)+(G171*'Pawn Weights'!$B$61)+(H171*'Pawn Weights'!$B$62)+(I171*'Pawn Weights'!$B$63)+(J171*'Pawn Weights'!$B$64)+(K171*'Pawn Weights'!$B$65)+(L171*'Pawn Weights'!$B$66)+(M171*'Pawn Weights'!$B$67)+(N171*'Pawn Weights'!$B$68)+(O171*'Pawn Weights'!$B$69)+(P171*'Pawn Weights'!$B$70)+(Q171*'Pawn Weights'!$B$71), 2)</f>
        <v>156.49</v>
      </c>
      <c r="E171" s="298">
        <v>55.0</v>
      </c>
      <c r="F171" s="298">
        <v>38.0</v>
      </c>
      <c r="G171" s="297"/>
      <c r="H171" s="297"/>
      <c r="I171" s="298">
        <v>37.0</v>
      </c>
      <c r="J171" s="297"/>
      <c r="K171" s="297"/>
      <c r="L171" s="297"/>
      <c r="M171" s="137"/>
      <c r="N171" s="297"/>
      <c r="O171" s="297"/>
      <c r="P171" s="297"/>
      <c r="Q171" s="297"/>
      <c r="R171" s="295"/>
      <c r="S171" s="137"/>
      <c r="T171" s="297" t="s">
        <v>850</v>
      </c>
      <c r="U171" s="137"/>
      <c r="V171" s="137"/>
      <c r="W171" s="137"/>
      <c r="X171" s="137"/>
      <c r="Y171" s="137"/>
      <c r="Z171" s="137"/>
    </row>
    <row r="172">
      <c r="A172" s="281"/>
      <c r="B172" s="288" t="s">
        <v>1100</v>
      </c>
      <c r="C172" s="280" t="s">
        <v>823</v>
      </c>
      <c r="D172" s="289">
        <f>ROUND((F172*'Pawn Weights'!$B$60)+(G172*'Pawn Weights'!$B$61)+(H172*'Pawn Weights'!$B$62)+(I172*'Pawn Weights'!$B$63)+(J172*'Pawn Weights'!$B$64)+(K172*'Pawn Weights'!$B$65)+(L172*'Pawn Weights'!$B$66)+(M172*'Pawn Weights'!$B$67)+(N172*'Pawn Weights'!$B$68)+(O172*'Pawn Weights'!$B$69)+(P172*'Pawn Weights'!$B$70)+(Q172*'Pawn Weights'!$B$71), 2)</f>
        <v>156.45</v>
      </c>
      <c r="E172" s="280">
        <v>27.0</v>
      </c>
      <c r="F172" s="280"/>
      <c r="G172" s="280"/>
      <c r="H172" s="280">
        <v>72.0</v>
      </c>
      <c r="I172" s="280">
        <v>25.0</v>
      </c>
      <c r="J172" s="280"/>
      <c r="K172" s="280"/>
      <c r="L172" s="280"/>
      <c r="M172" s="281"/>
      <c r="N172" s="280"/>
      <c r="O172" s="280"/>
      <c r="P172" s="280">
        <v>1.0</v>
      </c>
      <c r="Q172" s="280">
        <v>1.0</v>
      </c>
      <c r="R172" s="290" t="s">
        <v>702</v>
      </c>
      <c r="S172" s="281"/>
      <c r="T172" s="291"/>
      <c r="U172" s="281"/>
      <c r="V172" s="281"/>
      <c r="W172" s="281"/>
    </row>
    <row r="173">
      <c r="A173" s="292"/>
      <c r="B173" s="288" t="s">
        <v>1587</v>
      </c>
      <c r="C173" s="280" t="s">
        <v>900</v>
      </c>
      <c r="D173" s="289">
        <f>ROUND((F173*'Pawn Weights'!$B$60)+(G173*'Pawn Weights'!$B$61)+(H173*'Pawn Weights'!$B$62)+(I173*'Pawn Weights'!$B$63)+(J173*'Pawn Weights'!$B$64)+(K173*'Pawn Weights'!$B$65)+(L173*'Pawn Weights'!$B$66)+(M173*'Pawn Weights'!$B$67)+(N173*'Pawn Weights'!$B$68)+(O173*'Pawn Weights'!$B$69)+(P173*'Pawn Weights'!$B$70)+(Q173*'Pawn Weights'!$B$71), 2)</f>
        <v>142.01</v>
      </c>
      <c r="E173" s="280">
        <v>30.0</v>
      </c>
      <c r="F173" s="280">
        <v>35.0</v>
      </c>
      <c r="G173" s="280"/>
      <c r="H173" s="280"/>
      <c r="I173" s="280">
        <v>33.0</v>
      </c>
      <c r="J173" s="280"/>
      <c r="K173" s="280"/>
      <c r="L173" s="280"/>
      <c r="M173" s="281"/>
      <c r="N173" s="280"/>
      <c r="O173" s="280"/>
      <c r="P173" s="280"/>
      <c r="Q173" s="280"/>
      <c r="R173" s="290"/>
      <c r="S173" s="281"/>
      <c r="T173" s="291"/>
      <c r="U173" s="281"/>
      <c r="V173" s="281"/>
      <c r="W173" s="281"/>
    </row>
    <row r="174">
      <c r="A174" s="281"/>
      <c r="B174" s="288" t="s">
        <v>1228</v>
      </c>
      <c r="C174" s="280" t="s">
        <v>1229</v>
      </c>
      <c r="D174" s="289">
        <f>ROUND((F174*'Pawn Weights'!$B$60)+(G174*'Pawn Weights'!$B$61)+(H174*'Pawn Weights'!$B$62)+(I174*'Pawn Weights'!$B$63)+(J174*'Pawn Weights'!$B$64)+(K174*'Pawn Weights'!$B$65)+(L174*'Pawn Weights'!$B$66)+(M174*'Pawn Weights'!$B$67)+(N174*'Pawn Weights'!$B$68)+(O174*'Pawn Weights'!$B$69)+(P174*'Pawn Weights'!$B$70)+(Q174*'Pawn Weights'!$B$71), 2)</f>
        <v>131.52</v>
      </c>
      <c r="E174" s="280">
        <v>28.0</v>
      </c>
      <c r="F174" s="280"/>
      <c r="G174" s="280">
        <v>28.0</v>
      </c>
      <c r="H174" s="280">
        <v>56.0</v>
      </c>
      <c r="I174" s="280"/>
      <c r="J174" s="280">
        <v>20.0</v>
      </c>
      <c r="K174" s="280"/>
      <c r="L174" s="280"/>
      <c r="M174" s="281"/>
      <c r="N174" s="280"/>
      <c r="O174" s="280"/>
      <c r="P174" s="280"/>
      <c r="Q174" s="280"/>
      <c r="R174" s="290"/>
      <c r="S174" s="281"/>
      <c r="T174" s="291"/>
      <c r="U174" s="281"/>
      <c r="V174" s="281"/>
      <c r="W174" s="281"/>
    </row>
    <row r="175">
      <c r="A175" s="301" t="s">
        <v>627</v>
      </c>
      <c r="B175" s="288" t="s">
        <v>1890</v>
      </c>
      <c r="C175" s="280" t="s">
        <v>1464</v>
      </c>
      <c r="D175" s="289">
        <f>ROUND((F175*'Pawn Weights'!$B$60)+(G175*'Pawn Weights'!$B$61)+(H175*'Pawn Weights'!$B$62)+(I175*'Pawn Weights'!$B$63)+(J175*'Pawn Weights'!$B$64)+(K175*'Pawn Weights'!$B$65)+(L175*'Pawn Weights'!$B$66)+(M175*'Pawn Weights'!$B$67)+(N175*'Pawn Weights'!$B$68)+(O175*'Pawn Weights'!$B$69)+(P175*'Pawn Weights'!$B$70)+(Q175*'Pawn Weights'!$B$71), 2)</f>
        <v>126.54</v>
      </c>
      <c r="E175" s="280">
        <v>21.0</v>
      </c>
      <c r="F175" s="280"/>
      <c r="G175" s="280"/>
      <c r="H175" s="280">
        <v>48.0</v>
      </c>
      <c r="I175" s="280">
        <v>22.0</v>
      </c>
      <c r="J175" s="280"/>
      <c r="K175" s="280"/>
      <c r="L175" s="280"/>
      <c r="M175" s="281"/>
      <c r="N175" s="280"/>
      <c r="O175" s="280"/>
      <c r="P175" s="280">
        <v>1.0</v>
      </c>
      <c r="Q175" s="280">
        <v>1.0</v>
      </c>
      <c r="R175" s="290" t="s">
        <v>695</v>
      </c>
      <c r="S175" s="281"/>
      <c r="T175" s="291" t="s">
        <v>1469</v>
      </c>
      <c r="U175" s="281"/>
      <c r="V175" s="281"/>
      <c r="W175" s="281"/>
    </row>
    <row r="176">
      <c r="A176" s="281"/>
      <c r="B176" s="288" t="s">
        <v>1590</v>
      </c>
      <c r="C176" s="280" t="s">
        <v>1278</v>
      </c>
      <c r="D176" s="289">
        <f>ROUND((F176*'Pawn Weights'!$B$60)+(G176*'Pawn Weights'!$B$61)+(H176*'Pawn Weights'!$B$62)+(I176*'Pawn Weights'!$B$63)+(J176*'Pawn Weights'!$B$64)+(K176*'Pawn Weights'!$B$65)+(L176*'Pawn Weights'!$B$66)+(M176*'Pawn Weights'!$B$67)+(N176*'Pawn Weights'!$B$68)+(O176*'Pawn Weights'!$B$69)+(P176*'Pawn Weights'!$B$70)+(Q176*'Pawn Weights'!$B$71), 2)</f>
        <v>124.52</v>
      </c>
      <c r="E176" s="280">
        <v>37.0</v>
      </c>
      <c r="F176" s="280"/>
      <c r="G176" s="280">
        <v>18.0</v>
      </c>
      <c r="H176" s="280">
        <v>58.0</v>
      </c>
      <c r="I176" s="280"/>
      <c r="J176" s="280"/>
      <c r="K176" s="280"/>
      <c r="L176" s="280"/>
      <c r="M176" s="281"/>
      <c r="N176" s="280"/>
      <c r="O176" s="280"/>
      <c r="P176" s="280">
        <v>2.0</v>
      </c>
      <c r="Q176" s="280"/>
      <c r="R176" s="290" t="s">
        <v>695</v>
      </c>
      <c r="S176" s="281"/>
      <c r="T176" s="291"/>
      <c r="U176" s="281"/>
      <c r="V176" s="281"/>
      <c r="W176" s="281"/>
    </row>
    <row r="177">
      <c r="A177" s="281"/>
      <c r="B177" s="311" t="s">
        <v>1595</v>
      </c>
      <c r="C177" s="280" t="s">
        <v>1596</v>
      </c>
      <c r="D177" s="289">
        <f>ROUND((F177*'Pawn Weights'!$B$60)+(G177*'Pawn Weights'!$B$61)+(H177*'Pawn Weights'!$B$62)+(I177*'Pawn Weights'!$B$63)+(J177*'Pawn Weights'!$B$64)+(K177*'Pawn Weights'!$B$65)+(L177*'Pawn Weights'!$B$66)+(M177*'Pawn Weights'!$B$67)+(N177*'Pawn Weights'!$B$68)+(O177*'Pawn Weights'!$B$69)+(P177*'Pawn Weights'!$B$70)+(Q177*'Pawn Weights'!$B$71), 2)</f>
        <v>121.74</v>
      </c>
      <c r="E177" s="280">
        <v>16.0</v>
      </c>
      <c r="F177" s="280"/>
      <c r="G177" s="280">
        <v>21.0</v>
      </c>
      <c r="H177" s="280">
        <v>50.0</v>
      </c>
      <c r="I177" s="280"/>
      <c r="J177" s="280"/>
      <c r="K177" s="280"/>
      <c r="L177" s="280"/>
      <c r="M177" s="281"/>
      <c r="N177" s="280"/>
      <c r="O177" s="280">
        <v>1.0</v>
      </c>
      <c r="P177" s="280"/>
      <c r="Q177" s="280">
        <v>1.0</v>
      </c>
      <c r="R177" s="290" t="s">
        <v>695</v>
      </c>
      <c r="S177" s="281"/>
      <c r="T177" s="291"/>
      <c r="U177" s="281"/>
      <c r="V177" s="281"/>
      <c r="W177" s="281"/>
    </row>
    <row r="178">
      <c r="A178" s="281"/>
      <c r="B178" s="311" t="s">
        <v>1597</v>
      </c>
      <c r="C178" s="280" t="s">
        <v>1598</v>
      </c>
      <c r="D178" s="289">
        <f>ROUND((F178*'Pawn Weights'!$B$60)+(G178*'Pawn Weights'!$B$61)+(H178*'Pawn Weights'!$B$62)+(I178*'Pawn Weights'!$B$63)+(J178*'Pawn Weights'!$B$64)+(K178*'Pawn Weights'!$B$65)+(L178*'Pawn Weights'!$B$66)+(M178*'Pawn Weights'!$B$67)+(N178*'Pawn Weights'!$B$68)+(O178*'Pawn Weights'!$B$69)+(P178*'Pawn Weights'!$B$70)+(Q178*'Pawn Weights'!$B$71), 2)</f>
        <v>119.78</v>
      </c>
      <c r="E178" s="280">
        <v>22.0</v>
      </c>
      <c r="F178" s="280">
        <v>25.0</v>
      </c>
      <c r="G178" s="280">
        <v>17.0</v>
      </c>
      <c r="H178" s="280"/>
      <c r="I178" s="280"/>
      <c r="J178" s="280"/>
      <c r="K178" s="280"/>
      <c r="L178" s="280"/>
      <c r="M178" s="281"/>
      <c r="N178" s="280"/>
      <c r="O178" s="280">
        <v>1.0</v>
      </c>
      <c r="P178" s="280"/>
      <c r="Q178" s="280">
        <v>1.0</v>
      </c>
      <c r="R178" s="290" t="s">
        <v>695</v>
      </c>
      <c r="S178" s="281"/>
      <c r="T178" s="291"/>
      <c r="U178" s="281"/>
      <c r="V178" s="281"/>
      <c r="W178" s="281"/>
    </row>
    <row r="179">
      <c r="A179" s="292" t="s">
        <v>1559</v>
      </c>
      <c r="B179" s="288" t="s">
        <v>1605</v>
      </c>
      <c r="C179" s="280" t="s">
        <v>1216</v>
      </c>
      <c r="D179" s="289">
        <f>ROUND((F179*'Pawn Weights'!$B$60)+(G179*'Pawn Weights'!$B$61)+(H179*'Pawn Weights'!$B$62)+(I179*'Pawn Weights'!$B$63)+(J179*'Pawn Weights'!$B$64)+(K179*'Pawn Weights'!$B$65)+(L179*'Pawn Weights'!$B$66)+(M179*'Pawn Weights'!$B$67)+(N179*'Pawn Weights'!$B$68)+(O179*'Pawn Weights'!$B$69)+(P179*'Pawn Weights'!$B$70)+(Q179*'Pawn Weights'!$B$71), 2)</f>
        <v>118.8</v>
      </c>
      <c r="E179" s="280">
        <v>32.0</v>
      </c>
      <c r="F179" s="280"/>
      <c r="G179" s="280">
        <v>20.0</v>
      </c>
      <c r="H179" s="280">
        <v>84.0</v>
      </c>
      <c r="I179" s="280"/>
      <c r="J179" s="280"/>
      <c r="K179" s="280"/>
      <c r="L179" s="280"/>
      <c r="M179" s="281"/>
      <c r="N179" s="280"/>
      <c r="O179" s="280"/>
      <c r="P179" s="280"/>
      <c r="Q179" s="280"/>
      <c r="R179" s="290"/>
      <c r="S179" s="281"/>
      <c r="T179" s="291"/>
      <c r="U179" s="281"/>
      <c r="V179" s="281"/>
      <c r="W179" s="281"/>
    </row>
    <row r="180">
      <c r="A180" s="301" t="s">
        <v>627</v>
      </c>
      <c r="B180" s="311" t="s">
        <v>1607</v>
      </c>
      <c r="C180" s="280" t="s">
        <v>1471</v>
      </c>
      <c r="D180" s="289">
        <f>ROUND((F180*'Pawn Weights'!$B$60)+(G180*'Pawn Weights'!$B$61)+(H180*'Pawn Weights'!$B$62)+(I180*'Pawn Weights'!$B$63)+(J180*'Pawn Weights'!$B$64)+(K180*'Pawn Weights'!$B$65)+(L180*'Pawn Weights'!$B$66)+(M180*'Pawn Weights'!$B$67)+(N180*'Pawn Weights'!$B$68)+(O180*'Pawn Weights'!$B$69)+(P180*'Pawn Weights'!$B$70)+(Q180*'Pawn Weights'!$B$71), 2)</f>
        <v>116.52</v>
      </c>
      <c r="E180" s="280"/>
      <c r="F180" s="280"/>
      <c r="G180" s="280">
        <v>18.0</v>
      </c>
      <c r="H180" s="280">
        <v>50.0</v>
      </c>
      <c r="I180" s="280"/>
      <c r="J180" s="280"/>
      <c r="K180" s="280"/>
      <c r="L180" s="280"/>
      <c r="M180" s="281"/>
      <c r="N180" s="280"/>
      <c r="O180" s="280">
        <v>1.0</v>
      </c>
      <c r="P180" s="280"/>
      <c r="Q180" s="280">
        <v>1.0</v>
      </c>
      <c r="R180" s="290" t="s">
        <v>812</v>
      </c>
      <c r="S180" s="281"/>
      <c r="T180" s="291" t="s">
        <v>1472</v>
      </c>
      <c r="U180" s="281"/>
      <c r="V180" s="281"/>
      <c r="W180" s="281"/>
    </row>
    <row r="181">
      <c r="A181" s="281"/>
      <c r="B181" s="288" t="s">
        <v>1891</v>
      </c>
      <c r="C181" s="280" t="s">
        <v>1892</v>
      </c>
      <c r="D181" s="289">
        <f>ROUND((F181*'Pawn Weights'!$B$60)+(G181*'Pawn Weights'!$B$61)+(H181*'Pawn Weights'!$B$62)+(I181*'Pawn Weights'!$B$63)+(J181*'Pawn Weights'!$B$64)+(K181*'Pawn Weights'!$B$65)+(L181*'Pawn Weights'!$B$66)+(M181*'Pawn Weights'!$B$67)+(N181*'Pawn Weights'!$B$68)+(O181*'Pawn Weights'!$B$69)+(P181*'Pawn Weights'!$B$70)+(Q181*'Pawn Weights'!$B$71), 2)</f>
        <v>111.48</v>
      </c>
      <c r="E181" s="280">
        <v>21.0</v>
      </c>
      <c r="F181" s="280"/>
      <c r="G181" s="280">
        <v>28.0</v>
      </c>
      <c r="H181" s="280">
        <v>44.0</v>
      </c>
      <c r="I181" s="280"/>
      <c r="J181" s="280">
        <v>14.0</v>
      </c>
      <c r="K181" s="280"/>
      <c r="L181" s="280"/>
      <c r="M181" s="281"/>
      <c r="N181" s="280"/>
      <c r="O181" s="280"/>
      <c r="P181" s="280"/>
      <c r="Q181" s="280"/>
      <c r="R181" s="290"/>
      <c r="S181" s="281"/>
      <c r="T181" s="291"/>
      <c r="U181" s="281"/>
      <c r="V181" s="281"/>
      <c r="W181" s="281"/>
    </row>
    <row r="182">
      <c r="A182" s="281"/>
      <c r="B182" s="311" t="s">
        <v>1603</v>
      </c>
      <c r="C182" s="280" t="s">
        <v>1604</v>
      </c>
      <c r="D182" s="289">
        <f>ROUND((F182*'Pawn Weights'!$B$60)+(G182*'Pawn Weights'!$B$61)+(H182*'Pawn Weights'!$B$62)+(I182*'Pawn Weights'!$B$63)+(J182*'Pawn Weights'!$B$64)+(K182*'Pawn Weights'!$B$65)+(L182*'Pawn Weights'!$B$66)+(M182*'Pawn Weights'!$B$67)+(N182*'Pawn Weights'!$B$68)+(O182*'Pawn Weights'!$B$69)+(P182*'Pawn Weights'!$B$70)+(Q182*'Pawn Weights'!$B$71), 2)</f>
        <v>111.47</v>
      </c>
      <c r="E182" s="280"/>
      <c r="F182" s="280"/>
      <c r="G182" s="280"/>
      <c r="H182" s="280">
        <v>50.0</v>
      </c>
      <c r="I182" s="280">
        <v>21.0</v>
      </c>
      <c r="J182" s="280">
        <v>15.0</v>
      </c>
      <c r="K182" s="280"/>
      <c r="L182" s="280"/>
      <c r="M182" s="281"/>
      <c r="N182" s="280"/>
      <c r="O182" s="280"/>
      <c r="P182" s="280"/>
      <c r="Q182" s="280"/>
      <c r="R182" s="290"/>
      <c r="S182" s="281"/>
      <c r="T182" s="291"/>
      <c r="U182" s="281"/>
      <c r="V182" s="281"/>
      <c r="W182" s="281"/>
    </row>
    <row r="183">
      <c r="A183" s="281"/>
      <c r="B183" s="322" t="s">
        <v>1610</v>
      </c>
      <c r="C183" s="280" t="s">
        <v>1611</v>
      </c>
      <c r="D183" s="289">
        <f>ROUND((F183*'Pawn Weights'!$B$60)+(G183*'Pawn Weights'!$B$61)+(H183*'Pawn Weights'!$B$62)+(I183*'Pawn Weights'!$B$63)+(J183*'Pawn Weights'!$B$64)+(K183*'Pawn Weights'!$B$65)+(L183*'Pawn Weights'!$B$66)+(M183*'Pawn Weights'!$B$67)+(N183*'Pawn Weights'!$B$68)+(O183*'Pawn Weights'!$B$69)+(P183*'Pawn Weights'!$B$70)+(Q183*'Pawn Weights'!$B$71), 2)</f>
        <v>107.6</v>
      </c>
      <c r="E183" s="280"/>
      <c r="F183" s="280"/>
      <c r="G183" s="280"/>
      <c r="H183" s="280">
        <v>60.0</v>
      </c>
      <c r="I183" s="280">
        <v>16.0</v>
      </c>
      <c r="J183" s="280">
        <v>12.0</v>
      </c>
      <c r="K183" s="280"/>
      <c r="L183" s="280"/>
      <c r="M183" s="281"/>
      <c r="N183" s="280"/>
      <c r="O183" s="280"/>
      <c r="P183" s="280"/>
      <c r="Q183" s="280"/>
      <c r="R183" s="290"/>
      <c r="S183" s="281"/>
      <c r="T183" s="291" t="s">
        <v>1612</v>
      </c>
      <c r="U183" s="281"/>
      <c r="V183" s="281"/>
      <c r="W183" s="281"/>
    </row>
    <row r="184">
      <c r="A184" s="301"/>
      <c r="B184" s="288" t="s">
        <v>1893</v>
      </c>
      <c r="C184" s="280" t="s">
        <v>1645</v>
      </c>
      <c r="D184" s="289">
        <f>ROUND((F184*'Pawn Weights'!$B$60)+(G184*'Pawn Weights'!$B$61)+(H184*'Pawn Weights'!$B$62)+(I184*'Pawn Weights'!$B$63)+(J184*'Pawn Weights'!$B$64)+(K184*'Pawn Weights'!$B$65)+(L184*'Pawn Weights'!$B$66)+(M184*'Pawn Weights'!$B$67)+(N184*'Pawn Weights'!$B$68)+(O184*'Pawn Weights'!$B$69)+(P184*'Pawn Weights'!$B$70)+(Q184*'Pawn Weights'!$B$71), 2)</f>
        <v>106.38</v>
      </c>
      <c r="E184" s="280">
        <v>22.0</v>
      </c>
      <c r="F184" s="280">
        <v>27.0</v>
      </c>
      <c r="G184" s="280">
        <v>27.0</v>
      </c>
      <c r="H184" s="280"/>
      <c r="I184" s="280"/>
      <c r="J184" s="280"/>
      <c r="K184" s="280"/>
      <c r="L184" s="280"/>
      <c r="M184" s="281"/>
      <c r="N184" s="280"/>
      <c r="O184" s="280"/>
      <c r="P184" s="280"/>
      <c r="Q184" s="280"/>
      <c r="R184" s="290"/>
      <c r="S184" s="281"/>
      <c r="T184" s="291"/>
      <c r="U184" s="281"/>
      <c r="V184" s="281"/>
      <c r="W184" s="281"/>
    </row>
    <row r="185">
      <c r="A185" s="281"/>
      <c r="B185" s="311" t="s">
        <v>1791</v>
      </c>
      <c r="C185" s="280" t="s">
        <v>1214</v>
      </c>
      <c r="D185" s="289">
        <f>ROUND((F185*'Pawn Weights'!$B$60)+(G185*'Pawn Weights'!$B$61)+(H185*'Pawn Weights'!$B$62)+(I185*'Pawn Weights'!$B$63)+(J185*'Pawn Weights'!$B$64)+(K185*'Pawn Weights'!$B$65)+(L185*'Pawn Weights'!$B$66)+(M185*'Pawn Weights'!$B$67)+(N185*'Pawn Weights'!$B$68)+(O185*'Pawn Weights'!$B$69)+(P185*'Pawn Weights'!$B$70)+(Q185*'Pawn Weights'!$B$71), 2)</f>
        <v>106.28</v>
      </c>
      <c r="E185" s="280">
        <v>24.0</v>
      </c>
      <c r="F185" s="280"/>
      <c r="G185" s="280">
        <v>25.0</v>
      </c>
      <c r="H185" s="280">
        <v>40.0</v>
      </c>
      <c r="I185" s="280"/>
      <c r="J185" s="280">
        <v>17.0</v>
      </c>
      <c r="K185" s="280"/>
      <c r="L185" s="280"/>
      <c r="M185" s="281"/>
      <c r="N185" s="280"/>
      <c r="O185" s="280"/>
      <c r="P185" s="280"/>
      <c r="Q185" s="280"/>
      <c r="R185" s="290"/>
      <c r="S185" s="281"/>
      <c r="T185" s="291"/>
      <c r="U185" s="281"/>
      <c r="V185" s="281"/>
      <c r="W185" s="281"/>
    </row>
    <row r="186">
      <c r="A186" s="281"/>
      <c r="B186" s="311" t="s">
        <v>1894</v>
      </c>
      <c r="C186" s="280" t="s">
        <v>1802</v>
      </c>
      <c r="D186" s="289">
        <f>ROUND((F186*'Pawn Weights'!$B$60)+(G186*'Pawn Weights'!$B$61)+(H186*'Pawn Weights'!$B$62)+(I186*'Pawn Weights'!$B$63)+(J186*'Pawn Weights'!$B$64)+(K186*'Pawn Weights'!$B$65)+(L186*'Pawn Weights'!$B$66)+(M186*'Pawn Weights'!$B$67)+(N186*'Pawn Weights'!$B$68)+(O186*'Pawn Weights'!$B$69)+(P186*'Pawn Weights'!$B$70)+(Q186*'Pawn Weights'!$B$71), 2)</f>
        <v>93.46</v>
      </c>
      <c r="E186" s="280">
        <v>24.0</v>
      </c>
      <c r="F186" s="280"/>
      <c r="G186" s="280"/>
      <c r="H186" s="280">
        <v>58.0</v>
      </c>
      <c r="I186" s="280">
        <v>18.0</v>
      </c>
      <c r="J186" s="280"/>
      <c r="K186" s="280"/>
      <c r="L186" s="280"/>
      <c r="M186" s="281"/>
      <c r="N186" s="280"/>
      <c r="O186" s="280"/>
      <c r="P186" s="280"/>
      <c r="Q186" s="280"/>
      <c r="R186" s="290"/>
      <c r="S186" s="281"/>
      <c r="T186" s="291"/>
      <c r="U186" s="281"/>
      <c r="V186" s="281"/>
      <c r="W186" s="281"/>
    </row>
    <row r="187">
      <c r="A187" s="281"/>
      <c r="B187" s="311" t="s">
        <v>1792</v>
      </c>
      <c r="C187" s="280" t="s">
        <v>1520</v>
      </c>
      <c r="D187" s="289">
        <f>ROUND((F187*'Pawn Weights'!$B$60)+(G187*'Pawn Weights'!$B$61)+(H187*'Pawn Weights'!$B$62)+(I187*'Pawn Weights'!$B$63)+(J187*'Pawn Weights'!$B$64)+(K187*'Pawn Weights'!$B$65)+(L187*'Pawn Weights'!$B$66)+(M187*'Pawn Weights'!$B$67)+(N187*'Pawn Weights'!$B$68)+(O187*'Pawn Weights'!$B$69)+(P187*'Pawn Weights'!$B$70)+(Q187*'Pawn Weights'!$B$71), 2)</f>
        <v>93.46</v>
      </c>
      <c r="E187" s="280"/>
      <c r="F187" s="280"/>
      <c r="G187" s="280">
        <v>28.0</v>
      </c>
      <c r="H187" s="280">
        <v>30.0</v>
      </c>
      <c r="I187" s="280"/>
      <c r="J187" s="280">
        <v>11.0</v>
      </c>
      <c r="K187" s="280"/>
      <c r="L187" s="280"/>
      <c r="M187" s="281"/>
      <c r="N187" s="280"/>
      <c r="O187" s="280"/>
      <c r="P187" s="280"/>
      <c r="Q187" s="280"/>
      <c r="R187" s="290"/>
      <c r="S187" s="281"/>
      <c r="T187" s="291"/>
      <c r="U187" s="281"/>
      <c r="V187" s="281"/>
      <c r="W187" s="281"/>
    </row>
    <row r="188">
      <c r="A188" s="281"/>
      <c r="B188" s="311" t="s">
        <v>1895</v>
      </c>
      <c r="C188" s="280" t="s">
        <v>1896</v>
      </c>
      <c r="D188" s="289">
        <f>ROUND((F188*'Pawn Weights'!$B$60)+(G188*'Pawn Weights'!$B$61)+(H188*'Pawn Weights'!$B$62)+(I188*'Pawn Weights'!$B$63)+(J188*'Pawn Weights'!$B$64)+(K188*'Pawn Weights'!$B$65)+(L188*'Pawn Weights'!$B$66)+(M188*'Pawn Weights'!$B$67)+(N188*'Pawn Weights'!$B$68)+(O188*'Pawn Weights'!$B$69)+(P188*'Pawn Weights'!$B$70)+(Q188*'Pawn Weights'!$B$71), 2)</f>
        <v>93.04</v>
      </c>
      <c r="E188" s="280">
        <v>22.0</v>
      </c>
      <c r="F188" s="280"/>
      <c r="G188" s="280">
        <v>16.0</v>
      </c>
      <c r="H188" s="280">
        <v>30.0</v>
      </c>
      <c r="I188" s="280"/>
      <c r="J188" s="280"/>
      <c r="K188" s="280"/>
      <c r="L188" s="280"/>
      <c r="M188" s="281"/>
      <c r="N188" s="280"/>
      <c r="O188" s="280">
        <v>2.0</v>
      </c>
      <c r="P188" s="280"/>
      <c r="Q188" s="280"/>
      <c r="R188" s="290" t="s">
        <v>1897</v>
      </c>
      <c r="S188" s="281"/>
      <c r="T188" s="291"/>
      <c r="U188" s="281"/>
      <c r="V188" s="281"/>
      <c r="W188" s="281"/>
    </row>
    <row r="189">
      <c r="A189" s="281"/>
      <c r="B189" s="311" t="s">
        <v>1898</v>
      </c>
      <c r="C189" s="280" t="s">
        <v>1772</v>
      </c>
      <c r="D189" s="289">
        <f>ROUND((F189*'Pawn Weights'!$B$60)+(G189*'Pawn Weights'!$B$61)+(H189*'Pawn Weights'!$B$62)+(I189*'Pawn Weights'!$B$63)+(J189*'Pawn Weights'!$B$64)+(K189*'Pawn Weights'!$B$65)+(L189*'Pawn Weights'!$B$66)+(M189*'Pawn Weights'!$B$67)+(N189*'Pawn Weights'!$B$68)+(O189*'Pawn Weights'!$B$69)+(P189*'Pawn Weights'!$B$70)+(Q189*'Pawn Weights'!$B$71), 2)</f>
        <v>91.76</v>
      </c>
      <c r="E189" s="280"/>
      <c r="F189" s="280"/>
      <c r="G189" s="280">
        <v>24.0</v>
      </c>
      <c r="H189" s="280">
        <v>50.0</v>
      </c>
      <c r="I189" s="280"/>
      <c r="J189" s="280"/>
      <c r="K189" s="280"/>
      <c r="L189" s="280"/>
      <c r="M189" s="281"/>
      <c r="N189" s="280"/>
      <c r="O189" s="280"/>
      <c r="P189" s="280"/>
      <c r="Q189" s="280"/>
      <c r="R189" s="290"/>
      <c r="S189" s="281"/>
      <c r="T189" s="291"/>
      <c r="U189" s="281"/>
      <c r="V189" s="281"/>
      <c r="W189" s="281"/>
    </row>
    <row r="190">
      <c r="A190" s="272" t="s">
        <v>852</v>
      </c>
      <c r="B190" s="281"/>
      <c r="C190" s="281"/>
      <c r="D190" s="360"/>
      <c r="E190" s="281"/>
      <c r="F190" s="281"/>
      <c r="G190" s="281"/>
      <c r="H190" s="281"/>
      <c r="I190" s="281"/>
      <c r="J190" s="281"/>
      <c r="K190" s="281"/>
      <c r="L190" s="281"/>
      <c r="M190" s="281"/>
      <c r="N190" s="281"/>
      <c r="O190" s="281"/>
      <c r="P190" s="281"/>
      <c r="Q190" s="281"/>
      <c r="R190" s="282"/>
      <c r="S190" s="281"/>
      <c r="T190" s="285"/>
      <c r="U190" s="281"/>
      <c r="V190" s="281"/>
      <c r="W190" s="281"/>
    </row>
    <row r="191">
      <c r="A191" s="137"/>
      <c r="B191" s="341" t="s">
        <v>869</v>
      </c>
      <c r="C191" s="361" t="s">
        <v>865</v>
      </c>
      <c r="D191" s="289">
        <f>ROUND((F191*'Pawn Weights'!$B$60)+(G191*'Pawn Weights'!$B$61)+(H191*'Pawn Weights'!$B$62)+(I191*'Pawn Weights'!$B$63)+(J191*'Pawn Weights'!$B$64)+(K191*'Pawn Weights'!$B$65)+(L191*'Pawn Weights'!$B$66)+(M191*'Pawn Weights'!$B$67)+(N191*'Pawn Weights'!$B$68)+(O191*'Pawn Weights'!$B$69)+(P191*'Pawn Weights'!$B$70)+(Q191*'Pawn Weights'!$B$71), 2)</f>
        <v>254.22</v>
      </c>
      <c r="E191" s="359">
        <v>45.0</v>
      </c>
      <c r="F191" s="361"/>
      <c r="G191" s="359">
        <v>43.0</v>
      </c>
      <c r="H191" s="359">
        <v>104.0</v>
      </c>
      <c r="I191" s="361"/>
      <c r="J191" s="359">
        <v>30.0</v>
      </c>
      <c r="K191" s="361"/>
      <c r="L191" s="361"/>
      <c r="M191" s="361"/>
      <c r="N191" s="361"/>
      <c r="O191" s="361"/>
      <c r="P191" s="359">
        <v>1.0</v>
      </c>
      <c r="Q191" s="359">
        <v>1.0</v>
      </c>
      <c r="R191" s="359" t="s">
        <v>832</v>
      </c>
      <c r="S191" s="137"/>
      <c r="T191" s="137"/>
      <c r="U191" s="137"/>
      <c r="V191" s="137"/>
      <c r="W191" s="137"/>
      <c r="X191" s="137"/>
      <c r="Y191" s="137"/>
      <c r="Z191" s="137"/>
    </row>
    <row r="192">
      <c r="A192" s="301"/>
      <c r="B192" s="288" t="s">
        <v>874</v>
      </c>
      <c r="C192" s="280" t="s">
        <v>741</v>
      </c>
      <c r="D192" s="289">
        <f>ROUND((F192*'Pawn Weights'!$B$60)+(G192*'Pawn Weights'!$B$61)+(H192*'Pawn Weights'!$B$62)+(I192*'Pawn Weights'!$B$63)+(J192*'Pawn Weights'!$B$64)+(K192*'Pawn Weights'!$B$65)+(L192*'Pawn Weights'!$B$66)+(M192*'Pawn Weights'!$B$67)+(N192*'Pawn Weights'!$B$68)+(O192*'Pawn Weights'!$B$69)+(P192*'Pawn Weights'!$B$70)+(Q192*'Pawn Weights'!$B$71), 2)</f>
        <v>243.19</v>
      </c>
      <c r="E192" s="280">
        <v>31.0</v>
      </c>
      <c r="F192" s="280"/>
      <c r="G192" s="280">
        <v>45.0</v>
      </c>
      <c r="H192" s="280">
        <v>92.0</v>
      </c>
      <c r="I192" s="280">
        <v>37.0</v>
      </c>
      <c r="J192" s="280"/>
      <c r="K192" s="280"/>
      <c r="L192" s="280"/>
      <c r="M192" s="280"/>
      <c r="N192" s="280"/>
      <c r="O192" s="280"/>
      <c r="P192" s="280"/>
      <c r="Q192" s="280"/>
      <c r="R192" s="290"/>
      <c r="S192" s="281"/>
      <c r="T192" s="294"/>
      <c r="U192" s="281"/>
      <c r="V192" s="281"/>
      <c r="W192" s="281"/>
      <c r="X192" s="281"/>
    </row>
    <row r="193">
      <c r="A193" s="295"/>
      <c r="B193" s="296" t="s">
        <v>875</v>
      </c>
      <c r="C193" s="297" t="s">
        <v>865</v>
      </c>
      <c r="D193" s="289">
        <f>ROUND((F193*'Pawn Weights'!$B$60)+(G193*'Pawn Weights'!$B$61)+(H193*'Pawn Weights'!$B$62)+(I193*'Pawn Weights'!$B$63)+(J193*'Pawn Weights'!$B$64)+(K193*'Pawn Weights'!$B$65)+(L193*'Pawn Weights'!$B$66)+(M193*'Pawn Weights'!$B$67)+(N193*'Pawn Weights'!$B$68)+(O193*'Pawn Weights'!$B$69)+(P193*'Pawn Weights'!$B$70)+(Q193*'Pawn Weights'!$B$71), 2)</f>
        <v>235.86</v>
      </c>
      <c r="E193" s="298">
        <v>36.0</v>
      </c>
      <c r="F193" s="297"/>
      <c r="G193" s="298">
        <v>44.0</v>
      </c>
      <c r="H193" s="298">
        <v>104.0</v>
      </c>
      <c r="I193" s="297"/>
      <c r="J193" s="298">
        <v>15.0</v>
      </c>
      <c r="K193" s="297"/>
      <c r="L193" s="297"/>
      <c r="M193" s="297"/>
      <c r="N193" s="297"/>
      <c r="O193" s="297"/>
      <c r="P193" s="298">
        <v>1.0</v>
      </c>
      <c r="Q193" s="298">
        <v>1.0</v>
      </c>
      <c r="R193" s="298" t="s">
        <v>695</v>
      </c>
      <c r="S193" s="137"/>
      <c r="T193" s="295"/>
      <c r="U193" s="137"/>
      <c r="V193" s="137"/>
      <c r="W193" s="137"/>
      <c r="X193" s="137"/>
      <c r="Y193" s="137"/>
      <c r="Z193" s="137"/>
    </row>
    <row r="194">
      <c r="A194" s="295"/>
      <c r="B194" s="296" t="s">
        <v>876</v>
      </c>
      <c r="C194" s="297" t="s">
        <v>865</v>
      </c>
      <c r="D194" s="289">
        <f>ROUND((F194*'Pawn Weights'!$B$60)+(G194*'Pawn Weights'!$B$61)+(H194*'Pawn Weights'!$B$62)+(I194*'Pawn Weights'!$B$63)+(J194*'Pawn Weights'!$B$64)+(K194*'Pawn Weights'!$B$65)+(L194*'Pawn Weights'!$B$66)+(M194*'Pawn Weights'!$B$67)+(N194*'Pawn Weights'!$B$68)+(O194*'Pawn Weights'!$B$69)+(P194*'Pawn Weights'!$B$70)+(Q194*'Pawn Weights'!$B$71), 2)</f>
        <v>222.08</v>
      </c>
      <c r="E194" s="298">
        <v>52.0</v>
      </c>
      <c r="F194" s="298">
        <v>39.0</v>
      </c>
      <c r="G194" s="298">
        <v>45.0</v>
      </c>
      <c r="H194" s="297"/>
      <c r="I194" s="297"/>
      <c r="J194" s="298">
        <v>17.0</v>
      </c>
      <c r="K194" s="297"/>
      <c r="L194" s="297"/>
      <c r="M194" s="297"/>
      <c r="N194" s="297"/>
      <c r="O194" s="298">
        <v>1.0</v>
      </c>
      <c r="P194" s="298">
        <v>1.0</v>
      </c>
      <c r="Q194" s="297"/>
      <c r="R194" s="298" t="s">
        <v>812</v>
      </c>
      <c r="S194" s="137"/>
      <c r="T194" s="295"/>
      <c r="U194" s="137"/>
      <c r="V194" s="137"/>
      <c r="W194" s="137"/>
      <c r="X194" s="137"/>
      <c r="Y194" s="137"/>
      <c r="Z194" s="137"/>
    </row>
    <row r="195">
      <c r="A195" s="301"/>
      <c r="B195" s="288" t="s">
        <v>877</v>
      </c>
      <c r="C195" s="280" t="s">
        <v>708</v>
      </c>
      <c r="D195" s="289">
        <f>ROUND((F195*'Pawn Weights'!$B$60)+(G195*'Pawn Weights'!$B$61)+(H195*'Pawn Weights'!$B$62)+(I195*'Pawn Weights'!$B$63)+(J195*'Pawn Weights'!$B$64)+(K195*'Pawn Weights'!$B$65)+(L195*'Pawn Weights'!$B$66)+(M195*'Pawn Weights'!$B$67)+(N195*'Pawn Weights'!$B$68)+(O195*'Pawn Weights'!$B$69)+(P195*'Pawn Weights'!$B$70)+(Q195*'Pawn Weights'!$B$71)+6.96, 2)</f>
        <v>221.58</v>
      </c>
      <c r="E195" s="280"/>
      <c r="F195" s="280"/>
      <c r="G195" s="280">
        <v>37.0</v>
      </c>
      <c r="H195" s="280">
        <v>76.0</v>
      </c>
      <c r="I195" s="280"/>
      <c r="J195" s="280">
        <v>16.0</v>
      </c>
      <c r="K195" s="280"/>
      <c r="L195" s="280"/>
      <c r="M195" s="280"/>
      <c r="N195" s="280"/>
      <c r="O195" s="280">
        <v>3.0</v>
      </c>
      <c r="P195" s="280"/>
      <c r="Q195" s="280"/>
      <c r="R195" s="290" t="s">
        <v>622</v>
      </c>
      <c r="S195" s="281"/>
      <c r="T195" s="294"/>
      <c r="U195" s="281"/>
      <c r="V195" s="281"/>
      <c r="W195" s="281"/>
      <c r="X195" s="281"/>
    </row>
    <row r="196">
      <c r="A196" s="295" t="s">
        <v>635</v>
      </c>
      <c r="B196" s="296" t="s">
        <v>1347</v>
      </c>
      <c r="C196" s="297" t="s">
        <v>637</v>
      </c>
      <c r="D196" s="289">
        <f>ROUND((F196*'Pawn Weights'!$B$60)+(G196*'Pawn Weights'!$B$61)+(H196*'Pawn Weights'!$B$62)+(I196*'Pawn Weights'!$B$63)+(J196*'Pawn Weights'!$B$64)+(K196*'Pawn Weights'!$B$65)+(L196*'Pawn Weights'!$B$66)+(M196*'Pawn Weights'!$B$67)+(N196*'Pawn Weights'!$B$68)+(O196*'Pawn Weights'!$B$69)+(P196*'Pawn Weights'!$B$70)+(Q196*'Pawn Weights'!$B$71), 2)</f>
        <v>216.63</v>
      </c>
      <c r="E196" s="298">
        <v>74.0</v>
      </c>
      <c r="F196" s="298">
        <v>43.0</v>
      </c>
      <c r="G196" s="297"/>
      <c r="H196" s="297"/>
      <c r="I196" s="298">
        <v>41.0</v>
      </c>
      <c r="J196" s="298">
        <v>17.0</v>
      </c>
      <c r="K196" s="297"/>
      <c r="L196" s="297"/>
      <c r="M196" s="298">
        <v>84.0</v>
      </c>
      <c r="N196" s="297"/>
      <c r="O196" s="297"/>
      <c r="P196" s="297"/>
      <c r="Q196" s="297"/>
      <c r="R196" s="295"/>
      <c r="S196" s="137"/>
      <c r="T196" s="297" t="s">
        <v>861</v>
      </c>
      <c r="U196" s="137"/>
      <c r="V196" s="137"/>
      <c r="W196" s="137"/>
      <c r="X196" s="137"/>
      <c r="Y196" s="137"/>
      <c r="Z196" s="137"/>
    </row>
    <row r="197">
      <c r="A197" s="301"/>
      <c r="B197" s="288" t="s">
        <v>880</v>
      </c>
      <c r="C197" s="280" t="s">
        <v>881</v>
      </c>
      <c r="D197" s="289">
        <f>ROUND((F197*'Pawn Weights'!$B$60)+(G197*'Pawn Weights'!$B$61)+(H197*'Pawn Weights'!$B$62)+(I197*'Pawn Weights'!$B$63)+(J197*'Pawn Weights'!$B$64)+(K197*'Pawn Weights'!$B$65)+(L197*'Pawn Weights'!$B$66)+(M197*'Pawn Weights'!$B$67)+(N197*'Pawn Weights'!$B$68)+(O197*'Pawn Weights'!$B$69)+(P197*'Pawn Weights'!$B$70)+(Q197*'Pawn Weights'!$B$71), 2)</f>
        <v>210</v>
      </c>
      <c r="E197" s="280">
        <v>28.0</v>
      </c>
      <c r="F197" s="280"/>
      <c r="G197" s="280">
        <v>32.0</v>
      </c>
      <c r="H197" s="280">
        <v>64.0</v>
      </c>
      <c r="I197" s="280"/>
      <c r="J197" s="280">
        <v>28.0</v>
      </c>
      <c r="K197" s="280"/>
      <c r="L197" s="280"/>
      <c r="M197" s="280"/>
      <c r="N197" s="280"/>
      <c r="O197" s="280">
        <v>2.0</v>
      </c>
      <c r="P197" s="280"/>
      <c r="Q197" s="280">
        <v>1.0</v>
      </c>
      <c r="R197" s="290" t="s">
        <v>882</v>
      </c>
      <c r="S197" s="281"/>
      <c r="T197" s="294"/>
      <c r="U197" s="281"/>
      <c r="V197" s="281"/>
      <c r="W197" s="281"/>
      <c r="X197" s="281"/>
    </row>
    <row r="198">
      <c r="A198" s="301"/>
      <c r="B198" s="288" t="s">
        <v>1349</v>
      </c>
      <c r="C198" s="280" t="s">
        <v>1195</v>
      </c>
      <c r="D198" s="289">
        <f>ROUND((F198*'Pawn Weights'!$B$60)+(G198*'Pawn Weights'!$B$61)+(H198*'Pawn Weights'!$B$62)+(I198*'Pawn Weights'!$B$63)+(J198*'Pawn Weights'!$B$64)+(K198*'Pawn Weights'!$B$65)+(L198*'Pawn Weights'!$B$66)+(M198*'Pawn Weights'!$B$67)+(N198*'Pawn Weights'!$B$68)+(O198*'Pawn Weights'!$B$69)+(P198*'Pawn Weights'!$B$70)+(Q198*'Pawn Weights'!$B$71), 2)</f>
        <v>205.18</v>
      </c>
      <c r="E198" s="280">
        <v>33.0</v>
      </c>
      <c r="F198" s="280"/>
      <c r="G198" s="280">
        <v>37.0</v>
      </c>
      <c r="H198" s="280">
        <v>88.0</v>
      </c>
      <c r="I198" s="280"/>
      <c r="J198" s="280"/>
      <c r="K198" s="280"/>
      <c r="L198" s="280"/>
      <c r="M198" s="280"/>
      <c r="N198" s="280"/>
      <c r="O198" s="280">
        <v>1.0</v>
      </c>
      <c r="P198" s="280">
        <v>1.0</v>
      </c>
      <c r="Q198" s="280">
        <v>1.0</v>
      </c>
      <c r="R198" s="290" t="s">
        <v>622</v>
      </c>
      <c r="S198" s="281"/>
      <c r="T198" s="294"/>
      <c r="U198" s="281"/>
      <c r="V198" s="281"/>
      <c r="W198" s="281"/>
      <c r="X198" s="281"/>
    </row>
    <row r="199">
      <c r="A199" s="301" t="s">
        <v>647</v>
      </c>
      <c r="B199" s="288" t="s">
        <v>1478</v>
      </c>
      <c r="C199" s="280" t="s">
        <v>765</v>
      </c>
      <c r="D199" s="289">
        <f>ROUND((F199*'Pawn Weights'!$B$60)+(G199*'Pawn Weights'!$B$61)+(H199*'Pawn Weights'!$B$62)+(I199*'Pawn Weights'!$B$63)+(J199*'Pawn Weights'!$B$64)+(K199*'Pawn Weights'!$B$65)+(L199*'Pawn Weights'!$B$66)+(M199*'Pawn Weights'!$B$67)+(N199*'Pawn Weights'!$B$68)+(O199*'Pawn Weights'!$B$69)+(P199*'Pawn Weights'!$B$70)+(Q199*'Pawn Weights'!$B$71)+3.48, 2)</f>
        <v>195.1</v>
      </c>
      <c r="E199" s="280">
        <v>58.0</v>
      </c>
      <c r="F199" s="280">
        <v>41.0</v>
      </c>
      <c r="G199" s="280">
        <v>32.0</v>
      </c>
      <c r="H199" s="280"/>
      <c r="I199" s="280"/>
      <c r="J199" s="280">
        <v>21.0</v>
      </c>
      <c r="K199" s="280"/>
      <c r="L199" s="280"/>
      <c r="M199" s="280"/>
      <c r="N199" s="280"/>
      <c r="O199" s="280">
        <v>1.0</v>
      </c>
      <c r="P199" s="280"/>
      <c r="Q199" s="280"/>
      <c r="R199" s="290" t="s">
        <v>711</v>
      </c>
      <c r="S199" s="281"/>
      <c r="T199" s="294"/>
      <c r="U199" s="281"/>
      <c r="V199" s="281"/>
      <c r="W199" s="281"/>
      <c r="X199" s="281"/>
    </row>
    <row r="200">
      <c r="A200" s="309"/>
      <c r="B200" s="311" t="s">
        <v>1479</v>
      </c>
      <c r="C200" s="280" t="s">
        <v>1480</v>
      </c>
      <c r="D200" s="289">
        <f>ROUND((F200*'Pawn Weights'!$B$60)+(G200*'Pawn Weights'!$B$61)+(H200*'Pawn Weights'!$B$62)+(I200*'Pawn Weights'!$B$63)+(J200*'Pawn Weights'!$B$64)+(K200*'Pawn Weights'!$B$65)+(L200*'Pawn Weights'!$B$66)+(M200*'Pawn Weights'!$B$67)+(N200*'Pawn Weights'!$B$68)+(O200*'Pawn Weights'!$B$69)+(P200*'Pawn Weights'!$B$70)+(Q200*'Pawn Weights'!$B$71), 2)</f>
        <v>194.98</v>
      </c>
      <c r="E200" s="280">
        <v>24.0</v>
      </c>
      <c r="F200" s="280">
        <v>30.0</v>
      </c>
      <c r="G200" s="280">
        <v>30.0</v>
      </c>
      <c r="H200" s="280"/>
      <c r="I200" s="280"/>
      <c r="J200" s="280">
        <v>17.0</v>
      </c>
      <c r="K200" s="280"/>
      <c r="L200" s="280">
        <v>18.0</v>
      </c>
      <c r="M200" s="280"/>
      <c r="N200" s="280"/>
      <c r="O200" s="280"/>
      <c r="P200" s="280"/>
      <c r="Q200" s="280"/>
      <c r="R200" s="290"/>
      <c r="S200" s="281"/>
      <c r="T200" s="294"/>
      <c r="U200" s="281"/>
      <c r="V200" s="281"/>
      <c r="W200" s="281"/>
      <c r="X200" s="281"/>
    </row>
    <row r="201">
      <c r="A201" s="137" t="s">
        <v>627</v>
      </c>
      <c r="B201" s="383" t="s">
        <v>1235</v>
      </c>
      <c r="C201" s="297" t="s">
        <v>904</v>
      </c>
      <c r="D201" s="367">
        <f>ROUND((F201*'Pawn Weights'!$B$60)+(G201*'Pawn Weights'!$B$61)+(H201*'Pawn Weights'!$B$62)+(I201*'Pawn Weights'!$B$63)+(J201*'Pawn Weights'!$B$64)+(K201*'Pawn Weights'!$B$65)+(L201*'Pawn Weights'!$B$66)+(M201*'Pawn Weights'!$B$67)+(N201*'Pawn Weights'!$B$68)+(O201*'Pawn Weights'!$B$69)+(P201*'Pawn Weights'!$B$70)+(Q201*'Pawn Weights'!$B$71)-35.2+33.36+8, 2)</f>
        <v>193.71</v>
      </c>
      <c r="E201" s="297"/>
      <c r="F201" s="297"/>
      <c r="G201" s="297"/>
      <c r="H201" s="298">
        <v>52.0</v>
      </c>
      <c r="I201" s="298">
        <v>25.0</v>
      </c>
      <c r="J201" s="298">
        <v>25.0</v>
      </c>
      <c r="K201" s="297"/>
      <c r="L201" s="297"/>
      <c r="M201" s="297"/>
      <c r="N201" s="297"/>
      <c r="O201" s="298">
        <v>1.0</v>
      </c>
      <c r="P201" s="298">
        <v>2.0</v>
      </c>
      <c r="Q201" s="297"/>
      <c r="R201" s="298" t="s">
        <v>745</v>
      </c>
      <c r="S201" s="137"/>
      <c r="T201" s="295"/>
      <c r="U201" s="137"/>
      <c r="V201" s="137"/>
      <c r="W201" s="137"/>
      <c r="X201" s="137"/>
      <c r="Y201" s="137"/>
      <c r="Z201" s="137"/>
    </row>
    <row r="202">
      <c r="A202" s="309"/>
      <c r="B202" s="288" t="s">
        <v>1238</v>
      </c>
      <c r="C202" s="280" t="s">
        <v>1239</v>
      </c>
      <c r="D202" s="289">
        <f>ROUND((F202*'Pawn Weights'!$B$60)+(G202*'Pawn Weights'!$B$61)+(H202*'Pawn Weights'!$B$62)+(I202*'Pawn Weights'!$B$63)+(J202*'Pawn Weights'!$B$64)+(K202*'Pawn Weights'!$B$65)+(L202*'Pawn Weights'!$B$66)+(M202*'Pawn Weights'!$B$67)+(N202*'Pawn Weights'!$B$68)+(O202*'Pawn Weights'!$B$69)+(P202*'Pawn Weights'!$B$70)+(Q202*'Pawn Weights'!$B$71), 2)</f>
        <v>192.77</v>
      </c>
      <c r="E202" s="280">
        <v>30.0</v>
      </c>
      <c r="F202" s="280"/>
      <c r="G202" s="280"/>
      <c r="H202" s="280">
        <v>64.0</v>
      </c>
      <c r="I202" s="280">
        <v>27.0</v>
      </c>
      <c r="J202" s="280">
        <v>17.0</v>
      </c>
      <c r="K202" s="280"/>
      <c r="L202" s="280"/>
      <c r="M202" s="281"/>
      <c r="N202" s="280"/>
      <c r="O202" s="280">
        <v>2.0</v>
      </c>
      <c r="P202" s="280"/>
      <c r="Q202" s="280">
        <v>1.0</v>
      </c>
      <c r="R202" s="290" t="s">
        <v>626</v>
      </c>
      <c r="S202" s="281"/>
      <c r="T202" s="291"/>
      <c r="U202" s="281"/>
      <c r="V202" s="281"/>
      <c r="W202" s="281"/>
    </row>
    <row r="203">
      <c r="A203" s="295" t="s">
        <v>644</v>
      </c>
      <c r="B203" s="296" t="s">
        <v>1481</v>
      </c>
      <c r="C203" s="297" t="s">
        <v>646</v>
      </c>
      <c r="D203" s="289">
        <f>ROUND((F203*'Pawn Weights'!$B$60)+(G203*'Pawn Weights'!$B$61)+(H203*'Pawn Weights'!$B$62)+(I203*'Pawn Weights'!$B$63)+(J203*'Pawn Weights'!$B$64)+(K203*'Pawn Weights'!$B$65)+(L203*'Pawn Weights'!$B$66)+(M203*'Pawn Weights'!$B$67)+(N203*'Pawn Weights'!$B$68)+(O203*'Pawn Weights'!$B$69)+(P203*'Pawn Weights'!$B$70)+(Q203*'Pawn Weights'!$B$71), 2)</f>
        <v>189.08</v>
      </c>
      <c r="E203" s="298">
        <v>67.0</v>
      </c>
      <c r="F203" s="298">
        <v>38.0</v>
      </c>
      <c r="G203" s="297"/>
      <c r="H203" s="297"/>
      <c r="I203" s="298">
        <v>36.0</v>
      </c>
      <c r="J203" s="298">
        <v>12.0</v>
      </c>
      <c r="K203" s="297"/>
      <c r="L203" s="297"/>
      <c r="M203" s="298">
        <v>84.0</v>
      </c>
      <c r="N203" s="297"/>
      <c r="O203" s="297"/>
      <c r="P203" s="297"/>
      <c r="Q203" s="297"/>
      <c r="R203" s="295"/>
      <c r="S203" s="137"/>
      <c r="T203" s="295"/>
      <c r="U203" s="137"/>
      <c r="V203" s="137"/>
      <c r="W203" s="137"/>
      <c r="X203" s="137"/>
      <c r="Y203" s="137"/>
      <c r="Z203" s="137"/>
    </row>
    <row r="204">
      <c r="A204" s="309"/>
      <c r="B204" s="311" t="s">
        <v>1617</v>
      </c>
      <c r="C204" s="280" t="s">
        <v>1618</v>
      </c>
      <c r="D204" s="289">
        <f>ROUND((F204*'Pawn Weights'!$B$60)+(G204*'Pawn Weights'!$B$61)+(H204*'Pawn Weights'!$B$62)+(I204*'Pawn Weights'!$B$63)+(J204*'Pawn Weights'!$B$64)+(K204*'Pawn Weights'!$B$65)+(L204*'Pawn Weights'!$B$66)+(M204*'Pawn Weights'!$B$67)+(N204*'Pawn Weights'!$B$68)+(O204*'Pawn Weights'!$B$69)+(P204*'Pawn Weights'!$B$70)+(Q204*'Pawn Weights'!$B$71), 2)</f>
        <v>186.5</v>
      </c>
      <c r="E204" s="280">
        <v>27.0</v>
      </c>
      <c r="F204" s="280">
        <v>35.0</v>
      </c>
      <c r="G204" s="280">
        <v>25.0</v>
      </c>
      <c r="H204" s="280"/>
      <c r="I204" s="280"/>
      <c r="J204" s="280"/>
      <c r="K204" s="280"/>
      <c r="L204" s="280">
        <v>22.0</v>
      </c>
      <c r="M204" s="280"/>
      <c r="N204" s="280"/>
      <c r="O204" s="280"/>
      <c r="P204" s="280"/>
      <c r="Q204" s="280"/>
      <c r="R204" s="290"/>
      <c r="S204" s="281"/>
      <c r="T204" s="294" t="s">
        <v>1619</v>
      </c>
      <c r="U204" s="281"/>
      <c r="V204" s="281"/>
      <c r="W204" s="281"/>
      <c r="X204" s="281"/>
    </row>
    <row r="205">
      <c r="A205" s="301" t="s">
        <v>1068</v>
      </c>
      <c r="B205" s="288" t="s">
        <v>1899</v>
      </c>
      <c r="C205" s="280" t="s">
        <v>997</v>
      </c>
      <c r="D205" s="289">
        <f>ROUND((F205*'Pawn Weights'!$B$60)+(G205*'Pawn Weights'!$B$61)+(H205*'Pawn Weights'!$B$62)+(I205*'Pawn Weights'!$B$63)+(J205*'Pawn Weights'!$B$64)+(K205*'Pawn Weights'!$B$65)+(L205*'Pawn Weights'!$B$66)+(M205*'Pawn Weights'!$B$67)+(N205*'Pawn Weights'!$B$68)+(O205*'Pawn Weights'!$B$69)+(P205*'Pawn Weights'!$B$70)+(Q205*'Pawn Weights'!$B$71), 2)</f>
        <v>153.6</v>
      </c>
      <c r="E205" s="280">
        <v>60.0</v>
      </c>
      <c r="F205" s="280">
        <v>34.0</v>
      </c>
      <c r="G205" s="280"/>
      <c r="H205" s="280"/>
      <c r="I205" s="280">
        <v>40.0</v>
      </c>
      <c r="J205" s="280"/>
      <c r="K205" s="280"/>
      <c r="L205" s="280"/>
      <c r="M205" s="280"/>
      <c r="N205" s="280"/>
      <c r="O205" s="280"/>
      <c r="P205" s="280"/>
      <c r="Q205" s="280"/>
      <c r="R205" s="290"/>
      <c r="S205" s="281"/>
      <c r="T205" s="294"/>
      <c r="U205" s="281"/>
      <c r="V205" s="281"/>
      <c r="W205" s="281"/>
      <c r="X205" s="281"/>
    </row>
    <row r="206">
      <c r="A206" s="301"/>
      <c r="B206" s="311" t="s">
        <v>1900</v>
      </c>
      <c r="C206" s="280" t="s">
        <v>1437</v>
      </c>
      <c r="D206" s="289">
        <f>ROUND((F206*'Pawn Weights'!$B$60)+(G206*'Pawn Weights'!$B$61)+(H206*'Pawn Weights'!$B$62)+(I206*'Pawn Weights'!$B$63)+(J206*'Pawn Weights'!$B$64)+(K206*'Pawn Weights'!$B$65)+(L206*'Pawn Weights'!$B$66)+(M206*'Pawn Weights'!$B$67)+(N206*'Pawn Weights'!$B$68)+(O206*'Pawn Weights'!$B$69)+(P206*'Pawn Weights'!$B$70)+(Q206*'Pawn Weights'!$B$71), 2)</f>
        <v>152.3</v>
      </c>
      <c r="E206" s="280">
        <v>13.0</v>
      </c>
      <c r="F206" s="280"/>
      <c r="G206" s="280">
        <v>25.0</v>
      </c>
      <c r="H206" s="280">
        <v>56.0</v>
      </c>
      <c r="I206" s="280"/>
      <c r="J206" s="280"/>
      <c r="K206" s="280"/>
      <c r="L206" s="280"/>
      <c r="M206" s="280"/>
      <c r="N206" s="280"/>
      <c r="O206" s="280">
        <v>2.0</v>
      </c>
      <c r="P206" s="280"/>
      <c r="Q206" s="280">
        <v>1.0</v>
      </c>
      <c r="R206" s="290" t="s">
        <v>1901</v>
      </c>
      <c r="S206" s="281"/>
      <c r="T206" s="294"/>
      <c r="U206" s="281"/>
      <c r="V206" s="281"/>
      <c r="W206" s="281"/>
      <c r="X206" s="281"/>
    </row>
    <row r="207">
      <c r="A207" s="301" t="s">
        <v>654</v>
      </c>
      <c r="B207" s="288" t="s">
        <v>1902</v>
      </c>
      <c r="C207" s="280" t="s">
        <v>823</v>
      </c>
      <c r="D207" s="289">
        <f>ROUND((F207*'Pawn Weights'!$B$60)+(G207*'Pawn Weights'!$B$61)+(H207*'Pawn Weights'!$B$62)+(I207*'Pawn Weights'!$B$63)+(J207*'Pawn Weights'!$B$64)+(K207*'Pawn Weights'!$B$65)+(L207*'Pawn Weights'!$B$66)+(M207*'Pawn Weights'!$B$67)+(N207*'Pawn Weights'!$B$68)+(O207*'Pawn Weights'!$B$69)+(P207*'Pawn Weights'!$B$70)+(Q207*'Pawn Weights'!$B$71), 2)</f>
        <v>137.9</v>
      </c>
      <c r="E207" s="280">
        <v>52.0</v>
      </c>
      <c r="F207" s="280">
        <v>35.0</v>
      </c>
      <c r="G207" s="280">
        <v>35.0</v>
      </c>
      <c r="H207" s="280"/>
      <c r="I207" s="280"/>
      <c r="J207" s="280"/>
      <c r="K207" s="280"/>
      <c r="L207" s="280"/>
      <c r="M207" s="280"/>
      <c r="N207" s="280"/>
      <c r="O207" s="280"/>
      <c r="P207" s="280"/>
      <c r="Q207" s="280"/>
      <c r="R207" s="290"/>
      <c r="S207" s="281"/>
      <c r="T207" s="294"/>
      <c r="U207" s="281"/>
      <c r="V207" s="281"/>
      <c r="W207" s="281"/>
      <c r="X207" s="281"/>
    </row>
    <row r="208">
      <c r="A208" s="301" t="s">
        <v>1499</v>
      </c>
      <c r="B208" s="288" t="s">
        <v>1903</v>
      </c>
      <c r="C208" s="280" t="s">
        <v>1159</v>
      </c>
      <c r="D208" s="289">
        <f>ROUND((F208*'Pawn Weights'!$B$60)+(G208*'Pawn Weights'!$B$61)+(H208*'Pawn Weights'!$B$62)+(I208*'Pawn Weights'!$B$63)+(J208*'Pawn Weights'!$B$64)+(K208*'Pawn Weights'!$B$65)+(L208*'Pawn Weights'!$B$66)+(M208*'Pawn Weights'!$B$67)+(N208*'Pawn Weights'!$B$68)+(O208*'Pawn Weights'!$B$69)+(P208*'Pawn Weights'!$B$70)+(Q208*'Pawn Weights'!$B$71), 2)</f>
        <v>136.92</v>
      </c>
      <c r="E208" s="280">
        <v>54.0</v>
      </c>
      <c r="F208" s="280">
        <v>30.0</v>
      </c>
      <c r="G208" s="280"/>
      <c r="H208" s="280"/>
      <c r="I208" s="280">
        <v>36.0</v>
      </c>
      <c r="J208" s="280"/>
      <c r="K208" s="280"/>
      <c r="L208" s="280"/>
      <c r="M208" s="280"/>
      <c r="N208" s="280"/>
      <c r="O208" s="280"/>
      <c r="P208" s="280"/>
      <c r="Q208" s="280"/>
      <c r="R208" s="290"/>
      <c r="S208" s="281"/>
      <c r="T208" s="294"/>
      <c r="U208" s="281"/>
      <c r="V208" s="281"/>
      <c r="W208" s="281"/>
      <c r="X208" s="281"/>
    </row>
    <row r="209">
      <c r="A209" s="301"/>
      <c r="B209" s="311" t="s">
        <v>1799</v>
      </c>
      <c r="C209" s="280" t="s">
        <v>1307</v>
      </c>
      <c r="D209" s="289">
        <f>ROUND((F209*'Pawn Weights'!$B$60)+(G209*'Pawn Weights'!$B$61)+(H209*'Pawn Weights'!$B$62)+(I209*'Pawn Weights'!$B$63)+(J209*'Pawn Weights'!$B$64)+(K209*'Pawn Weights'!$B$65)+(L209*'Pawn Weights'!$B$66)+(M209*'Pawn Weights'!$B$67)+(N209*'Pawn Weights'!$B$68)+(O209*'Pawn Weights'!$B$69)+(P209*'Pawn Weights'!$B$70)+(Q209*'Pawn Weights'!$B$71), 2)</f>
        <v>130.44</v>
      </c>
      <c r="E209" s="280">
        <v>31.0</v>
      </c>
      <c r="F209" s="280"/>
      <c r="G209" s="280">
        <v>32.0</v>
      </c>
      <c r="H209" s="280">
        <v>56.0</v>
      </c>
      <c r="I209" s="280"/>
      <c r="J209" s="280">
        <v>14.0</v>
      </c>
      <c r="K209" s="280"/>
      <c r="L209" s="280"/>
      <c r="M209" s="280"/>
      <c r="N209" s="280"/>
      <c r="O209" s="280"/>
      <c r="P209" s="280"/>
      <c r="Q209" s="280"/>
      <c r="R209" s="290"/>
      <c r="S209" s="281"/>
      <c r="T209" s="294"/>
      <c r="U209" s="281"/>
      <c r="V209" s="281"/>
      <c r="W209" s="281"/>
      <c r="X209" s="281"/>
    </row>
    <row r="210">
      <c r="A210" s="301"/>
      <c r="B210" s="311" t="s">
        <v>1904</v>
      </c>
      <c r="C210" s="280" t="s">
        <v>1905</v>
      </c>
      <c r="D210" s="289">
        <f>ROUND((F210*'Pawn Weights'!$B$60)+(G210*'Pawn Weights'!$B$61)+(H210*'Pawn Weights'!$B$62)+(I210*'Pawn Weights'!$B$63)+(J210*'Pawn Weights'!$B$64)+(K210*'Pawn Weights'!$B$65)+(L210*'Pawn Weights'!$B$66)+(M210*'Pawn Weights'!$B$67)+(N210*'Pawn Weights'!$B$68)+(O210*'Pawn Weights'!$B$69)+(P210*'Pawn Weights'!$B$70)+(Q210*'Pawn Weights'!$B$71), 2)</f>
        <v>104.2</v>
      </c>
      <c r="E210" s="280">
        <v>25.0</v>
      </c>
      <c r="F210" s="280"/>
      <c r="G210" s="280">
        <v>30.0</v>
      </c>
      <c r="H210" s="280">
        <v>52.0</v>
      </c>
      <c r="I210" s="280"/>
      <c r="J210" s="280"/>
      <c r="K210" s="280"/>
      <c r="L210" s="280"/>
      <c r="M210" s="280"/>
      <c r="N210" s="280"/>
      <c r="O210" s="280"/>
      <c r="P210" s="280"/>
      <c r="Q210" s="280"/>
      <c r="R210" s="290"/>
      <c r="S210" s="281"/>
      <c r="T210" s="294"/>
      <c r="U210" s="281"/>
      <c r="V210" s="281"/>
      <c r="W210" s="281"/>
      <c r="X210" s="281"/>
    </row>
    <row r="211">
      <c r="A211" s="272" t="s">
        <v>883</v>
      </c>
      <c r="B211" s="281"/>
      <c r="C211" s="281"/>
      <c r="D211" s="360"/>
      <c r="E211" s="281"/>
      <c r="F211" s="281"/>
      <c r="G211" s="281"/>
      <c r="H211" s="281"/>
      <c r="I211" s="281"/>
      <c r="J211" s="281"/>
      <c r="K211" s="281"/>
      <c r="L211" s="281"/>
      <c r="M211" s="281"/>
      <c r="N211" s="281"/>
      <c r="O211" s="281"/>
      <c r="P211" s="281"/>
      <c r="Q211" s="281"/>
      <c r="R211" s="282"/>
      <c r="S211" s="281"/>
      <c r="T211" s="285"/>
      <c r="U211" s="281"/>
      <c r="V211" s="281"/>
      <c r="W211" s="281"/>
    </row>
    <row r="212">
      <c r="A212" s="137"/>
      <c r="B212" s="341" t="s">
        <v>888</v>
      </c>
      <c r="C212" s="361" t="s">
        <v>889</v>
      </c>
      <c r="D212" s="289">
        <f>ROUND((F212*'Pawn Weights'!$B$60)+(G212*'Pawn Weights'!$B$61)+(H212*'Pawn Weights'!$B$62)+(I212*'Pawn Weights'!$B$63)+(J212*'Pawn Weights'!$B$64)+(K212*'Pawn Weights'!$B$65)+(L212*'Pawn Weights'!$B$66)+(M212*'Pawn Weights'!$B$67)+(N212*'Pawn Weights'!$B$68)+(O212*'Pawn Weights'!$B$69)+(P212*'Pawn Weights'!$B$70)+(Q212*'Pawn Weights'!$B$71), 2)</f>
        <v>175.14</v>
      </c>
      <c r="E212" s="359">
        <v>21.0</v>
      </c>
      <c r="F212" s="361"/>
      <c r="G212" s="359">
        <v>29.0</v>
      </c>
      <c r="H212" s="359">
        <v>60.0</v>
      </c>
      <c r="I212" s="361"/>
      <c r="J212" s="359">
        <v>22.0</v>
      </c>
      <c r="K212" s="361"/>
      <c r="L212" s="361"/>
      <c r="M212" s="137"/>
      <c r="N212" s="361"/>
      <c r="O212" s="359">
        <v>1.0</v>
      </c>
      <c r="P212" s="361"/>
      <c r="Q212" s="359">
        <v>1.0</v>
      </c>
      <c r="R212" s="359" t="s">
        <v>832</v>
      </c>
      <c r="S212" s="137"/>
      <c r="T212" s="137"/>
      <c r="U212" s="137"/>
      <c r="V212" s="137"/>
      <c r="W212" s="137"/>
      <c r="X212" s="137"/>
      <c r="Y212" s="137"/>
      <c r="Z212" s="137"/>
    </row>
    <row r="213">
      <c r="A213" s="301" t="s">
        <v>627</v>
      </c>
      <c r="B213" s="288" t="s">
        <v>897</v>
      </c>
      <c r="C213" s="280" t="s">
        <v>898</v>
      </c>
      <c r="D213" s="289">
        <f>ROUND((F213*'Pawn Weights'!$B$60)+(G213*'Pawn Weights'!$B$61)+(H213*'Pawn Weights'!$B$62)+(I213*'Pawn Weights'!$B$63)+(J213*'Pawn Weights'!$B$64)+(K213*'Pawn Weights'!$B$65)+(L213*'Pawn Weights'!$B$66)+(M213*'Pawn Weights'!$B$67)+(N213*'Pawn Weights'!$B$68)+(O213*'Pawn Weights'!$B$69)+(P213*'Pawn Weights'!$B$70)+(Q213*'Pawn Weights'!$B$71), 2)</f>
        <v>159.86</v>
      </c>
      <c r="E213" s="280">
        <v>34.0</v>
      </c>
      <c r="F213" s="280"/>
      <c r="G213" s="280"/>
      <c r="H213" s="280">
        <v>66.0</v>
      </c>
      <c r="I213" s="280">
        <v>32.0</v>
      </c>
      <c r="J213" s="280">
        <v>23.0</v>
      </c>
      <c r="K213" s="280"/>
      <c r="L213" s="280"/>
      <c r="M213" s="281"/>
      <c r="N213" s="280"/>
      <c r="O213" s="280"/>
      <c r="P213" s="280"/>
      <c r="Q213" s="280"/>
      <c r="R213" s="290"/>
      <c r="S213" s="281"/>
      <c r="T213" s="291"/>
      <c r="U213" s="281"/>
      <c r="V213" s="281"/>
      <c r="W213" s="281"/>
    </row>
    <row r="214">
      <c r="A214" s="301"/>
      <c r="B214" s="288" t="s">
        <v>901</v>
      </c>
      <c r="C214" s="280" t="s">
        <v>649</v>
      </c>
      <c r="D214" s="289">
        <f>ROUND((F214*'Pawn Weights'!$B$60)+(G214*'Pawn Weights'!$B$61)+(H214*'Pawn Weights'!$B$62)+(I214*'Pawn Weights'!$B$63)+(J214*'Pawn Weights'!$B$64)+(K214*'Pawn Weights'!$B$65)+(L214*'Pawn Weights'!$B$66)+(M214*'Pawn Weights'!$B$67)+(N214*'Pawn Weights'!$B$68)+(O214*'Pawn Weights'!$B$69)+(P214*'Pawn Weights'!$B$70)+(Q214*'Pawn Weights'!$B$71), 2)</f>
        <v>158.62</v>
      </c>
      <c r="E214" s="280">
        <v>25.0</v>
      </c>
      <c r="F214" s="280"/>
      <c r="G214" s="280">
        <v>33.0</v>
      </c>
      <c r="H214" s="280">
        <v>66.0</v>
      </c>
      <c r="I214" s="280"/>
      <c r="J214" s="280"/>
      <c r="K214" s="280"/>
      <c r="L214" s="280"/>
      <c r="M214" s="281"/>
      <c r="N214" s="280"/>
      <c r="O214" s="280">
        <v>1.0</v>
      </c>
      <c r="P214" s="280"/>
      <c r="Q214" s="280">
        <v>1.0</v>
      </c>
      <c r="R214" s="290" t="s">
        <v>695</v>
      </c>
      <c r="S214" s="281"/>
      <c r="T214" s="291"/>
      <c r="U214" s="281"/>
      <c r="V214" s="281"/>
      <c r="W214" s="281"/>
    </row>
    <row r="215">
      <c r="A215" s="301"/>
      <c r="B215" s="288" t="s">
        <v>902</v>
      </c>
      <c r="C215" s="280" t="s">
        <v>871</v>
      </c>
      <c r="D215" s="289">
        <f>ROUND((F215*'Pawn Weights'!$B$60)+(G215*'Pawn Weights'!$B$61)+(H215*'Pawn Weights'!$B$62)+(I215*'Pawn Weights'!$B$63)+(J215*'Pawn Weights'!$B$64)+(K215*'Pawn Weights'!$B$65)+(L215*'Pawn Weights'!$B$66)+(M215*'Pawn Weights'!$B$67)+(N215*'Pawn Weights'!$B$68)+(O215*'Pawn Weights'!$B$69)+(P215*'Pawn Weights'!$B$70)+(Q215*'Pawn Weights'!$B$71), 2)</f>
        <v>158.62</v>
      </c>
      <c r="E215" s="280">
        <v>13.0</v>
      </c>
      <c r="F215" s="280"/>
      <c r="G215" s="280">
        <v>33.0</v>
      </c>
      <c r="H215" s="280">
        <v>66.0</v>
      </c>
      <c r="I215" s="280"/>
      <c r="J215" s="280"/>
      <c r="K215" s="280"/>
      <c r="L215" s="280"/>
      <c r="M215" s="281"/>
      <c r="N215" s="280"/>
      <c r="O215" s="280"/>
      <c r="P215" s="280"/>
      <c r="Q215" s="280">
        <v>2.0</v>
      </c>
      <c r="R215" s="290" t="s">
        <v>809</v>
      </c>
      <c r="S215" s="281"/>
      <c r="T215" s="291"/>
      <c r="U215" s="281"/>
      <c r="V215" s="281"/>
      <c r="W215" s="281"/>
    </row>
    <row r="216">
      <c r="A216" s="137" t="s">
        <v>671</v>
      </c>
      <c r="B216" s="296" t="s">
        <v>1351</v>
      </c>
      <c r="C216" s="297" t="s">
        <v>892</v>
      </c>
      <c r="D216" s="289">
        <f>ROUND((F216*'Pawn Weights'!$B$60)+(G216*'Pawn Weights'!$B$61)+(H216*'Pawn Weights'!$B$62)+(I216*'Pawn Weights'!$B$63)+(J216*'Pawn Weights'!$B$64)+(K216*'Pawn Weights'!$B$65)+(L216*'Pawn Weights'!$B$66)+(M216*'Pawn Weights'!$B$67)+(N216*'Pawn Weights'!$B$68)+(O216*'Pawn Weights'!$B$69)+(P216*'Pawn Weights'!$B$70)+(Q216*'Pawn Weights'!$B$71), 2)</f>
        <v>158.46</v>
      </c>
      <c r="E216" s="298">
        <v>55.0</v>
      </c>
      <c r="F216" s="298">
        <v>38.0</v>
      </c>
      <c r="G216" s="297"/>
      <c r="H216" s="297"/>
      <c r="I216" s="298">
        <v>38.0</v>
      </c>
      <c r="J216" s="297"/>
      <c r="K216" s="297"/>
      <c r="L216" s="297"/>
      <c r="M216" s="137"/>
      <c r="N216" s="297"/>
      <c r="O216" s="297"/>
      <c r="P216" s="297"/>
      <c r="Q216" s="297"/>
      <c r="R216" s="295"/>
      <c r="S216" s="137"/>
      <c r="T216" s="297" t="s">
        <v>850</v>
      </c>
      <c r="U216" s="137"/>
      <c r="V216" s="137"/>
      <c r="W216" s="137"/>
      <c r="X216" s="137"/>
      <c r="Y216" s="137"/>
      <c r="Z216" s="137"/>
    </row>
    <row r="217">
      <c r="A217" s="137"/>
      <c r="B217" s="341" t="s">
        <v>890</v>
      </c>
      <c r="C217" s="361" t="s">
        <v>773</v>
      </c>
      <c r="D217" s="289">
        <f>ROUND((F217*'Pawn Weights'!$B$60)+(G217*'Pawn Weights'!$B$61)+(H217*'Pawn Weights'!$B$62)+(I217*'Pawn Weights'!$B$63)+(J217*'Pawn Weights'!$B$64)+(K217*'Pawn Weights'!$B$65)+(L217*'Pawn Weights'!$B$66)+(M217*'Pawn Weights'!$B$67)+(N217*'Pawn Weights'!$B$68)+(O217*'Pawn Weights'!$B$69)+(P217*'Pawn Weights'!$B$70)+(Q217*'Pawn Weights'!$B$71), 2)</f>
        <v>152.04</v>
      </c>
      <c r="E217" s="359">
        <v>28.0</v>
      </c>
      <c r="F217" s="361"/>
      <c r="G217" s="359">
        <v>28.0</v>
      </c>
      <c r="H217" s="359">
        <v>58.0</v>
      </c>
      <c r="I217" s="361"/>
      <c r="J217" s="361"/>
      <c r="K217" s="361"/>
      <c r="L217" s="361"/>
      <c r="M217" s="359">
        <v>126.0</v>
      </c>
      <c r="N217" s="361"/>
      <c r="O217" s="359">
        <v>1.0</v>
      </c>
      <c r="P217" s="361"/>
      <c r="Q217" s="361"/>
      <c r="R217" s="359" t="s">
        <v>674</v>
      </c>
      <c r="S217" s="137"/>
      <c r="T217" s="137"/>
      <c r="U217" s="137"/>
      <c r="V217" s="137"/>
      <c r="W217" s="137"/>
      <c r="X217" s="137"/>
      <c r="Y217" s="137"/>
      <c r="Z217" s="137"/>
    </row>
    <row r="218">
      <c r="A218" s="309"/>
      <c r="B218" s="288" t="s">
        <v>1103</v>
      </c>
      <c r="C218" s="280" t="s">
        <v>1104</v>
      </c>
      <c r="D218" s="289">
        <f>ROUND((F218*'Pawn Weights'!$B$60)+(G218*'Pawn Weights'!$B$61)+(H218*'Pawn Weights'!$B$62)+(I218*'Pawn Weights'!$B$63)+(J218*'Pawn Weights'!$B$64)+(K218*'Pawn Weights'!$B$65)+(L218*'Pawn Weights'!$B$66)+(M218*'Pawn Weights'!$B$67)+(N218*'Pawn Weights'!$B$68)+(O218*'Pawn Weights'!$B$69)+(P218*'Pawn Weights'!$B$70)+(Q218*'Pawn Weights'!$B$71)-17.6+16.68+4.02, 2)</f>
        <v>150.18</v>
      </c>
      <c r="E218" s="280">
        <v>28.0</v>
      </c>
      <c r="F218" s="280"/>
      <c r="G218" s="280">
        <v>29.0</v>
      </c>
      <c r="H218" s="280">
        <v>44.0</v>
      </c>
      <c r="I218" s="280"/>
      <c r="J218" s="280">
        <v>13.0</v>
      </c>
      <c r="K218" s="280"/>
      <c r="L218" s="280"/>
      <c r="M218" s="281"/>
      <c r="N218" s="280"/>
      <c r="O218" s="280">
        <v>1.0</v>
      </c>
      <c r="P218" s="280">
        <v>1.0</v>
      </c>
      <c r="Q218" s="280"/>
      <c r="R218" s="290" t="s">
        <v>832</v>
      </c>
      <c r="S218" s="281"/>
      <c r="T218" s="291"/>
      <c r="U218" s="281"/>
      <c r="V218" s="281"/>
      <c r="W218" s="281"/>
    </row>
    <row r="219">
      <c r="A219" s="301" t="s">
        <v>627</v>
      </c>
      <c r="B219" s="311" t="s">
        <v>903</v>
      </c>
      <c r="C219" s="280" t="s">
        <v>904</v>
      </c>
      <c r="D219" s="289">
        <f>ROUND((F219*'Pawn Weights'!$B$60)+(G219*'Pawn Weights'!$B$61)+(H219*'Pawn Weights'!$B$62)+(I219*'Pawn Weights'!$B$63)+(J219*'Pawn Weights'!$B$64)+(K219*'Pawn Weights'!$B$65)+(L219*'Pawn Weights'!$B$66)+(M219*'Pawn Weights'!$B$67)+(N219*'Pawn Weights'!$B$68)+(O219*'Pawn Weights'!$B$69)+(P219*'Pawn Weights'!$B$70)+(Q219*'Pawn Weights'!$B$71)-17.6+16.68+6, 2)</f>
        <v>143.27</v>
      </c>
      <c r="E219" s="280"/>
      <c r="F219" s="280"/>
      <c r="G219" s="280"/>
      <c r="H219" s="280">
        <v>36.0</v>
      </c>
      <c r="I219" s="280">
        <v>17.0</v>
      </c>
      <c r="J219" s="280">
        <v>25.0</v>
      </c>
      <c r="K219" s="280"/>
      <c r="L219" s="280"/>
      <c r="M219" s="281"/>
      <c r="N219" s="280"/>
      <c r="O219" s="280">
        <v>1.0</v>
      </c>
      <c r="P219" s="280">
        <v>1.0</v>
      </c>
      <c r="Q219" s="280"/>
      <c r="R219" s="290" t="s">
        <v>809</v>
      </c>
      <c r="S219" s="281"/>
      <c r="T219" s="291"/>
      <c r="U219" s="281"/>
      <c r="V219" s="281"/>
      <c r="W219" s="281"/>
    </row>
    <row r="220">
      <c r="A220" s="309"/>
      <c r="B220" s="288" t="s">
        <v>1241</v>
      </c>
      <c r="C220" s="280" t="s">
        <v>683</v>
      </c>
      <c r="D220" s="289">
        <f>ROUND((F220*'Pawn Weights'!$B$60)+(G220*'Pawn Weights'!$B$61)+(H220*'Pawn Weights'!$B$62)+(I220*'Pawn Weights'!$B$63)+(J220*'Pawn Weights'!$B$64)+(K220*'Pawn Weights'!$B$65)+(L220*'Pawn Weights'!$B$66)+(M220*'Pawn Weights'!$B$67)+(N220*'Pawn Weights'!$B$68)+(O220*'Pawn Weights'!$B$69)+(P220*'Pawn Weights'!$B$70)+(Q220*'Pawn Weights'!$B$71), 2)</f>
        <v>131.08</v>
      </c>
      <c r="E220" s="280">
        <v>41.0</v>
      </c>
      <c r="F220" s="280"/>
      <c r="G220" s="280">
        <v>42.0</v>
      </c>
      <c r="H220" s="280">
        <v>58.0</v>
      </c>
      <c r="I220" s="280"/>
      <c r="J220" s="280"/>
      <c r="K220" s="280"/>
      <c r="L220" s="280"/>
      <c r="M220" s="281"/>
      <c r="N220" s="280"/>
      <c r="O220" s="280"/>
      <c r="P220" s="280"/>
      <c r="Q220" s="280"/>
      <c r="R220" s="290"/>
      <c r="S220" s="281"/>
      <c r="T220" s="291"/>
      <c r="U220" s="281"/>
      <c r="V220" s="281"/>
      <c r="W220" s="281"/>
    </row>
    <row r="221">
      <c r="A221" s="309"/>
      <c r="B221" s="288" t="s">
        <v>1809</v>
      </c>
      <c r="C221" s="280" t="s">
        <v>1224</v>
      </c>
      <c r="D221" s="289">
        <f>ROUND((F221*'Pawn Weights'!$B$60)+(G221*'Pawn Weights'!$B$61)+(H221*'Pawn Weights'!$B$62)+(I221*'Pawn Weights'!$B$63)+(J221*'Pawn Weights'!$B$64)+(K221*'Pawn Weights'!$B$65)+(L221*'Pawn Weights'!$B$66)+(M221*'Pawn Weights'!$B$67)+(N221*'Pawn Weights'!$B$68)+(O221*'Pawn Weights'!$B$69)+(P221*'Pawn Weights'!$B$70)+(Q221*'Pawn Weights'!$B$71), 2)</f>
        <v>123.52</v>
      </c>
      <c r="E221" s="280">
        <v>33.0</v>
      </c>
      <c r="F221" s="280">
        <v>34.0</v>
      </c>
      <c r="G221" s="280">
        <v>28.0</v>
      </c>
      <c r="H221" s="280"/>
      <c r="I221" s="280"/>
      <c r="J221" s="280"/>
      <c r="K221" s="280"/>
      <c r="L221" s="280"/>
      <c r="M221" s="281"/>
      <c r="N221" s="280"/>
      <c r="O221" s="280"/>
      <c r="P221" s="280"/>
      <c r="Q221" s="280"/>
      <c r="R221" s="290"/>
      <c r="S221" s="281"/>
      <c r="T221" s="291"/>
      <c r="U221" s="281"/>
      <c r="V221" s="281"/>
      <c r="W221" s="281"/>
    </row>
    <row r="222">
      <c r="A222" s="309"/>
      <c r="B222" s="311" t="s">
        <v>1807</v>
      </c>
      <c r="C222" s="280" t="s">
        <v>1808</v>
      </c>
      <c r="D222" s="289">
        <f>ROUND((F222*'Pawn Weights'!$B$60)+(G222*'Pawn Weights'!$B$61)+(H222*'Pawn Weights'!$B$62)+(I222*'Pawn Weights'!$B$63)+(J222*'Pawn Weights'!$B$64)+(K222*'Pawn Weights'!$B$65)+(L222*'Pawn Weights'!$B$66)+(M222*'Pawn Weights'!$B$67)+(N222*'Pawn Weights'!$B$68)+(O222*'Pawn Weights'!$B$69)+(P222*'Pawn Weights'!$B$70)+(Q222*'Pawn Weights'!$B$71)-17.6+16.68+4.02, 2)</f>
        <v>115.73</v>
      </c>
      <c r="E222" s="280">
        <v>30.0</v>
      </c>
      <c r="F222" s="280"/>
      <c r="G222" s="280"/>
      <c r="H222" s="280">
        <v>40.0</v>
      </c>
      <c r="I222" s="280">
        <v>19.0</v>
      </c>
      <c r="J222" s="280"/>
      <c r="K222" s="280"/>
      <c r="L222" s="280"/>
      <c r="M222" s="281"/>
      <c r="N222" s="280"/>
      <c r="O222" s="280">
        <v>1.0</v>
      </c>
      <c r="P222" s="280">
        <v>1.0</v>
      </c>
      <c r="Q222" s="280"/>
      <c r="R222" s="290" t="s">
        <v>832</v>
      </c>
      <c r="S222" s="281"/>
      <c r="T222" s="291"/>
      <c r="U222" s="281"/>
      <c r="V222" s="281"/>
      <c r="W222" s="281"/>
    </row>
    <row r="223">
      <c r="A223" s="309"/>
      <c r="B223" s="288" t="s">
        <v>1805</v>
      </c>
      <c r="C223" s="280" t="s">
        <v>1806</v>
      </c>
      <c r="D223" s="289">
        <f>ROUND((F223*'Pawn Weights'!$B$60)+(G223*'Pawn Weights'!$B$61)+(H223*'Pawn Weights'!$B$62)+(I223*'Pawn Weights'!$B$63)+(J223*'Pawn Weights'!$B$64)+(K223*'Pawn Weights'!$B$65)+(L223*'Pawn Weights'!$B$66)+(M223*'Pawn Weights'!$B$67)+(N223*'Pawn Weights'!$B$68)+(O223*'Pawn Weights'!$B$69)+(P223*'Pawn Weights'!$B$70)+(Q223*'Pawn Weights'!$B$71), 2)</f>
        <v>107.94</v>
      </c>
      <c r="E223" s="280">
        <v>30.0</v>
      </c>
      <c r="F223" s="280"/>
      <c r="G223" s="280">
        <v>31.0</v>
      </c>
      <c r="H223" s="280">
        <v>54.0</v>
      </c>
      <c r="I223" s="280"/>
      <c r="J223" s="280"/>
      <c r="K223" s="280"/>
      <c r="L223" s="280"/>
      <c r="M223" s="281"/>
      <c r="N223" s="280"/>
      <c r="O223" s="280"/>
      <c r="P223" s="280"/>
      <c r="Q223" s="280"/>
      <c r="R223" s="290"/>
      <c r="S223" s="281"/>
      <c r="T223" s="291"/>
      <c r="U223" s="281"/>
      <c r="V223" s="281"/>
      <c r="W223" s="281"/>
    </row>
    <row r="224">
      <c r="A224" s="309"/>
      <c r="B224" s="288" t="s">
        <v>1906</v>
      </c>
      <c r="C224" s="280" t="s">
        <v>1437</v>
      </c>
      <c r="D224" s="289">
        <f>ROUND((F224*'Pawn Weights'!$B$60)+(G224*'Pawn Weights'!$B$61)+(H224*'Pawn Weights'!$B$62)+(I224*'Pawn Weights'!$B$63)+(J224*'Pawn Weights'!$B$64)+(K224*'Pawn Weights'!$B$65)+(L224*'Pawn Weights'!$B$66)+(M224*'Pawn Weights'!$B$67)+(N224*'Pawn Weights'!$B$68)+(O224*'Pawn Weights'!$B$69)+(P224*'Pawn Weights'!$B$70)+(Q224*'Pawn Weights'!$B$71), 2)</f>
        <v>94.56</v>
      </c>
      <c r="E224" s="280">
        <v>36.0</v>
      </c>
      <c r="F224" s="280">
        <v>24.0</v>
      </c>
      <c r="G224" s="280">
        <v>24.0</v>
      </c>
      <c r="H224" s="280"/>
      <c r="I224" s="280"/>
      <c r="J224" s="280"/>
      <c r="K224" s="280"/>
      <c r="L224" s="280"/>
      <c r="M224" s="281"/>
      <c r="N224" s="280"/>
      <c r="O224" s="280"/>
      <c r="P224" s="280"/>
      <c r="Q224" s="280"/>
      <c r="R224" s="290"/>
      <c r="S224" s="281"/>
      <c r="T224" s="291"/>
      <c r="U224" s="281"/>
      <c r="V224" s="281"/>
      <c r="W224" s="281"/>
    </row>
    <row r="225">
      <c r="A225" s="309"/>
      <c r="B225" s="288" t="s">
        <v>1907</v>
      </c>
      <c r="C225" s="280" t="s">
        <v>1908</v>
      </c>
      <c r="D225" s="289">
        <f>ROUND((F225*'Pawn Weights'!$B$60)+(G225*'Pawn Weights'!$B$61)+(H225*'Pawn Weights'!$B$62)+(I225*'Pawn Weights'!$B$63)+(J225*'Pawn Weights'!$B$64)+(K225*'Pawn Weights'!$B$65)+(L225*'Pawn Weights'!$B$66)+(M225*'Pawn Weights'!$B$67)+(N225*'Pawn Weights'!$B$68)+(O225*'Pawn Weights'!$B$69)+(P225*'Pawn Weights'!$B$70)+(Q225*'Pawn Weights'!$B$71), 2)</f>
        <v>93.24</v>
      </c>
      <c r="E225" s="280">
        <v>19.0</v>
      </c>
      <c r="F225" s="280"/>
      <c r="G225" s="280">
        <v>26.0</v>
      </c>
      <c r="H225" s="280">
        <v>48.0</v>
      </c>
      <c r="I225" s="280"/>
      <c r="J225" s="280"/>
      <c r="K225" s="280"/>
      <c r="L225" s="280"/>
      <c r="M225" s="281"/>
      <c r="N225" s="280"/>
      <c r="O225" s="280"/>
      <c r="P225" s="280"/>
      <c r="Q225" s="280"/>
      <c r="R225" s="290"/>
      <c r="S225" s="281"/>
      <c r="T225" s="291"/>
      <c r="U225" s="281"/>
      <c r="V225" s="281"/>
      <c r="W225" s="281"/>
    </row>
    <row r="226">
      <c r="A226" s="309"/>
      <c r="B226" s="311" t="s">
        <v>1909</v>
      </c>
      <c r="C226" s="280" t="s">
        <v>1910</v>
      </c>
      <c r="D226" s="289">
        <f>ROUND((F226*'Pawn Weights'!$B$60)+(G226*'Pawn Weights'!$B$61)+(H226*'Pawn Weights'!$B$62)+(I226*'Pawn Weights'!$B$63)+(J226*'Pawn Weights'!$B$64)+(K226*'Pawn Weights'!$B$65)+(L226*'Pawn Weights'!$B$66)+(M226*'Pawn Weights'!$B$67)+(N226*'Pawn Weights'!$B$68)+(O226*'Pawn Weights'!$B$69)+(P226*'Pawn Weights'!$B$70)+(Q226*'Pawn Weights'!$B$71), 2)</f>
        <v>91.37</v>
      </c>
      <c r="E226" s="280">
        <v>18.0</v>
      </c>
      <c r="F226" s="280"/>
      <c r="G226" s="280"/>
      <c r="H226" s="280">
        <v>50.0</v>
      </c>
      <c r="I226" s="280">
        <v>21.0</v>
      </c>
      <c r="J226" s="280"/>
      <c r="K226" s="280"/>
      <c r="L226" s="280"/>
      <c r="M226" s="281"/>
      <c r="N226" s="280"/>
      <c r="O226" s="280"/>
      <c r="P226" s="280"/>
      <c r="Q226" s="280"/>
      <c r="R226" s="290"/>
      <c r="S226" s="281"/>
      <c r="T226" s="291"/>
      <c r="U226" s="281"/>
      <c r="V226" s="281"/>
      <c r="W226" s="281"/>
    </row>
    <row r="227">
      <c r="A227" s="309"/>
      <c r="B227" s="311" t="s">
        <v>1911</v>
      </c>
      <c r="C227" s="280" t="s">
        <v>1912</v>
      </c>
      <c r="D227" s="289">
        <f>ROUND((F227*'Pawn Weights'!$B$60)+(G227*'Pawn Weights'!$B$61)+(H227*'Pawn Weights'!$B$62)+(I227*'Pawn Weights'!$B$63)+(J227*'Pawn Weights'!$B$64)+(K227*'Pawn Weights'!$B$65)+(L227*'Pawn Weights'!$B$66)+(M227*'Pawn Weights'!$B$67)+(N227*'Pawn Weights'!$B$68)+(O227*'Pawn Weights'!$B$69)+(P227*'Pawn Weights'!$B$70)+(Q227*'Pawn Weights'!$B$71), 2)</f>
        <v>86.78</v>
      </c>
      <c r="E227" s="280">
        <v>24.0</v>
      </c>
      <c r="F227" s="280"/>
      <c r="G227" s="280"/>
      <c r="H227" s="280">
        <v>64.0</v>
      </c>
      <c r="I227" s="280"/>
      <c r="J227" s="280">
        <v>17.0</v>
      </c>
      <c r="K227" s="280"/>
      <c r="L227" s="280"/>
      <c r="M227" s="281"/>
      <c r="N227" s="280"/>
      <c r="O227" s="280"/>
      <c r="P227" s="280"/>
      <c r="Q227" s="280"/>
      <c r="R227" s="290"/>
      <c r="S227" s="281"/>
      <c r="T227" s="291"/>
      <c r="U227" s="281"/>
      <c r="V227" s="281"/>
      <c r="W227" s="281"/>
    </row>
    <row r="228">
      <c r="A228" s="224" t="s">
        <v>905</v>
      </c>
      <c r="B228" s="281"/>
      <c r="C228" s="281"/>
      <c r="D228" s="360"/>
      <c r="E228" s="281"/>
      <c r="F228" s="281"/>
      <c r="G228" s="281"/>
      <c r="H228" s="281"/>
      <c r="I228" s="281"/>
      <c r="J228" s="281"/>
      <c r="K228" s="281"/>
      <c r="L228" s="281"/>
      <c r="M228" s="281"/>
      <c r="N228" s="281"/>
      <c r="O228" s="281"/>
      <c r="P228" s="281"/>
      <c r="Q228" s="281"/>
      <c r="R228" s="282"/>
      <c r="S228" s="281"/>
      <c r="T228" s="285"/>
      <c r="U228" s="281"/>
      <c r="V228" s="281"/>
      <c r="W228" s="281"/>
    </row>
    <row r="229">
      <c r="A229" s="295" t="s">
        <v>627</v>
      </c>
      <c r="B229" s="341" t="s">
        <v>910</v>
      </c>
      <c r="C229" s="361" t="s">
        <v>911</v>
      </c>
      <c r="D229" s="289">
        <f>ROUND((F229*'Pawn Weights'!$B$60)+(G229*'Pawn Weights'!$B$61)+(H229*'Pawn Weights'!$B$62)+(I229*'Pawn Weights'!$B$63)+(J229*'Pawn Weights'!$B$64)+(K229*'Pawn Weights'!$B$65)+(L229*'Pawn Weights'!$B$66)+(M229*'Pawn Weights'!$B$67)+(N229*'Pawn Weights'!$B$68)+(O229*'Pawn Weights'!$B$69)+(P229*'Pawn Weights'!$B$70)+(Q229*'Pawn Weights'!$B$71), 2)</f>
        <v>146.32</v>
      </c>
      <c r="E229" s="359">
        <v>42.0</v>
      </c>
      <c r="F229" s="361"/>
      <c r="G229" s="359">
        <v>30.0</v>
      </c>
      <c r="H229" s="359">
        <v>58.0</v>
      </c>
      <c r="I229" s="361"/>
      <c r="J229" s="361"/>
      <c r="K229" s="359">
        <v>28.0</v>
      </c>
      <c r="L229" s="361"/>
      <c r="M229" s="137"/>
      <c r="N229" s="361"/>
      <c r="O229" s="361"/>
      <c r="P229" s="361"/>
      <c r="Q229" s="361"/>
      <c r="R229" s="137"/>
      <c r="S229" s="137"/>
      <c r="T229" s="137"/>
      <c r="U229" s="137"/>
      <c r="V229" s="137"/>
      <c r="W229" s="137"/>
      <c r="X229" s="137"/>
      <c r="Y229" s="137"/>
      <c r="Z229" s="137"/>
    </row>
    <row r="230">
      <c r="A230" s="295"/>
      <c r="B230" s="341" t="s">
        <v>908</v>
      </c>
      <c r="C230" s="361" t="s">
        <v>909</v>
      </c>
      <c r="D230" s="289">
        <f>ROUND((F230*'Pawn Weights'!$B$60)+(G230*'Pawn Weights'!$B$61)+(H230*'Pawn Weights'!$B$62)+(I230*'Pawn Weights'!$B$63)+(J230*'Pawn Weights'!$B$64)+(K230*'Pawn Weights'!$B$65)+(L230*'Pawn Weights'!$B$66)+(M230*'Pawn Weights'!$B$67)+(N230*'Pawn Weights'!$B$68)+(O230*'Pawn Weights'!$B$69)+(P230*'Pawn Weights'!$B$70)+(Q230*'Pawn Weights'!$B$71), 2)</f>
        <v>136.18</v>
      </c>
      <c r="E230" s="359">
        <v>28.0</v>
      </c>
      <c r="F230" s="361"/>
      <c r="G230" s="359">
        <v>29.0</v>
      </c>
      <c r="H230" s="359">
        <v>58.0</v>
      </c>
      <c r="I230" s="361"/>
      <c r="J230" s="361"/>
      <c r="K230" s="361"/>
      <c r="L230" s="361"/>
      <c r="M230" s="359">
        <v>126.0</v>
      </c>
      <c r="N230" s="361"/>
      <c r="O230" s="361"/>
      <c r="P230" s="361"/>
      <c r="Q230" s="361"/>
      <c r="R230" s="137"/>
      <c r="S230" s="137"/>
      <c r="T230" s="137"/>
      <c r="U230" s="137"/>
      <c r="V230" s="137"/>
      <c r="W230" s="137"/>
      <c r="X230" s="137"/>
      <c r="Y230" s="137"/>
      <c r="Z230" s="137"/>
    </row>
    <row r="231">
      <c r="A231" s="281"/>
      <c r="B231" s="288" t="s">
        <v>917</v>
      </c>
      <c r="C231" s="280" t="s">
        <v>741</v>
      </c>
      <c r="D231" s="289">
        <f>ROUND((F231*'Pawn Weights'!$B$60)+(G231*'Pawn Weights'!$B$61)+(H231*'Pawn Weights'!$B$62)+(I231*'Pawn Weights'!$B$63)+(J231*'Pawn Weights'!$B$64)+(K231*'Pawn Weights'!$B$65)+(L231*'Pawn Weights'!$B$66)+(M231*'Pawn Weights'!$B$67)+(N231*'Pawn Weights'!$B$68)+(O231*'Pawn Weights'!$B$69)+(P231*'Pawn Weights'!$B$70)+(Q231*'Pawn Weights'!$B$71), 2)</f>
        <v>135.28</v>
      </c>
      <c r="E231" s="280">
        <v>27.0</v>
      </c>
      <c r="F231" s="280"/>
      <c r="G231" s="280"/>
      <c r="H231" s="280">
        <v>56.0</v>
      </c>
      <c r="I231" s="280">
        <v>28.0</v>
      </c>
      <c r="J231" s="280">
        <v>18.0</v>
      </c>
      <c r="K231" s="280"/>
      <c r="L231" s="280"/>
      <c r="M231" s="281"/>
      <c r="N231" s="280"/>
      <c r="O231" s="280"/>
      <c r="P231" s="280"/>
      <c r="Q231" s="280"/>
      <c r="R231" s="290"/>
      <c r="S231" s="281"/>
      <c r="T231" s="291"/>
      <c r="U231" s="281"/>
      <c r="V231" s="281"/>
      <c r="W231" s="281"/>
    </row>
    <row r="232">
      <c r="A232" s="137" t="s">
        <v>671</v>
      </c>
      <c r="B232" s="296" t="s">
        <v>915</v>
      </c>
      <c r="C232" s="297" t="s">
        <v>916</v>
      </c>
      <c r="D232" s="289">
        <f>ROUND((F232*'Pawn Weights'!$B$60)+(G232*'Pawn Weights'!$B$61)+(H232*'Pawn Weights'!$B$62)+(I232*'Pawn Weights'!$B$63)+(J232*'Pawn Weights'!$B$64)+(K232*'Pawn Weights'!$B$65)+(L232*'Pawn Weights'!$B$66)+(M232*'Pawn Weights'!$B$67)+(N232*'Pawn Weights'!$B$68)+(O232*'Pawn Weights'!$B$69)+(P232*'Pawn Weights'!$B$70)+(Q232*'Pawn Weights'!$B$71), 2)</f>
        <v>123.42</v>
      </c>
      <c r="E232" s="298">
        <v>38.0</v>
      </c>
      <c r="F232" s="297"/>
      <c r="G232" s="297"/>
      <c r="H232" s="298">
        <v>52.0</v>
      </c>
      <c r="I232" s="298">
        <v>30.0</v>
      </c>
      <c r="J232" s="297"/>
      <c r="K232" s="297"/>
      <c r="L232" s="297"/>
      <c r="M232" s="359">
        <v>56.0</v>
      </c>
      <c r="N232" s="297"/>
      <c r="O232" s="297"/>
      <c r="P232" s="297"/>
      <c r="Q232" s="297"/>
      <c r="R232" s="295"/>
      <c r="S232" s="137"/>
      <c r="T232" s="297" t="s">
        <v>861</v>
      </c>
      <c r="U232" s="137"/>
      <c r="V232" s="137"/>
      <c r="W232" s="137"/>
      <c r="X232" s="137"/>
      <c r="Y232" s="137"/>
      <c r="Z232" s="137"/>
    </row>
    <row r="233">
      <c r="A233" s="281"/>
      <c r="B233" s="288" t="s">
        <v>922</v>
      </c>
      <c r="C233" s="280" t="s">
        <v>708</v>
      </c>
      <c r="D233" s="289">
        <f>ROUND((F233*'Pawn Weights'!$B$60)+(G233*'Pawn Weights'!$B$61)+(H233*'Pawn Weights'!$B$62)+(I233*'Pawn Weights'!$B$63)+(J233*'Pawn Weights'!$B$64)+(K233*'Pawn Weights'!$B$65)+(L233*'Pawn Weights'!$B$66)+(M233*'Pawn Weights'!$B$67)+(N233*'Pawn Weights'!$B$68)+(O233*'Pawn Weights'!$B$69)+(P233*'Pawn Weights'!$B$70)+(Q233*'Pawn Weights'!$B$71), 2)</f>
        <v>119.53</v>
      </c>
      <c r="E233" s="280"/>
      <c r="F233" s="280"/>
      <c r="G233" s="280"/>
      <c r="H233" s="280">
        <v>62.0</v>
      </c>
      <c r="I233" s="280">
        <v>19.0</v>
      </c>
      <c r="J233" s="280">
        <v>15.0</v>
      </c>
      <c r="K233" s="280"/>
      <c r="L233" s="280"/>
      <c r="M233" s="281"/>
      <c r="N233" s="280"/>
      <c r="O233" s="280"/>
      <c r="P233" s="280"/>
      <c r="Q233" s="280"/>
      <c r="R233" s="290"/>
      <c r="S233" s="281"/>
      <c r="T233" s="291"/>
      <c r="U233" s="281"/>
      <c r="V233" s="281"/>
      <c r="W233" s="281"/>
    </row>
    <row r="234">
      <c r="A234" s="281"/>
      <c r="B234" s="288" t="s">
        <v>927</v>
      </c>
      <c r="C234" s="280" t="s">
        <v>710</v>
      </c>
      <c r="D234" s="289">
        <f>ROUND((F234*'Pawn Weights'!$B$60)+(G234*'Pawn Weights'!$B$61)+(H234*'Pawn Weights'!$B$62)+(I234*'Pawn Weights'!$B$63)+(J234*'Pawn Weights'!$B$64)+(K234*'Pawn Weights'!$B$65)+(L234*'Pawn Weights'!$B$66)+(M234*'Pawn Weights'!$B$67)+(N234*'Pawn Weights'!$B$68)+(O234*'Pawn Weights'!$B$69)+(P234*'Pawn Weights'!$B$70)+(Q234*'Pawn Weights'!$B$71), 2)</f>
        <v>117.22</v>
      </c>
      <c r="E234" s="280">
        <v>19.0</v>
      </c>
      <c r="F234" s="280"/>
      <c r="G234" s="280">
        <v>24.0</v>
      </c>
      <c r="H234" s="280">
        <v>50.0</v>
      </c>
      <c r="I234" s="280"/>
      <c r="J234" s="280">
        <v>19.0</v>
      </c>
      <c r="K234" s="280"/>
      <c r="L234" s="280"/>
      <c r="M234" s="281"/>
      <c r="N234" s="280"/>
      <c r="O234" s="280"/>
      <c r="P234" s="280"/>
      <c r="Q234" s="280"/>
      <c r="R234" s="290"/>
      <c r="S234" s="281"/>
      <c r="T234" s="291"/>
      <c r="U234" s="281"/>
      <c r="V234" s="281"/>
      <c r="W234" s="281"/>
    </row>
    <row r="235">
      <c r="A235" s="281"/>
      <c r="B235" s="288" t="s">
        <v>923</v>
      </c>
      <c r="C235" s="280" t="s">
        <v>656</v>
      </c>
      <c r="D235" s="289">
        <f>ROUND((F235*'Pawn Weights'!$B$60)+(G235*'Pawn Weights'!$B$61)+(H235*'Pawn Weights'!$B$62)+(I235*'Pawn Weights'!$B$63)+(J235*'Pawn Weights'!$B$64)+(K235*'Pawn Weights'!$B$65)+(L235*'Pawn Weights'!$B$66)+(M235*'Pawn Weights'!$B$67)+(N235*'Pawn Weights'!$B$68)+(O235*'Pawn Weights'!$B$69)+(P235*'Pawn Weights'!$B$70)+(Q235*'Pawn Weights'!$B$71), 2)</f>
        <v>114.77</v>
      </c>
      <c r="E235" s="280">
        <v>21.0</v>
      </c>
      <c r="F235" s="280"/>
      <c r="G235" s="280"/>
      <c r="H235" s="280">
        <v>44.0</v>
      </c>
      <c r="I235" s="280">
        <v>23.0</v>
      </c>
      <c r="J235" s="280">
        <v>19.0</v>
      </c>
      <c r="K235" s="280"/>
      <c r="L235" s="280"/>
      <c r="M235" s="281"/>
      <c r="N235" s="280"/>
      <c r="O235" s="280"/>
      <c r="P235" s="280"/>
      <c r="Q235" s="280"/>
      <c r="R235" s="290"/>
      <c r="S235" s="281"/>
      <c r="T235" s="291"/>
      <c r="U235" s="281"/>
      <c r="V235" s="281"/>
      <c r="W235" s="281"/>
    </row>
    <row r="236">
      <c r="A236" s="281"/>
      <c r="B236" s="288" t="s">
        <v>1114</v>
      </c>
      <c r="C236" s="280" t="s">
        <v>683</v>
      </c>
      <c r="D236" s="289">
        <f>ROUND((F236*'Pawn Weights'!$B$60)+(G236*'Pawn Weights'!$B$61)+(H236*'Pawn Weights'!$B$62)+(I236*'Pawn Weights'!$B$63)+(J236*'Pawn Weights'!$B$64)+(K236*'Pawn Weights'!$B$65)+(L236*'Pawn Weights'!$B$66)+(M236*'Pawn Weights'!$B$67)+(N236*'Pawn Weights'!$B$68)+(O236*'Pawn Weights'!$B$69)+(P236*'Pawn Weights'!$B$70)+(Q236*'Pawn Weights'!$B$71), 2)</f>
        <v>106.94</v>
      </c>
      <c r="E236" s="280">
        <v>30.0</v>
      </c>
      <c r="F236" s="280">
        <v>32.0</v>
      </c>
      <c r="G236" s="280">
        <v>21.0</v>
      </c>
      <c r="H236" s="280"/>
      <c r="I236" s="280"/>
      <c r="J236" s="280"/>
      <c r="K236" s="280"/>
      <c r="L236" s="280"/>
      <c r="M236" s="281"/>
      <c r="N236" s="280"/>
      <c r="O236" s="280"/>
      <c r="P236" s="280"/>
      <c r="Q236" s="280"/>
      <c r="R236" s="290"/>
      <c r="S236" s="281"/>
      <c r="T236" s="291"/>
      <c r="U236" s="281"/>
      <c r="V236" s="281"/>
      <c r="W236" s="281"/>
    </row>
    <row r="237">
      <c r="A237" s="281"/>
      <c r="B237" s="288" t="s">
        <v>1111</v>
      </c>
      <c r="C237" s="280" t="s">
        <v>1112</v>
      </c>
      <c r="D237" s="289">
        <f>ROUND((F237*'Pawn Weights'!$B$60)+(G237*'Pawn Weights'!$B$61)+(H237*'Pawn Weights'!$B$62)+(I237*'Pawn Weights'!$B$63)+(J237*'Pawn Weights'!$B$64)+(K237*'Pawn Weights'!$B$65)+(L237*'Pawn Weights'!$B$66)+(M237*'Pawn Weights'!$B$67)+(N237*'Pawn Weights'!$B$68)+(O237*'Pawn Weights'!$B$69)+(P237*'Pawn Weights'!$B$70)+(Q237*'Pawn Weights'!$B$71), 2)</f>
        <v>104.86</v>
      </c>
      <c r="E237" s="280"/>
      <c r="F237" s="280"/>
      <c r="G237" s="280"/>
      <c r="H237" s="280">
        <v>40.0</v>
      </c>
      <c r="I237" s="280">
        <v>20.0</v>
      </c>
      <c r="J237" s="280">
        <v>19.0</v>
      </c>
      <c r="K237" s="280"/>
      <c r="L237" s="280"/>
      <c r="M237" s="281"/>
      <c r="N237" s="280"/>
      <c r="O237" s="280"/>
      <c r="P237" s="280"/>
      <c r="Q237" s="280"/>
      <c r="R237" s="290"/>
      <c r="S237" s="281"/>
      <c r="T237" s="291"/>
      <c r="U237" s="281"/>
      <c r="V237" s="281"/>
      <c r="W237" s="281"/>
    </row>
    <row r="238">
      <c r="A238" s="281"/>
      <c r="B238" s="288" t="s">
        <v>1244</v>
      </c>
      <c r="C238" s="280" t="s">
        <v>1245</v>
      </c>
      <c r="D238" s="289">
        <f>ROUND((F238*'Pawn Weights'!$B$60)+(G238*'Pawn Weights'!$B$61)+(H238*'Pawn Weights'!$B$62)+(I238*'Pawn Weights'!$B$63)+(J238*'Pawn Weights'!$B$64)+(K238*'Pawn Weights'!$B$65)+(L238*'Pawn Weights'!$B$66)+(M238*'Pawn Weights'!$B$67)+(N238*'Pawn Weights'!$B$68)+(O238*'Pawn Weights'!$B$69)+(P238*'Pawn Weights'!$B$70)+(Q238*'Pawn Weights'!$B$71), 2)</f>
        <v>103.5</v>
      </c>
      <c r="E238" s="280">
        <v>18.0</v>
      </c>
      <c r="F238" s="280"/>
      <c r="G238" s="280">
        <v>25.0</v>
      </c>
      <c r="H238" s="280"/>
      <c r="I238" s="280"/>
      <c r="J238" s="280"/>
      <c r="K238" s="280"/>
      <c r="L238" s="280">
        <v>20.0</v>
      </c>
      <c r="M238" s="281"/>
      <c r="N238" s="280"/>
      <c r="O238" s="280"/>
      <c r="P238" s="280"/>
      <c r="Q238" s="280"/>
      <c r="R238" s="290"/>
      <c r="S238" s="281"/>
      <c r="T238" s="291" t="s">
        <v>1246</v>
      </c>
      <c r="U238" s="281"/>
      <c r="V238" s="281"/>
      <c r="W238" s="281"/>
    </row>
    <row r="239">
      <c r="A239" s="281"/>
      <c r="B239" s="288" t="s">
        <v>1113</v>
      </c>
      <c r="C239" s="280" t="s">
        <v>881</v>
      </c>
      <c r="D239" s="289">
        <f>ROUND((F239*'Pawn Weights'!$B$60)+(G239*'Pawn Weights'!$B$61)+(H239*'Pawn Weights'!$B$62)+(I239*'Pawn Weights'!$B$63)+(J239*'Pawn Weights'!$B$64)+(K239*'Pawn Weights'!$B$65)+(L239*'Pawn Weights'!$B$66)+(M239*'Pawn Weights'!$B$67)+(N239*'Pawn Weights'!$B$68)+(O239*'Pawn Weights'!$B$69)+(P239*'Pawn Weights'!$B$70)+(Q239*'Pawn Weights'!$B$71), 2)</f>
        <v>100.54</v>
      </c>
      <c r="E239" s="280">
        <v>24.0</v>
      </c>
      <c r="F239" s="280">
        <v>26.0</v>
      </c>
      <c r="G239" s="280"/>
      <c r="H239" s="280"/>
      <c r="I239" s="280">
        <v>22.0</v>
      </c>
      <c r="J239" s="280"/>
      <c r="K239" s="280"/>
      <c r="L239" s="280"/>
      <c r="M239" s="281"/>
      <c r="N239" s="280"/>
      <c r="O239" s="280"/>
      <c r="P239" s="280"/>
      <c r="Q239" s="280"/>
      <c r="R239" s="290"/>
      <c r="S239" s="281"/>
      <c r="T239" s="291"/>
      <c r="U239" s="281"/>
      <c r="V239" s="281"/>
      <c r="W239" s="281"/>
    </row>
    <row r="240">
      <c r="A240" s="281"/>
      <c r="B240" s="288" t="s">
        <v>1115</v>
      </c>
      <c r="C240" s="280" t="s">
        <v>1116</v>
      </c>
      <c r="D240" s="289">
        <f>ROUND((F240*'Pawn Weights'!$B$60)+(G240*'Pawn Weights'!$B$61)+(H240*'Pawn Weights'!$B$62)+(I240*'Pawn Weights'!$B$63)+(J240*'Pawn Weights'!$B$64)+(K240*'Pawn Weights'!$B$65)+(L240*'Pawn Weights'!$B$66)+(M240*'Pawn Weights'!$B$67)+(N240*'Pawn Weights'!$B$68)+(O240*'Pawn Weights'!$B$69)+(P240*'Pawn Weights'!$B$70)+(Q240*'Pawn Weights'!$B$71), 2)</f>
        <v>98.92</v>
      </c>
      <c r="E240" s="280">
        <v>25.0</v>
      </c>
      <c r="F240" s="280"/>
      <c r="G240" s="280">
        <v>20.0</v>
      </c>
      <c r="H240" s="280">
        <v>40.0</v>
      </c>
      <c r="I240" s="280"/>
      <c r="J240" s="280">
        <v>18.0</v>
      </c>
      <c r="K240" s="280"/>
      <c r="L240" s="280"/>
      <c r="M240" s="281"/>
      <c r="N240" s="280"/>
      <c r="O240" s="280"/>
      <c r="P240" s="280"/>
      <c r="Q240" s="280"/>
      <c r="R240" s="290"/>
      <c r="S240" s="281"/>
      <c r="T240" s="291"/>
      <c r="U240" s="281"/>
      <c r="V240" s="281"/>
      <c r="W240" s="281"/>
    </row>
    <row r="241">
      <c r="A241" s="281"/>
      <c r="B241" s="288" t="s">
        <v>1640</v>
      </c>
      <c r="C241" s="280" t="s">
        <v>1641</v>
      </c>
      <c r="D241" s="289">
        <f>ROUND((F241*'Pawn Weights'!$B$60)+(G241*'Pawn Weights'!$B$61)+(H241*'Pawn Weights'!$B$62)+(I241*'Pawn Weights'!$B$63)+(J241*'Pawn Weights'!$B$64)+(K241*'Pawn Weights'!$B$65)+(L241*'Pawn Weights'!$B$66)+(M241*'Pawn Weights'!$B$67)+(N241*'Pawn Weights'!$B$68)+(O241*'Pawn Weights'!$B$69)+(P241*'Pawn Weights'!$B$70)+(Q241*'Pawn Weights'!$B$71), 2)</f>
        <v>95.76</v>
      </c>
      <c r="E241" s="280">
        <v>27.0</v>
      </c>
      <c r="F241" s="280"/>
      <c r="G241" s="280">
        <v>24.0</v>
      </c>
      <c r="H241" s="280">
        <v>54.0</v>
      </c>
      <c r="I241" s="280"/>
      <c r="J241" s="280"/>
      <c r="K241" s="280"/>
      <c r="L241" s="280"/>
      <c r="M241" s="281"/>
      <c r="N241" s="280"/>
      <c r="O241" s="280"/>
      <c r="P241" s="280"/>
      <c r="Q241" s="280"/>
      <c r="R241" s="290"/>
      <c r="S241" s="281"/>
      <c r="T241" s="291"/>
      <c r="U241" s="281"/>
      <c r="V241" s="281"/>
      <c r="W241" s="281"/>
    </row>
    <row r="242">
      <c r="A242" s="281"/>
      <c r="B242" s="311" t="s">
        <v>1638</v>
      </c>
      <c r="C242" s="280" t="s">
        <v>1639</v>
      </c>
      <c r="D242" s="289">
        <f>ROUND((F242*'Pawn Weights'!$B$60)+(G242*'Pawn Weights'!$B$61)+(H242*'Pawn Weights'!$B$62)+(I242*'Pawn Weights'!$B$63)+(J242*'Pawn Weights'!$B$64)+(K242*'Pawn Weights'!$B$65)+(L242*'Pawn Weights'!$B$66)+(M242*'Pawn Weights'!$B$67)+(N242*'Pawn Weights'!$B$68)+(O242*'Pawn Weights'!$B$69)+(P242*'Pawn Weights'!$B$70)+(Q242*'Pawn Weights'!$B$71), 2)</f>
        <v>94.5</v>
      </c>
      <c r="E242" s="280"/>
      <c r="F242" s="280">
        <v>25.0</v>
      </c>
      <c r="G242" s="280">
        <v>15.0</v>
      </c>
      <c r="H242" s="280"/>
      <c r="I242" s="280"/>
      <c r="J242" s="280">
        <v>10.0</v>
      </c>
      <c r="K242" s="280"/>
      <c r="L242" s="280"/>
      <c r="M242" s="281"/>
      <c r="N242" s="280"/>
      <c r="O242" s="280"/>
      <c r="P242" s="280"/>
      <c r="Q242" s="280"/>
      <c r="R242" s="290"/>
      <c r="S242" s="281"/>
      <c r="T242" s="291"/>
      <c r="U242" s="281"/>
      <c r="V242" s="281"/>
      <c r="W242" s="281"/>
    </row>
    <row r="243">
      <c r="A243" s="292" t="s">
        <v>965</v>
      </c>
      <c r="B243" s="288" t="s">
        <v>1427</v>
      </c>
      <c r="C243" s="280" t="s">
        <v>1428</v>
      </c>
      <c r="D243" s="289">
        <f>ROUND((F243*'Pawn Weights'!$B$60)+(G243*'Pawn Weights'!$B$61)+(H243*'Pawn Weights'!$B$62)+(I243*'Pawn Weights'!$B$63)+(J243*'Pawn Weights'!$B$64)+(K243*'Pawn Weights'!$B$65)+(L243*'Pawn Weights'!$B$66)+(M243*'Pawn Weights'!$B$67)+(N243*'Pawn Weights'!$B$68)+(O243*'Pawn Weights'!$B$69)+(P243*'Pawn Weights'!$B$70)+(Q243*'Pawn Weights'!$B$71), 2)</f>
        <v>92.98</v>
      </c>
      <c r="E243" s="280"/>
      <c r="F243" s="280"/>
      <c r="G243" s="280"/>
      <c r="H243" s="280">
        <v>52.0</v>
      </c>
      <c r="I243" s="280">
        <v>14.0</v>
      </c>
      <c r="J243" s="280">
        <v>10.0</v>
      </c>
      <c r="K243" s="280"/>
      <c r="L243" s="280"/>
      <c r="M243" s="281"/>
      <c r="N243" s="280"/>
      <c r="O243" s="280"/>
      <c r="P243" s="280"/>
      <c r="Q243" s="280"/>
      <c r="R243" s="290"/>
      <c r="S243" s="281"/>
      <c r="T243" s="291"/>
      <c r="U243" s="281"/>
      <c r="V243" s="281"/>
      <c r="W243" s="281"/>
    </row>
    <row r="244">
      <c r="A244" s="281"/>
      <c r="B244" s="302" t="s">
        <v>1642</v>
      </c>
      <c r="C244" s="280" t="s">
        <v>1643</v>
      </c>
      <c r="D244" s="289">
        <f>ROUND((F244*'Pawn Weights'!$B$60)+(G244*'Pawn Weights'!$B$61)+(H244*'Pawn Weights'!$B$62)+(I244*'Pawn Weights'!$B$63)+(J244*'Pawn Weights'!$B$64)+(K244*'Pawn Weights'!$B$65)+(L244*'Pawn Weights'!$B$66)+(M244*'Pawn Weights'!$B$67)+(N244*'Pawn Weights'!$B$68)+(O244*'Pawn Weights'!$B$69)+(P244*'Pawn Weights'!$B$70)+(Q244*'Pawn Weights'!$B$71), 2)</f>
        <v>91.64</v>
      </c>
      <c r="E244" s="280">
        <v>18.0</v>
      </c>
      <c r="F244" s="280">
        <v>29.0</v>
      </c>
      <c r="G244" s="280">
        <v>16.0</v>
      </c>
      <c r="H244" s="280"/>
      <c r="I244" s="280"/>
      <c r="J244" s="280"/>
      <c r="K244" s="280"/>
      <c r="L244" s="280"/>
      <c r="M244" s="281"/>
      <c r="N244" s="280"/>
      <c r="O244" s="280"/>
      <c r="P244" s="280"/>
      <c r="Q244" s="280"/>
      <c r="R244" s="290"/>
      <c r="S244" s="281"/>
      <c r="T244" s="291"/>
      <c r="U244" s="281"/>
      <c r="V244" s="281"/>
      <c r="W244" s="281"/>
    </row>
    <row r="245">
      <c r="A245" s="281"/>
      <c r="B245" s="288" t="s">
        <v>1429</v>
      </c>
      <c r="C245" s="280" t="s">
        <v>1430</v>
      </c>
      <c r="D245" s="289">
        <f>ROUND((F245*'Pawn Weights'!$B$60)+(G245*'Pawn Weights'!$B$61)+(H245*'Pawn Weights'!$B$62)+(I245*'Pawn Weights'!$B$63)+(J245*'Pawn Weights'!$B$64)+(K245*'Pawn Weights'!$B$65)+(L245*'Pawn Weights'!$B$66)+(M245*'Pawn Weights'!$B$67)+(N245*'Pawn Weights'!$B$68)+(O245*'Pawn Weights'!$B$69)+(P245*'Pawn Weights'!$B$70)+(Q245*'Pawn Weights'!$B$71), 2)</f>
        <v>91.31</v>
      </c>
      <c r="E245" s="280">
        <v>24.0</v>
      </c>
      <c r="F245" s="280"/>
      <c r="G245" s="280"/>
      <c r="H245" s="280">
        <v>46.0</v>
      </c>
      <c r="I245" s="280">
        <v>23.0</v>
      </c>
      <c r="J245" s="280"/>
      <c r="K245" s="280"/>
      <c r="L245" s="280"/>
      <c r="M245" s="281"/>
      <c r="N245" s="280"/>
      <c r="O245" s="280"/>
      <c r="P245" s="280"/>
      <c r="Q245" s="280"/>
      <c r="R245" s="290"/>
      <c r="S245" s="281"/>
      <c r="T245" s="291"/>
      <c r="U245" s="281"/>
      <c r="V245" s="281"/>
      <c r="W245" s="281"/>
    </row>
    <row r="246">
      <c r="A246" s="281"/>
      <c r="B246" s="288" t="s">
        <v>1242</v>
      </c>
      <c r="C246" s="280" t="s">
        <v>1243</v>
      </c>
      <c r="D246" s="289">
        <f>ROUND((F246*'Pawn Weights'!$B$60)+(G246*'Pawn Weights'!$B$61)+(H246*'Pawn Weights'!$B$62)+(I246*'Pawn Weights'!$B$63)+(J246*'Pawn Weights'!$B$64)+(K246*'Pawn Weights'!$B$65)+(L246*'Pawn Weights'!$B$66)+(M246*'Pawn Weights'!$B$67)+(N246*'Pawn Weights'!$B$68)+(O246*'Pawn Weights'!$B$69)+(P246*'Pawn Weights'!$B$70)+(Q246*'Pawn Weights'!$B$71), 2)</f>
        <v>89.5</v>
      </c>
      <c r="E246" s="280">
        <v>28.0</v>
      </c>
      <c r="F246" s="280"/>
      <c r="G246" s="280"/>
      <c r="H246" s="280">
        <v>56.0</v>
      </c>
      <c r="I246" s="280"/>
      <c r="J246" s="280">
        <v>25.0</v>
      </c>
      <c r="K246" s="280"/>
      <c r="L246" s="280"/>
      <c r="M246" s="281"/>
      <c r="N246" s="280"/>
      <c r="O246" s="280"/>
      <c r="P246" s="280"/>
      <c r="Q246" s="280"/>
      <c r="R246" s="290"/>
      <c r="S246" s="281"/>
      <c r="T246" s="291"/>
      <c r="U246" s="281"/>
      <c r="V246" s="281"/>
      <c r="W246" s="281"/>
    </row>
    <row r="247">
      <c r="A247" s="281"/>
      <c r="B247" s="311" t="s">
        <v>1646</v>
      </c>
      <c r="C247" s="280" t="s">
        <v>1647</v>
      </c>
      <c r="D247" s="289">
        <f>ROUND((F247*'Pawn Weights'!$B$60)+(G247*'Pawn Weights'!$B$61)+(H247*'Pawn Weights'!$B$62)+(I247*'Pawn Weights'!$B$63)+(J247*'Pawn Weights'!$B$64)+(K247*'Pawn Weights'!$B$65)+(L247*'Pawn Weights'!$B$66)+(M247*'Pawn Weights'!$B$67)+(N247*'Pawn Weights'!$B$68)+(O247*'Pawn Weights'!$B$69)+(P247*'Pawn Weights'!$B$70)+(Q247*'Pawn Weights'!$B$71), 2)</f>
        <v>89.5</v>
      </c>
      <c r="E247" s="280"/>
      <c r="F247" s="280"/>
      <c r="G247" s="280">
        <v>15.0</v>
      </c>
      <c r="H247" s="280">
        <v>50.0</v>
      </c>
      <c r="I247" s="280"/>
      <c r="J247" s="280">
        <v>10.0</v>
      </c>
      <c r="K247" s="280"/>
      <c r="L247" s="280"/>
      <c r="M247" s="281"/>
      <c r="N247" s="280"/>
      <c r="O247" s="280"/>
      <c r="P247" s="280"/>
      <c r="Q247" s="280"/>
      <c r="R247" s="290"/>
      <c r="S247" s="281"/>
      <c r="T247" s="291"/>
      <c r="U247" s="281"/>
      <c r="V247" s="281"/>
      <c r="W247" s="281"/>
    </row>
    <row r="248">
      <c r="A248" s="281"/>
      <c r="B248" s="311" t="s">
        <v>1644</v>
      </c>
      <c r="C248" s="280" t="s">
        <v>1645</v>
      </c>
      <c r="D248" s="289">
        <f>ROUND((F248*'Pawn Weights'!$B$60)+(G248*'Pawn Weights'!$B$61)+(H248*'Pawn Weights'!$B$62)+(I248*'Pawn Weights'!$B$63)+(J248*'Pawn Weights'!$B$64)+(K248*'Pawn Weights'!$B$65)+(L248*'Pawn Weights'!$B$66)+(M248*'Pawn Weights'!$B$67)+(N248*'Pawn Weights'!$B$68)+(O248*'Pawn Weights'!$B$69)+(P248*'Pawn Weights'!$B$70)+(Q248*'Pawn Weights'!$B$71), 2)</f>
        <v>86.06</v>
      </c>
      <c r="E248" s="280">
        <v>18.0</v>
      </c>
      <c r="F248" s="280">
        <v>23.0</v>
      </c>
      <c r="G248" s="280"/>
      <c r="H248" s="280"/>
      <c r="I248" s="280">
        <v>18.0</v>
      </c>
      <c r="J248" s="280"/>
      <c r="K248" s="280"/>
      <c r="L248" s="280"/>
      <c r="M248" s="281"/>
      <c r="N248" s="280"/>
      <c r="O248" s="280"/>
      <c r="P248" s="280"/>
      <c r="Q248" s="280"/>
      <c r="R248" s="290"/>
      <c r="S248" s="281"/>
      <c r="T248" s="291"/>
      <c r="U248" s="281"/>
      <c r="V248" s="281"/>
      <c r="W248" s="281"/>
    </row>
    <row r="249">
      <c r="A249" s="281"/>
      <c r="B249" s="311" t="s">
        <v>1913</v>
      </c>
      <c r="C249" s="280" t="s">
        <v>1781</v>
      </c>
      <c r="D249" s="289">
        <f>ROUND((F249*'Pawn Weights'!$B$60)+(G249*'Pawn Weights'!$B$61)+(H249*'Pawn Weights'!$B$62)+(I249*'Pawn Weights'!$B$63)+(J249*'Pawn Weights'!$B$64)+(K249*'Pawn Weights'!$B$65)+(L249*'Pawn Weights'!$B$66)+(M249*'Pawn Weights'!$B$67)+(N249*'Pawn Weights'!$B$68)+(O249*'Pawn Weights'!$B$69)+(P249*'Pawn Weights'!$B$70)+(Q249*'Pawn Weights'!$B$71), 2)</f>
        <v>85.37</v>
      </c>
      <c r="E249" s="280"/>
      <c r="F249" s="280">
        <v>20.0</v>
      </c>
      <c r="G249" s="280"/>
      <c r="H249" s="280"/>
      <c r="I249" s="280">
        <v>21.0</v>
      </c>
      <c r="J249" s="280"/>
      <c r="K249" s="280"/>
      <c r="L249" s="280"/>
      <c r="M249" s="281"/>
      <c r="N249" s="280"/>
      <c r="O249" s="280"/>
      <c r="P249" s="280"/>
      <c r="Q249" s="280"/>
      <c r="R249" s="290"/>
      <c r="S249" s="281"/>
      <c r="T249" s="291"/>
      <c r="U249" s="281"/>
      <c r="V249" s="281"/>
      <c r="W249" s="281"/>
    </row>
    <row r="250">
      <c r="A250" s="281"/>
      <c r="B250" s="311" t="s">
        <v>1813</v>
      </c>
      <c r="C250" s="280" t="s">
        <v>1596</v>
      </c>
      <c r="D250" s="289">
        <f>ROUND((F250*'Pawn Weights'!$B$60)+(G250*'Pawn Weights'!$B$61)+(H250*'Pawn Weights'!$B$62)+(I250*'Pawn Weights'!$B$63)+(J250*'Pawn Weights'!$B$64)+(K250*'Pawn Weights'!$B$65)+(L250*'Pawn Weights'!$B$66)+(M250*'Pawn Weights'!$B$67)+(N250*'Pawn Weights'!$B$68)+(O250*'Pawn Weights'!$B$69)+(P250*'Pawn Weights'!$B$70)+(Q250*'Pawn Weights'!$B$71), 2)</f>
        <v>82.79</v>
      </c>
      <c r="E250" s="280">
        <v>15.0</v>
      </c>
      <c r="F250" s="280"/>
      <c r="G250" s="280"/>
      <c r="H250" s="280">
        <v>24.0</v>
      </c>
      <c r="I250" s="280">
        <v>21.0</v>
      </c>
      <c r="J250" s="280">
        <v>13.0</v>
      </c>
      <c r="K250" s="280"/>
      <c r="L250" s="280"/>
      <c r="M250" s="281"/>
      <c r="N250" s="280"/>
      <c r="O250" s="280"/>
      <c r="P250" s="280"/>
      <c r="Q250" s="280"/>
      <c r="R250" s="290"/>
      <c r="S250" s="281"/>
      <c r="T250" s="291"/>
      <c r="U250" s="281"/>
      <c r="V250" s="281"/>
      <c r="W250" s="281"/>
    </row>
    <row r="251">
      <c r="A251" s="281"/>
      <c r="B251" s="288" t="s">
        <v>1914</v>
      </c>
      <c r="C251" s="280" t="s">
        <v>1437</v>
      </c>
      <c r="D251" s="289">
        <f>ROUND((F251*'Pawn Weights'!$B$60)+(G251*'Pawn Weights'!$B$61)+(H251*'Pawn Weights'!$B$62)+(I251*'Pawn Weights'!$B$63)+(J251*'Pawn Weights'!$B$64)+(K251*'Pawn Weights'!$B$65)+(L251*'Pawn Weights'!$B$66)+(M251*'Pawn Weights'!$B$67)+(N251*'Pawn Weights'!$B$68)+(O251*'Pawn Weights'!$B$69)+(P251*'Pawn Weights'!$B$70)+(Q251*'Pawn Weights'!$B$71), 2)</f>
        <v>60</v>
      </c>
      <c r="E251" s="280">
        <v>31.0</v>
      </c>
      <c r="F251" s="280"/>
      <c r="G251" s="280"/>
      <c r="H251" s="280">
        <v>60.0</v>
      </c>
      <c r="I251" s="280"/>
      <c r="J251" s="280"/>
      <c r="K251" s="280"/>
      <c r="L251" s="280"/>
      <c r="M251" s="281"/>
      <c r="N251" s="280"/>
      <c r="O251" s="280"/>
      <c r="P251" s="280"/>
      <c r="Q251" s="280"/>
      <c r="R251" s="290"/>
      <c r="S251" s="281"/>
      <c r="T251" s="291"/>
      <c r="U251" s="281"/>
      <c r="V251" s="281"/>
      <c r="W251" s="281"/>
    </row>
    <row r="252">
      <c r="A252" s="224" t="s">
        <v>928</v>
      </c>
      <c r="B252" s="401" t="s">
        <v>929</v>
      </c>
      <c r="C252" s="281"/>
      <c r="D252" s="360"/>
      <c r="E252" s="313" t="s">
        <v>607</v>
      </c>
      <c r="F252" s="314" t="s">
        <v>608</v>
      </c>
      <c r="G252" s="314" t="s">
        <v>561</v>
      </c>
      <c r="H252" s="314" t="s">
        <v>930</v>
      </c>
      <c r="I252" s="314" t="s">
        <v>330</v>
      </c>
      <c r="J252" s="314" t="s">
        <v>344</v>
      </c>
      <c r="K252" s="314" t="s">
        <v>356</v>
      </c>
      <c r="L252" s="314" t="s">
        <v>563</v>
      </c>
      <c r="M252" s="314" t="s">
        <v>564</v>
      </c>
      <c r="N252" s="281"/>
      <c r="O252" s="281"/>
      <c r="P252" s="281"/>
      <c r="Q252" s="281"/>
      <c r="R252" s="282"/>
      <c r="S252" s="281"/>
      <c r="T252" s="285"/>
      <c r="U252" s="281"/>
      <c r="V252" s="281"/>
      <c r="W252" s="281"/>
    </row>
    <row r="253">
      <c r="A253" s="295"/>
      <c r="B253" s="296" t="s">
        <v>938</v>
      </c>
      <c r="C253" s="361" t="s">
        <v>939</v>
      </c>
      <c r="D253" s="289">
        <f>ROUND((F253*'Pawn Weights'!$B$60)+(G253*'Pawn Weights'!$B$61)+(H253*'Pawn Weights'!$B$62)+(I253*'Pawn Weights'!$B$63)+(J253*'Pawn Weights'!$B$64)+(K253*'Pawn Weights'!$B$65)+(L253*'Pawn Weights'!$B$66)+(M253*'Pawn Weights'!$B$67)+(N253*'Pawn Weights'!$B$68)+(O253*'Pawn Weights'!$B$69)+(P253*'Pawn Weights'!$B$70)+(Q253*'Pawn Weights'!$B$71), 2)</f>
        <v>224</v>
      </c>
      <c r="E253" s="361"/>
      <c r="F253" s="295"/>
      <c r="G253" s="295"/>
      <c r="H253" s="298">
        <v>92.0</v>
      </c>
      <c r="I253" s="295"/>
      <c r="J253" s="295"/>
      <c r="K253" s="295"/>
      <c r="L253" s="298">
        <v>44.0</v>
      </c>
      <c r="M253" s="295"/>
      <c r="N253" s="361"/>
      <c r="O253" s="361"/>
      <c r="P253" s="361"/>
      <c r="Q253" s="361"/>
      <c r="R253" s="137"/>
      <c r="S253" s="137"/>
      <c r="T253" s="361" t="s">
        <v>940</v>
      </c>
      <c r="U253" s="137"/>
      <c r="V253" s="137"/>
      <c r="W253" s="137"/>
      <c r="X253" s="137"/>
      <c r="Y253" s="137"/>
      <c r="Z253" s="137"/>
    </row>
    <row r="254">
      <c r="A254" s="281"/>
      <c r="B254" s="288" t="s">
        <v>936</v>
      </c>
      <c r="C254" s="280" t="s">
        <v>823</v>
      </c>
      <c r="D254" s="289">
        <f>ROUND((F254*'Pawn Weights'!$B$60)+(G254*'Pawn Weights'!$B$61)+(H254*'Pawn Weights'!$B$62)+(I254*'Pawn Weights'!$B$63)+(J254*'Pawn Weights'!$B$64)+(K254*'Pawn Weights'!$B$65)+(L254*'Pawn Weights'!$B$66)+(M254*'Pawn Weights'!$B$67)+(N254*'Pawn Weights'!$B$68)+(O254*'Pawn Weights'!$B$69)+(P254*'Pawn Weights'!$B$70)+(Q254*'Pawn Weights'!$B$71), 2)</f>
        <v>169.97</v>
      </c>
      <c r="E254" s="280"/>
      <c r="F254" s="280"/>
      <c r="G254" s="280"/>
      <c r="H254" s="280">
        <v>40.0</v>
      </c>
      <c r="I254" s="280"/>
      <c r="J254" s="280"/>
      <c r="K254" s="280">
        <v>100.75</v>
      </c>
      <c r="L254" s="280"/>
      <c r="M254" s="281"/>
      <c r="N254" s="280"/>
      <c r="O254" s="280"/>
      <c r="P254" s="280"/>
      <c r="Q254" s="280"/>
      <c r="R254" s="290"/>
      <c r="S254" s="281"/>
      <c r="T254" s="291" t="s">
        <v>1915</v>
      </c>
      <c r="U254" s="281"/>
      <c r="V254" s="281"/>
      <c r="W254" s="281"/>
    </row>
    <row r="255">
      <c r="A255" s="292" t="s">
        <v>949</v>
      </c>
      <c r="B255" s="288" t="s">
        <v>950</v>
      </c>
      <c r="C255" s="280" t="s">
        <v>951</v>
      </c>
      <c r="D255" s="289">
        <f>ROUND((F255*'Pawn Weights'!$B$60)+(G255*'Pawn Weights'!$B$61)+(H255*'Pawn Weights'!$B$62)+(I255*'Pawn Weights'!$B$63)+(J255*'Pawn Weights'!$B$64)+(K255*'Pawn Weights'!$B$65)+(L255*'Pawn Weights'!$B$66)+(M255*'Pawn Weights'!$B$67)+(N255*'Pawn Weights'!$B$68)+(O255*'Pawn Weights'!$B$69)+(P255*'Pawn Weights'!$B$70)+(Q255*'Pawn Weights'!$B$71), 2)</f>
        <v>150</v>
      </c>
      <c r="E255" s="280"/>
      <c r="F255" s="280"/>
      <c r="G255" s="280"/>
      <c r="H255" s="280">
        <v>150.0</v>
      </c>
      <c r="I255" s="280"/>
      <c r="J255" s="280"/>
      <c r="K255" s="280"/>
      <c r="L255" s="280"/>
      <c r="M255" s="281"/>
      <c r="N255" s="280"/>
      <c r="O255" s="280"/>
      <c r="P255" s="280"/>
      <c r="Q255" s="280"/>
      <c r="R255" s="290"/>
      <c r="S255" s="281"/>
      <c r="T255" s="291" t="s">
        <v>952</v>
      </c>
      <c r="U255" s="281"/>
      <c r="V255" s="281"/>
      <c r="W255" s="281"/>
    </row>
    <row r="256">
      <c r="A256" s="295" t="s">
        <v>627</v>
      </c>
      <c r="B256" s="296" t="s">
        <v>953</v>
      </c>
      <c r="C256" s="297" t="s">
        <v>954</v>
      </c>
      <c r="D256" s="289">
        <f>ROUND((F256*'Pawn Weights'!$B$60)+(G256*'Pawn Weights'!$B$61)+(H256*'Pawn Weights'!$B$62)+(I256*'Pawn Weights'!$B$63)+(J256*'Pawn Weights'!$B$64)+(K256*'Pawn Weights'!$B$65)+(L256*'Pawn Weights'!$B$66)+(M256*'Pawn Weights'!$B$67)+(N256*'Pawn Weights'!$B$68)+(O256*'Pawn Weights'!$B$69)+(P256*'Pawn Weights'!$B$70)+(Q256*'Pawn Weights'!$B$71), 2)</f>
        <v>133.33</v>
      </c>
      <c r="E256" s="295"/>
      <c r="F256" s="295"/>
      <c r="G256" s="295"/>
      <c r="H256" s="298">
        <v>133.33</v>
      </c>
      <c r="I256" s="295"/>
      <c r="J256" s="295"/>
      <c r="K256" s="295"/>
      <c r="L256" s="295"/>
      <c r="M256" s="137"/>
      <c r="N256" s="295"/>
      <c r="O256" s="295"/>
      <c r="P256" s="295"/>
      <c r="Q256" s="295"/>
      <c r="R256" s="295"/>
      <c r="S256" s="137"/>
      <c r="T256" s="297" t="s">
        <v>955</v>
      </c>
      <c r="U256" s="137"/>
      <c r="V256" s="137"/>
      <c r="W256" s="137"/>
      <c r="X256" s="137"/>
      <c r="Y256" s="137"/>
      <c r="Z256" s="137"/>
    </row>
    <row r="257">
      <c r="A257" s="281"/>
      <c r="B257" s="288" t="s">
        <v>956</v>
      </c>
      <c r="C257" s="280" t="s">
        <v>957</v>
      </c>
      <c r="D257" s="289">
        <f>ROUND((F257*'Pawn Weights'!$B$60)+(G257*'Pawn Weights'!$B$61)+(H257*'Pawn Weights'!$B$62)+(I257*'Pawn Weights'!$B$63)+(J257*'Pawn Weights'!$B$64)+(K257*'Pawn Weights'!$B$65)+(L257*'Pawn Weights'!$B$66)+(M257*'Pawn Weights'!$B$67)+(N257*'Pawn Weights'!$B$68)+(O257*'Pawn Weights'!$B$69)+(P257*'Pawn Weights'!$B$70)+(Q257*'Pawn Weights'!$B$71), 2)</f>
        <v>132.26</v>
      </c>
      <c r="E257" s="280"/>
      <c r="F257" s="280"/>
      <c r="G257" s="280"/>
      <c r="H257" s="280">
        <v>44.0</v>
      </c>
      <c r="I257" s="280">
        <v>38.0</v>
      </c>
      <c r="J257" s="280">
        <v>10.0</v>
      </c>
      <c r="K257" s="280"/>
      <c r="L257" s="280"/>
      <c r="M257" s="281"/>
      <c r="N257" s="280"/>
      <c r="O257" s="280"/>
      <c r="P257" s="280"/>
      <c r="Q257" s="280"/>
      <c r="R257" s="290"/>
      <c r="S257" s="281"/>
      <c r="T257" s="291" t="s">
        <v>958</v>
      </c>
      <c r="U257" s="281"/>
      <c r="V257" s="281"/>
      <c r="W257" s="281"/>
    </row>
    <row r="258">
      <c r="A258" s="281"/>
      <c r="B258" s="288" t="s">
        <v>959</v>
      </c>
      <c r="C258" s="154" t="s">
        <v>960</v>
      </c>
      <c r="D258" s="289">
        <f>ROUND((F258*'Pawn Weights'!$B$60)+(G258*'Pawn Weights'!$B$61)+(H258*'Pawn Weights'!$B$62)+(I258*'Pawn Weights'!$B$63)+(J258*'Pawn Weights'!$B$64)+(K258*'Pawn Weights'!$B$65)+(L258*'Pawn Weights'!$B$66)+(M258*'Pawn Weights'!$B$67)+(N258*'Pawn Weights'!$B$68)+(O258*'Pawn Weights'!$B$69)+(P258*'Pawn Weights'!$B$70)+(Q258*'Pawn Weights'!$B$71), 2)</f>
        <v>120</v>
      </c>
      <c r="E258" s="280"/>
      <c r="F258" s="280"/>
      <c r="G258" s="280"/>
      <c r="H258" s="280">
        <v>120.0</v>
      </c>
      <c r="I258" s="280"/>
      <c r="J258" s="280"/>
      <c r="K258" s="280"/>
      <c r="L258" s="280"/>
      <c r="M258" s="280"/>
      <c r="N258" s="280"/>
      <c r="O258" s="280"/>
      <c r="P258" s="280"/>
      <c r="Q258" s="280"/>
      <c r="R258" s="290"/>
      <c r="S258" s="281"/>
      <c r="T258" s="291" t="s">
        <v>961</v>
      </c>
      <c r="U258" s="281"/>
      <c r="V258" s="281"/>
      <c r="W258" s="281"/>
      <c r="X258" s="281"/>
    </row>
    <row r="259">
      <c r="A259" s="281"/>
      <c r="B259" s="288" t="s">
        <v>962</v>
      </c>
      <c r="C259" s="280" t="s">
        <v>963</v>
      </c>
      <c r="D259" s="289">
        <f>ROUND((F259*'Pawn Weights'!$B$60)+(G259*'Pawn Weights'!$B$61)+(H259*'Pawn Weights'!$B$62)+(I259*'Pawn Weights'!$B$63)+(J259*'Pawn Weights'!$B$64)+(K259*'Pawn Weights'!$B$65)+(L259*'Pawn Weights'!$B$66)+(M259*'Pawn Weights'!$B$67)+(N259*'Pawn Weights'!$B$68)+(O259*'Pawn Weights'!$B$69)+(P259*'Pawn Weights'!$B$70)+(Q259*'Pawn Weights'!$B$71), 2)</f>
        <v>118</v>
      </c>
      <c r="E259" s="280"/>
      <c r="F259" s="280"/>
      <c r="G259" s="280"/>
      <c r="H259" s="280">
        <v>118.0</v>
      </c>
      <c r="I259" s="280"/>
      <c r="J259" s="280"/>
      <c r="K259" s="280"/>
      <c r="L259" s="280"/>
      <c r="M259" s="280"/>
      <c r="N259" s="280"/>
      <c r="O259" s="280"/>
      <c r="P259" s="280"/>
      <c r="Q259" s="280"/>
      <c r="R259" s="290"/>
      <c r="S259" s="281"/>
      <c r="T259" s="291" t="s">
        <v>964</v>
      </c>
      <c r="U259" s="281"/>
      <c r="V259" s="281"/>
      <c r="W259" s="281"/>
      <c r="X259" s="281"/>
    </row>
    <row r="260">
      <c r="A260" s="292" t="s">
        <v>965</v>
      </c>
      <c r="B260" s="288" t="s">
        <v>966</v>
      </c>
      <c r="C260" s="280" t="s">
        <v>967</v>
      </c>
      <c r="D260" s="289">
        <f>ROUND((F260*'Pawn Weights'!$B$60)+(G260*'Pawn Weights'!$B$61)+(H260*'Pawn Weights'!$B$62)+(I260*'Pawn Weights'!$B$63)+(J260*'Pawn Weights'!$B$64)+(K260*'Pawn Weights'!$B$65)+(L260*'Pawn Weights'!$B$66)+(M260*'Pawn Weights'!$B$67)+(N260*'Pawn Weights'!$B$68)+(O260*'Pawn Weights'!$B$69)+(P260*'Pawn Weights'!$B$70)+(Q260*'Pawn Weights'!$B$71), 2)</f>
        <v>107</v>
      </c>
      <c r="E260" s="280"/>
      <c r="F260" s="280"/>
      <c r="G260" s="280"/>
      <c r="H260" s="280">
        <v>107.0</v>
      </c>
      <c r="I260" s="280"/>
      <c r="J260" s="280"/>
      <c r="K260" s="280"/>
      <c r="L260" s="280"/>
      <c r="M260" s="281"/>
      <c r="N260" s="280"/>
      <c r="O260" s="280"/>
      <c r="P260" s="280"/>
      <c r="Q260" s="280"/>
      <c r="R260" s="290"/>
      <c r="S260" s="281"/>
      <c r="T260" s="291" t="s">
        <v>968</v>
      </c>
      <c r="U260" s="281"/>
      <c r="V260" s="281"/>
      <c r="W260" s="281"/>
    </row>
    <row r="261">
      <c r="A261" s="281"/>
      <c r="B261" s="311" t="s">
        <v>969</v>
      </c>
      <c r="C261" s="280" t="s">
        <v>970</v>
      </c>
      <c r="D261" s="289">
        <f>ROUND((F261*'Pawn Weights'!$B$60)+(G261*'Pawn Weights'!$B$61)+(H261*'Pawn Weights'!$B$62)+(I261*'Pawn Weights'!$B$63)+(J261*'Pawn Weights'!$B$64)+(K261*'Pawn Weights'!$B$65)+(L261*'Pawn Weights'!$B$66)+(M261*'Pawn Weights'!$B$67)+(N261*'Pawn Weights'!$B$68)+(O261*'Pawn Weights'!$B$69)+(P261*'Pawn Weights'!$B$70)+(Q261*'Pawn Weights'!$B$71), 2)</f>
        <v>102.04</v>
      </c>
      <c r="E261" s="280"/>
      <c r="F261" s="280"/>
      <c r="G261" s="280"/>
      <c r="H261" s="280">
        <v>39.0</v>
      </c>
      <c r="I261" s="280">
        <v>32.0</v>
      </c>
      <c r="J261" s="280"/>
      <c r="K261" s="280"/>
      <c r="L261" s="280"/>
      <c r="M261" s="280"/>
      <c r="N261" s="280"/>
      <c r="O261" s="280"/>
      <c r="P261" s="280"/>
      <c r="Q261" s="280"/>
      <c r="R261" s="290"/>
      <c r="S261" s="281"/>
      <c r="T261" s="291" t="s">
        <v>971</v>
      </c>
      <c r="U261" s="281"/>
      <c r="V261" s="281"/>
      <c r="W261" s="281"/>
      <c r="X261" s="281"/>
    </row>
    <row r="262">
      <c r="A262" s="281"/>
      <c r="B262" s="311" t="s">
        <v>1357</v>
      </c>
      <c r="C262" s="280" t="s">
        <v>1358</v>
      </c>
      <c r="D262" s="289">
        <f>ROUND((F262*'Pawn Weights'!$B$60)+(G262*'Pawn Weights'!$B$61)+(H262*'Pawn Weights'!$B$62)+(I262*'Pawn Weights'!$B$63)+(J262*'Pawn Weights'!$B$64)+(K262*'Pawn Weights'!$B$65)+(L262*'Pawn Weights'!$B$66)+(M262*'Pawn Weights'!$B$67)+(N262*'Pawn Weights'!$B$68)+(O262*'Pawn Weights'!$B$69)+(P262*'Pawn Weights'!$B$70)+(Q262*'Pawn Weights'!$B$71), 2)</f>
        <v>91.93</v>
      </c>
      <c r="E262" s="280"/>
      <c r="F262" s="280"/>
      <c r="G262" s="280"/>
      <c r="H262" s="280">
        <v>64.0</v>
      </c>
      <c r="I262" s="280"/>
      <c r="J262" s="280"/>
      <c r="K262" s="280">
        <v>21.65</v>
      </c>
      <c r="L262" s="280"/>
      <c r="M262" s="281"/>
      <c r="N262" s="280"/>
      <c r="O262" s="280"/>
      <c r="P262" s="280"/>
      <c r="Q262" s="280"/>
      <c r="R262" s="290"/>
      <c r="S262" s="281"/>
      <c r="T262" s="291" t="s">
        <v>1359</v>
      </c>
      <c r="U262" s="281"/>
      <c r="V262" s="281"/>
      <c r="W262" s="281"/>
    </row>
    <row r="263">
      <c r="A263" s="281"/>
      <c r="B263" s="322" t="s">
        <v>1655</v>
      </c>
      <c r="C263" s="280" t="s">
        <v>1656</v>
      </c>
      <c r="D263" s="289">
        <f>ROUND((F263*'Pawn Weights'!$B$60)+(G263*'Pawn Weights'!$B$61)+(H263*'Pawn Weights'!$B$62)+(I263*'Pawn Weights'!$B$63)+(J263*'Pawn Weights'!$B$64)+(K263*'Pawn Weights'!$B$65)+(L263*'Pawn Weights'!$B$66)+(M263*'Pawn Weights'!$B$67)+(N263*'Pawn Weights'!$B$68)+(O263*'Pawn Weights'!$B$69)+(P263*'Pawn Weights'!$B$70)+(Q263*'Pawn Weights'!$B$71), 2)</f>
        <v>85</v>
      </c>
      <c r="E263" s="280"/>
      <c r="F263" s="280"/>
      <c r="G263" s="280"/>
      <c r="H263" s="280">
        <v>85.0</v>
      </c>
      <c r="I263" s="280"/>
      <c r="J263" s="280"/>
      <c r="K263" s="280"/>
      <c r="L263" s="280"/>
      <c r="M263" s="281"/>
      <c r="N263" s="280"/>
      <c r="O263" s="280"/>
      <c r="P263" s="280"/>
      <c r="Q263" s="280"/>
      <c r="R263" s="290"/>
      <c r="S263" s="281"/>
      <c r="T263" s="291" t="s">
        <v>1657</v>
      </c>
      <c r="U263" s="281"/>
      <c r="V263" s="281"/>
      <c r="W263" s="281"/>
    </row>
    <row r="264">
      <c r="A264" s="281"/>
      <c r="B264" s="311" t="s">
        <v>1652</v>
      </c>
      <c r="C264" s="280" t="s">
        <v>1653</v>
      </c>
      <c r="D264" s="289">
        <f>ROUND((F264*'Pawn Weights'!$B$60)+(G264*'Pawn Weights'!$B$61)+(H264*'Pawn Weights'!$B$62)+(I264*'Pawn Weights'!$B$63)+(J264*'Pawn Weights'!$B$64)+(K264*'Pawn Weights'!$B$65)+(L264*'Pawn Weights'!$B$66)+(M264*'Pawn Weights'!$B$67)+(N264*'Pawn Weights'!$B$68)+(O264*'Pawn Weights'!$B$69)+(P264*'Pawn Weights'!$B$70)+(Q264*'Pawn Weights'!$B$71), 2)</f>
        <v>84.22</v>
      </c>
      <c r="E264" s="280"/>
      <c r="F264" s="280"/>
      <c r="G264" s="280"/>
      <c r="H264" s="280">
        <v>33.0</v>
      </c>
      <c r="I264" s="280">
        <v>26.0</v>
      </c>
      <c r="J264" s="280"/>
      <c r="K264" s="280"/>
      <c r="L264" s="280"/>
      <c r="M264" s="281"/>
      <c r="N264" s="280"/>
      <c r="O264" s="280"/>
      <c r="P264" s="280"/>
      <c r="Q264" s="280"/>
      <c r="R264" s="290"/>
      <c r="S264" s="281"/>
      <c r="T264" s="291" t="s">
        <v>1654</v>
      </c>
      <c r="U264" s="281"/>
      <c r="V264" s="281"/>
      <c r="W264" s="281"/>
    </row>
    <row r="265">
      <c r="A265" s="292" t="s">
        <v>965</v>
      </c>
      <c r="B265" s="288" t="s">
        <v>1658</v>
      </c>
      <c r="C265" s="280" t="s">
        <v>1659</v>
      </c>
      <c r="D265" s="289">
        <f>ROUND((F265*'Pawn Weights'!$B$60)+(G265*'Pawn Weights'!$B$61)+(H265*'Pawn Weights'!$B$62)+(I265*'Pawn Weights'!$B$63)+(J265*'Pawn Weights'!$B$64)+(K265*'Pawn Weights'!$B$65)+(L265*'Pawn Weights'!$B$66)+(M265*'Pawn Weights'!$B$67)+(N265*'Pawn Weights'!$B$68)+(O265*'Pawn Weights'!$B$69)+(P265*'Pawn Weights'!$B$70)+(Q265*'Pawn Weights'!$B$71), 2)</f>
        <v>82.8</v>
      </c>
      <c r="E265" s="280"/>
      <c r="F265" s="280"/>
      <c r="G265" s="280"/>
      <c r="H265" s="280">
        <v>56.0</v>
      </c>
      <c r="I265" s="280"/>
      <c r="J265" s="280">
        <v>20.0</v>
      </c>
      <c r="K265" s="280"/>
      <c r="L265" s="280"/>
      <c r="M265" s="281"/>
      <c r="N265" s="280"/>
      <c r="O265" s="280"/>
      <c r="P265" s="280"/>
      <c r="Q265" s="280"/>
      <c r="R265" s="290"/>
      <c r="S265" s="281"/>
      <c r="T265" s="291" t="s">
        <v>1660</v>
      </c>
      <c r="U265" s="281"/>
      <c r="V265" s="281"/>
      <c r="W265" s="281"/>
    </row>
    <row r="266">
      <c r="A266" s="292" t="s">
        <v>965</v>
      </c>
      <c r="B266" s="288" t="s">
        <v>1661</v>
      </c>
      <c r="C266" s="280" t="s">
        <v>1662</v>
      </c>
      <c r="D266" s="289">
        <f>ROUND((F266*'Pawn Weights'!$B$60)+(G266*'Pawn Weights'!$B$61)+(H266*'Pawn Weights'!$B$62)+(I266*'Pawn Weights'!$B$63)+(J266*'Pawn Weights'!$B$64)+(K266*'Pawn Weights'!$B$65)+(L266*'Pawn Weights'!$B$66)+(M266*'Pawn Weights'!$B$67)+(N266*'Pawn Weights'!$B$68)+(O266*'Pawn Weights'!$B$69)+(P266*'Pawn Weights'!$B$70)+(Q266*'Pawn Weights'!$B$71), 2)</f>
        <v>73.23</v>
      </c>
      <c r="E266" s="280"/>
      <c r="F266" s="280"/>
      <c r="G266" s="280"/>
      <c r="H266" s="280"/>
      <c r="I266" s="280">
        <v>14.0</v>
      </c>
      <c r="J266" s="280">
        <v>10.0</v>
      </c>
      <c r="K266" s="280">
        <v>25.0</v>
      </c>
      <c r="L266" s="280"/>
      <c r="M266" s="281"/>
      <c r="N266" s="280"/>
      <c r="O266" s="280"/>
      <c r="P266" s="280"/>
      <c r="Q266" s="280"/>
      <c r="R266" s="290"/>
      <c r="S266" s="281"/>
      <c r="T266" s="291" t="s">
        <v>1663</v>
      </c>
      <c r="U266" s="281"/>
      <c r="V266" s="281"/>
      <c r="W266" s="281"/>
    </row>
    <row r="267">
      <c r="A267" s="292"/>
      <c r="B267" s="311" t="s">
        <v>1664</v>
      </c>
      <c r="C267" s="280" t="s">
        <v>1665</v>
      </c>
      <c r="D267" s="289">
        <f>ROUND((F267*'Pawn Weights'!$B$60)+(G267*'Pawn Weights'!$B$61)+(H267*'Pawn Weights'!$B$62)+(I267*'Pawn Weights'!$B$63)+(J267*'Pawn Weights'!$B$64)+(K267*'Pawn Weights'!$B$65)+(L267*'Pawn Weights'!$B$66)+(M267*'Pawn Weights'!$B$67)+(N267*'Pawn Weights'!$B$68)+(O267*'Pawn Weights'!$B$69)+(P267*'Pawn Weights'!$B$70)+(Q267*'Pawn Weights'!$B$71), 2)</f>
        <v>62.2</v>
      </c>
      <c r="E267" s="280"/>
      <c r="F267" s="280"/>
      <c r="G267" s="280"/>
      <c r="H267" s="280"/>
      <c r="I267" s="280"/>
      <c r="J267" s="280">
        <v>30.0</v>
      </c>
      <c r="K267" s="280"/>
      <c r="L267" s="280"/>
      <c r="M267" s="280">
        <v>100.0</v>
      </c>
      <c r="N267" s="280"/>
      <c r="O267" s="280"/>
      <c r="P267" s="280"/>
      <c r="Q267" s="280"/>
      <c r="R267" s="290"/>
      <c r="S267" s="281"/>
      <c r="T267" s="291" t="s">
        <v>1666</v>
      </c>
      <c r="U267" s="281"/>
      <c r="V267" s="281"/>
      <c r="W267" s="281"/>
    </row>
    <row r="268">
      <c r="A268" s="224" t="s">
        <v>1360</v>
      </c>
      <c r="B268" s="325" t="s">
        <v>1361</v>
      </c>
      <c r="C268" s="281"/>
      <c r="D268" s="387"/>
      <c r="E268" s="281"/>
      <c r="F268" s="281"/>
      <c r="G268" s="281"/>
      <c r="H268" s="281"/>
      <c r="I268" s="281"/>
      <c r="J268" s="281"/>
      <c r="K268" s="281"/>
      <c r="L268" s="281"/>
      <c r="M268" s="281"/>
      <c r="N268" s="281"/>
      <c r="O268" s="281"/>
      <c r="P268" s="281"/>
      <c r="Q268" s="281"/>
      <c r="R268" s="282"/>
      <c r="S268" s="281"/>
      <c r="T268" s="285"/>
      <c r="U268" s="281"/>
      <c r="V268" s="281"/>
      <c r="W268" s="281"/>
    </row>
    <row r="269">
      <c r="A269" s="295"/>
      <c r="B269" s="296" t="s">
        <v>1362</v>
      </c>
      <c r="C269" s="361" t="s">
        <v>1363</v>
      </c>
      <c r="D269" s="444" t="s">
        <v>1364</v>
      </c>
      <c r="E269" s="445"/>
      <c r="F269" s="445"/>
      <c r="G269" s="445"/>
      <c r="H269" s="445"/>
      <c r="I269" s="445"/>
      <c r="J269" s="445"/>
      <c r="K269" s="194"/>
      <c r="L269" s="194"/>
      <c r="M269" s="194"/>
      <c r="N269" s="194"/>
      <c r="O269" s="445"/>
      <c r="P269" s="194"/>
      <c r="Q269" s="194"/>
      <c r="R269" s="137"/>
      <c r="S269" s="137"/>
      <c r="T269" s="137"/>
      <c r="U269" s="137"/>
      <c r="V269" s="137"/>
      <c r="W269" s="137"/>
      <c r="X269" s="137"/>
      <c r="Y269" s="137"/>
      <c r="Z269" s="137"/>
    </row>
    <row r="270">
      <c r="A270" s="281"/>
      <c r="B270" s="311" t="s">
        <v>1365</v>
      </c>
      <c r="C270" s="280" t="s">
        <v>1366</v>
      </c>
      <c r="D270" s="301" t="s">
        <v>1367</v>
      </c>
      <c r="E270" s="280"/>
      <c r="F270" s="280"/>
      <c r="G270" s="280"/>
      <c r="H270" s="280"/>
      <c r="I270" s="280"/>
      <c r="J270" s="280"/>
      <c r="K270" s="320"/>
      <c r="L270" s="320"/>
      <c r="M270" s="281"/>
      <c r="N270" s="320"/>
      <c r="O270" s="280"/>
      <c r="P270" s="320"/>
      <c r="Q270" s="320"/>
      <c r="R270" s="290"/>
      <c r="S270" s="281"/>
      <c r="T270" s="291"/>
      <c r="U270" s="281"/>
      <c r="V270" s="281"/>
      <c r="W270" s="281"/>
    </row>
    <row r="271">
      <c r="A271" s="281"/>
      <c r="B271" s="311" t="s">
        <v>1368</v>
      </c>
      <c r="C271" s="280" t="s">
        <v>1369</v>
      </c>
      <c r="D271" s="301" t="s">
        <v>1370</v>
      </c>
      <c r="E271" s="280"/>
      <c r="F271" s="280"/>
      <c r="G271" s="280"/>
      <c r="H271" s="280"/>
      <c r="I271" s="280"/>
      <c r="J271" s="280"/>
      <c r="K271" s="320"/>
      <c r="L271" s="320"/>
      <c r="M271" s="281"/>
      <c r="N271" s="320"/>
      <c r="O271" s="320"/>
      <c r="P271" s="320"/>
      <c r="Q271" s="320"/>
      <c r="R271" s="321"/>
      <c r="S271" s="281"/>
      <c r="T271" s="291"/>
      <c r="U271" s="281"/>
      <c r="V271" s="281"/>
      <c r="W271" s="281"/>
    </row>
    <row r="272">
      <c r="A272" s="281"/>
      <c r="B272" s="311" t="s">
        <v>1371</v>
      </c>
      <c r="C272" s="280" t="s">
        <v>1372</v>
      </c>
      <c r="D272" s="301" t="s">
        <v>1373</v>
      </c>
      <c r="E272" s="280"/>
      <c r="F272" s="280"/>
      <c r="G272" s="280"/>
      <c r="H272" s="280"/>
      <c r="I272" s="280"/>
      <c r="J272" s="280"/>
      <c r="K272" s="280"/>
      <c r="L272" s="280"/>
      <c r="M272" s="281"/>
      <c r="N272" s="280"/>
      <c r="O272" s="280"/>
      <c r="P272" s="280"/>
      <c r="Q272" s="280"/>
      <c r="R272" s="290"/>
      <c r="S272" s="281"/>
      <c r="T272" s="291"/>
      <c r="U272" s="281"/>
      <c r="V272" s="281"/>
      <c r="W272" s="281"/>
    </row>
    <row r="273">
      <c r="A273" s="281"/>
      <c r="B273" s="311" t="s">
        <v>1374</v>
      </c>
      <c r="C273" s="280" t="s">
        <v>1375</v>
      </c>
      <c r="D273" s="301" t="s">
        <v>1376</v>
      </c>
      <c r="E273" s="280"/>
      <c r="F273" s="280"/>
      <c r="G273" s="280"/>
      <c r="H273" s="280"/>
      <c r="I273" s="280"/>
      <c r="J273" s="280"/>
      <c r="K273" s="320"/>
      <c r="L273" s="320"/>
      <c r="M273" s="281"/>
      <c r="N273" s="320"/>
      <c r="O273" s="280"/>
      <c r="P273" s="320"/>
      <c r="Q273" s="320"/>
      <c r="R273" s="290"/>
      <c r="S273" s="281"/>
      <c r="T273" s="291"/>
      <c r="U273" s="281"/>
      <c r="V273" s="281"/>
      <c r="W273" s="281"/>
    </row>
    <row r="274">
      <c r="A274" s="281"/>
      <c r="B274" s="311" t="s">
        <v>1377</v>
      </c>
      <c r="C274" s="280" t="s">
        <v>1378</v>
      </c>
      <c r="D274" s="301" t="s">
        <v>1379</v>
      </c>
      <c r="E274" s="280"/>
      <c r="F274" s="280"/>
      <c r="G274" s="280"/>
      <c r="H274" s="280"/>
      <c r="I274" s="280"/>
      <c r="J274" s="280"/>
      <c r="K274" s="320"/>
      <c r="L274" s="320"/>
      <c r="M274" s="281"/>
      <c r="N274" s="320"/>
      <c r="O274" s="280"/>
      <c r="P274" s="320"/>
      <c r="Q274" s="320"/>
      <c r="R274" s="290"/>
      <c r="S274" s="281"/>
      <c r="T274" s="291"/>
      <c r="U274" s="281"/>
      <c r="V274" s="281"/>
      <c r="W274" s="281"/>
    </row>
    <row r="275">
      <c r="A275" s="224" t="s">
        <v>1002</v>
      </c>
      <c r="B275" s="323" t="s">
        <v>604</v>
      </c>
      <c r="C275" s="323" t="s">
        <v>605</v>
      </c>
      <c r="D275" s="386" t="s">
        <v>606</v>
      </c>
      <c r="E275" s="224" t="s">
        <v>1003</v>
      </c>
      <c r="F275" s="224" t="s">
        <v>1004</v>
      </c>
      <c r="G275" s="224" t="s">
        <v>561</v>
      </c>
      <c r="H275" s="224" t="s">
        <v>562</v>
      </c>
      <c r="I275" s="224" t="s">
        <v>330</v>
      </c>
      <c r="J275" s="224" t="s">
        <v>563</v>
      </c>
      <c r="K275" s="272" t="s">
        <v>344</v>
      </c>
      <c r="L275" s="224" t="s">
        <v>607</v>
      </c>
      <c r="M275" s="224" t="s">
        <v>564</v>
      </c>
      <c r="N275" s="224" t="s">
        <v>1006</v>
      </c>
      <c r="O275" s="274" t="s">
        <v>610</v>
      </c>
      <c r="P275" s="275" t="s">
        <v>611</v>
      </c>
      <c r="Q275" s="276" t="s">
        <v>612</v>
      </c>
      <c r="R275" s="277" t="s">
        <v>613</v>
      </c>
      <c r="S275" s="366" t="s">
        <v>1380</v>
      </c>
      <c r="T275" s="224" t="s">
        <v>615</v>
      </c>
      <c r="U275" s="366" t="s">
        <v>356</v>
      </c>
      <c r="V275" s="324"/>
      <c r="W275" s="366"/>
    </row>
    <row r="276">
      <c r="A276" s="292"/>
      <c r="B276" s="376" t="s">
        <v>1916</v>
      </c>
      <c r="C276" s="326"/>
      <c r="D276" s="387"/>
      <c r="E276" s="326"/>
      <c r="F276" s="326"/>
      <c r="G276" s="154"/>
      <c r="H276" s="326"/>
      <c r="I276" s="326"/>
      <c r="J276" s="326"/>
      <c r="K276" s="326"/>
      <c r="L276" s="326"/>
      <c r="M276" s="326"/>
      <c r="N276" s="326"/>
      <c r="O276" s="326"/>
      <c r="P276" s="326"/>
      <c r="Q276" s="326"/>
      <c r="R276" s="327"/>
      <c r="S276" s="326"/>
      <c r="T276" s="328"/>
      <c r="U276" s="326"/>
      <c r="V276" s="326"/>
      <c r="W276" s="329"/>
    </row>
    <row r="277">
      <c r="A277" s="295"/>
      <c r="B277" s="296" t="s">
        <v>1382</v>
      </c>
      <c r="C277" s="330" t="s">
        <v>637</v>
      </c>
      <c r="D277" s="301">
        <f>ROUND((E277*'Pawn Weights'!$B$72)+(G277*'Pawn Weights'!$B$61)+(H277*'Pawn Weights'!$B$62)+(I277*'Pawn Weights'!$B$63)+(J277*'Pawn Weights'!$B$66)+(K277*'Pawn Weights'!$B$64)+(M277*'Pawn Weights'!$B$67)+(N277*'Pawn Weights'!$B$60)+(O277*'Pawn Weights'!$B$69)+(P277*'Pawn Weights'!$B$70)+(Q277*'Pawn Weights'!$B$71)+(F277*'Pawn Weights'!$B$73)+(U277*'Pawn Weights'!$B$65), 2)</f>
        <v>1257.28</v>
      </c>
      <c r="E277" s="332">
        <v>107.9</v>
      </c>
      <c r="F277" s="332">
        <v>2.6</v>
      </c>
      <c r="G277" s="330"/>
      <c r="H277" s="332">
        <v>38.0</v>
      </c>
      <c r="I277" s="332">
        <v>22.0</v>
      </c>
      <c r="J277" s="330"/>
      <c r="K277" s="332">
        <v>9.0</v>
      </c>
      <c r="L277" s="332">
        <v>31.0</v>
      </c>
      <c r="M277" s="332">
        <v>49.0</v>
      </c>
      <c r="N277" s="330"/>
      <c r="O277" s="330"/>
      <c r="P277" s="330"/>
      <c r="Q277" s="330"/>
      <c r="R277" s="295"/>
      <c r="S277" s="330"/>
      <c r="T277" s="330" t="s">
        <v>986</v>
      </c>
      <c r="U277" s="330"/>
      <c r="V277" s="330"/>
      <c r="W277" s="137"/>
      <c r="X277" s="137"/>
      <c r="Y277" s="137"/>
      <c r="Z277" s="137"/>
    </row>
    <row r="278">
      <c r="A278" s="295"/>
      <c r="B278" s="296" t="s">
        <v>1383</v>
      </c>
      <c r="C278" s="330" t="s">
        <v>646</v>
      </c>
      <c r="D278" s="301">
        <f>ROUND((E278*'Pawn Weights'!$B$72)+(G278*'Pawn Weights'!$B$61)+(H278*'Pawn Weights'!$B$62)+(I278*'Pawn Weights'!$B$63)+(J278*'Pawn Weights'!$B$66)+(K278*'Pawn Weights'!$B$64)+(M278*'Pawn Weights'!$B$67)+(N278*'Pawn Weights'!$B$60)+(O278*'Pawn Weights'!$B$69)+(P278*'Pawn Weights'!$B$70)+(Q278*'Pawn Weights'!$B$71)+(F278*'Pawn Weights'!$B$73)+(U278*'Pawn Weights'!$B$65), 2)</f>
        <v>1206.77</v>
      </c>
      <c r="E278" s="332">
        <v>103.1</v>
      </c>
      <c r="F278" s="332">
        <v>2.6</v>
      </c>
      <c r="G278" s="330"/>
      <c r="H278" s="332">
        <v>34.0</v>
      </c>
      <c r="I278" s="332">
        <v>21.0</v>
      </c>
      <c r="J278" s="330"/>
      <c r="K278" s="332">
        <v>8.0</v>
      </c>
      <c r="L278" s="332">
        <v>30.0</v>
      </c>
      <c r="M278" s="332">
        <v>49.0</v>
      </c>
      <c r="N278" s="330"/>
      <c r="O278" s="330"/>
      <c r="P278" s="330"/>
      <c r="Q278" s="330"/>
      <c r="R278" s="295"/>
      <c r="S278" s="330"/>
      <c r="T278" s="330" t="s">
        <v>986</v>
      </c>
      <c r="U278" s="330"/>
      <c r="V278" s="330"/>
      <c r="W278" s="137"/>
      <c r="X278" s="137"/>
      <c r="Y278" s="137"/>
      <c r="Z278" s="137"/>
    </row>
    <row r="279">
      <c r="A279" s="295"/>
      <c r="B279" s="296" t="s">
        <v>1013</v>
      </c>
      <c r="C279" s="330" t="s">
        <v>1014</v>
      </c>
      <c r="D279" s="301">
        <f>ROUND((E279*'Pawn Weights'!$B$72)+(G279*'Pawn Weights'!$B$61)+(H279*'Pawn Weights'!$B$62)+(I279*'Pawn Weights'!$B$63)+(J279*'Pawn Weights'!$B$66)+(K279*'Pawn Weights'!$B$64)+(M279*'Pawn Weights'!$B$67)+(N279*'Pawn Weights'!$B$60)+(O279*'Pawn Weights'!$B$69)+(P279*'Pawn Weights'!$B$70)+(Q279*'Pawn Weights'!$B$71)+(F279*'Pawn Weights'!$B$73)+(U279*'Pawn Weights'!$B$65), 2)</f>
        <v>1186.02</v>
      </c>
      <c r="E279" s="332">
        <v>103.0</v>
      </c>
      <c r="F279" s="332">
        <v>2.5</v>
      </c>
      <c r="G279" s="332">
        <v>23.0</v>
      </c>
      <c r="H279" s="332">
        <v>44.0</v>
      </c>
      <c r="I279" s="330"/>
      <c r="J279" s="330"/>
      <c r="K279" s="330"/>
      <c r="L279" s="330"/>
      <c r="M279" s="330"/>
      <c r="N279" s="330"/>
      <c r="O279" s="330"/>
      <c r="P279" s="330"/>
      <c r="Q279" s="330"/>
      <c r="R279" s="295"/>
      <c r="S279" s="332">
        <v>21.0</v>
      </c>
      <c r="T279" s="295"/>
      <c r="U279" s="330"/>
      <c r="V279" s="330"/>
      <c r="W279" s="137"/>
      <c r="X279" s="137"/>
      <c r="Y279" s="137"/>
      <c r="Z279" s="137"/>
    </row>
    <row r="280">
      <c r="A280" s="281"/>
      <c r="B280" s="288" t="s">
        <v>1024</v>
      </c>
      <c r="C280" s="326" t="s">
        <v>1025</v>
      </c>
      <c r="D280" s="301">
        <f>ROUND((E280*'Pawn Weights'!$B$72)+(G280*'Pawn Weights'!$B$61)+(H280*'Pawn Weights'!$B$62)+(I280*'Pawn Weights'!$B$63)+(J280*'Pawn Weights'!$B$66)+(K280*'Pawn Weights'!$B$64)+(M280*'Pawn Weights'!$B$67)+(N280*'Pawn Weights'!$B$60)+(O280*'Pawn Weights'!$B$69)+(P280*'Pawn Weights'!$B$70)+(Q280*'Pawn Weights'!$B$71)+(F280*'Pawn Weights'!$B$73)+(U280*'Pawn Weights'!$B$65), 2)</f>
        <v>1167.03</v>
      </c>
      <c r="E280" s="326">
        <v>96.5</v>
      </c>
      <c r="F280" s="326">
        <v>2.7</v>
      </c>
      <c r="G280" s="326"/>
      <c r="H280" s="326">
        <v>52.0</v>
      </c>
      <c r="I280" s="326">
        <v>19.0</v>
      </c>
      <c r="J280" s="326"/>
      <c r="K280" s="326">
        <v>15.0</v>
      </c>
      <c r="L280" s="326"/>
      <c r="M280" s="326"/>
      <c r="N280" s="326"/>
      <c r="O280" s="326"/>
      <c r="P280" s="326"/>
      <c r="Q280" s="326"/>
      <c r="R280" s="327"/>
      <c r="S280" s="326"/>
      <c r="T280" s="328"/>
      <c r="U280" s="326"/>
      <c r="V280" s="326"/>
      <c r="W280" s="329"/>
    </row>
    <row r="281">
      <c r="A281" s="292" t="s">
        <v>627</v>
      </c>
      <c r="B281" s="288" t="s">
        <v>1055</v>
      </c>
      <c r="C281" s="326" t="s">
        <v>1016</v>
      </c>
      <c r="D281" s="301">
        <f>ROUND((E281*'Pawn Weights'!$B$72)+(G281*'Pawn Weights'!$B$61)+(H281*'Pawn Weights'!$B$62)+(I281*'Pawn Weights'!$B$63)+(J281*'Pawn Weights'!$B$66)+(K281*'Pawn Weights'!$B$64)+(M281*'Pawn Weights'!$B$67)+(N281*'Pawn Weights'!$B$60)+(O281*'Pawn Weights'!$B$69)+(P281*'Pawn Weights'!$B$70)+(Q281*'Pawn Weights'!$B$71)+(F281*'Pawn Weights'!$B$73)+(U281*'Pawn Weights'!$B$65)+(74.2*'Pawn Weights'!B65), 2)</f>
        <v>1163.12</v>
      </c>
      <c r="E281" s="326">
        <v>97.6</v>
      </c>
      <c r="F281" s="326">
        <v>2.7</v>
      </c>
      <c r="G281" s="326"/>
      <c r="H281" s="326"/>
      <c r="I281" s="326"/>
      <c r="J281" s="326"/>
      <c r="K281" s="326"/>
      <c r="L281" s="326">
        <v>19.0</v>
      </c>
      <c r="M281" s="326"/>
      <c r="N281" s="326"/>
      <c r="O281" s="326"/>
      <c r="P281" s="326"/>
      <c r="Q281" s="326"/>
      <c r="R281" s="327"/>
      <c r="S281" s="326"/>
      <c r="T281" s="328" t="s">
        <v>1297</v>
      </c>
      <c r="U281" s="326"/>
      <c r="V281" s="326"/>
      <c r="W281" s="329"/>
    </row>
    <row r="282">
      <c r="A282" s="292" t="s">
        <v>627</v>
      </c>
      <c r="B282" s="288" t="s">
        <v>1031</v>
      </c>
      <c r="C282" s="326" t="s">
        <v>1032</v>
      </c>
      <c r="D282" s="301">
        <f>ROUND((E282*'Pawn Weights'!$B$72)+(G282*'Pawn Weights'!$B$61)+(H282*'Pawn Weights'!$B$62)+(I282*'Pawn Weights'!$B$63)+(J282*'Pawn Weights'!$B$66)+(K282*'Pawn Weights'!$B$64)+(M282*'Pawn Weights'!$B$67)+(N282*'Pawn Weights'!$B$60)+(O282*'Pawn Weights'!$B$69)+(P282*'Pawn Weights'!$B$70)+(Q282*'Pawn Weights'!$B$71)+(F282*'Pawn Weights'!$B$73)+(U282*'Pawn Weights'!$B$65), 2)</f>
        <v>1160.71</v>
      </c>
      <c r="E282" s="326">
        <v>97.6</v>
      </c>
      <c r="F282" s="326">
        <v>2.7</v>
      </c>
      <c r="G282" s="326"/>
      <c r="H282" s="326">
        <v>48.0</v>
      </c>
      <c r="I282" s="326">
        <v>23.0</v>
      </c>
      <c r="J282" s="326"/>
      <c r="K282" s="326"/>
      <c r="L282" s="326"/>
      <c r="M282" s="326"/>
      <c r="N282" s="326"/>
      <c r="O282" s="326"/>
      <c r="P282" s="326"/>
      <c r="Q282" s="326"/>
      <c r="R282" s="327"/>
      <c r="S282" s="326"/>
      <c r="T282" s="328" t="s">
        <v>1384</v>
      </c>
      <c r="U282" s="326"/>
      <c r="V282" s="326"/>
      <c r="W282" s="329"/>
    </row>
    <row r="283">
      <c r="A283" s="281"/>
      <c r="B283" s="288" t="s">
        <v>1020</v>
      </c>
      <c r="C283" s="326" t="s">
        <v>741</v>
      </c>
      <c r="D283" s="301">
        <f>ROUND((E283*'Pawn Weights'!$B$72)+(G283*'Pawn Weights'!$B$61)+(H283*'Pawn Weights'!$B$62)+(I283*'Pawn Weights'!$B$63)+(J283*'Pawn Weights'!$B$66)+(K283*'Pawn Weights'!$B$64)+(M283*'Pawn Weights'!$B$67)+(N283*'Pawn Weights'!$B$60)+(O283*'Pawn Weights'!$B$69)+(P283*'Pawn Weights'!$B$70)+(Q283*'Pawn Weights'!$B$71)+(F283*'Pawn Weights'!$B$73)+(U283*'Pawn Weights'!$B$65), 2)</f>
        <v>1142.8</v>
      </c>
      <c r="E283" s="326">
        <v>100.2</v>
      </c>
      <c r="F283" s="326">
        <v>2.7</v>
      </c>
      <c r="G283" s="326"/>
      <c r="H283" s="326">
        <v>52.0</v>
      </c>
      <c r="I283" s="326"/>
      <c r="J283" s="326"/>
      <c r="K283" s="326"/>
      <c r="L283" s="326"/>
      <c r="M283" s="326"/>
      <c r="N283" s="326"/>
      <c r="O283" s="326"/>
      <c r="P283" s="326"/>
      <c r="Q283" s="326"/>
      <c r="R283" s="327"/>
      <c r="S283" s="326"/>
      <c r="T283" s="328" t="s">
        <v>1021</v>
      </c>
      <c r="U283" s="326"/>
      <c r="V283" s="326"/>
      <c r="W283" s="329"/>
    </row>
    <row r="284">
      <c r="A284" s="281"/>
      <c r="B284" s="288" t="s">
        <v>1385</v>
      </c>
      <c r="C284" s="326" t="s">
        <v>997</v>
      </c>
      <c r="D284" s="301">
        <f>ROUND((E284*'Pawn Weights'!$B$72)+(G284*'Pawn Weights'!$B$61)+(H284*'Pawn Weights'!$B$62)+(I284*'Pawn Weights'!$B$63)+(J284*'Pawn Weights'!$B$66)+(K284*'Pawn Weights'!$B$64)+(M284*'Pawn Weights'!$B$67)+(N284*'Pawn Weights'!$B$60)+(O284*'Pawn Weights'!$B$69)+(P284*'Pawn Weights'!$B$70)+(Q284*'Pawn Weights'!$B$71)+(F284*'Pawn Weights'!$B$73)+(U284*'Pawn Weights'!$B$65), 2)</f>
        <v>1142.13</v>
      </c>
      <c r="E284" s="326">
        <v>97.7</v>
      </c>
      <c r="F284" s="326">
        <v>2.6</v>
      </c>
      <c r="G284" s="326"/>
      <c r="H284" s="326">
        <v>30.0</v>
      </c>
      <c r="I284" s="326">
        <v>19.0</v>
      </c>
      <c r="J284" s="326"/>
      <c r="K284" s="326">
        <v>10.0</v>
      </c>
      <c r="L284" s="326">
        <v>27.0</v>
      </c>
      <c r="M284" s="326"/>
      <c r="N284" s="326"/>
      <c r="O284" s="326"/>
      <c r="P284" s="326"/>
      <c r="Q284" s="326"/>
      <c r="R284" s="327"/>
      <c r="S284" s="326"/>
      <c r="T284" s="328" t="s">
        <v>1034</v>
      </c>
      <c r="U284" s="326"/>
      <c r="V284" s="326"/>
      <c r="W284" s="329"/>
    </row>
    <row r="285">
      <c r="A285" s="281"/>
      <c r="B285" s="288" t="s">
        <v>1037</v>
      </c>
      <c r="C285" s="326" t="s">
        <v>1025</v>
      </c>
      <c r="D285" s="301">
        <f>ROUND((E285*'Pawn Weights'!$B$72)+(G285*'Pawn Weights'!$B$61)+(H285*'Pawn Weights'!$B$62)+(I285*'Pawn Weights'!$B$63)+(J285*'Pawn Weights'!$B$66)+(K285*'Pawn Weights'!$B$64)+(M285*'Pawn Weights'!$B$67)+(N285*'Pawn Weights'!$B$60)+(O285*'Pawn Weights'!$B$69)+(P285*'Pawn Weights'!$B$70)+(Q285*'Pawn Weights'!$B$71)+(F285*'Pawn Weights'!$B$73)+(U285*'Pawn Weights'!$B$65), 2)</f>
        <v>1134</v>
      </c>
      <c r="E285" s="326">
        <v>96.5</v>
      </c>
      <c r="F285" s="326">
        <v>2.6</v>
      </c>
      <c r="G285" s="326">
        <v>25.0</v>
      </c>
      <c r="H285" s="326">
        <v>40.0</v>
      </c>
      <c r="I285" s="326"/>
      <c r="J285" s="326"/>
      <c r="K285" s="326"/>
      <c r="L285" s="326">
        <v>21.0</v>
      </c>
      <c r="M285" s="326"/>
      <c r="N285" s="326"/>
      <c r="O285" s="326"/>
      <c r="P285" s="326"/>
      <c r="Q285" s="326"/>
      <c r="R285" s="327"/>
      <c r="S285" s="326"/>
      <c r="T285" s="328"/>
      <c r="U285" s="326"/>
      <c r="V285" s="326"/>
      <c r="W285" s="329"/>
    </row>
    <row r="286">
      <c r="A286" s="292" t="s">
        <v>627</v>
      </c>
      <c r="B286" s="288" t="s">
        <v>1295</v>
      </c>
      <c r="C286" s="326" t="s">
        <v>1296</v>
      </c>
      <c r="D286" s="301">
        <f>ROUND((E286*'Pawn Weights'!$B$72)+(G286*'Pawn Weights'!$B$61)+(H286*'Pawn Weights'!$B$62)+(I286*'Pawn Weights'!$B$63)+(J286*'Pawn Weights'!$B$66)+(K286*'Pawn Weights'!$B$64)+(M286*'Pawn Weights'!$B$67)+(N286*'Pawn Weights'!$B$60)+(O286*'Pawn Weights'!$B$69)+(P286*'Pawn Weights'!$B$70)+(Q286*'Pawn Weights'!$B$71)+(F286*'Pawn Weights'!$B$73)+(U286*'Pawn Weights'!$B$65)+(74.2*'Pawn Weights'!B65), 2)</f>
        <v>1104.62</v>
      </c>
      <c r="E286" s="326">
        <v>91.1</v>
      </c>
      <c r="F286" s="326">
        <v>2.7</v>
      </c>
      <c r="G286" s="154"/>
      <c r="H286" s="326"/>
      <c r="I286" s="326"/>
      <c r="J286" s="326"/>
      <c r="K286" s="326"/>
      <c r="L286" s="326">
        <v>9.0</v>
      </c>
      <c r="M286" s="326"/>
      <c r="N286" s="326"/>
      <c r="O286" s="326"/>
      <c r="P286" s="326"/>
      <c r="Q286" s="326"/>
      <c r="R286" s="327"/>
      <c r="S286" s="326"/>
      <c r="T286" s="328" t="s">
        <v>1297</v>
      </c>
      <c r="U286" s="326"/>
      <c r="V286" s="326"/>
      <c r="W286" s="329"/>
    </row>
    <row r="287">
      <c r="A287" s="292" t="s">
        <v>627</v>
      </c>
      <c r="B287" s="288" t="s">
        <v>1392</v>
      </c>
      <c r="C287" s="326" t="s">
        <v>1393</v>
      </c>
      <c r="D287" s="301">
        <f>ROUND((E287*'Pawn Weights'!$B$72)+(G287*'Pawn Weights'!$B$61)+(H287*'Pawn Weights'!$B$62)+(I287*'Pawn Weights'!$B$63)+(J287*'Pawn Weights'!$B$66)+(K287*'Pawn Weights'!$B$64)+(M287*'Pawn Weights'!$B$67)+(N287*'Pawn Weights'!$B$60)+(O287*'Pawn Weights'!$B$69)+(P287*'Pawn Weights'!$B$70)+(Q287*'Pawn Weights'!$B$71)+(F287*'Pawn Weights'!$B$73)+(U287*'Pawn Weights'!$B$65), 2)</f>
        <v>1094.27</v>
      </c>
      <c r="E287" s="326">
        <v>91.1</v>
      </c>
      <c r="F287" s="326">
        <v>2.7</v>
      </c>
      <c r="G287" s="326"/>
      <c r="H287" s="326">
        <v>44.0</v>
      </c>
      <c r="I287" s="326">
        <v>21.0</v>
      </c>
      <c r="J287" s="326"/>
      <c r="K287" s="326"/>
      <c r="L287" s="326"/>
      <c r="M287" s="326"/>
      <c r="N287" s="326"/>
      <c r="O287" s="326"/>
      <c r="P287" s="326"/>
      <c r="Q287" s="326"/>
      <c r="R287" s="327"/>
      <c r="S287" s="326"/>
      <c r="T287" s="328" t="s">
        <v>1384</v>
      </c>
      <c r="U287" s="326"/>
      <c r="V287" s="326"/>
      <c r="W287" s="329"/>
    </row>
    <row r="288">
      <c r="A288" s="281"/>
      <c r="B288" s="288" t="s">
        <v>1394</v>
      </c>
      <c r="C288" s="326" t="s">
        <v>1159</v>
      </c>
      <c r="D288" s="301">
        <f>ROUND((E288*'Pawn Weights'!$B$72)+(G288*'Pawn Weights'!$B$61)+(H288*'Pawn Weights'!$B$62)+(I288*'Pawn Weights'!$B$63)+(J288*'Pawn Weights'!$B$66)+(K288*'Pawn Weights'!$B$64)+(M288*'Pawn Weights'!$B$67)+(N288*'Pawn Weights'!$B$60)+(O288*'Pawn Weights'!$B$69)+(P288*'Pawn Weights'!$B$70)+(Q288*'Pawn Weights'!$B$71)+(F288*'Pawn Weights'!$B$73)+(U288*'Pawn Weights'!$B$65), 2)</f>
        <v>1072.41</v>
      </c>
      <c r="E288" s="326">
        <v>91.2</v>
      </c>
      <c r="F288" s="326">
        <v>2.6</v>
      </c>
      <c r="G288" s="326"/>
      <c r="H288" s="326">
        <v>28.0</v>
      </c>
      <c r="I288" s="326">
        <v>15.0</v>
      </c>
      <c r="J288" s="326"/>
      <c r="K288" s="326">
        <v>9.0</v>
      </c>
      <c r="L288" s="326">
        <v>21.0</v>
      </c>
      <c r="M288" s="326"/>
      <c r="N288" s="326"/>
      <c r="O288" s="326"/>
      <c r="P288" s="326"/>
      <c r="Q288" s="326"/>
      <c r="R288" s="327"/>
      <c r="S288" s="326"/>
      <c r="T288" s="328" t="s">
        <v>1257</v>
      </c>
      <c r="U288" s="326"/>
      <c r="V288" s="326"/>
      <c r="W288" s="329"/>
    </row>
    <row r="289">
      <c r="A289" s="292"/>
      <c r="B289" s="288" t="s">
        <v>1289</v>
      </c>
      <c r="C289" s="326" t="s">
        <v>1122</v>
      </c>
      <c r="D289" s="301">
        <f>ROUND((E289*'Pawn Weights'!$B$72)+(G289*'Pawn Weights'!$B$61)+(H289*'Pawn Weights'!$B$62)+(I289*'Pawn Weights'!$B$63)+(J289*'Pawn Weights'!$B$66)+(K289*'Pawn Weights'!$B$64)+(M289*'Pawn Weights'!$B$67)+(N289*'Pawn Weights'!$B$60)+(O289*'Pawn Weights'!$B$69)+(P289*'Pawn Weights'!$B$70)+(Q289*'Pawn Weights'!$B$71)+(F289*'Pawn Weights'!$B$73)+(U289*'Pawn Weights'!$B$65), 2)</f>
        <v>1064.38</v>
      </c>
      <c r="E289" s="326">
        <v>87.5</v>
      </c>
      <c r="F289" s="326">
        <v>2.6</v>
      </c>
      <c r="G289" s="154"/>
      <c r="H289" s="326">
        <v>30.0</v>
      </c>
      <c r="I289" s="326">
        <v>24.0</v>
      </c>
      <c r="J289" s="326"/>
      <c r="K289" s="326"/>
      <c r="L289" s="326"/>
      <c r="M289" s="326"/>
      <c r="N289" s="326"/>
      <c r="O289" s="326"/>
      <c r="P289" s="326">
        <v>1.0</v>
      </c>
      <c r="Q289" s="326"/>
      <c r="R289" s="327" t="s">
        <v>674</v>
      </c>
      <c r="S289" s="326"/>
      <c r="T289" s="328"/>
      <c r="U289" s="326"/>
      <c r="V289" s="326"/>
      <c r="W289" s="329"/>
    </row>
    <row r="290">
      <c r="A290" s="281"/>
      <c r="B290" s="288" t="s">
        <v>1488</v>
      </c>
      <c r="C290" s="326" t="s">
        <v>656</v>
      </c>
      <c r="D290" s="301">
        <f>ROUND((E290*'Pawn Weights'!$B$72)+(G290*'Pawn Weights'!$B$61)+(H290*'Pawn Weights'!$B$62)+(I290*'Pawn Weights'!$B$63)+(J290*'Pawn Weights'!$B$66)+(K290*'Pawn Weights'!$B$64)+(M290*'Pawn Weights'!$B$67)+(N290*'Pawn Weights'!$B$60)+(O290*'Pawn Weights'!$B$69)+(P290*'Pawn Weights'!$B$70)+(Q290*'Pawn Weights'!$B$71)+(F290*'Pawn Weights'!$B$73)+(U290*'Pawn Weights'!$B$65), 2)</f>
        <v>1064.09</v>
      </c>
      <c r="E290" s="326">
        <v>92.1</v>
      </c>
      <c r="F290" s="326">
        <v>2.6</v>
      </c>
      <c r="G290" s="326"/>
      <c r="H290" s="326"/>
      <c r="I290" s="326">
        <v>27.0</v>
      </c>
      <c r="J290" s="326"/>
      <c r="K290" s="326"/>
      <c r="L290" s="326"/>
      <c r="M290" s="326"/>
      <c r="N290" s="326"/>
      <c r="O290" s="326"/>
      <c r="P290" s="326"/>
      <c r="Q290" s="326"/>
      <c r="R290" s="327"/>
      <c r="S290" s="326"/>
      <c r="T290" s="328" t="s">
        <v>1674</v>
      </c>
      <c r="U290" s="326"/>
      <c r="V290" s="326"/>
      <c r="W290" s="329"/>
    </row>
    <row r="291" ht="14.25" customHeight="1">
      <c r="A291" s="292" t="s">
        <v>627</v>
      </c>
      <c r="B291" s="288" t="s">
        <v>1298</v>
      </c>
      <c r="C291" s="326" t="s">
        <v>1299</v>
      </c>
      <c r="D291" s="301">
        <f>ROUND((E291*'Pawn Weights'!$B$72)+(G291*'Pawn Weights'!$B$61)+(H291*'Pawn Weights'!$B$62)+(I291*'Pawn Weights'!$B$63)+(J291*'Pawn Weights'!$B$66)+(K291*'Pawn Weights'!$B$64)+(M291*'Pawn Weights'!$B$67)+(N291*'Pawn Weights'!$B$60)+(O291*'Pawn Weights'!$B$69)+(P291*'Pawn Weights'!$B$70)+(Q291*'Pawn Weights'!$B$71)+(F291*'Pawn Weights'!$B$73)+(U291*'Pawn Weights'!$B$65)+(74.2*'Pawn Weights'!B65), 2)</f>
        <v>1043.42</v>
      </c>
      <c r="E291" s="326">
        <v>84.3</v>
      </c>
      <c r="F291" s="326">
        <v>2.7</v>
      </c>
      <c r="G291" s="154"/>
      <c r="H291" s="326"/>
      <c r="I291" s="326"/>
      <c r="J291" s="326"/>
      <c r="K291" s="326"/>
      <c r="L291" s="326"/>
      <c r="M291" s="326"/>
      <c r="N291" s="326"/>
      <c r="O291" s="326"/>
      <c r="P291" s="326"/>
      <c r="Q291" s="326"/>
      <c r="R291" s="327"/>
      <c r="S291" s="326"/>
      <c r="T291" s="328" t="s">
        <v>1297</v>
      </c>
      <c r="U291" s="326"/>
      <c r="V291" s="326"/>
      <c r="W291" s="329"/>
    </row>
    <row r="292">
      <c r="A292" s="281"/>
      <c r="B292" s="288" t="s">
        <v>1290</v>
      </c>
      <c r="C292" s="326" t="s">
        <v>1291</v>
      </c>
      <c r="D292" s="301">
        <f>ROUND((E292*'Pawn Weights'!$B$72)+(G292*'Pawn Weights'!$B$61)+(H292*'Pawn Weights'!$B$62)+(I292*'Pawn Weights'!$B$63)+(J292*'Pawn Weights'!$B$66)+(K292*'Pawn Weights'!$B$64)+(M292*'Pawn Weights'!$B$67)+(N292*'Pawn Weights'!$B$60)+(O292*'Pawn Weights'!$B$69)+(P292*'Pawn Weights'!$B$70)+(Q292*'Pawn Weights'!$B$71)+(F292*'Pawn Weights'!$B$73)+(U292*'Pawn Weights'!$B$65)+(75.6*'Pawn Weights'!$B$65), 2)</f>
        <v>1032.82</v>
      </c>
      <c r="E292" s="326">
        <v>83.7</v>
      </c>
      <c r="F292" s="326">
        <v>2.6</v>
      </c>
      <c r="G292" s="154"/>
      <c r="H292" s="326"/>
      <c r="I292" s="326"/>
      <c r="J292" s="326"/>
      <c r="K292" s="326"/>
      <c r="L292" s="326"/>
      <c r="M292" s="326"/>
      <c r="N292" s="326"/>
      <c r="O292" s="326"/>
      <c r="P292" s="326"/>
      <c r="Q292" s="326"/>
      <c r="R292" s="327"/>
      <c r="S292" s="326"/>
      <c r="T292" s="328" t="s">
        <v>1917</v>
      </c>
      <c r="U292" s="326"/>
      <c r="V292" s="326"/>
      <c r="W292" s="329"/>
    </row>
    <row r="293">
      <c r="A293" s="292"/>
      <c r="B293" s="288" t="s">
        <v>1293</v>
      </c>
      <c r="C293" s="326" t="s">
        <v>1294</v>
      </c>
      <c r="D293" s="301">
        <f>ROUND((E293*'Pawn Weights'!$B$72)+(G293*'Pawn Weights'!$B$61)+(H293*'Pawn Weights'!$B$62)+(I293*'Pawn Weights'!$B$63)+(J293*'Pawn Weights'!$B$66)+(K293*'Pawn Weights'!$B$64)+(M293*'Pawn Weights'!$B$67)+(N293*'Pawn Weights'!$B$60)+(O293*'Pawn Weights'!$B$69)+(P293*'Pawn Weights'!$B$70)+(Q293*'Pawn Weights'!$B$71)+(F293*'Pawn Weights'!$B$73)+(U293*'Pawn Weights'!$B$65), 2)</f>
        <v>1032.38</v>
      </c>
      <c r="E293" s="326">
        <v>87.6</v>
      </c>
      <c r="F293" s="326">
        <v>2.5</v>
      </c>
      <c r="G293" s="154">
        <v>17.0</v>
      </c>
      <c r="H293" s="326"/>
      <c r="I293" s="326">
        <v>20.0</v>
      </c>
      <c r="J293" s="326"/>
      <c r="K293" s="326"/>
      <c r="L293" s="326">
        <v>18.0</v>
      </c>
      <c r="M293" s="326"/>
      <c r="N293" s="326"/>
      <c r="O293" s="326"/>
      <c r="P293" s="326"/>
      <c r="Q293" s="326"/>
      <c r="R293" s="327"/>
      <c r="S293" s="326"/>
      <c r="T293" s="328"/>
      <c r="U293" s="326"/>
      <c r="V293" s="326"/>
      <c r="W293" s="329"/>
    </row>
    <row r="294">
      <c r="A294" s="292" t="s">
        <v>627</v>
      </c>
      <c r="B294" s="288" t="s">
        <v>1675</v>
      </c>
      <c r="C294" s="326" t="s">
        <v>1676</v>
      </c>
      <c r="D294" s="301">
        <f>ROUND((E294*'Pawn Weights'!$B$72)+(G294*'Pawn Weights'!$B$61)+(H294*'Pawn Weights'!$B$62)+(I294*'Pawn Weights'!$B$63)+(J294*'Pawn Weights'!$B$66)+(K294*'Pawn Weights'!$B$64)+(M294*'Pawn Weights'!$B$67)+(N294*'Pawn Weights'!$B$60)+(O294*'Pawn Weights'!$B$69)+(P294*'Pawn Weights'!$B$70)+(Q294*'Pawn Weights'!$B$71)+(F294*'Pawn Weights'!$B$73)+(U294*'Pawn Weights'!$B$65), 2)</f>
        <v>1029.1</v>
      </c>
      <c r="E294" s="326">
        <v>84.3</v>
      </c>
      <c r="F294" s="326">
        <v>2.7</v>
      </c>
      <c r="G294" s="154"/>
      <c r="H294" s="326">
        <v>42.0</v>
      </c>
      <c r="I294" s="326">
        <v>20.0</v>
      </c>
      <c r="J294" s="326"/>
      <c r="K294" s="326"/>
      <c r="L294" s="326"/>
      <c r="M294" s="326"/>
      <c r="N294" s="326"/>
      <c r="O294" s="326"/>
      <c r="P294" s="326"/>
      <c r="Q294" s="326"/>
      <c r="R294" s="327"/>
      <c r="S294" s="326"/>
      <c r="T294" s="328" t="s">
        <v>1384</v>
      </c>
      <c r="U294" s="326"/>
      <c r="V294" s="326"/>
      <c r="W294" s="329"/>
    </row>
    <row r="295">
      <c r="A295" s="292" t="s">
        <v>627</v>
      </c>
      <c r="B295" s="288" t="s">
        <v>1677</v>
      </c>
      <c r="C295" s="326" t="s">
        <v>1268</v>
      </c>
      <c r="D295" s="301">
        <f>ROUND((E295*'Pawn Weights'!$B$72)+(G295*'Pawn Weights'!$B$61)+(H295*'Pawn Weights'!$B$62)+(I295*'Pawn Weights'!$B$63)+(J295*'Pawn Weights'!$B$66)+(K295*'Pawn Weights'!$B$64)+(M295*'Pawn Weights'!$B$67)+(N295*'Pawn Weights'!$B$60)+(O295*'Pawn Weights'!$B$69)+(P295*'Pawn Weights'!$B$70)+(Q295*'Pawn Weights'!$B$71)+(F295*'Pawn Weights'!$B$73)+(U295*'Pawn Weights'!$B$65), 2)</f>
        <v>982.33</v>
      </c>
      <c r="E295" s="326">
        <v>83.4</v>
      </c>
      <c r="F295" s="326">
        <v>2.2</v>
      </c>
      <c r="G295" s="154"/>
      <c r="H295" s="326"/>
      <c r="I295" s="326">
        <v>21.0</v>
      </c>
      <c r="J295" s="326"/>
      <c r="K295" s="326">
        <v>14.0</v>
      </c>
      <c r="L295" s="326"/>
      <c r="M295" s="326"/>
      <c r="N295" s="326"/>
      <c r="O295" s="326">
        <v>1.0</v>
      </c>
      <c r="P295" s="326"/>
      <c r="Q295" s="326"/>
      <c r="R295" s="327" t="s">
        <v>674</v>
      </c>
      <c r="S295" s="326"/>
      <c r="T295" s="306" t="s">
        <v>1678</v>
      </c>
      <c r="U295" s="326"/>
      <c r="V295" s="326"/>
      <c r="W295" s="329"/>
    </row>
    <row r="296" ht="15.0" customHeight="1">
      <c r="A296" s="292" t="s">
        <v>627</v>
      </c>
      <c r="B296" s="288" t="s">
        <v>1300</v>
      </c>
      <c r="C296" s="326" t="s">
        <v>1268</v>
      </c>
      <c r="D296" s="301">
        <f>ROUND((E296*'Pawn Weights'!$B$72)+(G296*'Pawn Weights'!$B$61)+(H296*'Pawn Weights'!$B$62)+(I296*'Pawn Weights'!$B$63)+(J296*'Pawn Weights'!$B$66)+(K296*'Pawn Weights'!$B$64)+(M296*'Pawn Weights'!$B$67)+(N296*'Pawn Weights'!$B$60)+(O296*'Pawn Weights'!$B$69)+(P296*'Pawn Weights'!$B$70)+(Q296*'Pawn Weights'!$B$71)+(F296*'Pawn Weights'!$B$73)+(U296*'Pawn Weights'!$B$65), 2)</f>
        <v>969.5</v>
      </c>
      <c r="E296" s="326">
        <v>83.5</v>
      </c>
      <c r="F296" s="326">
        <v>2.4</v>
      </c>
      <c r="G296" s="154"/>
      <c r="H296" s="326">
        <v>50.0</v>
      </c>
      <c r="I296" s="326"/>
      <c r="J296" s="326"/>
      <c r="K296" s="326"/>
      <c r="L296" s="326"/>
      <c r="M296" s="326"/>
      <c r="N296" s="326"/>
      <c r="O296" s="326"/>
      <c r="P296" s="326"/>
      <c r="Q296" s="326"/>
      <c r="R296" s="327"/>
      <c r="S296" s="326"/>
      <c r="T296" s="328"/>
      <c r="U296" s="326"/>
      <c r="V296" s="326"/>
      <c r="W296" s="329"/>
    </row>
    <row r="297">
      <c r="A297" s="224" t="s">
        <v>1040</v>
      </c>
      <c r="B297" s="323" t="s">
        <v>604</v>
      </c>
      <c r="C297" s="323" t="s">
        <v>605</v>
      </c>
      <c r="D297" s="386" t="s">
        <v>606</v>
      </c>
      <c r="E297" s="224" t="s">
        <v>1003</v>
      </c>
      <c r="F297" s="224" t="s">
        <v>1004</v>
      </c>
      <c r="G297" s="224" t="s">
        <v>561</v>
      </c>
      <c r="H297" s="224" t="s">
        <v>562</v>
      </c>
      <c r="I297" s="224" t="s">
        <v>330</v>
      </c>
      <c r="J297" s="224" t="s">
        <v>563</v>
      </c>
      <c r="K297" s="272" t="s">
        <v>344</v>
      </c>
      <c r="L297" s="224" t="s">
        <v>607</v>
      </c>
      <c r="M297" s="224" t="s">
        <v>564</v>
      </c>
      <c r="N297" s="224" t="s">
        <v>1006</v>
      </c>
      <c r="O297" s="274" t="s">
        <v>610</v>
      </c>
      <c r="P297" s="275" t="s">
        <v>611</v>
      </c>
      <c r="Q297" s="276" t="s">
        <v>612</v>
      </c>
      <c r="R297" s="277" t="s">
        <v>613</v>
      </c>
      <c r="S297" s="366"/>
      <c r="T297" s="224" t="s">
        <v>615</v>
      </c>
      <c r="U297" s="324"/>
      <c r="V297" s="324"/>
      <c r="W297" s="324"/>
    </row>
    <row r="298" ht="14.25" customHeight="1">
      <c r="A298" s="281"/>
      <c r="B298" s="350" t="s">
        <v>1916</v>
      </c>
      <c r="C298" s="326"/>
      <c r="D298" s="387"/>
      <c r="E298" s="326"/>
      <c r="F298" s="326"/>
      <c r="G298" s="326"/>
      <c r="H298" s="326"/>
      <c r="I298" s="326"/>
      <c r="J298" s="326"/>
      <c r="K298" s="326"/>
      <c r="L298" s="326"/>
      <c r="M298" s="326"/>
      <c r="N298" s="326"/>
      <c r="O298" s="326"/>
      <c r="P298" s="326"/>
      <c r="Q298" s="326"/>
      <c r="R298" s="327"/>
      <c r="S298" s="326"/>
      <c r="T298" s="328"/>
      <c r="U298" s="326"/>
      <c r="V298" s="326"/>
      <c r="W298" s="329"/>
    </row>
    <row r="299" ht="14.25" customHeight="1">
      <c r="A299" s="137"/>
      <c r="B299" s="296" t="s">
        <v>1387</v>
      </c>
      <c r="C299" s="330" t="s">
        <v>637</v>
      </c>
      <c r="D299" s="374">
        <f>ROUND((E299*'Pawn Weights'!$B$74)+(G299*'Pawn Weights'!$B$61)+(H299*'Pawn Weights'!$B$62)+(I299*'Pawn Weights'!$B$63)+(J299*'Pawn Weights'!$B$66)+(K299*'Pawn Weights'!$B$64)+(M299*'Pawn Weights'!$B$67)+(N299*'Pawn Weights'!$B$60)+(O299*'Pawn Weights'!$B$69)+(P299*'Pawn Weights'!$B$70)+(Q299*'Pawn Weights'!$B$71)+(F299*'Pawn Weights'!$B$73)+(U299*'Pawn Weights'!$B$65), 2)</f>
        <v>685.41</v>
      </c>
      <c r="E299" s="332">
        <v>107.9</v>
      </c>
      <c r="F299" s="332">
        <v>2.6</v>
      </c>
      <c r="G299" s="330"/>
      <c r="H299" s="332">
        <v>38.0</v>
      </c>
      <c r="I299" s="332">
        <v>22.0</v>
      </c>
      <c r="J299" s="330"/>
      <c r="K299" s="332">
        <v>9.0</v>
      </c>
      <c r="L299" s="332">
        <v>31.0</v>
      </c>
      <c r="M299" s="332">
        <v>49.0</v>
      </c>
      <c r="N299" s="330"/>
      <c r="O299" s="330"/>
      <c r="P299" s="330"/>
      <c r="Q299" s="330"/>
      <c r="R299" s="295"/>
      <c r="S299" s="330"/>
      <c r="T299" s="330" t="s">
        <v>986</v>
      </c>
      <c r="U299" s="330"/>
      <c r="V299" s="330"/>
      <c r="W299" s="137"/>
      <c r="X299" s="137"/>
      <c r="Y299" s="137"/>
      <c r="Z299" s="137"/>
    </row>
    <row r="300" ht="14.25" customHeight="1">
      <c r="A300" s="137"/>
      <c r="B300" s="296" t="s">
        <v>1383</v>
      </c>
      <c r="C300" s="330" t="s">
        <v>646</v>
      </c>
      <c r="D300" s="374">
        <f>ROUND((E300*'Pawn Weights'!$B$74)+(G300*'Pawn Weights'!$B$61)+(H300*'Pawn Weights'!$B$62)+(I300*'Pawn Weights'!$B$63)+(J300*'Pawn Weights'!$B$66)+(K300*'Pawn Weights'!$B$64)+(M300*'Pawn Weights'!$B$67)+(N300*'Pawn Weights'!$B$60)+(O300*'Pawn Weights'!$B$69)+(P300*'Pawn Weights'!$B$70)+(Q300*'Pawn Weights'!$B$71)+(F300*'Pawn Weights'!$B$73)+(U300*'Pawn Weights'!$B$65), 2)</f>
        <v>660.34</v>
      </c>
      <c r="E300" s="332">
        <v>103.1</v>
      </c>
      <c r="F300" s="332">
        <v>2.6</v>
      </c>
      <c r="G300" s="330"/>
      <c r="H300" s="332">
        <v>34.0</v>
      </c>
      <c r="I300" s="332">
        <v>21.0</v>
      </c>
      <c r="J300" s="330"/>
      <c r="K300" s="332">
        <v>8.0</v>
      </c>
      <c r="L300" s="332">
        <v>30.0</v>
      </c>
      <c r="M300" s="332">
        <v>49.0</v>
      </c>
      <c r="N300" s="330"/>
      <c r="O300" s="330"/>
      <c r="P300" s="330"/>
      <c r="Q300" s="330"/>
      <c r="R300" s="295"/>
      <c r="S300" s="330"/>
      <c r="T300" s="330" t="s">
        <v>986</v>
      </c>
      <c r="U300" s="330"/>
      <c r="V300" s="330"/>
      <c r="W300" s="137"/>
      <c r="X300" s="137"/>
      <c r="Y300" s="137"/>
      <c r="Z300" s="137"/>
    </row>
    <row r="301">
      <c r="A301" s="295" t="s">
        <v>627</v>
      </c>
      <c r="B301" s="296" t="s">
        <v>1031</v>
      </c>
      <c r="C301" s="330" t="s">
        <v>1032</v>
      </c>
      <c r="D301" s="374">
        <f>ROUND((E301*'Pawn Weights'!$B$74)+(G301*'Pawn Weights'!$B$61)+(H301*'Pawn Weights'!$B$62)+(I301*'Pawn Weights'!$B$63)+(J301*'Pawn Weights'!$B$66)+(K301*'Pawn Weights'!$B$64)+(M301*'Pawn Weights'!$B$67)+(N301*'Pawn Weights'!$B$60)+(O301*'Pawn Weights'!$B$69)+(P301*'Pawn Weights'!$B$70)+(Q301*'Pawn Weights'!$B$71)+(F301*'Pawn Weights'!$B$73)+(U301*'Pawn Weights'!$B$65), 2)</f>
        <v>643.43</v>
      </c>
      <c r="E301" s="332">
        <v>97.6</v>
      </c>
      <c r="F301" s="332">
        <v>2.7</v>
      </c>
      <c r="G301" s="330"/>
      <c r="H301" s="332">
        <v>48.0</v>
      </c>
      <c r="I301" s="332">
        <v>23.0</v>
      </c>
      <c r="J301" s="330"/>
      <c r="K301" s="330"/>
      <c r="L301" s="330"/>
      <c r="M301" s="330"/>
      <c r="N301" s="330"/>
      <c r="O301" s="330"/>
      <c r="P301" s="330"/>
      <c r="Q301" s="330"/>
      <c r="R301" s="295"/>
      <c r="S301" s="330"/>
      <c r="T301" s="402" t="s">
        <v>1391</v>
      </c>
      <c r="U301" s="330"/>
      <c r="V301" s="330"/>
      <c r="W301" s="137"/>
      <c r="X301" s="137"/>
      <c r="Y301" s="137"/>
      <c r="Z301" s="137"/>
    </row>
    <row r="302">
      <c r="A302" s="137"/>
      <c r="B302" s="296" t="s">
        <v>1046</v>
      </c>
      <c r="C302" s="330" t="s">
        <v>1047</v>
      </c>
      <c r="D302" s="374">
        <f>ROUND((E302*'Pawn Weights'!$B$74)+(G302*'Pawn Weights'!$B$61)+(H302*'Pawn Weights'!$B$62)+(I302*'Pawn Weights'!$B$63)+(J302*'Pawn Weights'!$B$66)+(K302*'Pawn Weights'!$B$64)+(M302*'Pawn Weights'!$B$67)+(N302*'Pawn Weights'!$B$60)+(O302*'Pawn Weights'!$B$69)+(P302*'Pawn Weights'!$B$70)+(Q302*'Pawn Weights'!$B$71)+(F302*'Pawn Weights'!$B$73)+(U302*'Pawn Weights'!$B$65), 2)</f>
        <v>628.24</v>
      </c>
      <c r="E302" s="332">
        <v>103.0</v>
      </c>
      <c r="F302" s="332">
        <v>2.5</v>
      </c>
      <c r="G302" s="330"/>
      <c r="H302" s="332">
        <v>44.0</v>
      </c>
      <c r="I302" s="330"/>
      <c r="J302" s="330"/>
      <c r="K302" s="332">
        <v>21.0</v>
      </c>
      <c r="L302" s="330"/>
      <c r="M302" s="330"/>
      <c r="N302" s="330"/>
      <c r="O302" s="330"/>
      <c r="P302" s="330"/>
      <c r="Q302" s="330"/>
      <c r="R302" s="295"/>
      <c r="S302" s="332">
        <v>23.0</v>
      </c>
      <c r="T302" s="295"/>
      <c r="U302" s="330"/>
      <c r="V302" s="330"/>
      <c r="W302" s="137"/>
      <c r="X302" s="137"/>
      <c r="Y302" s="137"/>
      <c r="Z302" s="137"/>
    </row>
    <row r="303">
      <c r="A303" s="137"/>
      <c r="B303" s="317" t="s">
        <v>1385</v>
      </c>
      <c r="C303" s="330" t="s">
        <v>997</v>
      </c>
      <c r="D303" s="374">
        <f>ROUND((E303*'Pawn Weights'!$B$74)+(G303*'Pawn Weights'!$B$61)+(H303*'Pawn Weights'!$B$62)+(I303*'Pawn Weights'!$B$63)+(J303*'Pawn Weights'!$B$66)+(K303*'Pawn Weights'!$B$64)+(M303*'Pawn Weights'!$B$67)+(N303*'Pawn Weights'!$B$60)+(O303*'Pawn Weights'!$B$69)+(P303*'Pawn Weights'!$B$70)+(Q303*'Pawn Weights'!$B$71)+(F303*'Pawn Weights'!$B$73)+(U303*'Pawn Weights'!$B$65), 2)</f>
        <v>624.32</v>
      </c>
      <c r="E303" s="332">
        <v>97.7</v>
      </c>
      <c r="F303" s="332">
        <v>2.6</v>
      </c>
      <c r="G303" s="330"/>
      <c r="H303" s="332">
        <v>30.0</v>
      </c>
      <c r="I303" s="332">
        <v>19.0</v>
      </c>
      <c r="J303" s="330"/>
      <c r="K303" s="332">
        <v>10.0</v>
      </c>
      <c r="L303" s="332">
        <v>27.0</v>
      </c>
      <c r="M303" s="330"/>
      <c r="N303" s="330"/>
      <c r="O303" s="330"/>
      <c r="P303" s="330"/>
      <c r="Q303" s="330"/>
      <c r="R303" s="295"/>
      <c r="S303" s="330"/>
      <c r="T303" s="402" t="s">
        <v>1034</v>
      </c>
      <c r="U303" s="330"/>
      <c r="V303" s="330"/>
      <c r="W303" s="137"/>
      <c r="X303" s="137"/>
      <c r="Y303" s="137"/>
      <c r="Z303" s="137"/>
    </row>
    <row r="304">
      <c r="A304" s="137"/>
      <c r="B304" s="296" t="s">
        <v>1037</v>
      </c>
      <c r="C304" s="330" t="s">
        <v>1025</v>
      </c>
      <c r="D304" s="374">
        <f>ROUND((E304*'Pawn Weights'!$B$74)+(G304*'Pawn Weights'!$B$61)+(H304*'Pawn Weights'!$B$62)+(I304*'Pawn Weights'!$B$63)+(J304*'Pawn Weights'!$B$66)+(K304*'Pawn Weights'!$B$64)+(M304*'Pawn Weights'!$B$67)+(N304*'Pawn Weights'!$B$60)+(O304*'Pawn Weights'!$B$69)+(P304*'Pawn Weights'!$B$70)+(Q304*'Pawn Weights'!$B$71)+(F304*'Pawn Weights'!$B$73)+(U304*'Pawn Weights'!$B$65), 2)</f>
        <v>622.55</v>
      </c>
      <c r="E304" s="332">
        <v>96.5</v>
      </c>
      <c r="F304" s="332">
        <v>2.6</v>
      </c>
      <c r="G304" s="332">
        <v>25.0</v>
      </c>
      <c r="H304" s="332">
        <v>40.0</v>
      </c>
      <c r="I304" s="330"/>
      <c r="J304" s="330"/>
      <c r="K304" s="330"/>
      <c r="L304" s="332">
        <v>21.0</v>
      </c>
      <c r="M304" s="330"/>
      <c r="N304" s="330"/>
      <c r="O304" s="330"/>
      <c r="P304" s="330"/>
      <c r="Q304" s="330"/>
      <c r="R304" s="295"/>
      <c r="S304" s="330"/>
      <c r="T304" s="299"/>
      <c r="U304" s="330"/>
      <c r="V304" s="330"/>
      <c r="W304" s="137"/>
      <c r="X304" s="137"/>
      <c r="Y304" s="137"/>
      <c r="Z304" s="137"/>
    </row>
    <row r="305">
      <c r="A305" s="295" t="s">
        <v>627</v>
      </c>
      <c r="B305" s="317" t="s">
        <v>1049</v>
      </c>
      <c r="C305" s="330" t="s">
        <v>1016</v>
      </c>
      <c r="D305" s="374">
        <f>ROUND((E305*'Pawn Weights'!$B$74)+(G305*'Pawn Weights'!$B$61)+(H305*'Pawn Weights'!$B$62)+(I305*'Pawn Weights'!$B$63)+(J305*'Pawn Weights'!$B$66)+(K305*'Pawn Weights'!$B$64)+(M305*'Pawn Weights'!$B$67)+(N305*'Pawn Weights'!$B$60)+(O305*'Pawn Weights'!$B$69)+(P305*'Pawn Weights'!$B$70)+(Q305*'Pawn Weights'!$B$71)+(F305*'Pawn Weights'!$B$73)+(U305*'Pawn Weights'!$B$65)+(53*'Pawn Weights'!$B$65), 2)</f>
        <v>618.49</v>
      </c>
      <c r="E305" s="332">
        <v>97.6</v>
      </c>
      <c r="F305" s="332">
        <v>2.7</v>
      </c>
      <c r="G305" s="330"/>
      <c r="H305" s="330"/>
      <c r="I305" s="330"/>
      <c r="J305" s="330"/>
      <c r="K305" s="330"/>
      <c r="L305" s="332">
        <v>19.0</v>
      </c>
      <c r="M305" s="330"/>
      <c r="N305" s="330"/>
      <c r="O305" s="330"/>
      <c r="P305" s="330"/>
      <c r="Q305" s="330"/>
      <c r="R305" s="295"/>
      <c r="S305" s="330"/>
      <c r="T305" s="402" t="s">
        <v>1297</v>
      </c>
      <c r="U305" s="330"/>
      <c r="V305" s="330"/>
      <c r="W305" s="137"/>
      <c r="X305" s="137"/>
      <c r="Y305" s="137"/>
      <c r="Z305" s="137"/>
    </row>
    <row r="306">
      <c r="A306" s="137"/>
      <c r="B306" s="296" t="s">
        <v>1020</v>
      </c>
      <c r="C306" s="330" t="s">
        <v>741</v>
      </c>
      <c r="D306" s="374">
        <f>ROUND((E306*'Pawn Weights'!$B$74)+(G306*'Pawn Weights'!$B$61)+(H306*'Pawn Weights'!$B$62)+(I306*'Pawn Weights'!$B$63)+(J306*'Pawn Weights'!$B$66)+(K306*'Pawn Weights'!$B$64)+(M306*'Pawn Weights'!$B$67)+(N306*'Pawn Weights'!$B$60)+(O306*'Pawn Weights'!$B$69)+(P306*'Pawn Weights'!$B$70)+(Q306*'Pawn Weights'!$B$71)+(F306*'Pawn Weights'!$B$73)+(U306*'Pawn Weights'!$B$65), 2)</f>
        <v>611.74</v>
      </c>
      <c r="E306" s="332">
        <v>100.2</v>
      </c>
      <c r="F306" s="332">
        <v>2.7</v>
      </c>
      <c r="G306" s="330"/>
      <c r="H306" s="332">
        <v>52.0</v>
      </c>
      <c r="I306" s="330"/>
      <c r="J306" s="330"/>
      <c r="K306" s="330"/>
      <c r="L306" s="330"/>
      <c r="M306" s="330"/>
      <c r="N306" s="330"/>
      <c r="O306" s="330"/>
      <c r="P306" s="330"/>
      <c r="Q306" s="330"/>
      <c r="R306" s="295"/>
      <c r="S306" s="330"/>
      <c r="T306" s="402" t="s">
        <v>1021</v>
      </c>
      <c r="U306" s="330"/>
      <c r="V306" s="330"/>
      <c r="W306" s="137"/>
      <c r="X306" s="137"/>
      <c r="Y306" s="137"/>
      <c r="Z306" s="137"/>
    </row>
    <row r="307">
      <c r="A307" s="295" t="s">
        <v>627</v>
      </c>
      <c r="B307" s="296" t="s">
        <v>1392</v>
      </c>
      <c r="C307" s="330" t="s">
        <v>1393</v>
      </c>
      <c r="D307" s="374">
        <f>ROUND((E307*'Pawn Weights'!$B$74)+(G307*'Pawn Weights'!$B$61)+(H307*'Pawn Weights'!$B$62)+(I307*'Pawn Weights'!$B$63)+(J307*'Pawn Weights'!$B$66)+(K307*'Pawn Weights'!$B$64)+(M307*'Pawn Weights'!$B$67)+(N307*'Pawn Weights'!$B$60)+(O307*'Pawn Weights'!$B$69)+(P307*'Pawn Weights'!$B$70)+(Q307*'Pawn Weights'!$B$71)+(F307*'Pawn Weights'!$B$73)+(U307*'Pawn Weights'!$B$65), 2)</f>
        <v>611.44</v>
      </c>
      <c r="E307" s="332">
        <v>91.1</v>
      </c>
      <c r="F307" s="332">
        <v>2.7</v>
      </c>
      <c r="G307" s="330"/>
      <c r="H307" s="332">
        <v>44.0</v>
      </c>
      <c r="I307" s="332">
        <v>21.0</v>
      </c>
      <c r="J307" s="330"/>
      <c r="K307" s="330"/>
      <c r="L307" s="330"/>
      <c r="M307" s="330"/>
      <c r="N307" s="330"/>
      <c r="O307" s="330"/>
      <c r="P307" s="330"/>
      <c r="Q307" s="330"/>
      <c r="R307" s="295"/>
      <c r="S307" s="330"/>
      <c r="T307" s="402" t="s">
        <v>1391</v>
      </c>
      <c r="U307" s="330"/>
      <c r="V307" s="330"/>
      <c r="W307" s="137"/>
      <c r="X307" s="137"/>
      <c r="Y307" s="137"/>
      <c r="Z307" s="137"/>
    </row>
    <row r="308">
      <c r="A308" s="292"/>
      <c r="B308" s="288" t="s">
        <v>1289</v>
      </c>
      <c r="C308" s="326" t="s">
        <v>1122</v>
      </c>
      <c r="D308" s="374">
        <f>ROUND((E308*'Pawn Weights'!$B$74)+(G308*'Pawn Weights'!$B$61)+(H308*'Pawn Weights'!$B$62)+(I308*'Pawn Weights'!$B$63)+(J308*'Pawn Weights'!$B$66)+(K308*'Pawn Weights'!$B$64)+(M308*'Pawn Weights'!$B$67)+(N308*'Pawn Weights'!$B$60)+(O308*'Pawn Weights'!$B$69)+(P308*'Pawn Weights'!$B$70)+(Q308*'Pawn Weights'!$B$71)+(F308*'Pawn Weights'!$B$73)+(U308*'Pawn Weights'!$B$65), 2)</f>
        <v>600.63</v>
      </c>
      <c r="E308" s="326">
        <v>87.5</v>
      </c>
      <c r="F308" s="326">
        <v>2.6</v>
      </c>
      <c r="G308" s="154"/>
      <c r="H308" s="326">
        <v>30.0</v>
      </c>
      <c r="I308" s="326">
        <v>24.0</v>
      </c>
      <c r="J308" s="326"/>
      <c r="K308" s="326"/>
      <c r="L308" s="326"/>
      <c r="M308" s="326"/>
      <c r="N308" s="326"/>
      <c r="O308" s="326"/>
      <c r="P308" s="326">
        <v>1.0</v>
      </c>
      <c r="Q308" s="326"/>
      <c r="R308" s="327" t="s">
        <v>674</v>
      </c>
      <c r="S308" s="326"/>
      <c r="T308" s="328"/>
      <c r="U308" s="326"/>
      <c r="V308" s="326"/>
      <c r="W308" s="329"/>
    </row>
    <row r="309">
      <c r="A309" s="295" t="s">
        <v>627</v>
      </c>
      <c r="B309" s="296" t="s">
        <v>1055</v>
      </c>
      <c r="C309" s="330" t="s">
        <v>1016</v>
      </c>
      <c r="D309" s="374">
        <f>ROUND((E309*'Pawn Weights'!$B$74)+(G309*'Pawn Weights'!$B$61)+(H309*'Pawn Weights'!$B$62)+(I309*'Pawn Weights'!$B$63)+(J309*'Pawn Weights'!$B$66)+(K309*'Pawn Weights'!$B$64)+(M309*'Pawn Weights'!$B$67)+(N309*'Pawn Weights'!$B$60)+(O309*'Pawn Weights'!$B$69)+(P309*'Pawn Weights'!$B$70)+(Q309*'Pawn Weights'!$B$71)+(F309*'Pawn Weights'!$B$73)+(U309*'Pawn Weights'!$B$65)+(38.16*'Pawn Weights'!B65), 2)</f>
        <v>599.35</v>
      </c>
      <c r="E309" s="332">
        <v>97.6</v>
      </c>
      <c r="F309" s="332">
        <v>2.7</v>
      </c>
      <c r="G309" s="330"/>
      <c r="H309" s="330"/>
      <c r="I309" s="330"/>
      <c r="J309" s="330"/>
      <c r="K309" s="330"/>
      <c r="L309" s="332">
        <v>19.0</v>
      </c>
      <c r="M309" s="330"/>
      <c r="N309" s="330"/>
      <c r="O309" s="330"/>
      <c r="P309" s="330"/>
      <c r="Q309" s="330"/>
      <c r="R309" s="295"/>
      <c r="S309" s="330"/>
      <c r="T309" s="402" t="s">
        <v>1297</v>
      </c>
      <c r="U309" s="330"/>
      <c r="V309" s="330"/>
      <c r="W309" s="137"/>
      <c r="X309" s="137"/>
      <c r="Y309" s="137"/>
      <c r="Z309" s="137"/>
    </row>
    <row r="310">
      <c r="A310" s="295" t="s">
        <v>627</v>
      </c>
      <c r="B310" s="317" t="s">
        <v>1389</v>
      </c>
      <c r="C310" s="330" t="s">
        <v>1296</v>
      </c>
      <c r="D310" s="374">
        <f>ROUND((E310*'Pawn Weights'!$B$74)+(G310*'Pawn Weights'!$B$61)+(H310*'Pawn Weights'!$B$62)+(I310*'Pawn Weights'!$B$63)+(J310*'Pawn Weights'!$B$66)+(K310*'Pawn Weights'!$B$64)+(M310*'Pawn Weights'!$B$67)+(N310*'Pawn Weights'!$B$60)+(O310*'Pawn Weights'!$B$69)+(P310*'Pawn Weights'!$B$70)+(Q310*'Pawn Weights'!$B$71)+(F310*'Pawn Weights'!$B$73)+(U310*'Pawn Weights'!$B$65)+(53*'Pawn Weights'!$B$65), 2)</f>
        <v>594.44</v>
      </c>
      <c r="E310" s="332">
        <v>91.1</v>
      </c>
      <c r="F310" s="332">
        <v>2.7</v>
      </c>
      <c r="G310" s="295"/>
      <c r="H310" s="330"/>
      <c r="I310" s="330"/>
      <c r="J310" s="330"/>
      <c r="K310" s="330"/>
      <c r="L310" s="332">
        <v>9.0</v>
      </c>
      <c r="M310" s="330"/>
      <c r="N310" s="330"/>
      <c r="O310" s="330"/>
      <c r="P310" s="330"/>
      <c r="Q310" s="330"/>
      <c r="R310" s="295"/>
      <c r="S310" s="330"/>
      <c r="T310" s="402" t="s">
        <v>1297</v>
      </c>
      <c r="U310" s="330"/>
      <c r="V310" s="330"/>
      <c r="W310" s="137"/>
      <c r="X310" s="137"/>
      <c r="Y310" s="137"/>
      <c r="Z310" s="137"/>
    </row>
    <row r="311" ht="14.25" customHeight="1">
      <c r="A311" s="281"/>
      <c r="B311" s="288" t="s">
        <v>1394</v>
      </c>
      <c r="C311" s="326" t="s">
        <v>1159</v>
      </c>
      <c r="D311" s="374">
        <f>ROUND((E311*'Pawn Weights'!$B$74)+(G311*'Pawn Weights'!$B$61)+(H311*'Pawn Weights'!$B$62)+(I311*'Pawn Weights'!$B$63)+(J311*'Pawn Weights'!$B$66)+(K311*'Pawn Weights'!$B$64)+(M311*'Pawn Weights'!$B$67)+(N311*'Pawn Weights'!$B$60)+(O311*'Pawn Weights'!$B$69)+(P311*'Pawn Weights'!$B$70)+(Q311*'Pawn Weights'!$B$71)+(F311*'Pawn Weights'!$B$73)+(U311*'Pawn Weights'!$B$65), 2)</f>
        <v>589.05</v>
      </c>
      <c r="E311" s="326">
        <v>91.2</v>
      </c>
      <c r="F311" s="326">
        <v>2.6</v>
      </c>
      <c r="G311" s="326"/>
      <c r="H311" s="326">
        <v>28.0</v>
      </c>
      <c r="I311" s="326">
        <v>15.0</v>
      </c>
      <c r="J311" s="326"/>
      <c r="K311" s="326">
        <v>9.0</v>
      </c>
      <c r="L311" s="326">
        <v>21.0</v>
      </c>
      <c r="M311" s="326"/>
      <c r="N311" s="326"/>
      <c r="O311" s="326"/>
      <c r="P311" s="326"/>
      <c r="Q311" s="326"/>
      <c r="R311" s="327"/>
      <c r="S311" s="326"/>
      <c r="T311" s="328"/>
      <c r="U311" s="326"/>
      <c r="V311" s="326"/>
      <c r="W311" s="329"/>
    </row>
    <row r="312">
      <c r="A312" s="295" t="s">
        <v>627</v>
      </c>
      <c r="B312" s="296" t="s">
        <v>1675</v>
      </c>
      <c r="C312" s="330" t="s">
        <v>1676</v>
      </c>
      <c r="D312" s="374">
        <f>ROUND((E312*'Pawn Weights'!$B$74)+(G312*'Pawn Weights'!$B$61)+(H312*'Pawn Weights'!$B$62)+(I312*'Pawn Weights'!$B$63)+(J312*'Pawn Weights'!$B$66)+(K312*'Pawn Weights'!$B$64)+(M312*'Pawn Weights'!$B$67)+(N312*'Pawn Weights'!$B$60)+(O312*'Pawn Weights'!$B$69)+(P312*'Pawn Weights'!$B$70)+(Q312*'Pawn Weights'!$B$71)+(F312*'Pawn Weights'!$B$73)+(U312*'Pawn Weights'!$B$65), 2)</f>
        <v>582.31</v>
      </c>
      <c r="E312" s="332">
        <v>84.3</v>
      </c>
      <c r="F312" s="332">
        <v>2.7</v>
      </c>
      <c r="G312" s="295"/>
      <c r="H312" s="332">
        <v>42.0</v>
      </c>
      <c r="I312" s="332">
        <v>20.0</v>
      </c>
      <c r="J312" s="330"/>
      <c r="K312" s="330"/>
      <c r="L312" s="330"/>
      <c r="M312" s="330"/>
      <c r="N312" s="330"/>
      <c r="O312" s="330"/>
      <c r="P312" s="330"/>
      <c r="Q312" s="330"/>
      <c r="R312" s="295"/>
      <c r="S312" s="330"/>
      <c r="T312" s="402" t="s">
        <v>1391</v>
      </c>
      <c r="U312" s="330"/>
      <c r="V312" s="330"/>
      <c r="W312" s="137"/>
      <c r="X312" s="137"/>
      <c r="Y312" s="137"/>
      <c r="Z312" s="137"/>
    </row>
    <row r="313">
      <c r="A313" s="281"/>
      <c r="B313" s="288" t="s">
        <v>1488</v>
      </c>
      <c r="C313" s="326" t="s">
        <v>656</v>
      </c>
      <c r="D313" s="374">
        <f>ROUND((E313*'Pawn Weights'!$B$74)+(G313*'Pawn Weights'!$B$61)+(H313*'Pawn Weights'!$B$62)+(I313*'Pawn Weights'!$B$63)+(J313*'Pawn Weights'!$B$66)+(K313*'Pawn Weights'!$B$64)+(M313*'Pawn Weights'!$B$67)+(N313*'Pawn Weights'!$B$60)+(O313*'Pawn Weights'!$B$69)+(P313*'Pawn Weights'!$B$70)+(Q313*'Pawn Weights'!$B$71)+(F313*'Pawn Weights'!$B$73)+(U313*'Pawn Weights'!$B$65), 2)</f>
        <v>575.96</v>
      </c>
      <c r="E313" s="326">
        <v>92.1</v>
      </c>
      <c r="F313" s="326">
        <v>2.6</v>
      </c>
      <c r="G313" s="326"/>
      <c r="H313" s="326"/>
      <c r="I313" s="326">
        <v>27.0</v>
      </c>
      <c r="J313" s="326"/>
      <c r="K313" s="326"/>
      <c r="L313" s="326"/>
      <c r="M313" s="326"/>
      <c r="N313" s="326"/>
      <c r="O313" s="326"/>
      <c r="P313" s="326"/>
      <c r="Q313" s="326"/>
      <c r="R313" s="327"/>
      <c r="S313" s="326"/>
      <c r="T313" s="328" t="s">
        <v>1682</v>
      </c>
      <c r="U313" s="326"/>
      <c r="V313" s="326"/>
      <c r="W313" s="329"/>
    </row>
    <row r="314">
      <c r="A314" s="295" t="s">
        <v>627</v>
      </c>
      <c r="B314" s="296" t="s">
        <v>1295</v>
      </c>
      <c r="C314" s="330" t="s">
        <v>1296</v>
      </c>
      <c r="D314" s="374">
        <f>ROUND((E314*'Pawn Weights'!$B$74)+(G314*'Pawn Weights'!$B$61)+(H314*'Pawn Weights'!$B$62)+(I314*'Pawn Weights'!$B$63)+(J314*'Pawn Weights'!$B$66)+(K314*'Pawn Weights'!$B$64)+(M314*'Pawn Weights'!$B$67)+(N314*'Pawn Weights'!$B$60)+(O314*'Pawn Weights'!$B$69)+(P314*'Pawn Weights'!$B$70)+(Q314*'Pawn Weights'!$B$71)+(F314*'Pawn Weights'!$B$73)+(U314*'Pawn Weights'!$B$65)+(38.16*'Pawn Weights'!$B$65), 2)</f>
        <v>575.3</v>
      </c>
      <c r="E314" s="332">
        <v>91.1</v>
      </c>
      <c r="F314" s="332">
        <v>2.7</v>
      </c>
      <c r="G314" s="295"/>
      <c r="H314" s="330"/>
      <c r="I314" s="330"/>
      <c r="J314" s="330"/>
      <c r="K314" s="330"/>
      <c r="L314" s="332">
        <v>9.0</v>
      </c>
      <c r="M314" s="330"/>
      <c r="N314" s="330"/>
      <c r="O314" s="330"/>
      <c r="P314" s="330"/>
      <c r="Q314" s="330"/>
      <c r="R314" s="295"/>
      <c r="S314" s="330"/>
      <c r="T314" s="402" t="s">
        <v>1297</v>
      </c>
      <c r="U314" s="330"/>
      <c r="V314" s="330"/>
      <c r="W314" s="137"/>
      <c r="X314" s="137"/>
      <c r="Y314" s="137"/>
      <c r="Z314" s="137"/>
    </row>
    <row r="315">
      <c r="A315" s="295" t="s">
        <v>627</v>
      </c>
      <c r="B315" s="317" t="s">
        <v>1390</v>
      </c>
      <c r="C315" s="330" t="s">
        <v>1299</v>
      </c>
      <c r="D315" s="374">
        <f>ROUND((E315*'Pawn Weights'!$B$74)+(G315*'Pawn Weights'!$B$61)+(H315*'Pawn Weights'!$B$62)+(I315*'Pawn Weights'!$B$63)+(J315*'Pawn Weights'!$B$66)+(K315*'Pawn Weights'!$B$64)+(M315*'Pawn Weights'!$B$67)+(N315*'Pawn Weights'!$B$60)+(O315*'Pawn Weights'!$B$69)+(P315*'Pawn Weights'!$B$70)+(Q315*'Pawn Weights'!$B$71)+(F315*'Pawn Weights'!$B$73)+(U315*'Pawn Weights'!$B$65)+(53*'Pawn Weights'!$B$65), 2)</f>
        <v>569.28</v>
      </c>
      <c r="E315" s="332">
        <v>84.3</v>
      </c>
      <c r="F315" s="332">
        <v>2.7</v>
      </c>
      <c r="G315" s="295"/>
      <c r="H315" s="330"/>
      <c r="I315" s="330"/>
      <c r="J315" s="330"/>
      <c r="K315" s="330"/>
      <c r="L315" s="330"/>
      <c r="M315" s="330"/>
      <c r="N315" s="330"/>
      <c r="O315" s="330"/>
      <c r="P315" s="330"/>
      <c r="Q315" s="330"/>
      <c r="R315" s="295"/>
      <c r="S315" s="330"/>
      <c r="T315" s="402" t="s">
        <v>1297</v>
      </c>
      <c r="U315" s="330"/>
      <c r="V315" s="330"/>
      <c r="W315" s="137"/>
      <c r="X315" s="137"/>
      <c r="Y315" s="137"/>
      <c r="Z315" s="137"/>
    </row>
    <row r="316">
      <c r="A316" s="295"/>
      <c r="B316" s="296" t="s">
        <v>1048</v>
      </c>
      <c r="C316" s="330" t="s">
        <v>1047</v>
      </c>
      <c r="D316" s="374">
        <f>ROUND((E316*'Pawn Weights'!$B$74)+(G316*'Pawn Weights'!$B$61)+(H316*'Pawn Weights'!$B$62)+(I316*'Pawn Weights'!$B$63)+(J316*'Pawn Weights'!$B$66)+(K316*'Pawn Weights'!$B$64)+(M316*'Pawn Weights'!$B$67)+(N316*'Pawn Weights'!$B$60)+(O316*'Pawn Weights'!$B$69)+(P316*'Pawn Weights'!$B$70)+(Q316*'Pawn Weights'!$B$71)+(F316*'Pawn Weights'!$B$73)+(U316*'Pawn Weights'!$B$65), 2)</f>
        <v>558.24</v>
      </c>
      <c r="E316" s="332">
        <v>103.0</v>
      </c>
      <c r="F316" s="332">
        <v>1.5</v>
      </c>
      <c r="G316" s="330"/>
      <c r="H316" s="332">
        <v>44.0</v>
      </c>
      <c r="I316" s="330"/>
      <c r="J316" s="330"/>
      <c r="K316" s="332">
        <v>21.0</v>
      </c>
      <c r="L316" s="330"/>
      <c r="M316" s="330"/>
      <c r="N316" s="330"/>
      <c r="O316" s="330"/>
      <c r="P316" s="330"/>
      <c r="Q316" s="330"/>
      <c r="R316" s="295"/>
      <c r="S316" s="332">
        <v>23.0</v>
      </c>
      <c r="T316" s="295"/>
      <c r="U316" s="330"/>
      <c r="V316" s="330"/>
      <c r="W316" s="137"/>
      <c r="X316" s="137"/>
      <c r="Y316" s="137"/>
      <c r="Z316" s="137"/>
    </row>
    <row r="317" ht="14.25" customHeight="1">
      <c r="A317" s="295" t="s">
        <v>627</v>
      </c>
      <c r="B317" s="296" t="s">
        <v>1298</v>
      </c>
      <c r="C317" s="330" t="s">
        <v>1299</v>
      </c>
      <c r="D317" s="374">
        <f>ROUND((E317*'Pawn Weights'!$B$74)+(G317*'Pawn Weights'!$B$61)+(H317*'Pawn Weights'!$B$62)+(I317*'Pawn Weights'!$B$63)+(J317*'Pawn Weights'!$B$66)+(K317*'Pawn Weights'!$B$64)+(M317*'Pawn Weights'!$B$67)+(N317*'Pawn Weights'!$B$60)+(O317*'Pawn Weights'!$B$69)+(P317*'Pawn Weights'!$B$70)+(Q317*'Pawn Weights'!$B$71)+(F317*'Pawn Weights'!$B$73)+(U317*'Pawn Weights'!$B$65)+(38.16*'Pawn Weights'!$B$65), 2)</f>
        <v>550.14</v>
      </c>
      <c r="E317" s="332">
        <v>84.3</v>
      </c>
      <c r="F317" s="332">
        <v>2.7</v>
      </c>
      <c r="G317" s="295"/>
      <c r="H317" s="330"/>
      <c r="I317" s="330"/>
      <c r="J317" s="330"/>
      <c r="K317" s="330"/>
      <c r="L317" s="330"/>
      <c r="M317" s="330"/>
      <c r="N317" s="330"/>
      <c r="O317" s="330"/>
      <c r="P317" s="330"/>
      <c r="Q317" s="330"/>
      <c r="R317" s="295"/>
      <c r="S317" s="330"/>
      <c r="T317" s="402" t="s">
        <v>1297</v>
      </c>
      <c r="U317" s="330"/>
      <c r="V317" s="330"/>
      <c r="W317" s="137"/>
      <c r="X317" s="137"/>
      <c r="Y317" s="137"/>
      <c r="Z317" s="137"/>
    </row>
    <row r="318">
      <c r="A318" s="292" t="s">
        <v>627</v>
      </c>
      <c r="B318" s="288" t="s">
        <v>1677</v>
      </c>
      <c r="C318" s="326" t="s">
        <v>1268</v>
      </c>
      <c r="D318" s="374">
        <f>ROUND((E318*'Pawn Weights'!$B$74)+(G318*'Pawn Weights'!$B$61)+(H318*'Pawn Weights'!$B$62)+(I318*'Pawn Weights'!$B$63)+(J318*'Pawn Weights'!$B$66)+(K318*'Pawn Weights'!$B$64)+(M318*'Pawn Weights'!$B$67)+(N318*'Pawn Weights'!$B$60)+(O318*'Pawn Weights'!$B$69)+(P318*'Pawn Weights'!$B$70)+(Q318*'Pawn Weights'!$B$71)+(F318*'Pawn Weights'!$B$73)+(U318*'Pawn Weights'!$B$65), 2)</f>
        <v>540.31</v>
      </c>
      <c r="E318" s="326">
        <v>83.4</v>
      </c>
      <c r="F318" s="326">
        <v>2.2</v>
      </c>
      <c r="G318" s="154"/>
      <c r="H318" s="326"/>
      <c r="I318" s="326">
        <v>21.0</v>
      </c>
      <c r="J318" s="326"/>
      <c r="K318" s="326">
        <v>14.0</v>
      </c>
      <c r="L318" s="326"/>
      <c r="M318" s="326"/>
      <c r="N318" s="326"/>
      <c r="O318" s="326">
        <v>1.0</v>
      </c>
      <c r="P318" s="326"/>
      <c r="Q318" s="326"/>
      <c r="R318" s="327" t="s">
        <v>674</v>
      </c>
      <c r="S318" s="326"/>
      <c r="T318" s="306"/>
      <c r="U318" s="326"/>
      <c r="V318" s="326"/>
      <c r="W318" s="329"/>
    </row>
    <row r="319">
      <c r="A319" s="292" t="s">
        <v>627</v>
      </c>
      <c r="B319" s="288" t="s">
        <v>1300</v>
      </c>
      <c r="C319" s="326" t="s">
        <v>1268</v>
      </c>
      <c r="D319" s="374">
        <f>ROUND((E319*'Pawn Weights'!$B$74)+(G319*'Pawn Weights'!$B$61)+(H319*'Pawn Weights'!$B$62)+(I319*'Pawn Weights'!$B$63)+(J319*'Pawn Weights'!$B$66)+(K319*'Pawn Weights'!$B$64)+(M319*'Pawn Weights'!$B$67)+(N319*'Pawn Weights'!$B$60)+(O319*'Pawn Weights'!$B$69)+(P319*'Pawn Weights'!$B$70)+(Q319*'Pawn Weights'!$B$71)+(F319*'Pawn Weights'!$B$73)+(U319*'Pawn Weights'!$B$65), 2)</f>
        <v>526.95</v>
      </c>
      <c r="E319" s="326">
        <v>83.5</v>
      </c>
      <c r="F319" s="326">
        <v>2.4</v>
      </c>
      <c r="G319" s="154"/>
      <c r="H319" s="326">
        <v>50.0</v>
      </c>
      <c r="I319" s="326"/>
      <c r="J319" s="326"/>
      <c r="K319" s="326"/>
      <c r="L319" s="326"/>
      <c r="M319" s="326"/>
      <c r="N319" s="326"/>
      <c r="O319" s="326"/>
      <c r="P319" s="326"/>
      <c r="Q319" s="326"/>
      <c r="R319" s="327"/>
      <c r="S319" s="326"/>
      <c r="T319" s="328"/>
      <c r="U319" s="326"/>
      <c r="V319" s="326"/>
      <c r="W319" s="329"/>
    </row>
    <row r="320">
      <c r="A320" s="345"/>
      <c r="B320" s="336"/>
      <c r="C320" s="336"/>
      <c r="D320" s="404"/>
      <c r="E320" s="336"/>
      <c r="F320" s="336"/>
      <c r="G320" s="336"/>
      <c r="H320" s="336"/>
      <c r="I320" s="336"/>
      <c r="J320" s="336"/>
      <c r="K320" s="336"/>
      <c r="L320" s="336"/>
      <c r="M320" s="336"/>
      <c r="N320" s="336"/>
      <c r="O320" s="336"/>
      <c r="P320" s="336"/>
      <c r="Q320" s="336"/>
      <c r="R320" s="337"/>
      <c r="S320" s="336"/>
      <c r="T320" s="338"/>
      <c r="U320" s="336"/>
      <c r="V320" s="348"/>
      <c r="W320" s="348"/>
      <c r="X320" s="340"/>
      <c r="Y320" s="340"/>
      <c r="Z320" s="340"/>
    </row>
    <row r="321">
      <c r="A321" s="403"/>
      <c r="B321" s="350" t="s">
        <v>1064</v>
      </c>
      <c r="C321" s="336"/>
      <c r="D321" s="404"/>
      <c r="E321" s="336"/>
      <c r="F321" s="336"/>
      <c r="G321" s="336"/>
      <c r="H321" s="336"/>
      <c r="I321" s="336"/>
      <c r="J321" s="336"/>
      <c r="K321" s="336"/>
      <c r="L321" s="336"/>
      <c r="M321" s="336"/>
      <c r="N321" s="336"/>
      <c r="O321" s="336"/>
      <c r="P321" s="336"/>
      <c r="Q321" s="336"/>
      <c r="R321" s="337"/>
      <c r="S321" s="336"/>
      <c r="T321" s="338"/>
      <c r="U321" s="336"/>
      <c r="V321" s="339"/>
      <c r="W321" s="339"/>
      <c r="X321" s="340"/>
      <c r="Y321" s="340"/>
      <c r="Z321" s="340"/>
    </row>
    <row r="322">
      <c r="A322" s="345"/>
      <c r="B322" s="351"/>
      <c r="C322" s="351"/>
      <c r="D322" s="405"/>
      <c r="E322" s="351"/>
      <c r="F322" s="351"/>
      <c r="G322" s="351"/>
      <c r="H322" s="351"/>
      <c r="I322" s="351"/>
      <c r="J322" s="351"/>
      <c r="K322" s="351"/>
      <c r="L322" s="351"/>
      <c r="M322" s="351"/>
      <c r="N322" s="351"/>
      <c r="O322" s="351"/>
      <c r="P322" s="351"/>
      <c r="Q322" s="351"/>
      <c r="R322" s="352"/>
      <c r="S322" s="351"/>
      <c r="T322" s="353"/>
      <c r="U322" s="351"/>
      <c r="V322" s="348"/>
      <c r="W322" s="348"/>
      <c r="X322" s="340"/>
      <c r="Y322" s="340"/>
      <c r="Z322" s="340"/>
    </row>
    <row r="323">
      <c r="A323" s="345"/>
      <c r="B323" s="351"/>
      <c r="C323" s="351"/>
      <c r="D323" s="405"/>
      <c r="E323" s="351"/>
      <c r="F323" s="351"/>
      <c r="G323" s="351"/>
      <c r="H323" s="351"/>
      <c r="I323" s="351"/>
      <c r="J323" s="351"/>
      <c r="K323" s="351"/>
      <c r="L323" s="351"/>
      <c r="M323" s="351"/>
      <c r="N323" s="351"/>
      <c r="O323" s="351"/>
      <c r="P323" s="351"/>
      <c r="Q323" s="351"/>
      <c r="R323" s="352"/>
      <c r="S323" s="351"/>
      <c r="T323" s="353"/>
      <c r="U323" s="351"/>
      <c r="V323" s="348"/>
      <c r="W323" s="348"/>
      <c r="X323" s="340"/>
      <c r="Y323" s="340"/>
      <c r="Z323" s="340"/>
    </row>
    <row r="324">
      <c r="A324" s="349"/>
      <c r="B324" s="351"/>
      <c r="C324" s="351"/>
      <c r="D324" s="405"/>
      <c r="E324" s="351"/>
      <c r="F324" s="351"/>
      <c r="G324" s="351"/>
      <c r="H324" s="351"/>
      <c r="I324" s="351"/>
      <c r="J324" s="351"/>
      <c r="K324" s="351"/>
      <c r="L324" s="351"/>
      <c r="M324" s="351"/>
      <c r="N324" s="351"/>
      <c r="O324" s="351"/>
      <c r="P324" s="351"/>
      <c r="Q324" s="351"/>
      <c r="R324" s="352"/>
      <c r="S324" s="351"/>
      <c r="T324" s="351"/>
      <c r="U324" s="351"/>
      <c r="V324" s="348"/>
      <c r="W324" s="348"/>
      <c r="X324" s="340"/>
      <c r="Y324" s="340"/>
      <c r="Z324" s="340"/>
    </row>
    <row r="325">
      <c r="A325" s="281"/>
      <c r="B325" s="354"/>
      <c r="C325" s="354"/>
      <c r="D325" s="392"/>
      <c r="E325" s="354"/>
      <c r="F325" s="354"/>
      <c r="G325" s="354"/>
      <c r="H325" s="354"/>
      <c r="I325" s="354"/>
      <c r="J325" s="354"/>
      <c r="K325" s="354"/>
      <c r="L325" s="354"/>
      <c r="M325" s="354"/>
      <c r="N325" s="354"/>
      <c r="O325" s="354"/>
      <c r="P325" s="354"/>
      <c r="Q325" s="354"/>
      <c r="R325" s="355"/>
      <c r="S325" s="354"/>
      <c r="T325" s="354"/>
      <c r="U325" s="354"/>
      <c r="V325" s="281"/>
      <c r="W325" s="281"/>
      <c r="X325" s="304"/>
      <c r="Y325" s="304"/>
      <c r="Z325" s="304"/>
    </row>
    <row r="326">
      <c r="A326" s="333"/>
      <c r="B326" s="354"/>
      <c r="C326" s="354"/>
      <c r="D326" s="392"/>
      <c r="E326" s="354"/>
      <c r="F326" s="354"/>
      <c r="G326" s="354"/>
      <c r="H326" s="354"/>
      <c r="I326" s="354"/>
      <c r="J326" s="354"/>
      <c r="K326" s="354"/>
      <c r="L326" s="354"/>
      <c r="M326" s="354"/>
      <c r="N326" s="354"/>
      <c r="O326" s="354"/>
      <c r="P326" s="354"/>
      <c r="Q326" s="354"/>
      <c r="R326" s="355"/>
      <c r="S326" s="354"/>
      <c r="T326" s="354"/>
      <c r="U326" s="354"/>
      <c r="V326" s="357"/>
      <c r="W326" s="357"/>
      <c r="X326" s="304"/>
      <c r="Y326" s="304"/>
      <c r="Z326" s="304"/>
    </row>
    <row r="327">
      <c r="A327" s="333"/>
      <c r="B327" s="354"/>
      <c r="C327" s="354"/>
      <c r="D327" s="392"/>
      <c r="E327" s="354"/>
      <c r="F327" s="354"/>
      <c r="G327" s="354"/>
      <c r="H327" s="354"/>
      <c r="I327" s="354"/>
      <c r="J327" s="354"/>
      <c r="K327" s="354"/>
      <c r="L327" s="354"/>
      <c r="M327" s="354"/>
      <c r="N327" s="354"/>
      <c r="O327" s="354"/>
      <c r="P327" s="354"/>
      <c r="Q327" s="354"/>
      <c r="R327" s="355"/>
      <c r="S327" s="354"/>
      <c r="T327" s="354"/>
      <c r="U327" s="354"/>
      <c r="V327" s="357"/>
      <c r="W327" s="357"/>
      <c r="X327" s="304"/>
      <c r="Y327" s="304"/>
      <c r="Z327" s="304"/>
    </row>
    <row r="328">
      <c r="A328" s="345"/>
      <c r="B328" s="354"/>
      <c r="C328" s="354"/>
      <c r="D328" s="392"/>
      <c r="E328" s="354"/>
      <c r="F328" s="354"/>
      <c r="G328" s="354"/>
      <c r="H328" s="354"/>
      <c r="I328" s="354"/>
      <c r="J328" s="354"/>
      <c r="K328" s="354"/>
      <c r="L328" s="354"/>
      <c r="M328" s="354"/>
      <c r="N328" s="354"/>
      <c r="O328" s="354"/>
      <c r="P328" s="354"/>
      <c r="Q328" s="354"/>
      <c r="R328" s="355"/>
      <c r="S328" s="354"/>
      <c r="T328" s="354"/>
      <c r="U328" s="354"/>
      <c r="V328" s="281"/>
      <c r="W328" s="281"/>
      <c r="X328" s="304"/>
      <c r="Y328" s="304"/>
      <c r="Z328" s="304"/>
    </row>
    <row r="329">
      <c r="A329" s="345"/>
      <c r="B329" s="354"/>
      <c r="C329" s="354"/>
      <c r="D329" s="392"/>
      <c r="E329" s="354"/>
      <c r="F329" s="354"/>
      <c r="G329" s="354"/>
      <c r="H329" s="354"/>
      <c r="I329" s="354"/>
      <c r="J329" s="354"/>
      <c r="K329" s="354"/>
      <c r="L329" s="354"/>
      <c r="M329" s="354"/>
      <c r="N329" s="354"/>
      <c r="O329" s="354"/>
      <c r="P329" s="354"/>
      <c r="Q329" s="354"/>
      <c r="R329" s="355"/>
      <c r="S329" s="354"/>
      <c r="T329" s="354"/>
      <c r="U329" s="354"/>
      <c r="V329" s="281"/>
      <c r="W329" s="281"/>
      <c r="X329" s="304"/>
      <c r="Y329" s="304"/>
      <c r="Z329" s="304"/>
    </row>
    <row r="330">
      <c r="A330" s="345"/>
      <c r="B330" s="354"/>
      <c r="C330" s="354"/>
      <c r="D330" s="392"/>
      <c r="E330" s="354"/>
      <c r="F330" s="354"/>
      <c r="G330" s="354"/>
      <c r="H330" s="354"/>
      <c r="I330" s="354"/>
      <c r="J330" s="354"/>
      <c r="K330" s="354"/>
      <c r="L330" s="354"/>
      <c r="M330" s="354"/>
      <c r="N330" s="354"/>
      <c r="O330" s="354"/>
      <c r="P330" s="354"/>
      <c r="Q330" s="354"/>
      <c r="R330" s="355"/>
      <c r="S330" s="354"/>
      <c r="T330" s="354"/>
      <c r="U330" s="354"/>
      <c r="V330" s="281"/>
      <c r="W330" s="281"/>
      <c r="X330" s="304"/>
      <c r="Y330" s="304"/>
      <c r="Z330" s="304"/>
    </row>
    <row r="331">
      <c r="A331" s="345"/>
      <c r="B331" s="281"/>
      <c r="C331" s="281"/>
      <c r="D331" s="397"/>
      <c r="E331" s="281"/>
      <c r="F331" s="281"/>
      <c r="G331" s="354"/>
      <c r="H331" s="281"/>
      <c r="I331" s="281"/>
      <c r="J331" s="281"/>
      <c r="K331" s="281"/>
      <c r="L331" s="281"/>
      <c r="M331" s="281"/>
      <c r="N331" s="281"/>
      <c r="O331" s="281"/>
      <c r="P331" s="281"/>
      <c r="Q331" s="281"/>
      <c r="R331" s="282"/>
      <c r="S331" s="281"/>
      <c r="T331" s="281"/>
      <c r="U331" s="281"/>
      <c r="V331" s="281"/>
      <c r="W331" s="281"/>
      <c r="X331" s="304"/>
      <c r="Y331" s="304"/>
      <c r="Z331" s="304"/>
    </row>
    <row r="332">
      <c r="A332" s="345"/>
      <c r="B332" s="281"/>
      <c r="C332" s="281"/>
      <c r="D332" s="397"/>
      <c r="E332" s="281"/>
      <c r="F332" s="281"/>
      <c r="G332" s="354"/>
      <c r="H332" s="281"/>
      <c r="I332" s="281"/>
      <c r="J332" s="281"/>
      <c r="K332" s="281"/>
      <c r="L332" s="281"/>
      <c r="M332" s="281"/>
      <c r="N332" s="281"/>
      <c r="O332" s="281"/>
      <c r="P332" s="281"/>
      <c r="Q332" s="281"/>
      <c r="R332" s="282"/>
      <c r="S332" s="281"/>
      <c r="T332" s="281"/>
      <c r="U332" s="281"/>
      <c r="V332" s="281"/>
      <c r="W332" s="281"/>
      <c r="X332" s="304"/>
      <c r="Y332" s="304"/>
      <c r="Z332" s="304"/>
    </row>
    <row r="333">
      <c r="A333" s="345"/>
      <c r="B333" s="281"/>
      <c r="C333" s="281"/>
      <c r="D333" s="397"/>
      <c r="E333" s="281"/>
      <c r="F333" s="281"/>
      <c r="G333" s="354"/>
      <c r="H333" s="281"/>
      <c r="I333" s="281"/>
      <c r="J333" s="281"/>
      <c r="K333" s="281"/>
      <c r="L333" s="281"/>
      <c r="M333" s="281"/>
      <c r="N333" s="281"/>
      <c r="O333" s="281"/>
      <c r="P333" s="281"/>
      <c r="Q333" s="281"/>
      <c r="R333" s="282"/>
      <c r="S333" s="281"/>
      <c r="T333" s="281"/>
      <c r="U333" s="281"/>
      <c r="V333" s="281"/>
      <c r="W333" s="281"/>
      <c r="X333" s="304"/>
      <c r="Y333" s="304"/>
      <c r="Z333" s="304"/>
    </row>
    <row r="334">
      <c r="A334" s="345"/>
      <c r="B334" s="281"/>
      <c r="C334" s="281"/>
      <c r="D334" s="397"/>
      <c r="E334" s="281"/>
      <c r="F334" s="281"/>
      <c r="G334" s="354"/>
      <c r="H334" s="281"/>
      <c r="I334" s="281"/>
      <c r="J334" s="281"/>
      <c r="K334" s="281"/>
      <c r="L334" s="281"/>
      <c r="M334" s="281"/>
      <c r="N334" s="281"/>
      <c r="O334" s="281"/>
      <c r="P334" s="281"/>
      <c r="Q334" s="281"/>
      <c r="R334" s="282"/>
      <c r="S334" s="281"/>
      <c r="T334" s="281"/>
      <c r="U334" s="281"/>
      <c r="V334" s="281"/>
      <c r="W334" s="281"/>
      <c r="X334" s="304"/>
      <c r="Y334" s="304"/>
      <c r="Z334" s="304"/>
    </row>
    <row r="335">
      <c r="A335" s="345"/>
      <c r="B335" s="281"/>
      <c r="C335" s="281"/>
      <c r="D335" s="397"/>
      <c r="E335" s="281"/>
      <c r="F335" s="281"/>
      <c r="G335" s="354"/>
      <c r="H335" s="281"/>
      <c r="I335" s="281"/>
      <c r="J335" s="281"/>
      <c r="K335" s="281"/>
      <c r="L335" s="281"/>
      <c r="M335" s="281"/>
      <c r="N335" s="281"/>
      <c r="O335" s="281"/>
      <c r="P335" s="281"/>
      <c r="Q335" s="281"/>
      <c r="R335" s="282"/>
      <c r="S335" s="281"/>
      <c r="T335" s="281"/>
      <c r="U335" s="281"/>
      <c r="V335" s="281"/>
      <c r="W335" s="281"/>
      <c r="X335" s="304"/>
      <c r="Y335" s="304"/>
      <c r="Z335" s="304"/>
    </row>
    <row r="336">
      <c r="A336" s="345"/>
      <c r="B336" s="281"/>
      <c r="C336" s="281"/>
      <c r="D336" s="397"/>
      <c r="E336" s="281"/>
      <c r="F336" s="281"/>
      <c r="G336" s="354"/>
      <c r="H336" s="281"/>
      <c r="I336" s="281"/>
      <c r="J336" s="281"/>
      <c r="K336" s="281"/>
      <c r="L336" s="281"/>
      <c r="M336" s="281"/>
      <c r="N336" s="281"/>
      <c r="O336" s="281"/>
      <c r="P336" s="281"/>
      <c r="Q336" s="281"/>
      <c r="R336" s="282"/>
      <c r="S336" s="281"/>
      <c r="T336" s="281"/>
      <c r="U336" s="281"/>
      <c r="V336" s="281"/>
      <c r="W336" s="281"/>
      <c r="X336" s="304"/>
      <c r="Y336" s="304"/>
      <c r="Z336" s="304"/>
    </row>
    <row r="337">
      <c r="A337" s="345"/>
      <c r="B337" s="281"/>
      <c r="C337" s="281"/>
      <c r="D337" s="397"/>
      <c r="E337" s="281"/>
      <c r="F337" s="281"/>
      <c r="G337" s="354"/>
      <c r="H337" s="281"/>
      <c r="I337" s="281"/>
      <c r="J337" s="281"/>
      <c r="K337" s="281"/>
      <c r="L337" s="281"/>
      <c r="M337" s="281"/>
      <c r="N337" s="281"/>
      <c r="O337" s="281"/>
      <c r="P337" s="281"/>
      <c r="Q337" s="281"/>
      <c r="R337" s="282"/>
      <c r="S337" s="281"/>
      <c r="T337" s="281"/>
      <c r="U337" s="281"/>
      <c r="V337" s="281"/>
      <c r="W337" s="281"/>
      <c r="X337" s="304"/>
      <c r="Y337" s="304"/>
      <c r="Z337" s="304"/>
    </row>
    <row r="338">
      <c r="A338" s="345"/>
      <c r="B338" s="281"/>
      <c r="C338" s="281"/>
      <c r="D338" s="397"/>
      <c r="E338" s="281"/>
      <c r="F338" s="281"/>
      <c r="G338" s="354"/>
      <c r="H338" s="281"/>
      <c r="I338" s="281"/>
      <c r="J338" s="281"/>
      <c r="K338" s="281"/>
      <c r="L338" s="281"/>
      <c r="M338" s="281"/>
      <c r="N338" s="281"/>
      <c r="O338" s="281"/>
      <c r="P338" s="281"/>
      <c r="Q338" s="281"/>
      <c r="R338" s="282"/>
      <c r="S338" s="281"/>
      <c r="T338" s="281"/>
      <c r="U338" s="281"/>
      <c r="V338" s="281"/>
      <c r="W338" s="281"/>
      <c r="X338" s="304"/>
      <c r="Y338" s="304"/>
      <c r="Z338" s="304"/>
    </row>
    <row r="339">
      <c r="A339" s="345"/>
      <c r="B339" s="281"/>
      <c r="C339" s="281"/>
      <c r="D339" s="397"/>
      <c r="E339" s="281"/>
      <c r="F339" s="281"/>
      <c r="G339" s="354"/>
      <c r="H339" s="281"/>
      <c r="I339" s="281"/>
      <c r="J339" s="281"/>
      <c r="K339" s="281"/>
      <c r="L339" s="281"/>
      <c r="M339" s="281"/>
      <c r="N339" s="281"/>
      <c r="O339" s="281"/>
      <c r="P339" s="281"/>
      <c r="Q339" s="281"/>
      <c r="R339" s="282"/>
      <c r="S339" s="281"/>
      <c r="T339" s="281"/>
      <c r="U339" s="281"/>
      <c r="V339" s="281"/>
      <c r="W339" s="281"/>
      <c r="X339" s="304"/>
      <c r="Y339" s="304"/>
      <c r="Z339" s="304"/>
    </row>
    <row r="340">
      <c r="A340" s="345"/>
      <c r="B340" s="281"/>
      <c r="C340" s="281"/>
      <c r="D340" s="397"/>
      <c r="E340" s="281"/>
      <c r="F340" s="281"/>
      <c r="G340" s="329"/>
      <c r="H340" s="281"/>
      <c r="I340" s="281"/>
      <c r="J340" s="281"/>
      <c r="K340" s="281"/>
      <c r="L340" s="281"/>
      <c r="M340" s="281"/>
      <c r="N340" s="281"/>
      <c r="O340" s="281"/>
      <c r="P340" s="281"/>
      <c r="Q340" s="281"/>
      <c r="R340" s="282"/>
      <c r="S340" s="281"/>
      <c r="T340" s="281"/>
      <c r="U340" s="281"/>
      <c r="V340" s="281"/>
      <c r="W340" s="281"/>
      <c r="X340" s="304"/>
      <c r="Y340" s="304"/>
      <c r="Z340" s="304"/>
    </row>
    <row r="341">
      <c r="A341" s="345"/>
      <c r="B341" s="281"/>
      <c r="C341" s="281"/>
      <c r="D341" s="397"/>
      <c r="E341" s="281"/>
      <c r="F341" s="281"/>
      <c r="G341" s="329"/>
      <c r="H341" s="281"/>
      <c r="I341" s="281"/>
      <c r="J341" s="281"/>
      <c r="K341" s="281"/>
      <c r="L341" s="281"/>
      <c r="M341" s="281"/>
      <c r="N341" s="281"/>
      <c r="O341" s="281"/>
      <c r="P341" s="281"/>
      <c r="Q341" s="281"/>
      <c r="R341" s="282"/>
      <c r="S341" s="281"/>
      <c r="T341" s="281"/>
      <c r="U341" s="281"/>
      <c r="V341" s="281"/>
      <c r="W341" s="281"/>
      <c r="X341" s="304"/>
      <c r="Y341" s="304"/>
      <c r="Z341" s="304"/>
    </row>
    <row r="342">
      <c r="A342" s="345"/>
      <c r="B342" s="281"/>
      <c r="C342" s="281"/>
      <c r="D342" s="397"/>
      <c r="E342" s="281"/>
      <c r="F342" s="281"/>
      <c r="G342" s="329"/>
      <c r="H342" s="281"/>
      <c r="I342" s="281"/>
      <c r="J342" s="281"/>
      <c r="K342" s="281"/>
      <c r="L342" s="281"/>
      <c r="M342" s="281"/>
      <c r="N342" s="281"/>
      <c r="O342" s="281"/>
      <c r="P342" s="281"/>
      <c r="Q342" s="281"/>
      <c r="R342" s="282"/>
      <c r="S342" s="281"/>
      <c r="T342" s="281"/>
      <c r="U342" s="281"/>
      <c r="V342" s="281"/>
      <c r="W342" s="281"/>
      <c r="X342" s="304"/>
      <c r="Y342" s="304"/>
      <c r="Z342" s="304"/>
    </row>
    <row r="343">
      <c r="A343" s="345"/>
      <c r="B343" s="281"/>
      <c r="C343" s="281"/>
      <c r="D343" s="397"/>
      <c r="E343" s="281"/>
      <c r="F343" s="281"/>
      <c r="G343" s="326"/>
      <c r="H343" s="281"/>
      <c r="I343" s="281"/>
      <c r="J343" s="281"/>
      <c r="K343" s="281"/>
      <c r="L343" s="281"/>
      <c r="M343" s="281"/>
      <c r="N343" s="281"/>
      <c r="O343" s="281"/>
      <c r="P343" s="281"/>
      <c r="Q343" s="281"/>
      <c r="R343" s="282"/>
      <c r="S343" s="281"/>
      <c r="T343" s="281"/>
      <c r="U343" s="281"/>
      <c r="V343" s="281"/>
      <c r="W343" s="281"/>
      <c r="X343" s="304"/>
      <c r="Y343" s="304"/>
      <c r="Z343" s="304"/>
    </row>
    <row r="344">
      <c r="A344" s="345"/>
      <c r="B344" s="281"/>
      <c r="C344" s="281"/>
      <c r="D344" s="397"/>
      <c r="E344" s="281"/>
      <c r="F344" s="281"/>
      <c r="G344" s="326"/>
      <c r="H344" s="281"/>
      <c r="I344" s="281"/>
      <c r="J344" s="281"/>
      <c r="K344" s="281"/>
      <c r="L344" s="281"/>
      <c r="M344" s="281"/>
      <c r="N344" s="281"/>
      <c r="O344" s="281"/>
      <c r="P344" s="281"/>
      <c r="Q344" s="281"/>
      <c r="R344" s="282"/>
      <c r="S344" s="281"/>
      <c r="T344" s="281"/>
      <c r="U344" s="281"/>
      <c r="V344" s="281"/>
      <c r="W344" s="281"/>
      <c r="X344" s="304"/>
      <c r="Y344" s="304"/>
      <c r="Z344" s="304"/>
    </row>
    <row r="345">
      <c r="A345" s="345"/>
      <c r="B345" s="281"/>
      <c r="C345" s="281"/>
      <c r="D345" s="397"/>
      <c r="E345" s="281"/>
      <c r="F345" s="281"/>
      <c r="G345" s="326"/>
      <c r="H345" s="281"/>
      <c r="I345" s="281"/>
      <c r="J345" s="281"/>
      <c r="K345" s="281"/>
      <c r="L345" s="281"/>
      <c r="M345" s="281"/>
      <c r="N345" s="281"/>
      <c r="O345" s="281"/>
      <c r="P345" s="281"/>
      <c r="Q345" s="281"/>
      <c r="R345" s="282"/>
      <c r="S345" s="281"/>
      <c r="T345" s="281"/>
      <c r="U345" s="281"/>
      <c r="V345" s="281"/>
      <c r="W345" s="281"/>
      <c r="X345" s="304"/>
      <c r="Y345" s="304"/>
      <c r="Z345" s="304"/>
    </row>
    <row r="346">
      <c r="A346" s="345"/>
      <c r="B346" s="281"/>
      <c r="C346" s="281"/>
      <c r="D346" s="397"/>
      <c r="E346" s="281"/>
      <c r="F346" s="281"/>
      <c r="G346" s="326"/>
      <c r="H346" s="281"/>
      <c r="I346" s="281"/>
      <c r="J346" s="281"/>
      <c r="K346" s="281"/>
      <c r="L346" s="281"/>
      <c r="M346" s="281"/>
      <c r="N346" s="281"/>
      <c r="O346" s="281"/>
      <c r="P346" s="281"/>
      <c r="Q346" s="281"/>
      <c r="R346" s="282"/>
      <c r="S346" s="281"/>
      <c r="T346" s="281"/>
      <c r="U346" s="281"/>
      <c r="V346" s="281"/>
      <c r="W346" s="281"/>
      <c r="X346" s="304"/>
      <c r="Y346" s="304"/>
      <c r="Z346" s="304"/>
    </row>
    <row r="347">
      <c r="A347" s="345"/>
      <c r="B347" s="281"/>
      <c r="C347" s="281"/>
      <c r="D347" s="397"/>
      <c r="E347" s="281"/>
      <c r="F347" s="281"/>
      <c r="G347" s="281"/>
      <c r="H347" s="281"/>
      <c r="I347" s="281"/>
      <c r="J347" s="281"/>
      <c r="K347" s="281"/>
      <c r="L347" s="281"/>
      <c r="M347" s="281"/>
      <c r="N347" s="281"/>
      <c r="O347" s="281"/>
      <c r="P347" s="281"/>
      <c r="Q347" s="281"/>
      <c r="R347" s="282"/>
      <c r="S347" s="281"/>
      <c r="T347" s="281"/>
      <c r="U347" s="281"/>
      <c r="V347" s="281"/>
      <c r="W347" s="281"/>
      <c r="X347" s="304"/>
      <c r="Y347" s="304"/>
      <c r="Z347" s="304"/>
    </row>
    <row r="348">
      <c r="A348" s="345"/>
      <c r="B348" s="281"/>
      <c r="C348" s="281"/>
      <c r="D348" s="397"/>
      <c r="E348" s="281"/>
      <c r="F348" s="281"/>
      <c r="G348" s="281"/>
      <c r="H348" s="281"/>
      <c r="I348" s="281"/>
      <c r="J348" s="281"/>
      <c r="K348" s="281"/>
      <c r="L348" s="281"/>
      <c r="M348" s="281"/>
      <c r="N348" s="281"/>
      <c r="O348" s="281"/>
      <c r="P348" s="281"/>
      <c r="Q348" s="281"/>
      <c r="R348" s="282"/>
      <c r="S348" s="281"/>
      <c r="T348" s="281"/>
      <c r="U348" s="281"/>
      <c r="V348" s="281"/>
      <c r="W348" s="281"/>
      <c r="X348" s="304"/>
      <c r="Y348" s="304"/>
      <c r="Z348" s="304"/>
    </row>
    <row r="349">
      <c r="A349" s="345"/>
      <c r="B349" s="281"/>
      <c r="C349" s="281"/>
      <c r="D349" s="397"/>
      <c r="E349" s="281"/>
      <c r="F349" s="281"/>
      <c r="G349" s="281"/>
      <c r="H349" s="281"/>
      <c r="I349" s="281"/>
      <c r="J349" s="281"/>
      <c r="K349" s="281"/>
      <c r="L349" s="281"/>
      <c r="M349" s="281"/>
      <c r="N349" s="281"/>
      <c r="O349" s="281"/>
      <c r="P349" s="281"/>
      <c r="Q349" s="281"/>
      <c r="R349" s="282"/>
      <c r="S349" s="281"/>
      <c r="T349" s="281"/>
      <c r="U349" s="281"/>
      <c r="V349" s="281"/>
      <c r="W349" s="281"/>
      <c r="X349" s="304"/>
      <c r="Y349" s="304"/>
      <c r="Z349" s="304"/>
    </row>
    <row r="350">
      <c r="A350" s="345"/>
      <c r="B350" s="281"/>
      <c r="C350" s="281"/>
      <c r="D350" s="397"/>
      <c r="E350" s="281"/>
      <c r="F350" s="281"/>
      <c r="G350" s="281"/>
      <c r="H350" s="281"/>
      <c r="I350" s="281"/>
      <c r="J350" s="281"/>
      <c r="K350" s="281"/>
      <c r="L350" s="281"/>
      <c r="M350" s="281"/>
      <c r="N350" s="281"/>
      <c r="O350" s="281"/>
      <c r="P350" s="281"/>
      <c r="Q350" s="281"/>
      <c r="R350" s="282"/>
      <c r="S350" s="281"/>
      <c r="T350" s="281"/>
      <c r="U350" s="281"/>
      <c r="V350" s="281"/>
      <c r="W350" s="281"/>
      <c r="X350" s="304"/>
      <c r="Y350" s="304"/>
      <c r="Z350" s="304"/>
    </row>
    <row r="351">
      <c r="A351" s="345"/>
      <c r="B351" s="281"/>
      <c r="C351" s="281"/>
      <c r="D351" s="397"/>
      <c r="E351" s="281"/>
      <c r="F351" s="281"/>
      <c r="G351" s="281"/>
      <c r="H351" s="281"/>
      <c r="I351" s="281"/>
      <c r="J351" s="281"/>
      <c r="K351" s="281"/>
      <c r="L351" s="281"/>
      <c r="M351" s="281"/>
      <c r="N351" s="281"/>
      <c r="O351" s="281"/>
      <c r="P351" s="281"/>
      <c r="Q351" s="281"/>
      <c r="R351" s="282"/>
      <c r="S351" s="281"/>
      <c r="T351" s="281"/>
      <c r="U351" s="281"/>
      <c r="V351" s="281"/>
      <c r="W351" s="281"/>
      <c r="X351" s="304"/>
      <c r="Y351" s="304"/>
      <c r="Z351" s="304"/>
    </row>
    <row r="352">
      <c r="A352" s="345"/>
      <c r="B352" s="281"/>
      <c r="C352" s="281"/>
      <c r="D352" s="397"/>
      <c r="E352" s="281"/>
      <c r="F352" s="281"/>
      <c r="G352" s="281"/>
      <c r="H352" s="281"/>
      <c r="I352" s="281"/>
      <c r="J352" s="281"/>
      <c r="K352" s="281"/>
      <c r="L352" s="281"/>
      <c r="M352" s="281"/>
      <c r="N352" s="281"/>
      <c r="O352" s="281"/>
      <c r="P352" s="281"/>
      <c r="Q352" s="281"/>
      <c r="R352" s="282"/>
      <c r="S352" s="281"/>
      <c r="T352" s="281"/>
      <c r="U352" s="281"/>
      <c r="V352" s="281"/>
      <c r="W352" s="281"/>
      <c r="X352" s="304"/>
      <c r="Y352" s="304"/>
      <c r="Z352" s="304"/>
    </row>
    <row r="353">
      <c r="A353" s="345"/>
      <c r="B353" s="281"/>
      <c r="C353" s="281"/>
      <c r="D353" s="397"/>
      <c r="E353" s="281"/>
      <c r="F353" s="281"/>
      <c r="G353" s="281"/>
      <c r="H353" s="281"/>
      <c r="I353" s="281"/>
      <c r="J353" s="281"/>
      <c r="K353" s="281"/>
      <c r="L353" s="281"/>
      <c r="M353" s="281"/>
      <c r="N353" s="281"/>
      <c r="O353" s="281"/>
      <c r="P353" s="281"/>
      <c r="Q353" s="281"/>
      <c r="R353" s="282"/>
      <c r="S353" s="281"/>
      <c r="T353" s="281"/>
      <c r="U353" s="281"/>
      <c r="V353" s="281"/>
      <c r="W353" s="281"/>
      <c r="X353" s="304"/>
      <c r="Y353" s="304"/>
      <c r="Z353" s="304"/>
    </row>
    <row r="354">
      <c r="A354" s="345"/>
      <c r="B354" s="281"/>
      <c r="C354" s="281"/>
      <c r="D354" s="397"/>
      <c r="E354" s="281"/>
      <c r="F354" s="281"/>
      <c r="G354" s="281"/>
      <c r="H354" s="281"/>
      <c r="I354" s="281"/>
      <c r="J354" s="281"/>
      <c r="K354" s="281"/>
      <c r="L354" s="281"/>
      <c r="M354" s="281"/>
      <c r="N354" s="281"/>
      <c r="O354" s="281"/>
      <c r="P354" s="281"/>
      <c r="Q354" s="281"/>
      <c r="R354" s="282"/>
      <c r="S354" s="281"/>
      <c r="T354" s="281"/>
      <c r="U354" s="281"/>
      <c r="V354" s="281"/>
      <c r="W354" s="281"/>
      <c r="X354" s="304"/>
      <c r="Y354" s="304"/>
      <c r="Z354" s="304"/>
    </row>
    <row r="355">
      <c r="A355" s="345"/>
      <c r="B355" s="281"/>
      <c r="C355" s="281"/>
      <c r="D355" s="397"/>
      <c r="E355" s="281"/>
      <c r="F355" s="281"/>
      <c r="G355" s="281"/>
      <c r="H355" s="281"/>
      <c r="I355" s="281"/>
      <c r="J355" s="281"/>
      <c r="K355" s="281"/>
      <c r="L355" s="281"/>
      <c r="M355" s="281"/>
      <c r="N355" s="281"/>
      <c r="O355" s="281"/>
      <c r="P355" s="281"/>
      <c r="Q355" s="281"/>
      <c r="R355" s="282"/>
      <c r="S355" s="281"/>
      <c r="T355" s="281"/>
      <c r="U355" s="281"/>
      <c r="V355" s="281"/>
      <c r="W355" s="281"/>
      <c r="X355" s="304"/>
      <c r="Y355" s="304"/>
      <c r="Z355" s="304"/>
    </row>
    <row r="356">
      <c r="A356" s="345"/>
      <c r="B356" s="281"/>
      <c r="C356" s="281"/>
      <c r="D356" s="397"/>
      <c r="E356" s="281"/>
      <c r="F356" s="281"/>
      <c r="G356" s="281"/>
      <c r="H356" s="281"/>
      <c r="I356" s="281"/>
      <c r="J356" s="281"/>
      <c r="K356" s="281"/>
      <c r="L356" s="281"/>
      <c r="M356" s="281"/>
      <c r="N356" s="281"/>
      <c r="O356" s="281"/>
      <c r="P356" s="281"/>
      <c r="Q356" s="281"/>
      <c r="R356" s="282"/>
      <c r="S356" s="281"/>
      <c r="T356" s="281"/>
      <c r="U356" s="281"/>
      <c r="V356" s="281"/>
      <c r="W356" s="281"/>
      <c r="X356" s="304"/>
      <c r="Y356" s="304"/>
      <c r="Z356" s="304"/>
    </row>
    <row r="357">
      <c r="A357" s="345"/>
      <c r="B357" s="281"/>
      <c r="C357" s="281"/>
      <c r="D357" s="397"/>
      <c r="E357" s="281"/>
      <c r="F357" s="281"/>
      <c r="G357" s="281"/>
      <c r="H357" s="281"/>
      <c r="I357" s="281"/>
      <c r="J357" s="281"/>
      <c r="K357" s="281"/>
      <c r="L357" s="281"/>
      <c r="M357" s="281"/>
      <c r="N357" s="281"/>
      <c r="O357" s="281"/>
      <c r="P357" s="281"/>
      <c r="Q357" s="281"/>
      <c r="R357" s="282"/>
      <c r="S357" s="281"/>
      <c r="T357" s="281"/>
      <c r="U357" s="281"/>
      <c r="V357" s="281"/>
      <c r="W357" s="281"/>
      <c r="X357" s="304"/>
      <c r="Y357" s="304"/>
      <c r="Z357" s="304"/>
    </row>
    <row r="358">
      <c r="A358" s="345"/>
      <c r="B358" s="281"/>
      <c r="C358" s="281"/>
      <c r="D358" s="397"/>
      <c r="E358" s="281"/>
      <c r="F358" s="281"/>
      <c r="G358" s="281"/>
      <c r="H358" s="281"/>
      <c r="I358" s="281"/>
      <c r="J358" s="281"/>
      <c r="K358" s="281"/>
      <c r="L358" s="281"/>
      <c r="M358" s="281"/>
      <c r="N358" s="281"/>
      <c r="O358" s="281"/>
      <c r="P358" s="281"/>
      <c r="Q358" s="281"/>
      <c r="R358" s="282"/>
      <c r="S358" s="281"/>
      <c r="T358" s="281"/>
      <c r="U358" s="281"/>
      <c r="V358" s="281"/>
      <c r="W358" s="281"/>
      <c r="X358" s="304"/>
      <c r="Y358" s="304"/>
      <c r="Z358" s="304"/>
    </row>
    <row r="359">
      <c r="A359" s="345"/>
      <c r="B359" s="281"/>
      <c r="C359" s="281"/>
      <c r="D359" s="397"/>
      <c r="E359" s="281"/>
      <c r="F359" s="281"/>
      <c r="G359" s="281"/>
      <c r="H359" s="281"/>
      <c r="I359" s="281"/>
      <c r="J359" s="281"/>
      <c r="K359" s="281"/>
      <c r="L359" s="281"/>
      <c r="M359" s="281"/>
      <c r="N359" s="281"/>
      <c r="O359" s="281"/>
      <c r="P359" s="281"/>
      <c r="Q359" s="281"/>
      <c r="R359" s="282"/>
      <c r="S359" s="281"/>
      <c r="T359" s="281"/>
      <c r="U359" s="281"/>
      <c r="V359" s="281"/>
      <c r="W359" s="281"/>
      <c r="X359" s="304"/>
      <c r="Y359" s="304"/>
      <c r="Z359" s="304"/>
    </row>
    <row r="360">
      <c r="A360" s="345"/>
      <c r="B360" s="281"/>
      <c r="C360" s="281"/>
      <c r="D360" s="397"/>
      <c r="E360" s="281"/>
      <c r="F360" s="281"/>
      <c r="G360" s="281"/>
      <c r="H360" s="281"/>
      <c r="I360" s="281"/>
      <c r="J360" s="281"/>
      <c r="K360" s="281"/>
      <c r="L360" s="281"/>
      <c r="M360" s="281"/>
      <c r="N360" s="281"/>
      <c r="O360" s="281"/>
      <c r="P360" s="281"/>
      <c r="Q360" s="281"/>
      <c r="R360" s="282"/>
      <c r="S360" s="281"/>
      <c r="T360" s="281"/>
      <c r="U360" s="281"/>
      <c r="V360" s="281"/>
      <c r="W360" s="281"/>
      <c r="X360" s="304"/>
      <c r="Y360" s="304"/>
      <c r="Z360" s="304"/>
    </row>
    <row r="361">
      <c r="A361" s="345"/>
      <c r="B361" s="281"/>
      <c r="C361" s="281"/>
      <c r="D361" s="397"/>
      <c r="E361" s="281"/>
      <c r="F361" s="281"/>
      <c r="G361" s="281"/>
      <c r="H361" s="281"/>
      <c r="I361" s="281"/>
      <c r="J361" s="281"/>
      <c r="K361" s="281"/>
      <c r="L361" s="281"/>
      <c r="M361" s="281"/>
      <c r="N361" s="281"/>
      <c r="O361" s="281"/>
      <c r="P361" s="281"/>
      <c r="Q361" s="281"/>
      <c r="R361" s="282"/>
      <c r="S361" s="281"/>
      <c r="T361" s="281"/>
      <c r="U361" s="281"/>
      <c r="V361" s="281"/>
      <c r="W361" s="281"/>
      <c r="X361" s="304"/>
      <c r="Y361" s="304"/>
      <c r="Z361" s="304"/>
    </row>
    <row r="362">
      <c r="A362" s="345"/>
      <c r="B362" s="281"/>
      <c r="C362" s="281"/>
      <c r="D362" s="397"/>
      <c r="E362" s="281"/>
      <c r="F362" s="281"/>
      <c r="G362" s="281"/>
      <c r="H362" s="281"/>
      <c r="I362" s="281"/>
      <c r="J362" s="281"/>
      <c r="K362" s="281"/>
      <c r="L362" s="281"/>
      <c r="M362" s="281"/>
      <c r="N362" s="281"/>
      <c r="O362" s="281"/>
      <c r="P362" s="281"/>
      <c r="Q362" s="281"/>
      <c r="R362" s="282"/>
      <c r="S362" s="281"/>
      <c r="T362" s="281"/>
      <c r="U362" s="281"/>
      <c r="V362" s="281"/>
      <c r="W362" s="281"/>
      <c r="X362" s="304"/>
      <c r="Y362" s="304"/>
      <c r="Z362" s="304"/>
    </row>
    <row r="363">
      <c r="A363" s="345"/>
      <c r="B363" s="281"/>
      <c r="C363" s="281"/>
      <c r="D363" s="397"/>
      <c r="E363" s="281"/>
      <c r="F363" s="281"/>
      <c r="G363" s="281"/>
      <c r="H363" s="281"/>
      <c r="I363" s="281"/>
      <c r="J363" s="281"/>
      <c r="K363" s="281"/>
      <c r="L363" s="281"/>
      <c r="M363" s="281"/>
      <c r="N363" s="281"/>
      <c r="O363" s="281"/>
      <c r="P363" s="281"/>
      <c r="Q363" s="281"/>
      <c r="R363" s="282"/>
      <c r="S363" s="281"/>
      <c r="T363" s="281"/>
      <c r="U363" s="281"/>
      <c r="V363" s="281"/>
      <c r="W363" s="281"/>
      <c r="X363" s="304"/>
      <c r="Y363" s="304"/>
      <c r="Z363" s="304"/>
    </row>
    <row r="364">
      <c r="A364" s="345"/>
      <c r="B364" s="281"/>
      <c r="C364" s="281"/>
      <c r="D364" s="397"/>
      <c r="E364" s="281"/>
      <c r="F364" s="281"/>
      <c r="G364" s="281"/>
      <c r="H364" s="281"/>
      <c r="I364" s="281"/>
      <c r="J364" s="281"/>
      <c r="K364" s="281"/>
      <c r="L364" s="281"/>
      <c r="M364" s="281"/>
      <c r="N364" s="281"/>
      <c r="O364" s="281"/>
      <c r="P364" s="281"/>
      <c r="Q364" s="281"/>
      <c r="R364" s="282"/>
      <c r="S364" s="281"/>
      <c r="T364" s="281"/>
      <c r="U364" s="281"/>
      <c r="V364" s="281"/>
      <c r="W364" s="281"/>
      <c r="X364" s="304"/>
      <c r="Y364" s="304"/>
      <c r="Z364" s="304"/>
    </row>
    <row r="365">
      <c r="A365" s="345"/>
      <c r="B365" s="281"/>
      <c r="C365" s="281"/>
      <c r="D365" s="397"/>
      <c r="E365" s="281"/>
      <c r="F365" s="281"/>
      <c r="G365" s="281"/>
      <c r="H365" s="281"/>
      <c r="I365" s="281"/>
      <c r="J365" s="281"/>
      <c r="K365" s="281"/>
      <c r="L365" s="281"/>
      <c r="M365" s="281"/>
      <c r="N365" s="281"/>
      <c r="O365" s="281"/>
      <c r="P365" s="281"/>
      <c r="Q365" s="281"/>
      <c r="R365" s="282"/>
      <c r="S365" s="281"/>
      <c r="T365" s="281"/>
      <c r="U365" s="281"/>
      <c r="V365" s="281"/>
      <c r="W365" s="281"/>
      <c r="X365" s="304"/>
      <c r="Y365" s="304"/>
      <c r="Z365" s="304"/>
    </row>
    <row r="366">
      <c r="A366" s="345"/>
      <c r="B366" s="281"/>
      <c r="C366" s="281"/>
      <c r="D366" s="397"/>
      <c r="E366" s="281"/>
      <c r="F366" s="281"/>
      <c r="G366" s="281"/>
      <c r="H366" s="281"/>
      <c r="I366" s="281"/>
      <c r="J366" s="281"/>
      <c r="K366" s="281"/>
      <c r="L366" s="281"/>
      <c r="M366" s="281"/>
      <c r="N366" s="281"/>
      <c r="O366" s="281"/>
      <c r="P366" s="281"/>
      <c r="Q366" s="281"/>
      <c r="R366" s="282"/>
      <c r="S366" s="281"/>
      <c r="T366" s="281"/>
      <c r="U366" s="281"/>
      <c r="V366" s="281"/>
      <c r="W366" s="281"/>
      <c r="X366" s="304"/>
      <c r="Y366" s="304"/>
      <c r="Z366" s="304"/>
    </row>
    <row r="367">
      <c r="A367" s="345"/>
      <c r="B367" s="281"/>
      <c r="C367" s="281"/>
      <c r="D367" s="397"/>
      <c r="E367" s="281"/>
      <c r="F367" s="281"/>
      <c r="G367" s="281"/>
      <c r="H367" s="281"/>
      <c r="I367" s="281"/>
      <c r="J367" s="281"/>
      <c r="K367" s="281"/>
      <c r="L367" s="281"/>
      <c r="M367" s="281"/>
      <c r="N367" s="281"/>
      <c r="O367" s="281"/>
      <c r="P367" s="281"/>
      <c r="Q367" s="281"/>
      <c r="R367" s="282"/>
      <c r="S367" s="281"/>
      <c r="T367" s="281"/>
      <c r="U367" s="281"/>
      <c r="V367" s="281"/>
      <c r="W367" s="281"/>
      <c r="X367" s="304"/>
      <c r="Y367" s="304"/>
      <c r="Z367" s="304"/>
    </row>
    <row r="368">
      <c r="A368" s="345"/>
      <c r="B368" s="281"/>
      <c r="C368" s="281"/>
      <c r="D368" s="397"/>
      <c r="E368" s="281"/>
      <c r="F368" s="281"/>
      <c r="G368" s="281"/>
      <c r="H368" s="281"/>
      <c r="I368" s="281"/>
      <c r="J368" s="281"/>
      <c r="K368" s="281"/>
      <c r="L368" s="281"/>
      <c r="M368" s="281"/>
      <c r="N368" s="281"/>
      <c r="O368" s="281"/>
      <c r="P368" s="281"/>
      <c r="Q368" s="281"/>
      <c r="R368" s="282"/>
      <c r="S368" s="281"/>
      <c r="T368" s="281"/>
      <c r="U368" s="281"/>
      <c r="V368" s="281"/>
      <c r="W368" s="281"/>
      <c r="X368" s="304"/>
      <c r="Y368" s="304"/>
      <c r="Z368" s="304"/>
    </row>
    <row r="369">
      <c r="A369" s="345"/>
      <c r="B369" s="281"/>
      <c r="C369" s="281"/>
      <c r="D369" s="397"/>
      <c r="E369" s="281"/>
      <c r="F369" s="281"/>
      <c r="G369" s="281"/>
      <c r="H369" s="281"/>
      <c r="I369" s="281"/>
      <c r="J369" s="281"/>
      <c r="K369" s="281"/>
      <c r="L369" s="281"/>
      <c r="M369" s="281"/>
      <c r="N369" s="281"/>
      <c r="O369" s="281"/>
      <c r="P369" s="281"/>
      <c r="Q369" s="281"/>
      <c r="R369" s="282"/>
      <c r="S369" s="281"/>
      <c r="T369" s="281"/>
      <c r="U369" s="281"/>
      <c r="V369" s="281"/>
      <c r="W369" s="281"/>
      <c r="X369" s="304"/>
      <c r="Y369" s="304"/>
      <c r="Z369" s="304"/>
    </row>
    <row r="370">
      <c r="A370" s="345"/>
      <c r="B370" s="281"/>
      <c r="C370" s="281"/>
      <c r="D370" s="397"/>
      <c r="E370" s="281"/>
      <c r="F370" s="281"/>
      <c r="G370" s="281"/>
      <c r="H370" s="281"/>
      <c r="I370" s="281"/>
      <c r="J370" s="281"/>
      <c r="K370" s="281"/>
      <c r="L370" s="281"/>
      <c r="M370" s="281"/>
      <c r="N370" s="281"/>
      <c r="O370" s="281"/>
      <c r="P370" s="281"/>
      <c r="Q370" s="281"/>
      <c r="R370" s="281"/>
      <c r="S370" s="281"/>
      <c r="T370" s="281"/>
      <c r="U370" s="281"/>
      <c r="V370" s="281"/>
      <c r="W370" s="281"/>
      <c r="X370" s="304"/>
      <c r="Y370" s="304"/>
      <c r="Z370" s="304"/>
    </row>
    <row r="371">
      <c r="A371" s="345"/>
      <c r="B371" s="281"/>
      <c r="C371" s="281"/>
      <c r="D371" s="397"/>
      <c r="E371" s="281"/>
      <c r="F371" s="281"/>
      <c r="G371" s="281"/>
      <c r="H371" s="281"/>
      <c r="I371" s="281"/>
      <c r="J371" s="281"/>
      <c r="K371" s="281"/>
      <c r="L371" s="281"/>
      <c r="M371" s="281"/>
      <c r="N371" s="281"/>
      <c r="O371" s="281"/>
      <c r="P371" s="281"/>
      <c r="Q371" s="281"/>
      <c r="R371" s="281"/>
      <c r="S371" s="281"/>
      <c r="T371" s="281"/>
      <c r="U371" s="281"/>
      <c r="V371" s="281"/>
      <c r="W371" s="281"/>
      <c r="X371" s="304"/>
      <c r="Y371" s="304"/>
      <c r="Z371" s="304"/>
    </row>
    <row r="372">
      <c r="A372" s="345"/>
      <c r="B372" s="281"/>
      <c r="C372" s="281"/>
      <c r="D372" s="397"/>
      <c r="E372" s="281"/>
      <c r="F372" s="281"/>
      <c r="G372" s="281"/>
      <c r="H372" s="281"/>
      <c r="I372" s="281"/>
      <c r="J372" s="281"/>
      <c r="K372" s="281"/>
      <c r="L372" s="281"/>
      <c r="M372" s="281"/>
      <c r="N372" s="281"/>
      <c r="O372" s="281"/>
      <c r="P372" s="281"/>
      <c r="Q372" s="281"/>
      <c r="R372" s="281"/>
      <c r="S372" s="281"/>
      <c r="T372" s="281"/>
      <c r="U372" s="281"/>
      <c r="V372" s="281"/>
      <c r="W372" s="281"/>
      <c r="X372" s="304"/>
      <c r="Y372" s="304"/>
      <c r="Z372" s="304"/>
    </row>
    <row r="373">
      <c r="A373" s="345"/>
      <c r="B373" s="281"/>
      <c r="C373" s="281"/>
      <c r="D373" s="397"/>
      <c r="E373" s="281"/>
      <c r="F373" s="281"/>
      <c r="G373" s="281"/>
      <c r="H373" s="281"/>
      <c r="I373" s="281"/>
      <c r="J373" s="281"/>
      <c r="K373" s="281"/>
      <c r="L373" s="281"/>
      <c r="M373" s="281"/>
      <c r="N373" s="281"/>
      <c r="O373" s="281"/>
      <c r="P373" s="281"/>
      <c r="Q373" s="281"/>
      <c r="R373" s="281"/>
      <c r="S373" s="281"/>
      <c r="T373" s="281"/>
      <c r="U373" s="281"/>
      <c r="V373" s="281"/>
      <c r="W373" s="281"/>
      <c r="X373" s="304"/>
      <c r="Y373" s="304"/>
      <c r="Z373" s="304"/>
    </row>
    <row r="374">
      <c r="A374" s="345"/>
      <c r="B374" s="281"/>
      <c r="C374" s="281"/>
      <c r="D374" s="397"/>
      <c r="E374" s="281"/>
      <c r="F374" s="281"/>
      <c r="G374" s="281"/>
      <c r="H374" s="281"/>
      <c r="I374" s="281"/>
      <c r="J374" s="281"/>
      <c r="K374" s="281"/>
      <c r="L374" s="281"/>
      <c r="M374" s="281"/>
      <c r="N374" s="281"/>
      <c r="O374" s="281"/>
      <c r="P374" s="281"/>
      <c r="Q374" s="281"/>
      <c r="R374" s="281"/>
      <c r="S374" s="281"/>
      <c r="T374" s="281"/>
      <c r="U374" s="281"/>
      <c r="V374" s="281"/>
      <c r="W374" s="281"/>
      <c r="X374" s="304"/>
      <c r="Y374" s="304"/>
      <c r="Z374" s="304"/>
    </row>
    <row r="375">
      <c r="A375" s="345"/>
      <c r="B375" s="281"/>
      <c r="C375" s="281"/>
      <c r="D375" s="397"/>
      <c r="E375" s="281"/>
      <c r="F375" s="281"/>
      <c r="G375" s="281"/>
      <c r="H375" s="281"/>
      <c r="I375" s="281"/>
      <c r="J375" s="281"/>
      <c r="K375" s="281"/>
      <c r="L375" s="281"/>
      <c r="M375" s="281"/>
      <c r="N375" s="281"/>
      <c r="O375" s="281"/>
      <c r="P375" s="281"/>
      <c r="Q375" s="281"/>
      <c r="R375" s="281"/>
      <c r="S375" s="281"/>
      <c r="T375" s="281"/>
      <c r="U375" s="281"/>
      <c r="V375" s="281"/>
      <c r="W375" s="281"/>
      <c r="X375" s="304"/>
      <c r="Y375" s="304"/>
      <c r="Z375" s="304"/>
    </row>
    <row r="376">
      <c r="A376" s="345"/>
      <c r="B376" s="281"/>
      <c r="C376" s="281"/>
      <c r="D376" s="397"/>
      <c r="E376" s="281"/>
      <c r="F376" s="281"/>
      <c r="G376" s="281"/>
      <c r="H376" s="281"/>
      <c r="I376" s="281"/>
      <c r="J376" s="281"/>
      <c r="K376" s="281"/>
      <c r="L376" s="281"/>
      <c r="M376" s="281"/>
      <c r="N376" s="281"/>
      <c r="O376" s="281"/>
      <c r="P376" s="281"/>
      <c r="Q376" s="281"/>
      <c r="R376" s="281"/>
      <c r="S376" s="281"/>
      <c r="T376" s="281"/>
      <c r="U376" s="281"/>
      <c r="V376" s="281"/>
      <c r="W376" s="281"/>
      <c r="X376" s="304"/>
      <c r="Y376" s="304"/>
      <c r="Z376" s="304"/>
    </row>
    <row r="377">
      <c r="A377" s="345"/>
      <c r="B377" s="281"/>
      <c r="C377" s="281"/>
      <c r="D377" s="397"/>
      <c r="E377" s="281"/>
      <c r="F377" s="281"/>
      <c r="G377" s="281"/>
      <c r="H377" s="281"/>
      <c r="I377" s="281"/>
      <c r="J377" s="281"/>
      <c r="K377" s="281"/>
      <c r="L377" s="281"/>
      <c r="M377" s="281"/>
      <c r="N377" s="281"/>
      <c r="O377" s="281"/>
      <c r="P377" s="281"/>
      <c r="Q377" s="281"/>
      <c r="R377" s="281"/>
      <c r="S377" s="281"/>
      <c r="T377" s="281"/>
      <c r="U377" s="281"/>
      <c r="V377" s="281"/>
      <c r="W377" s="281"/>
      <c r="X377" s="304"/>
      <c r="Y377" s="304"/>
      <c r="Z377" s="304"/>
    </row>
    <row r="378">
      <c r="A378" s="345"/>
      <c r="B378" s="281"/>
      <c r="C378" s="281"/>
      <c r="D378" s="397"/>
      <c r="E378" s="281"/>
      <c r="F378" s="281"/>
      <c r="G378" s="281"/>
      <c r="H378" s="281"/>
      <c r="I378" s="281"/>
      <c r="J378" s="281"/>
      <c r="K378" s="281"/>
      <c r="L378" s="281"/>
      <c r="M378" s="281"/>
      <c r="N378" s="281"/>
      <c r="O378" s="281"/>
      <c r="P378" s="281"/>
      <c r="Q378" s="281"/>
      <c r="R378" s="281"/>
      <c r="S378" s="281"/>
      <c r="T378" s="281"/>
      <c r="U378" s="281"/>
      <c r="V378" s="281"/>
      <c r="W378" s="281"/>
      <c r="X378" s="304"/>
      <c r="Y378" s="304"/>
      <c r="Z378" s="304"/>
    </row>
    <row r="379">
      <c r="A379" s="345"/>
      <c r="B379" s="281"/>
      <c r="C379" s="281"/>
      <c r="D379" s="397"/>
      <c r="E379" s="281"/>
      <c r="F379" s="281"/>
      <c r="G379" s="281"/>
      <c r="H379" s="281"/>
      <c r="I379" s="281"/>
      <c r="J379" s="281"/>
      <c r="K379" s="281"/>
      <c r="L379" s="281"/>
      <c r="M379" s="281"/>
      <c r="N379" s="281"/>
      <c r="O379" s="281"/>
      <c r="P379" s="281"/>
      <c r="Q379" s="281"/>
      <c r="R379" s="281"/>
      <c r="S379" s="281"/>
      <c r="T379" s="281"/>
      <c r="U379" s="281"/>
      <c r="V379" s="281"/>
      <c r="W379" s="281"/>
      <c r="X379" s="304"/>
      <c r="Y379" s="304"/>
      <c r="Z379" s="304"/>
    </row>
    <row r="380">
      <c r="A380" s="345"/>
      <c r="B380" s="281"/>
      <c r="C380" s="281"/>
      <c r="D380" s="397"/>
      <c r="E380" s="281"/>
      <c r="F380" s="281"/>
      <c r="G380" s="281"/>
      <c r="H380" s="281"/>
      <c r="I380" s="281"/>
      <c r="J380" s="281"/>
      <c r="K380" s="281"/>
      <c r="L380" s="281"/>
      <c r="M380" s="281"/>
      <c r="N380" s="281"/>
      <c r="O380" s="281"/>
      <c r="P380" s="281"/>
      <c r="Q380" s="281"/>
      <c r="R380" s="281"/>
      <c r="S380" s="281"/>
      <c r="T380" s="281"/>
      <c r="U380" s="281"/>
      <c r="V380" s="281"/>
      <c r="W380" s="281"/>
      <c r="X380" s="304"/>
      <c r="Y380" s="304"/>
      <c r="Z380" s="304"/>
    </row>
    <row r="381">
      <c r="A381" s="345"/>
      <c r="B381" s="281"/>
      <c r="C381" s="281"/>
      <c r="D381" s="397"/>
      <c r="E381" s="281"/>
      <c r="F381" s="281"/>
      <c r="G381" s="281"/>
      <c r="H381" s="281"/>
      <c r="I381" s="281"/>
      <c r="J381" s="281"/>
      <c r="K381" s="281"/>
      <c r="L381" s="281"/>
      <c r="M381" s="281"/>
      <c r="N381" s="281"/>
      <c r="O381" s="281"/>
      <c r="P381" s="281"/>
      <c r="Q381" s="281"/>
      <c r="R381" s="281"/>
      <c r="S381" s="281"/>
      <c r="T381" s="281"/>
      <c r="U381" s="281"/>
      <c r="V381" s="281"/>
      <c r="W381" s="281"/>
      <c r="X381" s="304"/>
      <c r="Y381" s="304"/>
      <c r="Z381" s="304"/>
    </row>
    <row r="382">
      <c r="A382" s="345"/>
      <c r="B382" s="281"/>
      <c r="C382" s="281"/>
      <c r="D382" s="397"/>
      <c r="E382" s="281"/>
      <c r="F382" s="281"/>
      <c r="G382" s="281"/>
      <c r="H382" s="281"/>
      <c r="I382" s="281"/>
      <c r="J382" s="281"/>
      <c r="K382" s="281"/>
      <c r="L382" s="281"/>
      <c r="M382" s="281"/>
      <c r="N382" s="281"/>
      <c r="O382" s="281"/>
      <c r="P382" s="281"/>
      <c r="Q382" s="281"/>
      <c r="R382" s="281"/>
      <c r="S382" s="281"/>
      <c r="T382" s="281"/>
      <c r="U382" s="281"/>
      <c r="V382" s="281"/>
      <c r="W382" s="281"/>
      <c r="X382" s="304"/>
      <c r="Y382" s="304"/>
      <c r="Z382" s="304"/>
    </row>
    <row r="383">
      <c r="A383" s="345"/>
      <c r="B383" s="281"/>
      <c r="C383" s="281"/>
      <c r="D383" s="397"/>
      <c r="E383" s="281"/>
      <c r="F383" s="281"/>
      <c r="G383" s="281"/>
      <c r="H383" s="281"/>
      <c r="I383" s="281"/>
      <c r="J383" s="281"/>
      <c r="K383" s="281"/>
      <c r="L383" s="281"/>
      <c r="M383" s="281"/>
      <c r="N383" s="281"/>
      <c r="O383" s="281"/>
      <c r="P383" s="281"/>
      <c r="Q383" s="281"/>
      <c r="R383" s="281"/>
      <c r="S383" s="281"/>
      <c r="T383" s="281"/>
      <c r="U383" s="281"/>
      <c r="V383" s="281"/>
      <c r="W383" s="281"/>
      <c r="X383" s="304"/>
      <c r="Y383" s="304"/>
      <c r="Z383" s="304"/>
    </row>
    <row r="384">
      <c r="A384" s="345"/>
      <c r="B384" s="281"/>
      <c r="C384" s="281"/>
      <c r="D384" s="397"/>
      <c r="E384" s="281"/>
      <c r="F384" s="281"/>
      <c r="G384" s="281"/>
      <c r="H384" s="281"/>
      <c r="I384" s="281"/>
      <c r="J384" s="281"/>
      <c r="K384" s="281"/>
      <c r="L384" s="281"/>
      <c r="M384" s="281"/>
      <c r="N384" s="281"/>
      <c r="O384" s="281"/>
      <c r="P384" s="281"/>
      <c r="Q384" s="281"/>
      <c r="R384" s="281"/>
      <c r="S384" s="281"/>
      <c r="T384" s="281"/>
      <c r="U384" s="281"/>
      <c r="V384" s="281"/>
      <c r="W384" s="281"/>
      <c r="X384" s="304"/>
      <c r="Y384" s="304"/>
      <c r="Z384" s="304"/>
    </row>
    <row r="385">
      <c r="A385" s="345"/>
      <c r="B385" s="281"/>
      <c r="C385" s="281"/>
      <c r="D385" s="397"/>
      <c r="E385" s="281"/>
      <c r="F385" s="281"/>
      <c r="G385" s="281"/>
      <c r="H385" s="281"/>
      <c r="I385" s="281"/>
      <c r="J385" s="281"/>
      <c r="K385" s="281"/>
      <c r="L385" s="281"/>
      <c r="M385" s="281"/>
      <c r="N385" s="281"/>
      <c r="O385" s="281"/>
      <c r="P385" s="281"/>
      <c r="Q385" s="281"/>
      <c r="R385" s="281"/>
      <c r="S385" s="281"/>
      <c r="T385" s="281"/>
      <c r="U385" s="281"/>
      <c r="V385" s="281"/>
      <c r="W385" s="281"/>
      <c r="X385" s="304"/>
      <c r="Y385" s="304"/>
      <c r="Z385" s="304"/>
    </row>
    <row r="386">
      <c r="A386" s="345"/>
      <c r="B386" s="281"/>
      <c r="C386" s="281"/>
      <c r="D386" s="397"/>
      <c r="E386" s="281"/>
      <c r="F386" s="281"/>
      <c r="G386" s="281"/>
      <c r="H386" s="281"/>
      <c r="I386" s="281"/>
      <c r="J386" s="281"/>
      <c r="K386" s="281"/>
      <c r="L386" s="281"/>
      <c r="M386" s="281"/>
      <c r="N386" s="281"/>
      <c r="O386" s="281"/>
      <c r="P386" s="281"/>
      <c r="Q386" s="281"/>
      <c r="R386" s="281"/>
      <c r="S386" s="281"/>
      <c r="T386" s="281"/>
      <c r="U386" s="281"/>
      <c r="V386" s="281"/>
      <c r="W386" s="281"/>
      <c r="X386" s="304"/>
      <c r="Y386" s="304"/>
      <c r="Z386" s="304"/>
    </row>
    <row r="387">
      <c r="A387" s="345"/>
      <c r="B387" s="281"/>
      <c r="C387" s="281"/>
      <c r="D387" s="397"/>
      <c r="E387" s="281"/>
      <c r="F387" s="281"/>
      <c r="G387" s="281"/>
      <c r="H387" s="281"/>
      <c r="I387" s="281"/>
      <c r="J387" s="281"/>
      <c r="K387" s="281"/>
      <c r="L387" s="281"/>
      <c r="M387" s="281"/>
      <c r="N387" s="281"/>
      <c r="O387" s="281"/>
      <c r="P387" s="281"/>
      <c r="Q387" s="281"/>
      <c r="R387" s="281"/>
      <c r="S387" s="281"/>
      <c r="T387" s="281"/>
      <c r="U387" s="281"/>
      <c r="V387" s="281"/>
      <c r="W387" s="281"/>
      <c r="X387" s="304"/>
      <c r="Y387" s="304"/>
      <c r="Z387" s="304"/>
    </row>
  </sheetData>
  <conditionalFormatting sqref="D1">
    <cfRule type="notContainsBlanks" dxfId="0" priority="1">
      <formula>LEN(TRIM(D1))&gt;0</formula>
    </cfRule>
  </conditionalFormatting>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27.14"/>
    <col customWidth="1" min="2" max="2" width="48.14"/>
    <col customWidth="1" min="3" max="3" width="22.71"/>
    <col customWidth="1" min="4" max="4" width="9.43"/>
    <col customWidth="1" min="5" max="5" width="8.14"/>
    <col customWidth="1" min="6" max="6" width="8.71"/>
    <col customWidth="1" min="7" max="10" width="5.43"/>
    <col customWidth="1" min="11" max="11" width="9.14"/>
    <col customWidth="1" min="12" max="12" width="6.43"/>
    <col customWidth="1" min="13" max="14" width="5.0"/>
    <col customWidth="1" min="15" max="15" width="7.57"/>
    <col customWidth="1" min="16" max="16" width="17.86"/>
    <col customWidth="1" min="17" max="17" width="13.29"/>
    <col customWidth="1" min="18" max="18" width="13.14"/>
    <col customWidth="1" min="19" max="19" width="9.29"/>
    <col customWidth="1" min="20" max="20" width="9.14"/>
    <col customWidth="1" min="21" max="21" width="9.57"/>
    <col customWidth="1" min="22" max="22" width="10.14"/>
    <col customWidth="1" min="23" max="23" width="11.43"/>
    <col customWidth="1" min="24" max="37" width="14.14"/>
    <col customWidth="1" min="38" max="38" width="32.29"/>
    <col customWidth="1" min="39" max="39" width="25.86"/>
    <col customWidth="1" min="40" max="40" width="29.43"/>
    <col customWidth="1" min="41" max="41" width="18.0"/>
    <col customWidth="1" min="42" max="42" width="32.71"/>
    <col customWidth="1" min="43" max="43" width="17.14"/>
    <col customWidth="1" min="44" max="44" width="31.29"/>
    <col customWidth="1" min="45" max="45" width="20.71"/>
    <col customWidth="1" min="46" max="46" width="31.14"/>
    <col customWidth="1" min="47" max="47" width="23.29"/>
    <col customWidth="1" min="48" max="48" width="26.71"/>
    <col customWidth="1" min="49" max="49" width="24.86"/>
    <col customWidth="1" min="50" max="50" width="28.86"/>
    <col customWidth="1" min="51" max="51" width="24.43"/>
    <col customWidth="1" min="52" max="52" width="28.43"/>
    <col customWidth="1" min="53" max="53" width="24.14"/>
    <col customWidth="1" min="54" max="54" width="28.57"/>
    <col customWidth="1" min="55" max="55" width="22.86"/>
    <col customWidth="1" min="56" max="56" width="31.0"/>
    <col customWidth="1" min="57" max="57" width="19.43"/>
  </cols>
  <sheetData>
    <row r="1">
      <c r="A1" s="446" t="s">
        <v>1918</v>
      </c>
      <c r="B1" s="447"/>
      <c r="C1" s="226"/>
      <c r="D1" s="447"/>
      <c r="E1" s="447"/>
      <c r="F1" s="447"/>
      <c r="G1" s="447"/>
      <c r="H1" s="447"/>
      <c r="I1" s="447"/>
      <c r="J1" s="447"/>
      <c r="K1" s="226"/>
      <c r="L1" s="226"/>
      <c r="M1" s="448"/>
      <c r="N1" s="448"/>
      <c r="O1" s="448"/>
      <c r="P1" s="448"/>
      <c r="Q1" s="226"/>
      <c r="R1" s="226"/>
      <c r="S1" s="226"/>
      <c r="T1" s="226"/>
      <c r="U1" s="226"/>
      <c r="V1" s="226"/>
      <c r="W1" s="226"/>
      <c r="X1" s="226"/>
      <c r="Y1" s="226"/>
      <c r="Z1" s="226"/>
      <c r="AA1" s="226"/>
      <c r="AB1" s="226"/>
      <c r="AC1" s="226"/>
      <c r="AD1" s="226"/>
      <c r="AE1" s="226"/>
      <c r="AF1" s="226"/>
      <c r="AG1" s="226"/>
      <c r="AH1" s="226"/>
      <c r="AI1" s="226"/>
      <c r="AJ1" s="226"/>
      <c r="AK1" s="226"/>
      <c r="AL1" s="226"/>
      <c r="AM1" s="112"/>
      <c r="AN1" s="449" t="s">
        <v>1919</v>
      </c>
      <c r="AO1" s="449" t="s">
        <v>1920</v>
      </c>
      <c r="AP1" s="450" t="s">
        <v>1921</v>
      </c>
      <c r="AQ1" s="450" t="s">
        <v>1922</v>
      </c>
      <c r="AR1" s="449" t="s">
        <v>1923</v>
      </c>
      <c r="AS1" s="450" t="s">
        <v>1924</v>
      </c>
      <c r="AT1" s="449" t="s">
        <v>1925</v>
      </c>
      <c r="AU1" s="450" t="s">
        <v>1926</v>
      </c>
      <c r="AV1" s="449" t="s">
        <v>1927</v>
      </c>
      <c r="AW1" s="450" t="s">
        <v>1928</v>
      </c>
      <c r="AX1" s="449" t="s">
        <v>1929</v>
      </c>
      <c r="AY1" s="450" t="s">
        <v>1930</v>
      </c>
      <c r="AZ1" s="449" t="s">
        <v>1931</v>
      </c>
      <c r="BA1" s="450" t="s">
        <v>1932</v>
      </c>
      <c r="BB1" s="449" t="s">
        <v>1933</v>
      </c>
      <c r="BC1" s="450" t="s">
        <v>1934</v>
      </c>
      <c r="BD1" s="449" t="s">
        <v>1935</v>
      </c>
      <c r="BE1" s="450" t="s">
        <v>1936</v>
      </c>
    </row>
    <row r="2">
      <c r="A2" s="449" t="s">
        <v>1937</v>
      </c>
      <c r="B2" s="449" t="s">
        <v>1938</v>
      </c>
      <c r="C2" s="449" t="s">
        <v>1922</v>
      </c>
      <c r="D2" s="449" t="s">
        <v>560</v>
      </c>
      <c r="E2" s="449" t="s">
        <v>562</v>
      </c>
      <c r="F2" s="449" t="s">
        <v>1939</v>
      </c>
      <c r="G2" s="449" t="s">
        <v>330</v>
      </c>
      <c r="H2" s="449" t="s">
        <v>344</v>
      </c>
      <c r="I2" s="449" t="s">
        <v>1005</v>
      </c>
      <c r="J2" s="449" t="s">
        <v>356</v>
      </c>
      <c r="K2" s="449" t="s">
        <v>1920</v>
      </c>
      <c r="L2" s="449" t="s">
        <v>1940</v>
      </c>
      <c r="M2" s="449" t="s">
        <v>1941</v>
      </c>
      <c r="N2" s="449" t="s">
        <v>1942</v>
      </c>
      <c r="O2" s="449" t="s">
        <v>1943</v>
      </c>
      <c r="P2" s="449" t="s">
        <v>609</v>
      </c>
      <c r="Q2" s="451" t="s">
        <v>1944</v>
      </c>
      <c r="R2" s="452" t="s">
        <v>1945</v>
      </c>
      <c r="S2" s="452" t="s">
        <v>1946</v>
      </c>
      <c r="T2" s="452" t="s">
        <v>1947</v>
      </c>
      <c r="U2" s="452" t="s">
        <v>1948</v>
      </c>
      <c r="V2" s="453" t="s">
        <v>1949</v>
      </c>
      <c r="W2" s="453" t="s">
        <v>1950</v>
      </c>
      <c r="X2" s="454"/>
      <c r="Y2" s="454"/>
      <c r="Z2" s="454"/>
      <c r="AA2" s="454"/>
      <c r="AB2" s="454"/>
      <c r="AC2" s="454"/>
      <c r="AD2" s="454"/>
      <c r="AE2" s="454"/>
      <c r="AF2" s="454"/>
      <c r="AG2" s="454"/>
      <c r="AH2" s="454"/>
      <c r="AI2" s="454"/>
      <c r="AJ2" s="454"/>
      <c r="AK2" s="454"/>
      <c r="AL2" s="454"/>
      <c r="AM2" s="455" t="s">
        <v>1951</v>
      </c>
      <c r="AN2" s="456" t="s">
        <v>658</v>
      </c>
      <c r="AO2" s="456">
        <v>150.0</v>
      </c>
      <c r="AP2" s="457" t="s">
        <v>658</v>
      </c>
      <c r="AQ2" s="457">
        <v>91.21</v>
      </c>
      <c r="AR2" s="456" t="s">
        <v>658</v>
      </c>
      <c r="AS2" s="457">
        <v>0.0</v>
      </c>
      <c r="AT2" s="456" t="s">
        <v>658</v>
      </c>
      <c r="AU2" s="457">
        <v>0.0</v>
      </c>
      <c r="AV2" s="456" t="s">
        <v>658</v>
      </c>
      <c r="AW2" s="457">
        <v>0.0</v>
      </c>
      <c r="AX2" s="456" t="s">
        <v>658</v>
      </c>
      <c r="AY2" s="457">
        <v>0.0</v>
      </c>
      <c r="AZ2" s="456" t="s">
        <v>658</v>
      </c>
      <c r="BA2" s="457">
        <v>29.0</v>
      </c>
      <c r="BB2" s="456" t="s">
        <v>658</v>
      </c>
      <c r="BC2" s="457">
        <v>0.0</v>
      </c>
      <c r="BD2" s="456" t="s">
        <v>658</v>
      </c>
      <c r="BE2" s="457">
        <v>58.0</v>
      </c>
    </row>
    <row r="3">
      <c r="A3" s="458" t="s">
        <v>619</v>
      </c>
      <c r="B3" s="459" t="s">
        <v>631</v>
      </c>
      <c r="C3" s="460">
        <f>ROUND((D3*C104)+(E3*C105)+(F3*C106)+(C107*G3)+(C108*H3)+(I3*C110)+(C109*J3)+(K3*C111)+(C112*V3)+(C113*W3)+(Q3*C104)+(R3*C106)+(S3*C107)+(T3*C105)+(U3*C108)+C115, 2)</f>
        <v>176.17</v>
      </c>
      <c r="D3" s="461">
        <f>VLOOKUP(B3,AT26:AU36,2,FALSE)</f>
        <v>0</v>
      </c>
      <c r="E3" s="461">
        <f>VLOOKUP(B3,BD26:BE36,2,FALSE)</f>
        <v>108</v>
      </c>
      <c r="F3" s="461">
        <f>VLOOKUP(B3,AV26:AW36,2,FALSE)</f>
        <v>39</v>
      </c>
      <c r="G3" s="461">
        <f>VLOOKUP(B3,AX26:AY36,2,FALSE)</f>
        <v>38</v>
      </c>
      <c r="H3" s="461">
        <f>VLOOKUP(B3,AR26:AS36,2,FALSE)</f>
        <v>21</v>
      </c>
      <c r="I3" s="461">
        <f>VLOOKUP(B3,BB26:BC36,2,FALSE)</f>
        <v>0</v>
      </c>
      <c r="J3" s="461">
        <f>VLOOKUP(B3,AZ26:BA36,2,FALSE)</f>
        <v>0</v>
      </c>
      <c r="K3" s="462">
        <f>VLOOKUP(B3,AN26:AO36,2,FALSE)</f>
        <v>0</v>
      </c>
      <c r="L3" s="461">
        <f>VLOOKUP(B3,AN250:AO260,2,FALSE)</f>
        <v>0</v>
      </c>
      <c r="M3" s="461">
        <f>VLOOKUP(B3,AP250:AQ260,2,FALSE)</f>
        <v>1</v>
      </c>
      <c r="N3" s="461">
        <f>VLOOKUP(B3,AR250:AS260,2,FALSE)</f>
        <v>0</v>
      </c>
      <c r="O3" s="463" t="str">
        <f>VLOOKUP(B3,AT250:AU260,2,FALSE)</f>
        <v>6 Stam</v>
      </c>
      <c r="P3" s="464">
        <v>1.0</v>
      </c>
      <c r="Q3" s="465">
        <f>VLOOKUP(B3,AV250:AW260,2,FALSE)</f>
        <v>0</v>
      </c>
      <c r="R3" s="465">
        <f>VLOOKUP(B3,AX250:AY260,2,FALSE)</f>
        <v>0</v>
      </c>
      <c r="S3" s="465">
        <f>VLOOKUP(B3,AZ250:BA260,2,FALSE)</f>
        <v>0</v>
      </c>
      <c r="T3" s="465">
        <f>VLOOKUP(B3,BB250:BC260,2,FALSE)</f>
        <v>0</v>
      </c>
      <c r="U3" s="465">
        <f>VLOOKUP(B3,BD250:BE260,2,FALSE)</f>
        <v>0</v>
      </c>
      <c r="V3" s="466">
        <f>VLOOKUP(B3,AN465:AO475,2,FALSE)</f>
        <v>1</v>
      </c>
      <c r="W3" s="466">
        <f>VLOOKUP(B3,AP465:AQ475,2,FALSE)</f>
        <v>0</v>
      </c>
      <c r="X3" s="226"/>
      <c r="Y3" s="226"/>
      <c r="Z3" s="226"/>
      <c r="AA3" s="226"/>
      <c r="AB3" s="226"/>
      <c r="AC3" s="226"/>
      <c r="AD3" s="226"/>
      <c r="AE3" s="226"/>
      <c r="AF3" s="226"/>
      <c r="AG3" s="226"/>
      <c r="AH3" s="226"/>
      <c r="AI3" s="226"/>
      <c r="AJ3" s="226"/>
      <c r="AK3" s="226"/>
      <c r="AL3" s="226"/>
      <c r="AM3" s="112"/>
      <c r="AN3" s="456" t="s">
        <v>662</v>
      </c>
      <c r="AO3" s="456">
        <v>0.0</v>
      </c>
      <c r="AP3" s="457" t="s">
        <v>662</v>
      </c>
      <c r="AQ3" s="457">
        <v>71.06</v>
      </c>
      <c r="AR3" s="456" t="s">
        <v>662</v>
      </c>
      <c r="AS3" s="457">
        <v>0.0</v>
      </c>
      <c r="AT3" s="456" t="s">
        <v>662</v>
      </c>
      <c r="AU3" s="457">
        <v>0.0</v>
      </c>
      <c r="AV3" s="456" t="s">
        <v>662</v>
      </c>
      <c r="AW3" s="457">
        <v>25.0</v>
      </c>
      <c r="AX3" s="456" t="s">
        <v>662</v>
      </c>
      <c r="AY3" s="457">
        <v>0.0</v>
      </c>
      <c r="AZ3" s="456" t="s">
        <v>662</v>
      </c>
      <c r="BA3" s="457">
        <v>30.0</v>
      </c>
      <c r="BB3" s="456" t="s">
        <v>662</v>
      </c>
      <c r="BC3" s="457">
        <v>0.0</v>
      </c>
      <c r="BD3" s="456" t="s">
        <v>662</v>
      </c>
      <c r="BE3" s="457">
        <v>64.0</v>
      </c>
    </row>
    <row r="4">
      <c r="A4" s="458" t="s">
        <v>657</v>
      </c>
      <c r="B4" s="459" t="s">
        <v>664</v>
      </c>
      <c r="C4" s="467">
        <f>ROUND((D4*C104)+(E4*C105)+(F4*C106)+(C107*G4)+(C108*H4)+(I4*C110)+(C109*J4)+(K4*C111)+(C112*V4)+(C113*W4)+(Q4*C104)+(R4*C106)+(S4*C107)+(T4*C105)+(U4*C108), 2)</f>
        <v>71.78</v>
      </c>
      <c r="D4" s="461">
        <f>VLOOKUP(B4,AT2:AU9,2,FALSE)</f>
        <v>0</v>
      </c>
      <c r="E4" s="461">
        <f>VLOOKUP(B4,BD2:BE9,2,FALSE)</f>
        <v>72</v>
      </c>
      <c r="F4" s="461">
        <f>VLOOKUP(B4,AV2:AW9,2,FALSE)</f>
        <v>0</v>
      </c>
      <c r="G4" s="461">
        <f>VLOOKUP(B4,AX2:AY9,2,FALSE)</f>
        <v>27</v>
      </c>
      <c r="H4" s="461">
        <f>VLOOKUP(B4,AR2:AS9,2,FALSE)</f>
        <v>21</v>
      </c>
      <c r="I4" s="461">
        <f>VLOOKUP(B4,BB2:BC9,2,FALSE)</f>
        <v>0</v>
      </c>
      <c r="J4" s="461">
        <f>VLOOKUP(B4,AZ2:BA9,2,FALSE)</f>
        <v>0</v>
      </c>
      <c r="K4" s="462">
        <f>VLOOKUP(B4,AN2:AO9,2,FALSE)</f>
        <v>0</v>
      </c>
      <c r="L4" s="461">
        <f>VLOOKUP(B4,AN225:AO232,2,FALSE)</f>
        <v>0</v>
      </c>
      <c r="M4" s="461">
        <f>VLOOKUP(B4,AP225:AQ232,2,FALSE)</f>
        <v>0</v>
      </c>
      <c r="N4" s="461">
        <f>VLOOKUP(B4,AR225:AS232,2,FALSE)</f>
        <v>0</v>
      </c>
      <c r="O4" s="463" t="str">
        <f>VLOOKUP(B4,AT225:AU232,2,FALSE)</f>
        <v/>
      </c>
      <c r="P4" s="468">
        <v>0.0</v>
      </c>
      <c r="Q4" s="465">
        <f>VLOOKUP(B4,AV225:AW232,2,FALSE)</f>
        <v>0</v>
      </c>
      <c r="R4" s="465">
        <f>VLOOKUP(B4,AX225:AY232,2,FALSE)</f>
        <v>0</v>
      </c>
      <c r="S4" s="465">
        <f>VLOOKUP(B4,AZ225:BA232,2,FALSE)</f>
        <v>0</v>
      </c>
      <c r="T4" s="465">
        <f>VLOOKUP(B4,BB225:BC232,2,FALSE)</f>
        <v>0</v>
      </c>
      <c r="U4" s="465">
        <f>VLOOKUP(B4,BD225:BE232,2,FALSE)</f>
        <v>0</v>
      </c>
      <c r="V4" s="466">
        <f>VLOOKUP(B4,AN441:AO448,2,FALSE)</f>
        <v>0</v>
      </c>
      <c r="W4" s="466">
        <f>VLOOKUP(B4,AP441:AQ448,2,FALSE)</f>
        <v>0</v>
      </c>
      <c r="X4" s="226"/>
      <c r="Y4" s="226"/>
      <c r="Z4" s="226"/>
      <c r="AA4" s="226"/>
      <c r="AB4" s="226"/>
      <c r="AC4" s="226"/>
      <c r="AD4" s="226"/>
      <c r="AE4" s="226"/>
      <c r="AF4" s="226"/>
      <c r="AG4" s="226"/>
      <c r="AH4" s="226"/>
      <c r="AI4" s="226"/>
      <c r="AJ4" s="226"/>
      <c r="AK4" s="226"/>
      <c r="AL4" s="226"/>
      <c r="AM4" s="112"/>
      <c r="AN4" s="456" t="s">
        <v>664</v>
      </c>
      <c r="AO4" s="456">
        <v>0.0</v>
      </c>
      <c r="AP4" s="457" t="s">
        <v>664</v>
      </c>
      <c r="AQ4" s="457">
        <v>69.45</v>
      </c>
      <c r="AR4" s="456" t="s">
        <v>664</v>
      </c>
      <c r="AS4" s="457">
        <v>21.0</v>
      </c>
      <c r="AT4" s="456" t="s">
        <v>664</v>
      </c>
      <c r="AU4" s="457">
        <v>0.0</v>
      </c>
      <c r="AV4" s="456" t="s">
        <v>664</v>
      </c>
      <c r="AW4" s="457">
        <v>0.0</v>
      </c>
      <c r="AX4" s="456" t="s">
        <v>664</v>
      </c>
      <c r="AY4" s="457">
        <v>27.0</v>
      </c>
      <c r="AZ4" s="456" t="s">
        <v>664</v>
      </c>
      <c r="BA4" s="457">
        <v>0.0</v>
      </c>
      <c r="BB4" s="456" t="s">
        <v>664</v>
      </c>
      <c r="BC4" s="457">
        <v>0.0</v>
      </c>
      <c r="BD4" s="456" t="s">
        <v>664</v>
      </c>
      <c r="BE4" s="457">
        <v>72.0</v>
      </c>
    </row>
    <row r="5">
      <c r="A5" s="458" t="s">
        <v>1952</v>
      </c>
      <c r="B5" s="459" t="s">
        <v>700</v>
      </c>
      <c r="C5" s="467">
        <f>ROUND((D5*C104)+(E5*C105)+(F5*C106)+(C107*G5)+(C108*H5)+(I5*C110)+(C109*J5)+(K5*C111)+(C112*V5)+(C113*W5)+(Q5*C104)+(R5*C106)+(S5*C107)+(T5*C105)+(U5*C108), 2)</f>
        <v>104.4</v>
      </c>
      <c r="D5" s="461">
        <f>VLOOKUP(B5,AT11:AU23,2,FALSE)</f>
        <v>39</v>
      </c>
      <c r="E5" s="461">
        <f>VLOOKUP(B5,BD11:BE23,2,FALSE)</f>
        <v>0</v>
      </c>
      <c r="F5" s="461">
        <f>VLOOKUP(B5,AV11:AW23,2,FALSE)</f>
        <v>39</v>
      </c>
      <c r="G5" s="461">
        <f>VLOOKUP(B5,AX11:AY23,2,FALSE)</f>
        <v>0</v>
      </c>
      <c r="H5" s="461">
        <f>VLOOKUP(B5,AR11:AS23,2,FALSE)</f>
        <v>0</v>
      </c>
      <c r="I5" s="461">
        <f>VLOOKUP(B5,BB11:BC23,2,FALSE)</f>
        <v>0</v>
      </c>
      <c r="J5" s="461">
        <f>VLOOKUP(B5,AZ11:BA23,2,FALSE)</f>
        <v>0</v>
      </c>
      <c r="K5" s="461">
        <f>VLOOKUP(B5,AN11:AO23,2,FALSE)</f>
        <v>91</v>
      </c>
      <c r="L5" s="461">
        <f>VLOOKUP(B5,AN225:AO248,2,FALSE)</f>
        <v>0</v>
      </c>
      <c r="M5" s="461">
        <f>VLOOKUP(B5,AP225:AQ248,2,FALSE)</f>
        <v>1</v>
      </c>
      <c r="N5" s="461">
        <f>VLOOKUP(B5,AR225:AS248,2,FALSE)</f>
        <v>1</v>
      </c>
      <c r="O5" s="463" t="str">
        <f>VLOOKUP(B5,AT225:AU248,2,FALSE)</f>
        <v>3 Crit</v>
      </c>
      <c r="P5" s="451">
        <v>1.0</v>
      </c>
      <c r="Q5" s="465">
        <f>VLOOKUP(B5,AV225:AW248,2,FALSE)</f>
        <v>0</v>
      </c>
      <c r="R5" s="465">
        <f>VLOOKUP(B5,AX225:AY248,2,FALSE)</f>
        <v>0</v>
      </c>
      <c r="S5" s="465">
        <f>VLOOKUP(B5,AZ225:BA248,2,FALSE)</f>
        <v>3</v>
      </c>
      <c r="T5" s="465">
        <f>VLOOKUP(B5,BB225:BC248,2,FALSE)</f>
        <v>0</v>
      </c>
      <c r="U5" s="465">
        <f>VLOOKUP(B5,BD225:BE248,2,FALSE)</f>
        <v>0</v>
      </c>
      <c r="V5" s="466">
        <f>VLOOKUP(B5,AN451:AO463,2,FALSE)</f>
        <v>2</v>
      </c>
      <c r="W5" s="466">
        <f>VLOOKUP(B5,AP451:AQ463,2,FALSE)</f>
        <v>0</v>
      </c>
      <c r="X5" s="226"/>
      <c r="Y5" s="226"/>
      <c r="Z5" s="226"/>
      <c r="AA5" s="226"/>
      <c r="AB5" s="226"/>
      <c r="AC5" s="226"/>
      <c r="AD5" s="226"/>
      <c r="AE5" s="226"/>
      <c r="AF5" s="226"/>
      <c r="AG5" s="226"/>
      <c r="AH5" s="226"/>
      <c r="AI5" s="226"/>
      <c r="AJ5" s="226"/>
      <c r="AK5" s="226"/>
      <c r="AL5" s="226"/>
      <c r="AM5" s="112"/>
      <c r="AN5" s="456" t="s">
        <v>666</v>
      </c>
      <c r="AO5" s="456">
        <v>175.0</v>
      </c>
      <c r="AP5" s="457" t="s">
        <v>666</v>
      </c>
      <c r="AQ5" s="457">
        <v>65.59</v>
      </c>
      <c r="AR5" s="456" t="s">
        <v>666</v>
      </c>
      <c r="AS5" s="457">
        <v>0.0</v>
      </c>
      <c r="AT5" s="456" t="s">
        <v>666</v>
      </c>
      <c r="AU5" s="457">
        <v>0.0</v>
      </c>
      <c r="AV5" s="456" t="s">
        <v>666</v>
      </c>
      <c r="AW5" s="457">
        <v>0.0</v>
      </c>
      <c r="AX5" s="456" t="s">
        <v>666</v>
      </c>
      <c r="AY5" s="457">
        <v>0.0</v>
      </c>
      <c r="AZ5" s="456" t="s">
        <v>666</v>
      </c>
      <c r="BA5" s="457">
        <v>0.0</v>
      </c>
      <c r="BB5" s="456" t="s">
        <v>666</v>
      </c>
      <c r="BC5" s="457">
        <v>0.0</v>
      </c>
      <c r="BD5" s="456" t="s">
        <v>666</v>
      </c>
      <c r="BE5" s="457">
        <v>70.0</v>
      </c>
    </row>
    <row r="6">
      <c r="A6" s="458" t="s">
        <v>724</v>
      </c>
      <c r="B6" s="459" t="s">
        <v>728</v>
      </c>
      <c r="C6" s="467">
        <f>ROUND((D6*C104)+(E6*C105)+(F6*C106)+(C107*G6)+(C108*H6)+(I6*C110)+(C109*J6)+(K6*C111)+(C112*V6)+(C113*W6)+(Q6*C104)+(R6*C106)+(S6*C107)+(T6*C105)+(U6*C108), 2)</f>
        <v>59.6</v>
      </c>
      <c r="D6" s="461">
        <f>VLOOKUP(B6,AT39:AU44,2,FALSE)</f>
        <v>0</v>
      </c>
      <c r="E6" s="461">
        <f>VLOOKUP(B6,BD39:BE44,2,FALSE)</f>
        <v>46</v>
      </c>
      <c r="F6" s="461">
        <f>VLOOKUP(B6,AV39:AW44,2,FALSE)</f>
        <v>0</v>
      </c>
      <c r="G6" s="461">
        <f>VLOOKUP(B6,AX39:AY44,2,FALSE)</f>
        <v>20</v>
      </c>
      <c r="H6" s="461">
        <f>VLOOKUP(B6,AR39:AS44,2,FALSE)</f>
        <v>0</v>
      </c>
      <c r="I6" s="461">
        <f>VLOOKUP(B6,BB39:BC44,2,FALSE)</f>
        <v>0</v>
      </c>
      <c r="J6" s="461">
        <f>VLOOKUP(B6,AZ39:BA44,2,FALSE)</f>
        <v>0</v>
      </c>
      <c r="K6" s="462">
        <f>VLOOKUP(B6,AN39:AO44,2,FALSE)</f>
        <v>112</v>
      </c>
      <c r="L6" s="461">
        <f>VLOOKUP(B6,AN263:AO268,2,FALSE)</f>
        <v>0</v>
      </c>
      <c r="M6" s="461">
        <f>VLOOKUP(B6,AP263:AQ268,2,FALSE)</f>
        <v>0</v>
      </c>
      <c r="N6" s="461">
        <f>VLOOKUP(B6,AR263:AS268,2,FALSE)</f>
        <v>0</v>
      </c>
      <c r="O6" s="463" t="str">
        <f>VLOOKUP(B6,AT263:AU268,2,FALSE)</f>
        <v/>
      </c>
      <c r="P6" s="468"/>
      <c r="Q6" s="465">
        <f>VLOOKUP(B6,AV263:AW268,2,FALSE)</f>
        <v>0</v>
      </c>
      <c r="R6" s="465">
        <f>VLOOKUP(B6,AX263:AY268,2,FALSE)</f>
        <v>0</v>
      </c>
      <c r="S6" s="465">
        <f>VLOOKUP(B6,AZ263:BA268,2,FALSE)</f>
        <v>0</v>
      </c>
      <c r="T6" s="465">
        <f>VLOOKUP(B6,BB263:BC268,2,FALSE)</f>
        <v>0</v>
      </c>
      <c r="U6" s="465">
        <f>VLOOKUP(B6,BD263:BE268,2,FALSE)</f>
        <v>0</v>
      </c>
      <c r="V6" s="466">
        <f>VLOOKUP(B6,AN478:AO483,2,FALSE)</f>
        <v>0</v>
      </c>
      <c r="W6" s="466">
        <f>VLOOKUP(B6,AP478:AQ483,2,FALSE)</f>
        <v>0</v>
      </c>
      <c r="X6" s="226"/>
      <c r="Y6" s="226"/>
      <c r="Z6" s="226"/>
      <c r="AA6" s="226"/>
      <c r="AB6" s="226"/>
      <c r="AC6" s="226"/>
      <c r="AD6" s="226"/>
      <c r="AE6" s="226"/>
      <c r="AF6" s="226"/>
      <c r="AG6" s="226"/>
      <c r="AH6" s="226"/>
      <c r="AI6" s="226"/>
      <c r="AJ6" s="226"/>
      <c r="AK6" s="226"/>
      <c r="AL6" s="226"/>
      <c r="AM6" s="112"/>
      <c r="AN6" s="456" t="s">
        <v>668</v>
      </c>
      <c r="AO6" s="456">
        <v>0.0</v>
      </c>
      <c r="AP6" s="457" t="s">
        <v>668</v>
      </c>
      <c r="AQ6" s="457">
        <v>62.81</v>
      </c>
      <c r="AR6" s="456" t="s">
        <v>668</v>
      </c>
      <c r="AS6" s="457">
        <v>0.0</v>
      </c>
      <c r="AT6" s="456" t="s">
        <v>668</v>
      </c>
      <c r="AU6" s="457">
        <v>0.0</v>
      </c>
      <c r="AV6" s="456" t="s">
        <v>668</v>
      </c>
      <c r="AW6" s="457">
        <v>0.0</v>
      </c>
      <c r="AX6" s="456" t="s">
        <v>668</v>
      </c>
      <c r="AY6" s="457">
        <v>28.0</v>
      </c>
      <c r="AZ6" s="456" t="s">
        <v>668</v>
      </c>
      <c r="BA6" s="457">
        <v>0.0</v>
      </c>
      <c r="BB6" s="456" t="s">
        <v>668</v>
      </c>
      <c r="BC6" s="457">
        <v>0.0</v>
      </c>
      <c r="BD6" s="456" t="s">
        <v>668</v>
      </c>
      <c r="BE6" s="457">
        <v>58.0</v>
      </c>
    </row>
    <row r="7">
      <c r="A7" s="458" t="s">
        <v>742</v>
      </c>
      <c r="B7" s="459" t="s">
        <v>757</v>
      </c>
      <c r="C7" s="467">
        <f>ROUND((D7*C104)+(E7*C105)+(F7*C106)+(C107*G7)+(C108*H7)+(I7*C110)+(C109*J7)+(K7*C111)+(C112*V7)+(C113*W7)+(Q7*C104)+(R7*C106)+(S7*C107)+(T7*C105)+(U7*C108), 2)</f>
        <v>139.78</v>
      </c>
      <c r="D7" s="467">
        <f>VLOOKUP(B7,AT47:AU59,2,FALSE)</f>
        <v>53</v>
      </c>
      <c r="E7" s="467">
        <f>VLOOKUP(B7,BD47:BE59,2,FALSE)</f>
        <v>0</v>
      </c>
      <c r="F7" s="467">
        <f>VLOOKUP(B7,AV47:AW59,2,FALSE)</f>
        <v>34</v>
      </c>
      <c r="G7" s="467">
        <f>VLOOKUP(B7,AX47:AY59,2,FALSE)</f>
        <v>0</v>
      </c>
      <c r="H7" s="467">
        <f>VLOOKUP(B7,AR47:AS59,2,FALSE)</f>
        <v>16</v>
      </c>
      <c r="I7" s="467">
        <f>VLOOKUP(B7,BB47:BC59,2,FALSE)</f>
        <v>0</v>
      </c>
      <c r="J7" s="467">
        <f>VLOOKUP(B7,AZ47:BA59,2,FALSE)</f>
        <v>0</v>
      </c>
      <c r="K7" s="461">
        <f>VLOOKUP(B7,AN47:AO59,2,FALSE)</f>
        <v>126</v>
      </c>
      <c r="L7" s="461">
        <f>VLOOKUP(B7,AN271:AO283,2,FALSE)</f>
        <v>1</v>
      </c>
      <c r="M7" s="461">
        <f>VLOOKUP(B7,AP271:AQ283,2,FALSE)</f>
        <v>0</v>
      </c>
      <c r="N7" s="461">
        <f>VLOOKUP(B7,AR271:AS283,2,FALSE)</f>
        <v>2</v>
      </c>
      <c r="O7" s="463" t="str">
        <f>VLOOKUP(B7,AT271:AU283,2,FALSE)</f>
        <v>4 Crit</v>
      </c>
      <c r="P7" s="456"/>
      <c r="Q7" s="465">
        <f>VLOOKUP(B7,AV271:AW283,2,FALSE)</f>
        <v>0</v>
      </c>
      <c r="R7" s="465">
        <f>VLOOKUP(B7,AX271:AY283,2,FALSE)</f>
        <v>0</v>
      </c>
      <c r="S7" s="465">
        <f>VLOOKUP(B7,AZ271:BA283,2,FALSE)</f>
        <v>0</v>
      </c>
      <c r="T7" s="465">
        <f>VLOOKUP(B7,BB271:BC283,2,FALSE)</f>
        <v>0</v>
      </c>
      <c r="U7" s="465">
        <f>VLOOKUP(B7,BD271:BE283,2,FALSE)</f>
        <v>0</v>
      </c>
      <c r="V7" s="466">
        <f>VLOOKUP(B7,AN486:AO498,2,FALSE)</f>
        <v>3</v>
      </c>
      <c r="W7" s="466">
        <f>VLOOKUP(B7,AP486:AQ498,2,FALSE)</f>
        <v>0</v>
      </c>
      <c r="X7" s="226"/>
      <c r="Y7" s="226"/>
      <c r="Z7" s="226"/>
      <c r="AA7" s="226"/>
      <c r="AB7" s="226"/>
      <c r="AC7" s="226"/>
      <c r="AD7" s="226"/>
      <c r="AE7" s="226"/>
      <c r="AF7" s="226"/>
      <c r="AG7" s="226"/>
      <c r="AH7" s="226"/>
      <c r="AI7" s="226"/>
      <c r="AJ7" s="226"/>
      <c r="AK7" s="226"/>
      <c r="AL7" s="226"/>
      <c r="AM7" s="112"/>
      <c r="AN7" s="456" t="s">
        <v>672</v>
      </c>
      <c r="AO7" s="456">
        <v>0.0</v>
      </c>
      <c r="AP7" s="457" t="s">
        <v>672</v>
      </c>
      <c r="AQ7" s="457">
        <v>60.0</v>
      </c>
      <c r="AR7" s="456" t="s">
        <v>672</v>
      </c>
      <c r="AS7" s="457">
        <v>0.0</v>
      </c>
      <c r="AT7" s="456" t="s">
        <v>672</v>
      </c>
      <c r="AU7" s="457">
        <v>0.0</v>
      </c>
      <c r="AV7" s="456" t="s">
        <v>672</v>
      </c>
      <c r="AW7" s="457">
        <v>0.0</v>
      </c>
      <c r="AX7" s="456" t="s">
        <v>672</v>
      </c>
      <c r="AY7" s="457">
        <v>26.0</v>
      </c>
      <c r="AZ7" s="456" t="s">
        <v>672</v>
      </c>
      <c r="BA7" s="457">
        <v>0.0</v>
      </c>
      <c r="BB7" s="456" t="s">
        <v>672</v>
      </c>
      <c r="BC7" s="457">
        <v>0.0</v>
      </c>
      <c r="BD7" s="456" t="s">
        <v>672</v>
      </c>
      <c r="BE7" s="457">
        <v>58.0</v>
      </c>
    </row>
    <row r="8">
      <c r="A8" s="458" t="s">
        <v>779</v>
      </c>
      <c r="B8" s="459" t="s">
        <v>782</v>
      </c>
      <c r="C8" s="460">
        <f>ROUND((D8*C104)+(E8*C105)+(F8*C106)+(C107*G8)+(C108*H8)+(I8*C110)+(C109*J8)+(K8*C111)+(C112*V8)+(C113*W8)+(Q8*C104)+(R8*C106)+(S8*C107)+(T8*C105)+(U8*C108), 2)</f>
        <v>70.12</v>
      </c>
      <c r="D8" s="467">
        <f>VLOOKUP(B8,AT117:AU122,2,FALSE)</f>
        <v>0</v>
      </c>
      <c r="E8" s="467">
        <f>VLOOKUP(B8,BD117:BE122,2,FALSE)</f>
        <v>58</v>
      </c>
      <c r="F8" s="467">
        <f>VLOOKUP(B8,AV117:AW122,2,FALSE)</f>
        <v>0</v>
      </c>
      <c r="G8" s="467">
        <f>VLOOKUP(B8,AX117:AY122,2,FALSE)</f>
        <v>28</v>
      </c>
      <c r="H8" s="467">
        <f>VLOOKUP(B8,AR117:AS122,2,FALSE)</f>
        <v>12</v>
      </c>
      <c r="I8" s="467">
        <f>VLOOKUP(B8,BB117:BC122,2,FALSE)</f>
        <v>0</v>
      </c>
      <c r="J8" s="467">
        <f>VLOOKUP(B8,AZ117:BA122,2,FALSE)</f>
        <v>0</v>
      </c>
      <c r="K8" s="461">
        <f>VLOOKUP(B8,AN117:AO122,2,FALSE)</f>
        <v>0</v>
      </c>
      <c r="L8" s="461">
        <f>VLOOKUP(B8,AN342:AO347,2,FALSE)</f>
        <v>0</v>
      </c>
      <c r="M8" s="461">
        <f>VLOOKUP(B8,AP342:AQ347,2,FALSE)</f>
        <v>1</v>
      </c>
      <c r="N8" s="461">
        <f>VLOOKUP(B8,AR342:AS347,2,FALSE)</f>
        <v>0</v>
      </c>
      <c r="O8" s="463" t="str">
        <f>VLOOKUP(B8,AT342:AU347,2,FALSE)</f>
        <v>3 Stam</v>
      </c>
      <c r="P8" s="465"/>
      <c r="Q8" s="465">
        <f>VLOOKUP(B8,AV342:AW347,2,FALSE)</f>
        <v>0</v>
      </c>
      <c r="R8" s="465">
        <f>VLOOKUP(B8,AX342:AY347,2,FALSE)</f>
        <v>0</v>
      </c>
      <c r="S8" s="465">
        <f>VLOOKUP(B8,AZ342:BA347,2,FALSE)</f>
        <v>0</v>
      </c>
      <c r="T8" s="465">
        <f>VLOOKUP(B8,BB342:BC347,2,FALSE)</f>
        <v>0</v>
      </c>
      <c r="U8" s="465">
        <f>VLOOKUP(B8,BD342:BE347,2,FALSE)</f>
        <v>0</v>
      </c>
      <c r="V8" s="466">
        <f>VLOOKUP(B8,AN557:AO562,2,FALSE)</f>
        <v>1</v>
      </c>
      <c r="W8" s="466">
        <f>VLOOKUP(B8,AP557:AQ562,2,FALSE)</f>
        <v>0</v>
      </c>
      <c r="X8" s="226"/>
      <c r="Y8" s="226"/>
      <c r="Z8" s="226"/>
      <c r="AA8" s="226"/>
      <c r="AB8" s="226"/>
      <c r="AC8" s="226"/>
      <c r="AD8" s="226"/>
      <c r="AE8" s="226"/>
      <c r="AF8" s="226"/>
      <c r="AG8" s="226"/>
      <c r="AH8" s="226"/>
      <c r="AI8" s="226"/>
      <c r="AJ8" s="226"/>
      <c r="AK8" s="226"/>
      <c r="AL8" s="226"/>
      <c r="AM8" s="112"/>
      <c r="AN8" s="456" t="s">
        <v>680</v>
      </c>
      <c r="AO8" s="456">
        <v>0.0</v>
      </c>
      <c r="AP8" s="457" t="s">
        <v>680</v>
      </c>
      <c r="AQ8" s="457">
        <v>52.91</v>
      </c>
      <c r="AR8" s="456" t="s">
        <v>680</v>
      </c>
      <c r="AS8" s="457">
        <v>0.0</v>
      </c>
      <c r="AT8" s="469" t="s">
        <v>680</v>
      </c>
      <c r="AU8" s="457">
        <v>32.0</v>
      </c>
      <c r="AV8" s="456" t="s">
        <v>680</v>
      </c>
      <c r="AW8" s="457">
        <v>0.0</v>
      </c>
      <c r="AX8" s="458" t="s">
        <v>680</v>
      </c>
      <c r="AY8" s="457">
        <v>23.0</v>
      </c>
      <c r="AZ8" s="456" t="s">
        <v>680</v>
      </c>
      <c r="BA8" s="457">
        <v>0.0</v>
      </c>
      <c r="BB8" s="456" t="s">
        <v>680</v>
      </c>
      <c r="BC8" s="457">
        <v>0.0</v>
      </c>
      <c r="BD8" s="456" t="s">
        <v>680</v>
      </c>
      <c r="BE8" s="457">
        <v>0.0</v>
      </c>
    </row>
    <row r="9">
      <c r="A9" s="458" t="s">
        <v>1953</v>
      </c>
      <c r="B9" s="459" t="s">
        <v>811</v>
      </c>
      <c r="C9" s="467">
        <f>ROUND((D9*C104)+(E9*C105)+(F9*C106)+(C107*G9)+(C108*H9)+(I9*C110)+(C109*J9)+(K9*C111)+(C112*V9)+(C113*W9)+(Q9*C104)+(R9*C106)+(S9*C107)+(T9*C105)+(U9*C108), 2)</f>
        <v>102.38</v>
      </c>
      <c r="D9" s="462">
        <f>VLOOKUP(B9,AT125:AU135,2,FALSE)</f>
        <v>40</v>
      </c>
      <c r="E9" s="462">
        <f>VLOOKUP(B9,BD125:BE135,2,FALSE)</f>
        <v>0</v>
      </c>
      <c r="F9" s="462">
        <f>VLOOKUP(B9,AV125:AW135,2,FALSE)</f>
        <v>0</v>
      </c>
      <c r="G9" s="462">
        <f>VLOOKUP(B9,AX125:AY135,2,FALSE)</f>
        <v>0</v>
      </c>
      <c r="H9" s="462">
        <f>VLOOKUP(B9,AR125:AS135,2,FALSE)</f>
        <v>15</v>
      </c>
      <c r="I9" s="462">
        <f>VLOOKUP(B9,BB125:BC135,2,FALSE)</f>
        <v>0</v>
      </c>
      <c r="J9" s="462">
        <f>VLOOKUP(B9,AZ125:BA135,2,FALSE)</f>
        <v>0</v>
      </c>
      <c r="K9" s="462">
        <f>VLOOKUP(B9,AN125:AO135,2,FALSE)</f>
        <v>175</v>
      </c>
      <c r="L9" s="461">
        <f>VLOOKUP(B9,AN350:AO360,2,FALSE)</f>
        <v>2</v>
      </c>
      <c r="M9" s="461">
        <f>VLOOKUP(B9,AP350:AQ360,2,FALSE)</f>
        <v>0</v>
      </c>
      <c r="N9" s="461">
        <f>VLOOKUP(B9,AR350:AS360,2,FALSE)</f>
        <v>0</v>
      </c>
      <c r="O9" s="463" t="str">
        <f>VLOOKUP(B9,AT350:AU360,2,FALSE)</f>
        <v>4 Stam</v>
      </c>
      <c r="P9" s="468"/>
      <c r="Q9" s="465">
        <f>VLOOKUP(B9,AV350:AW360,2,FALSE)</f>
        <v>0</v>
      </c>
      <c r="R9" s="465">
        <f>VLOOKUP(B9,AX350:AY360,2,FALSE)</f>
        <v>0</v>
      </c>
      <c r="S9" s="465">
        <f>VLOOKUP(B9,AZ350:BA360,2,FALSE)</f>
        <v>0</v>
      </c>
      <c r="T9" s="465">
        <f>VLOOKUP(B9,BB350:BC360,2,FALSE)</f>
        <v>0</v>
      </c>
      <c r="U9" s="465">
        <f>VLOOKUP(B9,BD350:BE360,2,FALSE)</f>
        <v>0</v>
      </c>
      <c r="V9" s="466">
        <f>VLOOKUP(B9,AN565:AO575,2,FALSE)</f>
        <v>2</v>
      </c>
      <c r="W9" s="466">
        <f>VLOOKUP(B9,AP565:AQ575,2,FALSE)</f>
        <v>0</v>
      </c>
      <c r="X9" s="226"/>
      <c r="Y9" s="226"/>
      <c r="Z9" s="226"/>
      <c r="AA9" s="226"/>
      <c r="AB9" s="226"/>
      <c r="AC9" s="226"/>
      <c r="AD9" s="226"/>
      <c r="AE9" s="226"/>
      <c r="AF9" s="226"/>
      <c r="AG9" s="226"/>
      <c r="AH9" s="226"/>
      <c r="AI9" s="226"/>
      <c r="AJ9" s="226"/>
      <c r="AK9" s="226"/>
      <c r="AL9" s="226"/>
      <c r="AM9" s="112"/>
      <c r="AN9" s="456" t="s">
        <v>686</v>
      </c>
      <c r="AO9" s="456">
        <v>0.0</v>
      </c>
      <c r="AP9" s="457" t="s">
        <v>686</v>
      </c>
      <c r="AQ9" s="457">
        <v>42.85</v>
      </c>
      <c r="AR9" s="456" t="s">
        <v>686</v>
      </c>
      <c r="AS9" s="457">
        <v>18.0</v>
      </c>
      <c r="AT9" s="469" t="s">
        <v>686</v>
      </c>
      <c r="AU9" s="457">
        <v>0.0</v>
      </c>
      <c r="AV9" s="456" t="s">
        <v>686</v>
      </c>
      <c r="AW9" s="457">
        <v>20.0</v>
      </c>
      <c r="AX9" s="458" t="s">
        <v>686</v>
      </c>
      <c r="AY9" s="457">
        <v>0.0</v>
      </c>
      <c r="AZ9" s="456" t="s">
        <v>686</v>
      </c>
      <c r="BA9" s="457">
        <v>0.0</v>
      </c>
      <c r="BB9" s="456" t="s">
        <v>686</v>
      </c>
      <c r="BC9" s="457">
        <v>0.0</v>
      </c>
      <c r="BD9" s="456" t="s">
        <v>686</v>
      </c>
      <c r="BE9" s="457">
        <v>42.0</v>
      </c>
    </row>
    <row r="10">
      <c r="A10" s="458" t="s">
        <v>828</v>
      </c>
      <c r="B10" s="459" t="s">
        <v>830</v>
      </c>
      <c r="C10" s="467">
        <f>ROUND((D10*C104)+(E10*C105)+(F10*C106)+(C107*G10)+(C108*H10)+(I10*C110)+(C109*J10)+(K10*C111)+(C112*V10)+(C113*W10)+(Q10*C104)+(R10*C106)+(S10*C107)+(T10*C105)+(U10*C108), 2)</f>
        <v>105.23</v>
      </c>
      <c r="D10" s="462">
        <f>VLOOKUP(B10,AT138:AU145,2,FALSE)</f>
        <v>0</v>
      </c>
      <c r="E10" s="462">
        <f>VLOOKUP(B10,BD138:BE145,2,FALSE)</f>
        <v>74</v>
      </c>
      <c r="F10" s="462">
        <f>VLOOKUP(B10,AV138:AW145,2,FALSE)</f>
        <v>29</v>
      </c>
      <c r="G10" s="462">
        <f>VLOOKUP(B10,AX138:AY145,2,FALSE)</f>
        <v>0</v>
      </c>
      <c r="H10" s="462">
        <f>VLOOKUP(B10,AR138:AS145,2,FALSE)</f>
        <v>0</v>
      </c>
      <c r="I10" s="462">
        <f>VLOOKUP(B10,BB138:BC145,2,FALSE)</f>
        <v>25</v>
      </c>
      <c r="J10" s="462">
        <f>VLOOKUP(B10,AZ138:BA145,2,FALSE)</f>
        <v>0</v>
      </c>
      <c r="K10" s="462">
        <f>VLOOKUP(B10,AN138:AO145,2,FALSE)</f>
        <v>0</v>
      </c>
      <c r="L10" s="461">
        <f>VLOOKUP(B10,AN363:AO370,2,FALSE)</f>
        <v>1</v>
      </c>
      <c r="M10" s="461">
        <f>VLOOKUP(B10,AP363:AQ370,2,FALSE)</f>
        <v>0</v>
      </c>
      <c r="N10" s="461">
        <f>VLOOKUP(B10,AR363:AS370,2,FALSE)</f>
        <v>1</v>
      </c>
      <c r="O10" s="463" t="str">
        <f>VLOOKUP(B10,AT363:AU370,2,FALSE)</f>
        <v>3 Agi</v>
      </c>
      <c r="P10" s="468"/>
      <c r="Q10" s="465">
        <f>VLOOKUP(B10,AV363:AW370,2,FALSE)</f>
        <v>0</v>
      </c>
      <c r="R10" s="465">
        <f>VLOOKUP(B10,AX363:AY370,2,FALSE)</f>
        <v>0</v>
      </c>
      <c r="S10" s="465">
        <f>VLOOKUP(B10,AZ363:BA370,2,FALSE)</f>
        <v>0</v>
      </c>
      <c r="T10" s="465">
        <f>VLOOKUP(B10,BB363:BC370,2,FALSE)</f>
        <v>0</v>
      </c>
      <c r="U10" s="465">
        <f>VLOOKUP(B10,BD363:BE370,2,FALSE)</f>
        <v>0</v>
      </c>
      <c r="V10" s="466">
        <f>VLOOKUP(B10,AN578:AO585,2,FALSE)</f>
        <v>2</v>
      </c>
      <c r="W10" s="466">
        <f>VLOOKUP(B10,AP578:AQ585,2,FALSE)</f>
        <v>0</v>
      </c>
      <c r="X10" s="226"/>
      <c r="Y10" s="226"/>
      <c r="Z10" s="226"/>
      <c r="AA10" s="226"/>
      <c r="AB10" s="226"/>
      <c r="AC10" s="226"/>
      <c r="AD10" s="226"/>
      <c r="AE10" s="226"/>
      <c r="AF10" s="226"/>
      <c r="AG10" s="226"/>
      <c r="AH10" s="226"/>
      <c r="AI10" s="226"/>
      <c r="AJ10" s="226"/>
      <c r="AK10" s="226"/>
      <c r="AL10" s="226"/>
      <c r="AM10" s="112"/>
      <c r="AN10" s="449" t="s">
        <v>1954</v>
      </c>
      <c r="AO10" s="449" t="s">
        <v>1920</v>
      </c>
      <c r="AP10" s="450" t="s">
        <v>1954</v>
      </c>
      <c r="AQ10" s="450" t="s">
        <v>1922</v>
      </c>
      <c r="AR10" s="449" t="s">
        <v>1954</v>
      </c>
      <c r="AS10" s="450" t="s">
        <v>1955</v>
      </c>
      <c r="AT10" s="449" t="s">
        <v>1954</v>
      </c>
      <c r="AU10" s="450" t="s">
        <v>1956</v>
      </c>
      <c r="AV10" s="449" t="s">
        <v>1954</v>
      </c>
      <c r="AW10" s="450" t="s">
        <v>1957</v>
      </c>
      <c r="AX10" s="449" t="s">
        <v>1958</v>
      </c>
      <c r="AY10" s="450" t="s">
        <v>1959</v>
      </c>
      <c r="AZ10" s="449" t="s">
        <v>1960</v>
      </c>
      <c r="BA10" s="450" t="s">
        <v>1961</v>
      </c>
      <c r="BB10" s="449" t="s">
        <v>1962</v>
      </c>
      <c r="BC10" s="450" t="s">
        <v>1963</v>
      </c>
      <c r="BD10" s="449" t="s">
        <v>1964</v>
      </c>
      <c r="BE10" s="450" t="s">
        <v>1965</v>
      </c>
    </row>
    <row r="11">
      <c r="A11" s="458" t="s">
        <v>852</v>
      </c>
      <c r="B11" s="459" t="s">
        <v>856</v>
      </c>
      <c r="C11" s="467">
        <f>ROUND((D11*C104)+(E11*C105)+(F11*C106)+(C107*G11)+(C108*H11)+(I11*C110)+(C109*J11)+(K11*C111)+(C112*V11)+(C113*W11)+(Q11*C104)+(R11*C106)+(S11*C107)+(T11*C105)+(U11*C108), 2)</f>
        <v>146.9</v>
      </c>
      <c r="D11" s="462">
        <f>VLOOKUP(B11,AT148:AU160,2,FALSE)</f>
        <v>51</v>
      </c>
      <c r="E11" s="462">
        <f>VLOOKUP(B11,BD148:BE160,2,FALSE)</f>
        <v>0</v>
      </c>
      <c r="F11" s="462">
        <f>VLOOKUP(B11,AV148:AW160,2,FALSE)</f>
        <v>0</v>
      </c>
      <c r="G11" s="462">
        <f>VLOOKUP(B11,AX148:AY160,2,FALSE)</f>
        <v>35</v>
      </c>
      <c r="H11" s="462">
        <f>VLOOKUP(B11,AR148:AS160,2,FALSE)</f>
        <v>0</v>
      </c>
      <c r="I11" s="462">
        <f>VLOOKUP(B11,BB148:BC160,2,FALSE)</f>
        <v>0</v>
      </c>
      <c r="J11" s="462">
        <f>VLOOKUP(B11,AZ148:BA160,2,FALSE)</f>
        <v>0</v>
      </c>
      <c r="K11" s="462">
        <f>VLOOKUP(B11,AN148:AO160,2,FALSE)</f>
        <v>350</v>
      </c>
      <c r="L11" s="461">
        <f>VLOOKUP(B11,AN373:AO385,2,FALSE)</f>
        <v>0</v>
      </c>
      <c r="M11" s="461">
        <f>VLOOKUP(B11,AP373:AQ385,2,FALSE)</f>
        <v>0</v>
      </c>
      <c r="N11" s="461">
        <f>VLOOKUP(B11,AR373:AS385,2,FALSE)</f>
        <v>0</v>
      </c>
      <c r="O11" s="463" t="str">
        <f>VLOOKUP(B11,AT373:AU385,2,FALSE)</f>
        <v/>
      </c>
      <c r="P11" s="468"/>
      <c r="Q11" s="465">
        <f>VLOOKUP(B11,AV373:AW385,2,FALSE)</f>
        <v>0</v>
      </c>
      <c r="R11" s="465">
        <f>VLOOKUP(B11,AX373:AY385,2,FALSE)</f>
        <v>0</v>
      </c>
      <c r="S11" s="465">
        <f>VLOOKUP(B11,AZ373:BA385,2,FALSE)</f>
        <v>0</v>
      </c>
      <c r="T11" s="465">
        <f>VLOOKUP(B11,BB373:BC385,2,FALSE)</f>
        <v>0</v>
      </c>
      <c r="U11" s="465">
        <f>VLOOKUP(B11,BD373:BE385,2,FALSE)</f>
        <v>0</v>
      </c>
      <c r="V11" s="466">
        <f>VLOOKUP(B11,AN588:AO600,2,FALSE)</f>
        <v>0</v>
      </c>
      <c r="W11" s="466">
        <f>VLOOKUP(B11,AP588:AQ600,2,FALSE)</f>
        <v>0</v>
      </c>
      <c r="X11" s="226"/>
      <c r="Y11" s="226"/>
      <c r="Z11" s="226"/>
      <c r="AA11" s="226"/>
      <c r="AB11" s="226"/>
      <c r="AC11" s="226"/>
      <c r="AD11" s="226"/>
      <c r="AE11" s="226"/>
      <c r="AF11" s="226"/>
      <c r="AG11" s="226"/>
      <c r="AH11" s="226"/>
      <c r="AI11" s="226"/>
      <c r="AJ11" s="226"/>
      <c r="AK11" s="226"/>
      <c r="AL11" s="226"/>
      <c r="AM11" s="112"/>
      <c r="AN11" s="456" t="s">
        <v>694</v>
      </c>
      <c r="AO11" s="456">
        <v>105.0</v>
      </c>
      <c r="AP11" s="457" t="s">
        <v>694</v>
      </c>
      <c r="AQ11" s="457">
        <v>121.75</v>
      </c>
      <c r="AR11" s="456" t="s">
        <v>694</v>
      </c>
      <c r="AS11" s="457">
        <v>0.0</v>
      </c>
      <c r="AT11" s="456" t="s">
        <v>694</v>
      </c>
      <c r="AU11" s="457">
        <v>38.0</v>
      </c>
      <c r="AV11" s="456" t="s">
        <v>694</v>
      </c>
      <c r="AW11" s="457">
        <v>38.0</v>
      </c>
      <c r="AX11" s="456" t="s">
        <v>694</v>
      </c>
      <c r="AY11" s="457">
        <v>20.0</v>
      </c>
      <c r="AZ11" s="456" t="s">
        <v>694</v>
      </c>
      <c r="BA11" s="457">
        <v>0.0</v>
      </c>
      <c r="BB11" s="456" t="s">
        <v>694</v>
      </c>
      <c r="BC11" s="457">
        <v>0.0</v>
      </c>
      <c r="BD11" s="456" t="s">
        <v>694</v>
      </c>
      <c r="BE11" s="457">
        <v>0.0</v>
      </c>
    </row>
    <row r="12">
      <c r="A12" s="458" t="s">
        <v>883</v>
      </c>
      <c r="B12" s="459" t="s">
        <v>885</v>
      </c>
      <c r="C12" s="467">
        <f>ROUND((D12*C104)+(E12*C105)+(F12*C106)+(C107*G12)+(C108*H12)+(I12*C110)+(C109*J12)+(K12*C111)+(C112*V12)+(C113*W12)+(Q12*C104)+(R12*C106)+(S12*C107)+(T12*C105)+(U12*C108), 2)</f>
        <v>99.82</v>
      </c>
      <c r="D12" s="462">
        <f>VLOOKUP(B12,AT164:AU173,2,FALSE)</f>
        <v>38</v>
      </c>
      <c r="E12" s="462">
        <f>VLOOKUP(B12,BD164:BE173,2,FALSE)</f>
        <v>0</v>
      </c>
      <c r="F12" s="462">
        <f>VLOOKUP(B12,AV164:AW173,2,FALSE)</f>
        <v>0</v>
      </c>
      <c r="G12" s="462">
        <f>VLOOKUP(B12,AX164:AY173,2,FALSE)</f>
        <v>30</v>
      </c>
      <c r="H12" s="462">
        <f>VLOOKUP(B12,AR164:AS173,2,FALSE)</f>
        <v>18</v>
      </c>
      <c r="I12" s="462">
        <f>VLOOKUP(B12,BB164:BC173,2,FALSE)</f>
        <v>0</v>
      </c>
      <c r="J12" s="462">
        <f>VLOOKUP(B12,AZ164:BA173,2,FALSE)</f>
        <v>0</v>
      </c>
      <c r="K12" s="462">
        <f>VLOOKUP(B12,AN164:AO173,2,FALSE)</f>
        <v>0</v>
      </c>
      <c r="L12" s="461">
        <f>VLOOKUP(B12,AN389:AO398,2,FALSE)</f>
        <v>0</v>
      </c>
      <c r="M12" s="461">
        <f>VLOOKUP(B12,AP389:AQ398,2,FALSE)</f>
        <v>2</v>
      </c>
      <c r="N12" s="461">
        <f>VLOOKUP(B12,AR389:AS398,2,FALSE)</f>
        <v>0</v>
      </c>
      <c r="O12" s="463" t="str">
        <f>VLOOKUP(B12,AT389:AU398,2,FALSE)</f>
        <v>3 Str</v>
      </c>
      <c r="P12" s="468"/>
      <c r="Q12" s="465">
        <f>VLOOKUP(B12,AV389:AW398,2,FALSE)</f>
        <v>3</v>
      </c>
      <c r="R12" s="465">
        <f>VLOOKUP(B12,AX389:AY398,2,FALSE)</f>
        <v>0</v>
      </c>
      <c r="S12" s="465">
        <f>VLOOKUP(B12,AZ389:BA398,2,FALSE)</f>
        <v>0</v>
      </c>
      <c r="T12" s="465">
        <f>VLOOKUP(B12,BB389:BC398,2,FALSE)</f>
        <v>0</v>
      </c>
      <c r="U12" s="465">
        <f>VLOOKUP(B12,BD389:BE398,2,FALSE)</f>
        <v>0</v>
      </c>
      <c r="V12" s="466">
        <f>VLOOKUP(B12,AN604:AO613,2,FALSE)</f>
        <v>0</v>
      </c>
      <c r="W12" s="466">
        <f>VLOOKUP(B12,AP604:AQ613,2,FALSE)</f>
        <v>2</v>
      </c>
      <c r="X12" s="226"/>
      <c r="Y12" s="226"/>
      <c r="Z12" s="226"/>
      <c r="AA12" s="226"/>
      <c r="AB12" s="226"/>
      <c r="AC12" s="226"/>
      <c r="AD12" s="226"/>
      <c r="AE12" s="226"/>
      <c r="AF12" s="226"/>
      <c r="AG12" s="226"/>
      <c r="AH12" s="226"/>
      <c r="AI12" s="226"/>
      <c r="AJ12" s="226"/>
      <c r="AK12" s="226"/>
      <c r="AL12" s="226"/>
      <c r="AM12" s="112"/>
      <c r="AN12" s="456" t="s">
        <v>696</v>
      </c>
      <c r="AO12" s="456">
        <v>154.0</v>
      </c>
      <c r="AP12" s="457" t="s">
        <v>696</v>
      </c>
      <c r="AQ12" s="457">
        <v>119.29</v>
      </c>
      <c r="AR12" s="456" t="s">
        <v>696</v>
      </c>
      <c r="AS12" s="457">
        <v>0.0</v>
      </c>
      <c r="AT12" s="456" t="s">
        <v>696</v>
      </c>
      <c r="AU12" s="457">
        <v>0.0</v>
      </c>
      <c r="AV12" s="456" t="s">
        <v>696</v>
      </c>
      <c r="AW12" s="457">
        <v>40.0</v>
      </c>
      <c r="AX12" s="456" t="s">
        <v>696</v>
      </c>
      <c r="AY12" s="457">
        <v>0.0</v>
      </c>
      <c r="AZ12" s="456" t="s">
        <v>696</v>
      </c>
      <c r="BA12" s="457">
        <v>0.0</v>
      </c>
      <c r="BB12" s="456" t="s">
        <v>696</v>
      </c>
      <c r="BC12" s="457">
        <v>0.0</v>
      </c>
      <c r="BD12" s="456" t="s">
        <v>696</v>
      </c>
      <c r="BE12" s="457">
        <v>90.0</v>
      </c>
    </row>
    <row r="13">
      <c r="A13" s="458" t="s">
        <v>1966</v>
      </c>
      <c r="B13" s="459" t="s">
        <v>912</v>
      </c>
      <c r="C13" s="467">
        <f>ROUND((D13*C104)+(E13*C105)+(F13*C106)+(C107*G13)+(C108*H13)+(I13*C110)+(C109*J13)+(K13*C111)+(C112*V13)+(C113*W13)+(S13*C107)+(T13*C105)+(U13*C108)+(D140*C105), 2)</f>
        <v>68.1</v>
      </c>
      <c r="D13" s="462">
        <f>VLOOKUP(B13,AT177:AU194,2,FALSE)</f>
        <v>0</v>
      </c>
      <c r="E13" s="462">
        <f>VLOOKUP(B13,BD177:BE194,2,FALSE)</f>
        <v>58</v>
      </c>
      <c r="F13" s="462">
        <f>VLOOKUP(B13,AV177:AW194,2,FALSE)</f>
        <v>28</v>
      </c>
      <c r="G13" s="462">
        <f>VLOOKUP(B13,AX177:AY194,2,FALSE)</f>
        <v>0</v>
      </c>
      <c r="H13" s="462">
        <f>VLOOKUP(B13,AR177:AS194,2,FALSE)</f>
        <v>0</v>
      </c>
      <c r="I13" s="462">
        <f>VLOOKUP(B13,BB177:BC194,2,FALSE)</f>
        <v>0</v>
      </c>
      <c r="J13" s="462">
        <f>VLOOKUP(B13,AZ177:BA194,2,FALSE)</f>
        <v>0</v>
      </c>
      <c r="K13" s="462">
        <f>VLOOKUP(B13,AN177:AO194,2,FALSE)</f>
        <v>126</v>
      </c>
      <c r="L13" s="461">
        <f>VLOOKUP(B13,AN402:AO419,2,FALSE)</f>
        <v>0</v>
      </c>
      <c r="M13" s="461">
        <f>VLOOKUP(B13,AP402:AQ419,2,FALSE)</f>
        <v>0</v>
      </c>
      <c r="N13" s="461">
        <f>VLOOKUP(B13,AR402:AS419,2,FALSE)</f>
        <v>0</v>
      </c>
      <c r="O13" s="470"/>
      <c r="P13" s="468"/>
      <c r="Q13" s="226"/>
      <c r="R13" s="226"/>
      <c r="S13" s="226"/>
      <c r="T13" s="226"/>
      <c r="U13" s="226"/>
      <c r="V13" s="226"/>
      <c r="W13" s="226"/>
      <c r="X13" s="226"/>
      <c r="Y13" s="226"/>
      <c r="Z13" s="226"/>
      <c r="AA13" s="226"/>
      <c r="AB13" s="226"/>
      <c r="AC13" s="226"/>
      <c r="AD13" s="226"/>
      <c r="AE13" s="226"/>
      <c r="AF13" s="226"/>
      <c r="AG13" s="226"/>
      <c r="AH13" s="226"/>
      <c r="AI13" s="226"/>
      <c r="AJ13" s="226"/>
      <c r="AK13" s="226"/>
      <c r="AL13" s="226"/>
      <c r="AM13" s="112"/>
      <c r="AN13" s="456" t="s">
        <v>697</v>
      </c>
      <c r="AO13" s="456">
        <v>0.0</v>
      </c>
      <c r="AP13" s="457" t="s">
        <v>697</v>
      </c>
      <c r="AQ13" s="457">
        <v>117.66</v>
      </c>
      <c r="AR13" s="456" t="s">
        <v>697</v>
      </c>
      <c r="AS13" s="457">
        <v>0.0</v>
      </c>
      <c r="AT13" s="456" t="s">
        <v>697</v>
      </c>
      <c r="AU13" s="457">
        <v>45.0</v>
      </c>
      <c r="AV13" s="456" t="s">
        <v>697</v>
      </c>
      <c r="AW13" s="457">
        <v>0.0</v>
      </c>
      <c r="AX13" s="456" t="s">
        <v>697</v>
      </c>
      <c r="AY13" s="457">
        <v>30.0</v>
      </c>
      <c r="AZ13" s="456" t="s">
        <v>697</v>
      </c>
      <c r="BA13" s="457">
        <v>27.0</v>
      </c>
      <c r="BB13" s="456" t="s">
        <v>697</v>
      </c>
      <c r="BC13" s="457">
        <v>0.0</v>
      </c>
      <c r="BD13" s="456" t="s">
        <v>697</v>
      </c>
      <c r="BE13" s="457">
        <v>0.0</v>
      </c>
    </row>
    <row r="14">
      <c r="A14" s="458" t="s">
        <v>1967</v>
      </c>
      <c r="B14" s="459" t="s">
        <v>914</v>
      </c>
      <c r="C14" s="467">
        <f>ROUND((D14*C104)+(E14*C105)+(F14*C106)+(C107*G14)+(C108*H14)+(I14*C110)+(C109*J14)+(K14*C111)+(C112*V14)+(C113*W14)+(S14*C107)+(T14*C105)+(U14*C108)+(D141*C105), 2)</f>
        <v>63.3</v>
      </c>
      <c r="D14" s="462">
        <f>VLOOKUP(B14,AT177:AU194,2,FALSE)</f>
        <v>36</v>
      </c>
      <c r="E14" s="462">
        <f>VLOOKUP(B14,BD177:BE194,2,FALSE)</f>
        <v>0</v>
      </c>
      <c r="F14" s="462">
        <f>VLOOKUP(B14,AV177:AW194,2,FALSE)</f>
        <v>0</v>
      </c>
      <c r="G14" s="462">
        <f>VLOOKUP(B14,AX177:AY194,2,FALSE)</f>
        <v>30</v>
      </c>
      <c r="H14" s="462">
        <f>VLOOKUP(B14,AR177:AS194,2,FALSE)</f>
        <v>0</v>
      </c>
      <c r="I14" s="462">
        <f>VLOOKUP(B14,BB177:BC194,2,FALSE)</f>
        <v>0</v>
      </c>
      <c r="J14" s="462">
        <f>VLOOKUP(B14,AZ177:BA194,2,FALSE)</f>
        <v>0</v>
      </c>
      <c r="K14" s="462">
        <f>VLOOKUP(B14,AN177:AO194,2,FALSE)</f>
        <v>0</v>
      </c>
      <c r="L14" s="461">
        <f>VLOOKUP(B14,AN402:AO419,2,FALSE)</f>
        <v>0</v>
      </c>
      <c r="M14" s="461">
        <f>VLOOKUP(B14,AP402:AQ419,2,FALSE)</f>
        <v>0</v>
      </c>
      <c r="N14" s="461">
        <f>VLOOKUP(B14,AR402:AS419,2,FALSE)</f>
        <v>0</v>
      </c>
      <c r="O14" s="470"/>
      <c r="P14" s="226"/>
      <c r="Q14" s="226"/>
      <c r="R14" s="226"/>
      <c r="S14" s="226"/>
      <c r="T14" s="226"/>
      <c r="U14" s="226"/>
      <c r="V14" s="226"/>
      <c r="W14" s="226"/>
      <c r="X14" s="226"/>
      <c r="Y14" s="226"/>
      <c r="Z14" s="226"/>
      <c r="AA14" s="226"/>
      <c r="AB14" s="226"/>
      <c r="AC14" s="226"/>
      <c r="AD14" s="226"/>
      <c r="AE14" s="226"/>
      <c r="AF14" s="226"/>
      <c r="AG14" s="226"/>
      <c r="AH14" s="226"/>
      <c r="AI14" s="226"/>
      <c r="AJ14" s="226"/>
      <c r="AK14" s="226"/>
      <c r="AL14" s="226"/>
      <c r="AM14" s="112"/>
      <c r="AN14" s="456" t="s">
        <v>700</v>
      </c>
      <c r="AO14" s="456">
        <v>91.0</v>
      </c>
      <c r="AP14" s="457" t="s">
        <v>700</v>
      </c>
      <c r="AQ14" s="457">
        <v>102.54</v>
      </c>
      <c r="AR14" s="456" t="s">
        <v>700</v>
      </c>
      <c r="AS14" s="457">
        <v>0.0</v>
      </c>
      <c r="AT14" s="456" t="s">
        <v>700</v>
      </c>
      <c r="AU14" s="457">
        <v>39.0</v>
      </c>
      <c r="AV14" s="456" t="s">
        <v>700</v>
      </c>
      <c r="AW14" s="457">
        <v>39.0</v>
      </c>
      <c r="AX14" s="456" t="s">
        <v>700</v>
      </c>
      <c r="AY14" s="457">
        <v>0.0</v>
      </c>
      <c r="AZ14" s="456" t="s">
        <v>700</v>
      </c>
      <c r="BA14" s="457">
        <v>0.0</v>
      </c>
      <c r="BB14" s="456" t="s">
        <v>700</v>
      </c>
      <c r="BC14" s="457">
        <v>0.0</v>
      </c>
      <c r="BD14" s="456" t="s">
        <v>700</v>
      </c>
      <c r="BE14" s="457">
        <v>0.0</v>
      </c>
    </row>
    <row r="15">
      <c r="A15" s="458" t="s">
        <v>1968</v>
      </c>
      <c r="B15" s="459" t="s">
        <v>941</v>
      </c>
      <c r="C15" s="467">
        <f>ROUND((D15*C104)+(E15*C105)+(F15*C106)+(C107*G15)+(C108*H15)+(I15*C110)+(C109*J15)+(K15*C111)+(C112*V15)+(C113*W15)+(S15*C107)+(T15*C105)+(U15*C108)+(A140*C105)+(B140*C109)+(C140*C111), 2)</f>
        <v>73.94</v>
      </c>
      <c r="D15" s="462">
        <f>VLOOKUP(B15,AT214:AU222,2,FALSE)</f>
        <v>0</v>
      </c>
      <c r="E15" s="462">
        <f>VLOOKUP(B15,BD214:BE222,2,FALSE)</f>
        <v>84</v>
      </c>
      <c r="F15" s="462">
        <f>VLOOKUP(B15,AV214:AW222,2,FALSE)</f>
        <v>0</v>
      </c>
      <c r="G15" s="462">
        <f>VLOOKUP(B15,AX214:AY222,2,FALSE)</f>
        <v>0</v>
      </c>
      <c r="H15" s="462">
        <f>VLOOKUP(B15,AR214:AS222,2,FALSE)</f>
        <v>20</v>
      </c>
      <c r="I15" s="462">
        <f>VLOOKUP(B15,BB214:BC222,2,FALSE)</f>
        <v>0</v>
      </c>
      <c r="J15" s="462">
        <f>VLOOKUP(B15,AZ214:BA222,2,FALSE)</f>
        <v>0</v>
      </c>
      <c r="K15" s="462">
        <f>VLOOKUP(B15,AN214:AO222,2,FALSE)</f>
        <v>0</v>
      </c>
      <c r="L15" s="461"/>
      <c r="M15" s="471"/>
      <c r="N15" s="471"/>
      <c r="O15" s="470"/>
      <c r="P15" s="226"/>
      <c r="Q15" s="226"/>
      <c r="R15" s="226"/>
      <c r="S15" s="226"/>
      <c r="T15" s="226"/>
      <c r="U15" s="226"/>
      <c r="V15" s="226"/>
      <c r="W15" s="226"/>
      <c r="X15" s="226"/>
      <c r="Y15" s="226"/>
      <c r="Z15" s="226"/>
      <c r="AA15" s="226"/>
      <c r="AB15" s="226"/>
      <c r="AC15" s="226"/>
      <c r="AD15" s="226"/>
      <c r="AE15" s="226"/>
      <c r="AF15" s="226"/>
      <c r="AG15" s="226"/>
      <c r="AH15" s="226"/>
      <c r="AI15" s="226"/>
      <c r="AJ15" s="226"/>
      <c r="AK15" s="226"/>
      <c r="AL15" s="226"/>
      <c r="AM15" s="112"/>
      <c r="AN15" s="456" t="s">
        <v>1969</v>
      </c>
      <c r="AO15" s="456">
        <v>0.0</v>
      </c>
      <c r="AP15" s="457" t="s">
        <v>705</v>
      </c>
      <c r="AQ15" s="457">
        <v>89.43</v>
      </c>
      <c r="AR15" s="456" t="s">
        <v>1969</v>
      </c>
      <c r="AS15" s="457">
        <v>23.0</v>
      </c>
      <c r="AT15" s="456" t="s">
        <v>1969</v>
      </c>
      <c r="AU15" s="457">
        <v>47.0</v>
      </c>
      <c r="AV15" s="456" t="s">
        <v>1969</v>
      </c>
      <c r="AW15" s="457">
        <v>0.0</v>
      </c>
      <c r="AX15" s="456" t="s">
        <v>1969</v>
      </c>
      <c r="AY15" s="457">
        <v>32.0</v>
      </c>
      <c r="AZ15" s="456" t="s">
        <v>1969</v>
      </c>
      <c r="BA15" s="457">
        <v>0.0</v>
      </c>
      <c r="BB15" s="456" t="s">
        <v>1969</v>
      </c>
      <c r="BC15" s="457">
        <v>0.0</v>
      </c>
      <c r="BD15" s="456" t="s">
        <v>1969</v>
      </c>
      <c r="BE15" s="457">
        <v>0.0</v>
      </c>
    </row>
    <row r="16">
      <c r="A16" s="458" t="s">
        <v>1970</v>
      </c>
      <c r="B16" s="459" t="s">
        <v>946</v>
      </c>
      <c r="C16" s="467">
        <f>ROUND((D16*C104)+(E16*C105)+(F16*C106)+(C107*G16)+(C108*H16)+(I16*C110)+(C109*J16)+(K16*C111)+(C112*V16)+(C113*W16)+(S16*C107)+(T16*C105)+(U16*C108)+(A141*C105)+(B141*C109)+(C141*C111), 2)</f>
        <v>68.18</v>
      </c>
      <c r="D16" s="462">
        <f>VLOOKUP(B16,AT214:AU222,2,FALSE)</f>
        <v>0</v>
      </c>
      <c r="E16" s="462">
        <f>VLOOKUP(B16,BD214:BE222,2,FALSE)</f>
        <v>90</v>
      </c>
      <c r="F16" s="462">
        <f>VLOOKUP(B16,AV214:AW222,2,FALSE)</f>
        <v>0</v>
      </c>
      <c r="G16" s="462">
        <f>VLOOKUP(B16,AX214:AY222,2,FALSE)</f>
        <v>0</v>
      </c>
      <c r="H16" s="462">
        <f>VLOOKUP(B16,AR214:AS222,2,FALSE)</f>
        <v>0</v>
      </c>
      <c r="I16" s="462">
        <f>VLOOKUP(B16,BB214:BC222,2,FALSE)</f>
        <v>0</v>
      </c>
      <c r="J16" s="462">
        <f>VLOOKUP(B16,AZ214:BA222,2,FALSE)</f>
        <v>0</v>
      </c>
      <c r="K16" s="462">
        <f>VLOOKUP(B16,AN214:AO222,2,FALSE)</f>
        <v>0</v>
      </c>
      <c r="L16" s="471"/>
      <c r="M16" s="471"/>
      <c r="N16" s="471"/>
      <c r="O16" s="470"/>
      <c r="P16" s="226"/>
      <c r="Q16" s="226"/>
      <c r="R16" s="226"/>
      <c r="S16" s="226"/>
      <c r="T16" s="226"/>
      <c r="U16" s="226"/>
      <c r="V16" s="226"/>
      <c r="W16" s="226"/>
      <c r="X16" s="226"/>
      <c r="Y16" s="226"/>
      <c r="Z16" s="226"/>
      <c r="AA16" s="226"/>
      <c r="AB16" s="226"/>
      <c r="AC16" s="226"/>
      <c r="AD16" s="226"/>
      <c r="AE16" s="226"/>
      <c r="AF16" s="226"/>
      <c r="AG16" s="226"/>
      <c r="AH16" s="226"/>
      <c r="AI16" s="226"/>
      <c r="AJ16" s="226"/>
      <c r="AK16" s="226"/>
      <c r="AL16" s="226"/>
      <c r="AM16" s="112"/>
      <c r="AN16" s="456" t="s">
        <v>703</v>
      </c>
      <c r="AO16" s="456">
        <v>0.0</v>
      </c>
      <c r="AP16" s="457" t="s">
        <v>703</v>
      </c>
      <c r="AQ16" s="457">
        <v>92.18</v>
      </c>
      <c r="AR16" s="456" t="s">
        <v>703</v>
      </c>
      <c r="AS16" s="457">
        <v>0.0</v>
      </c>
      <c r="AT16" s="456" t="s">
        <v>703</v>
      </c>
      <c r="AU16" s="457">
        <v>38.0</v>
      </c>
      <c r="AV16" s="456" t="s">
        <v>703</v>
      </c>
      <c r="AW16" s="457">
        <v>0.0</v>
      </c>
      <c r="AX16" s="456" t="s">
        <v>703</v>
      </c>
      <c r="AY16" s="457">
        <v>35.0</v>
      </c>
      <c r="AZ16" s="456" t="s">
        <v>703</v>
      </c>
      <c r="BA16" s="457">
        <v>0.0</v>
      </c>
      <c r="BB16" s="456" t="s">
        <v>703</v>
      </c>
      <c r="BC16" s="457">
        <v>0.0</v>
      </c>
      <c r="BD16" s="456" t="s">
        <v>703</v>
      </c>
      <c r="BE16" s="457">
        <v>0.0</v>
      </c>
    </row>
    <row r="17">
      <c r="A17" s="458" t="s">
        <v>1971</v>
      </c>
      <c r="B17" s="459" t="s">
        <v>1128</v>
      </c>
      <c r="C17" s="467">
        <f>ROUND((D17*C104)+(E17*C105)+(F17*C106)+(C107*G17)+(C108*H17)+(I17*C110)+(C109*J17)+(K17*C111)+(C112*V17)+(C113*W17)+(S17*C107)+(T17*C105)+(U17*C108)+(B130*C116)+(B132*C119)+B134+(B135*C104), 2)</f>
        <v>1437.31</v>
      </c>
      <c r="D17" s="462">
        <f>VLOOKUP(B17,AT102:AU110,2,FALSE)</f>
        <v>75</v>
      </c>
      <c r="E17" s="462">
        <f>VLOOKUP(B17,BD102:BE110,2,FALSE)</f>
        <v>0</v>
      </c>
      <c r="F17" s="462">
        <f>VLOOKUP(B17,AV102:AW110,2,FALSE)</f>
        <v>0</v>
      </c>
      <c r="G17" s="462">
        <f>VLOOKUP(B17,AX102:AY110,2,FALSE)</f>
        <v>0</v>
      </c>
      <c r="H17" s="462">
        <f>VLOOKUP(B17,AR102:AS110,2,FALSE)</f>
        <v>0</v>
      </c>
      <c r="I17" s="462">
        <f>VLOOKUP(B17,BB102:BC110,2,FALSE)</f>
        <v>0</v>
      </c>
      <c r="J17" s="462">
        <f>VLOOKUP(B17,AZ102:BA110,2,FALSE)</f>
        <v>0</v>
      </c>
      <c r="K17" s="462">
        <f>VLOOKUP(B17,AN102:AO110,2,FALSE)</f>
        <v>335</v>
      </c>
      <c r="L17" s="461">
        <f>VLOOKUP(B17,AN327:AO335,2,FALSE)</f>
        <v>0</v>
      </c>
      <c r="M17" s="461">
        <f>VLOOKUP(B17,AP327:AQ335,2,FALSE)</f>
        <v>0</v>
      </c>
      <c r="N17" s="461">
        <f>VLOOKUP(B17,AR327:AS335,2,FALSE)</f>
        <v>0</v>
      </c>
      <c r="O17" s="463" t="str">
        <f>VLOOKUP(B17,AT327:AU335,2,FALSE)</f>
        <v/>
      </c>
      <c r="P17" s="468"/>
      <c r="Q17" s="465">
        <f>VLOOKUP(B17,AV327:AW335,2,FALSE)</f>
        <v>0</v>
      </c>
      <c r="R17" s="465">
        <f>VLOOKUP(B17,AX327:AY335,2,FALSE)</f>
        <v>0</v>
      </c>
      <c r="S17" s="465">
        <f>VLOOKUP(B17,AZ327:BA335,2,FALSE)</f>
        <v>0</v>
      </c>
      <c r="T17" s="465">
        <f>VLOOKUP(B17,BB327:BC335,2,FALSE)</f>
        <v>0</v>
      </c>
      <c r="U17" s="465">
        <f>VLOOKUP(B17,BD327:BE335,2,FALSE)</f>
        <v>0</v>
      </c>
      <c r="V17" s="466">
        <f>VLOOKUP(B17,AN541:AO550,2,FALSE)</f>
        <v>0</v>
      </c>
      <c r="W17" s="466">
        <f>VLOOKUP(B17,AP541:AQ550,2,FALSE)</f>
        <v>0</v>
      </c>
      <c r="X17" s="226"/>
      <c r="Y17" s="226"/>
      <c r="Z17" s="226"/>
      <c r="AA17" s="226"/>
      <c r="AB17" s="226"/>
      <c r="AC17" s="226"/>
      <c r="AD17" s="226"/>
      <c r="AE17" s="226"/>
      <c r="AF17" s="226"/>
      <c r="AG17" s="226"/>
      <c r="AH17" s="226"/>
      <c r="AI17" s="226"/>
      <c r="AJ17" s="226"/>
      <c r="AK17" s="226"/>
      <c r="AL17" s="226"/>
      <c r="AM17" s="112"/>
      <c r="AN17" s="456" t="s">
        <v>707</v>
      </c>
      <c r="AO17" s="456">
        <v>0.0</v>
      </c>
      <c r="AP17" s="457" t="s">
        <v>707</v>
      </c>
      <c r="AQ17" s="457">
        <v>88.74</v>
      </c>
      <c r="AR17" s="456" t="s">
        <v>707</v>
      </c>
      <c r="AS17" s="457">
        <v>13.0</v>
      </c>
      <c r="AT17" s="456" t="s">
        <v>707</v>
      </c>
      <c r="AU17" s="457">
        <v>39.0</v>
      </c>
      <c r="AV17" s="456" t="s">
        <v>707</v>
      </c>
      <c r="AW17" s="457">
        <v>0.0</v>
      </c>
      <c r="AX17" s="456" t="s">
        <v>707</v>
      </c>
      <c r="AY17" s="457">
        <v>22.0</v>
      </c>
      <c r="AZ17" s="456" t="s">
        <v>707</v>
      </c>
      <c r="BA17" s="457">
        <v>0.0</v>
      </c>
      <c r="BB17" s="456" t="s">
        <v>707</v>
      </c>
      <c r="BC17" s="457">
        <v>0.0</v>
      </c>
      <c r="BD17" s="456" t="s">
        <v>707</v>
      </c>
      <c r="BE17" s="457">
        <v>0.0</v>
      </c>
    </row>
    <row r="18">
      <c r="A18" s="458"/>
      <c r="B18" s="472"/>
      <c r="C18" s="467"/>
      <c r="D18" s="462"/>
      <c r="E18" s="462"/>
      <c r="F18" s="462"/>
      <c r="G18" s="462"/>
      <c r="H18" s="462"/>
      <c r="I18" s="462"/>
      <c r="J18" s="462"/>
      <c r="K18" s="462"/>
      <c r="L18" s="461"/>
      <c r="M18" s="461"/>
      <c r="N18" s="461"/>
      <c r="O18" s="463"/>
      <c r="P18" s="468"/>
      <c r="Q18" s="465"/>
      <c r="R18" s="465"/>
      <c r="S18" s="465"/>
      <c r="T18" s="465"/>
      <c r="U18" s="465"/>
      <c r="V18" s="466"/>
      <c r="W18" s="466"/>
      <c r="X18" s="226"/>
      <c r="Y18" s="226"/>
      <c r="Z18" s="226"/>
      <c r="AA18" s="226"/>
      <c r="AB18" s="226"/>
      <c r="AC18" s="226"/>
      <c r="AD18" s="226"/>
      <c r="AE18" s="226"/>
      <c r="AF18" s="226"/>
      <c r="AG18" s="226"/>
      <c r="AH18" s="226"/>
      <c r="AI18" s="226"/>
      <c r="AJ18" s="226"/>
      <c r="AK18" s="226"/>
      <c r="AL18" s="226"/>
      <c r="AM18" s="112"/>
      <c r="AN18" s="456" t="s">
        <v>709</v>
      </c>
      <c r="AO18" s="456">
        <v>0.0</v>
      </c>
      <c r="AP18" s="457" t="s">
        <v>709</v>
      </c>
      <c r="AQ18" s="457">
        <v>88.14</v>
      </c>
      <c r="AR18" s="456" t="s">
        <v>709</v>
      </c>
      <c r="AS18" s="457">
        <v>0.0</v>
      </c>
      <c r="AT18" s="456" t="s">
        <v>709</v>
      </c>
      <c r="AU18" s="457">
        <v>0.0</v>
      </c>
      <c r="AV18" s="456" t="s">
        <v>709</v>
      </c>
      <c r="AW18" s="457">
        <v>33.0</v>
      </c>
      <c r="AX18" s="456" t="s">
        <v>709</v>
      </c>
      <c r="AY18" s="457">
        <v>16.0</v>
      </c>
      <c r="AZ18" s="456" t="s">
        <v>709</v>
      </c>
      <c r="BA18" s="457">
        <v>0.0</v>
      </c>
      <c r="BB18" s="456" t="s">
        <v>709</v>
      </c>
      <c r="BC18" s="457">
        <v>10.0</v>
      </c>
      <c r="BD18" s="456" t="s">
        <v>709</v>
      </c>
      <c r="BE18" s="457">
        <v>60.0</v>
      </c>
    </row>
    <row r="19">
      <c r="A19" s="458" t="s">
        <v>972</v>
      </c>
      <c r="B19" s="459" t="s">
        <v>976</v>
      </c>
      <c r="C19" s="467">
        <f>ROUND((D19*C104)+(E19*C105)+(F19*C106)+(C107*G19)+(C108*H19)+(I19*C110)+(C109*J19)+(K19*C111)+(C112*V19)+(C113*W19)+(Q19*C104)+(R19*C106)+(S19*C107)+(T19*C105)+(U19*C108), 2)</f>
        <v>40.33</v>
      </c>
      <c r="D19" s="462">
        <f>VLOOKUP(B19,AT198:AU210,2,FALSE)</f>
        <v>0</v>
      </c>
      <c r="E19" s="462">
        <f>VLOOKUP(B19,BD198:BE210,2,FALSE)</f>
        <v>38</v>
      </c>
      <c r="F19" s="462">
        <f>VLOOKUP(B19,AV198:AW210,2,FALSE)</f>
        <v>0</v>
      </c>
      <c r="G19" s="462">
        <f>VLOOKUP(B19,AX198:AY210,2,FALSE)</f>
        <v>0</v>
      </c>
      <c r="H19" s="462">
        <f>VLOOKUP(B19,AR198:AS210,2,FALSE)</f>
        <v>0</v>
      </c>
      <c r="I19" s="462">
        <f>VLOOKUP(B19,BB198:BC210,2,FALSE)</f>
        <v>0</v>
      </c>
      <c r="J19" s="462">
        <f>VLOOKUP(B19,AZ198:BA210,2,FALSE)</f>
        <v>0</v>
      </c>
      <c r="K19" s="462">
        <f>VLOOKUP(B19,AN198:AO210,2,FALSE)</f>
        <v>126</v>
      </c>
      <c r="L19" s="461">
        <f>VLOOKUP(B19,AN422:AO434,2,FALSE)</f>
        <v>0</v>
      </c>
      <c r="M19" s="461">
        <f>VLOOKUP(B19,AP422:AQ434,2,FALSE)</f>
        <v>0</v>
      </c>
      <c r="N19" s="461">
        <f>VLOOKUP(B19,AR422:AS434,2,FALSE)</f>
        <v>0</v>
      </c>
      <c r="O19" s="463" t="str">
        <f>VLOOKUP(B19,AT422:AU434,2,FALSE)</f>
        <v/>
      </c>
      <c r="P19" s="468"/>
      <c r="Q19" s="465">
        <f>VLOOKUP(B19,AV422:AW434,2,FALSE)</f>
        <v>0</v>
      </c>
      <c r="R19" s="465">
        <f>VLOOKUP(B19,AX422:AY434,2,FALSE)</f>
        <v>0</v>
      </c>
      <c r="S19" s="465">
        <f>VLOOKUP(B19,AZ422:BA434,2,FALSE)</f>
        <v>0</v>
      </c>
      <c r="T19" s="465">
        <f>VLOOKUP(B19,BB422:BC434,2,FALSE)</f>
        <v>0</v>
      </c>
      <c r="U19" s="465">
        <f>VLOOKUP(B19,BD422:BE434,2,FALSE)</f>
        <v>0</v>
      </c>
      <c r="V19" s="466">
        <f>VLOOKUP(B19,AN637:AO649,2,FALSE)</f>
        <v>0</v>
      </c>
      <c r="W19" s="466">
        <f>VLOOKUP(B19,AP637:AQ649,2,FALSE)</f>
        <v>0</v>
      </c>
      <c r="X19" s="226"/>
      <c r="Y19" s="226"/>
      <c r="Z19" s="226"/>
      <c r="AA19" s="226"/>
      <c r="AB19" s="226"/>
      <c r="AC19" s="226"/>
      <c r="AD19" s="226"/>
      <c r="AE19" s="226"/>
      <c r="AF19" s="226"/>
      <c r="AG19" s="226"/>
      <c r="AH19" s="226"/>
      <c r="AI19" s="226"/>
      <c r="AJ19" s="226"/>
      <c r="AK19" s="226"/>
      <c r="AL19" s="226"/>
      <c r="AM19" s="112"/>
      <c r="AN19" s="456" t="s">
        <v>713</v>
      </c>
      <c r="AO19" s="456">
        <v>0.0</v>
      </c>
      <c r="AP19" s="457" t="s">
        <v>713</v>
      </c>
      <c r="AQ19" s="457">
        <v>87.56</v>
      </c>
      <c r="AR19" s="456" t="s">
        <v>713</v>
      </c>
      <c r="AS19" s="457">
        <v>19.0</v>
      </c>
      <c r="AT19" s="456" t="s">
        <v>713</v>
      </c>
      <c r="AU19" s="457">
        <v>47.0</v>
      </c>
      <c r="AV19" s="456" t="s">
        <v>713</v>
      </c>
      <c r="AW19" s="457">
        <v>0.0</v>
      </c>
      <c r="AX19" s="456" t="s">
        <v>713</v>
      </c>
      <c r="AY19" s="457">
        <v>0.0</v>
      </c>
      <c r="AZ19" s="456" t="s">
        <v>713</v>
      </c>
      <c r="BA19" s="457">
        <v>35.0</v>
      </c>
      <c r="BB19" s="456" t="s">
        <v>713</v>
      </c>
      <c r="BC19" s="457">
        <v>0.0</v>
      </c>
      <c r="BD19" s="456" t="s">
        <v>713</v>
      </c>
      <c r="BE19" s="457">
        <v>0.0</v>
      </c>
    </row>
    <row r="20">
      <c r="A20" s="458" t="s">
        <v>1972</v>
      </c>
      <c r="B20" s="473"/>
      <c r="C20" s="473"/>
      <c r="D20" s="456">
        <v>33.0</v>
      </c>
      <c r="E20" s="456">
        <v>114.0</v>
      </c>
      <c r="F20" s="456">
        <v>30.0</v>
      </c>
      <c r="G20" s="456">
        <v>22.0</v>
      </c>
      <c r="H20" s="456">
        <v>16.0</v>
      </c>
      <c r="I20" s="473"/>
      <c r="J20" s="473"/>
      <c r="K20" s="473"/>
      <c r="L20" s="473"/>
      <c r="M20" s="473"/>
      <c r="N20" s="473"/>
      <c r="O20" s="473"/>
      <c r="P20" s="473"/>
      <c r="Q20" s="473"/>
      <c r="R20" s="226"/>
      <c r="S20" s="226"/>
      <c r="T20" s="226"/>
      <c r="U20" s="226"/>
      <c r="V20" s="226"/>
      <c r="W20" s="226"/>
      <c r="X20" s="226"/>
      <c r="Y20" s="226"/>
      <c r="Z20" s="226"/>
      <c r="AA20" s="226"/>
      <c r="AB20" s="226"/>
      <c r="AC20" s="226"/>
      <c r="AD20" s="226"/>
      <c r="AE20" s="226"/>
      <c r="AF20" s="226"/>
      <c r="AG20" s="226"/>
      <c r="AH20" s="226"/>
      <c r="AI20" s="226"/>
      <c r="AJ20" s="226"/>
      <c r="AK20" s="226"/>
      <c r="AL20" s="226"/>
      <c r="AM20" s="112"/>
      <c r="AN20" s="456" t="s">
        <v>719</v>
      </c>
      <c r="AO20" s="456">
        <v>0.0</v>
      </c>
      <c r="AP20" s="457" t="s">
        <v>719</v>
      </c>
      <c r="AQ20" s="457">
        <v>84.62</v>
      </c>
      <c r="AR20" s="456" t="s">
        <v>719</v>
      </c>
      <c r="AS20" s="457">
        <v>18.0</v>
      </c>
      <c r="AT20" s="456" t="s">
        <v>719</v>
      </c>
      <c r="AU20" s="457">
        <v>36.0</v>
      </c>
      <c r="AV20" s="456" t="s">
        <v>719</v>
      </c>
      <c r="AW20" s="457">
        <v>0.0</v>
      </c>
      <c r="AX20" s="456" t="s">
        <v>719</v>
      </c>
      <c r="AY20" s="457">
        <v>20.0</v>
      </c>
      <c r="AZ20" s="456" t="s">
        <v>719</v>
      </c>
      <c r="BA20" s="457">
        <v>0.0</v>
      </c>
      <c r="BB20" s="456" t="s">
        <v>719</v>
      </c>
      <c r="BC20" s="457">
        <v>0.0</v>
      </c>
      <c r="BD20" s="456" t="s">
        <v>719</v>
      </c>
      <c r="BE20" s="457">
        <v>0.0</v>
      </c>
    </row>
    <row r="21">
      <c r="A21" s="458" t="s">
        <v>1973</v>
      </c>
      <c r="B21" s="473"/>
      <c r="C21" s="473"/>
      <c r="D21" s="474">
        <f>ROUND((10*B32)+(5*B33)+(5*B35)+(B34*5), 2)</f>
        <v>105</v>
      </c>
      <c r="E21" s="456"/>
      <c r="F21" s="475">
        <f>ROUND(P3*12, 2)</f>
        <v>12</v>
      </c>
      <c r="G21" s="474">
        <f>ROUND((10*B37)+(5*B33), 2)</f>
        <v>10</v>
      </c>
      <c r="H21" s="476">
        <f>Round((B36*10)+(B34*4),0)</f>
        <v>4</v>
      </c>
      <c r="I21" s="473"/>
      <c r="J21" s="473"/>
      <c r="K21" s="473"/>
      <c r="L21" s="473"/>
      <c r="M21" s="473"/>
      <c r="N21" s="473"/>
      <c r="O21" s="473"/>
      <c r="P21" s="473"/>
      <c r="Q21" s="473"/>
      <c r="R21" s="226"/>
      <c r="S21" s="226"/>
      <c r="T21" s="226"/>
      <c r="U21" s="226"/>
      <c r="V21" s="226"/>
      <c r="W21" s="226"/>
      <c r="X21" s="226"/>
      <c r="Y21" s="226"/>
      <c r="Z21" s="226"/>
      <c r="AA21" s="226"/>
      <c r="AB21" s="226"/>
      <c r="AC21" s="226"/>
      <c r="AD21" s="226"/>
      <c r="AE21" s="226"/>
      <c r="AF21" s="226"/>
      <c r="AG21" s="226"/>
      <c r="AH21" s="226"/>
      <c r="AI21" s="226"/>
      <c r="AJ21" s="226"/>
      <c r="AK21" s="226"/>
      <c r="AL21" s="226"/>
      <c r="AM21" s="112"/>
      <c r="AN21" s="456" t="s">
        <v>721</v>
      </c>
      <c r="AO21" s="456">
        <v>0.0</v>
      </c>
      <c r="AP21" s="457" t="s">
        <v>721</v>
      </c>
      <c r="AQ21" s="457">
        <v>84.36</v>
      </c>
      <c r="AR21" s="456" t="s">
        <v>721</v>
      </c>
      <c r="AS21" s="457">
        <v>0.0</v>
      </c>
      <c r="AT21" s="456" t="s">
        <v>721</v>
      </c>
      <c r="AU21" s="457">
        <v>38.0</v>
      </c>
      <c r="AV21" s="456" t="s">
        <v>721</v>
      </c>
      <c r="AW21" s="457">
        <v>0.0</v>
      </c>
      <c r="AX21" s="456" t="s">
        <v>721</v>
      </c>
      <c r="AY21" s="457">
        <v>29.0</v>
      </c>
      <c r="AZ21" s="456" t="s">
        <v>721</v>
      </c>
      <c r="BA21" s="457">
        <v>0.0</v>
      </c>
      <c r="BB21" s="456" t="s">
        <v>721</v>
      </c>
      <c r="BC21" s="457">
        <v>0.0</v>
      </c>
      <c r="BD21" s="456" t="s">
        <v>721</v>
      </c>
      <c r="BE21" s="457">
        <v>0.0</v>
      </c>
    </row>
    <row r="22">
      <c r="A22" s="458" t="s">
        <v>1974</v>
      </c>
      <c r="B22" s="449"/>
      <c r="C22" s="473"/>
      <c r="D22" s="474">
        <f>ROUND(Q3+Q4+Q5+Q6+Q7+Q8+Q9+Q10+Q11+Q12+Q13+Q17+Q18+Q19, 2)</f>
        <v>3</v>
      </c>
      <c r="E22" s="456">
        <f>ROUND(T3+T4+T5+T6+T7+T8+T9+T10+T11+T12+T13+T14+T15+T16+T17+T18+T19, 2)</f>
        <v>0</v>
      </c>
      <c r="F22" s="477">
        <f>ROUND(R3+R4+R5+R6+R7+R8+R9+R10+R11+R12+R13+R17+R18+R19, 2)</f>
        <v>0</v>
      </c>
      <c r="G22" s="456">
        <f>ROUND(S3+S4+S5+S6+S7+S8+S9+S10+S11+S12+S13+S14+S15+S16+S17+S18+S19, 2)</f>
        <v>3</v>
      </c>
      <c r="H22" s="476">
        <f>ROUND(U3+U4+U5+U6+U7+U8+U9+U10+U11+U12+U13+U14+U15+U16+U17+U18+U19, 2)</f>
        <v>0</v>
      </c>
      <c r="I22" s="473"/>
      <c r="J22" s="473"/>
      <c r="K22" s="473"/>
      <c r="L22" s="473"/>
      <c r="M22" s="473"/>
      <c r="N22" s="473"/>
      <c r="O22" s="473"/>
      <c r="P22" s="473"/>
      <c r="Q22" s="473"/>
      <c r="R22" s="226"/>
      <c r="S22" s="226"/>
      <c r="T22" s="226"/>
      <c r="U22" s="226"/>
      <c r="V22" s="226"/>
      <c r="W22" s="226"/>
      <c r="X22" s="226"/>
      <c r="Y22" s="226"/>
      <c r="Z22" s="226"/>
      <c r="AA22" s="226"/>
      <c r="AB22" s="226"/>
      <c r="AC22" s="226"/>
      <c r="AD22" s="226"/>
      <c r="AE22" s="226"/>
      <c r="AF22" s="226"/>
      <c r="AG22" s="226"/>
      <c r="AH22" s="226"/>
      <c r="AI22" s="226"/>
      <c r="AJ22" s="226"/>
      <c r="AK22" s="226"/>
      <c r="AL22" s="226"/>
      <c r="AM22" s="112"/>
      <c r="AN22" s="456" t="s">
        <v>1525</v>
      </c>
      <c r="AO22" s="456">
        <v>0.0</v>
      </c>
      <c r="AP22" s="457" t="s">
        <v>1525</v>
      </c>
      <c r="AQ22" s="457">
        <v>74.19</v>
      </c>
      <c r="AR22" s="456" t="s">
        <v>1525</v>
      </c>
      <c r="AS22" s="457">
        <v>13.0</v>
      </c>
      <c r="AT22" s="456" t="s">
        <v>1525</v>
      </c>
      <c r="AU22" s="457">
        <v>32.0</v>
      </c>
      <c r="AV22" s="456" t="s">
        <v>1525</v>
      </c>
      <c r="AW22" s="457">
        <v>22.0</v>
      </c>
      <c r="AX22" s="456" t="s">
        <v>1525</v>
      </c>
      <c r="AY22" s="457">
        <v>0.0</v>
      </c>
      <c r="AZ22" s="456" t="s">
        <v>1525</v>
      </c>
      <c r="BA22" s="457">
        <v>0.0</v>
      </c>
      <c r="BB22" s="456" t="s">
        <v>1525</v>
      </c>
      <c r="BC22" s="457">
        <v>0.0</v>
      </c>
      <c r="BD22" s="456" t="s">
        <v>1525</v>
      </c>
      <c r="BE22" s="457">
        <v>0.0</v>
      </c>
      <c r="BF22" s="112"/>
      <c r="BG22" s="112"/>
    </row>
    <row r="23">
      <c r="A23" s="478" t="s">
        <v>1975</v>
      </c>
      <c r="B23" s="479"/>
      <c r="C23" s="480">
        <f>ROUND(C3+C4+C5+C6+C7+C8+C9+C10+C11+C12+C13+C14+C15+C16+C17+C18+C19+K51+K52+K54+K55+(K59*C110), 2)</f>
        <v>2835.34</v>
      </c>
      <c r="D23" s="480">
        <f t="shared" ref="D23:H23" si="1">ROUND(D3+D4+D5+D6+D7+D8+D9+D10+D11+D12+D13+D14+D15+D16+D17+D18+D19+D20+D21+D22+Q25, 2)</f>
        <v>473</v>
      </c>
      <c r="E23" s="480">
        <f t="shared" si="1"/>
        <v>742</v>
      </c>
      <c r="F23" s="480">
        <f t="shared" si="1"/>
        <v>214</v>
      </c>
      <c r="G23" s="480">
        <f t="shared" si="1"/>
        <v>246</v>
      </c>
      <c r="H23" s="480">
        <f t="shared" si="1"/>
        <v>143</v>
      </c>
      <c r="I23" s="480">
        <f>ROUND(I3+I4+I5+I6+I7+I8+I9+I10+I11+I12+I13+I14+I15+I16+I17+I18+I19+I20+I21+W25, 2)</f>
        <v>25</v>
      </c>
      <c r="J23" s="480">
        <f>ROUND(J3+J4+J5+J6+J7+J8+J9+J10+J11+J12+J13+J14+J15+J16+J17+J18+J19+J20+J21+V25, 2)</f>
        <v>0</v>
      </c>
      <c r="K23" s="480">
        <f>ROUND(K3+K4+K5+K6+K7+K8+K9+K10+K11+K12+K13+K14+K15+K16+K17+K18+K19+K20+K21, 2)</f>
        <v>1441</v>
      </c>
      <c r="L23" s="480">
        <f t="shared" ref="L23:N23" si="2">ROUND(L3+L4+L5+L6+L7+L8+L9+L10+L11+L12+L13+L14+L15+L16+L17+L18+L19, 2)</f>
        <v>4</v>
      </c>
      <c r="M23" s="480">
        <f t="shared" si="2"/>
        <v>5</v>
      </c>
      <c r="N23" s="480">
        <f t="shared" si="2"/>
        <v>4</v>
      </c>
      <c r="O23" s="481"/>
      <c r="P23" s="226"/>
      <c r="Q23" s="226"/>
      <c r="R23" s="226"/>
      <c r="S23" s="226"/>
      <c r="T23" s="226"/>
      <c r="U23" s="465" t="s">
        <v>1976</v>
      </c>
      <c r="V23" s="482">
        <f t="shared" ref="V23:W23" si="3">ROUND(V3+V4+V5+V6+V7+V8+V9+V10+V11+V12+V13+V14+V15+V16+V17+V18+V19, 2)</f>
        <v>11</v>
      </c>
      <c r="W23" s="482">
        <f t="shared" si="3"/>
        <v>2</v>
      </c>
      <c r="X23" s="226"/>
      <c r="Y23" s="226"/>
      <c r="Z23" s="226"/>
      <c r="AA23" s="226"/>
      <c r="AB23" s="226"/>
      <c r="AC23" s="226"/>
      <c r="AD23" s="226"/>
      <c r="AE23" s="226"/>
      <c r="AF23" s="226"/>
      <c r="AG23" s="226"/>
      <c r="AH23" s="226"/>
      <c r="AI23" s="226"/>
      <c r="AJ23" s="226"/>
      <c r="AK23" s="226"/>
      <c r="AL23" s="226"/>
      <c r="AM23" s="112"/>
      <c r="AN23" s="456" t="s">
        <v>1522</v>
      </c>
      <c r="AO23" s="456">
        <v>0.0</v>
      </c>
      <c r="AP23" s="457" t="s">
        <v>1522</v>
      </c>
      <c r="AQ23" s="457">
        <v>74.6</v>
      </c>
      <c r="AR23" s="456" t="s">
        <v>1522</v>
      </c>
      <c r="AS23" s="457">
        <v>9.0</v>
      </c>
      <c r="AT23" s="456" t="s">
        <v>1522</v>
      </c>
      <c r="AU23" s="457">
        <v>32.0</v>
      </c>
      <c r="AV23" s="456" t="s">
        <v>1522</v>
      </c>
      <c r="AW23" s="457">
        <v>0.0</v>
      </c>
      <c r="AX23" s="456" t="s">
        <v>1522</v>
      </c>
      <c r="AY23" s="457">
        <v>17.0</v>
      </c>
      <c r="AZ23" s="456" t="s">
        <v>1522</v>
      </c>
      <c r="BA23" s="457">
        <v>0.0</v>
      </c>
      <c r="BB23" s="456" t="s">
        <v>1522</v>
      </c>
      <c r="BC23" s="457">
        <v>0.0</v>
      </c>
      <c r="BD23" s="456" t="s">
        <v>1522</v>
      </c>
      <c r="BE23" s="457">
        <v>0.0</v>
      </c>
      <c r="BF23" s="112"/>
      <c r="BG23" s="112"/>
    </row>
    <row r="24">
      <c r="A24" s="458" t="s">
        <v>1977</v>
      </c>
      <c r="B24" s="449" t="s">
        <v>1978</v>
      </c>
      <c r="C24" s="449" t="s">
        <v>1979</v>
      </c>
      <c r="D24" s="449"/>
      <c r="E24" s="449"/>
      <c r="F24" s="466">
        <f>ROUND(F23+91,0)</f>
        <v>305</v>
      </c>
      <c r="G24" s="449"/>
      <c r="H24" s="449"/>
      <c r="I24" s="449"/>
      <c r="J24" s="449"/>
      <c r="K24" s="226"/>
      <c r="L24" s="458"/>
      <c r="M24" s="386"/>
      <c r="N24" s="386"/>
      <c r="O24" s="386"/>
      <c r="P24" s="483"/>
      <c r="Q24" s="484" t="s">
        <v>328</v>
      </c>
      <c r="R24" s="484" t="s">
        <v>327</v>
      </c>
      <c r="S24" s="484" t="s">
        <v>329</v>
      </c>
      <c r="T24" s="484" t="s">
        <v>330</v>
      </c>
      <c r="U24" s="484" t="s">
        <v>344</v>
      </c>
      <c r="V24" s="484" t="s">
        <v>356</v>
      </c>
      <c r="W24" s="484" t="s">
        <v>563</v>
      </c>
      <c r="X24" s="476"/>
      <c r="Y24" s="476"/>
      <c r="Z24" s="476"/>
      <c r="AA24" s="476"/>
      <c r="AB24" s="476"/>
      <c r="AC24" s="476"/>
      <c r="AD24" s="476"/>
      <c r="AE24" s="476"/>
      <c r="AF24" s="476"/>
      <c r="AG24" s="476"/>
      <c r="AH24" s="476"/>
      <c r="AI24" s="476"/>
      <c r="AJ24" s="476"/>
      <c r="AK24" s="476"/>
      <c r="AL24" s="476"/>
      <c r="AM24" s="485"/>
      <c r="BF24" s="486"/>
      <c r="BG24" s="486"/>
    </row>
    <row r="25">
      <c r="A25" s="478" t="s">
        <v>327</v>
      </c>
      <c r="B25" s="487">
        <f>ROUND((490+E23)+(D23*2), 2)</f>
        <v>2178</v>
      </c>
      <c r="C25" s="488">
        <f>ROUNDUP(B25, 0)</f>
        <v>2178</v>
      </c>
      <c r="D25" s="476"/>
      <c r="E25" s="226"/>
      <c r="F25" s="456" t="s">
        <v>1980</v>
      </c>
      <c r="G25" s="476"/>
      <c r="H25" s="476"/>
      <c r="I25" s="476"/>
      <c r="J25" s="476"/>
      <c r="K25" s="473"/>
      <c r="L25" s="465"/>
      <c r="M25" s="473"/>
      <c r="N25" s="473"/>
      <c r="O25" s="473"/>
      <c r="P25" s="489" t="s">
        <v>1981</v>
      </c>
      <c r="Q25" s="489">
        <v>0.0</v>
      </c>
      <c r="R25" s="489">
        <v>0.0</v>
      </c>
      <c r="S25" s="489">
        <v>3.0</v>
      </c>
      <c r="T25" s="489">
        <v>3.0</v>
      </c>
      <c r="U25" s="489">
        <v>0.0</v>
      </c>
      <c r="V25" s="489">
        <v>0.0</v>
      </c>
      <c r="W25" s="489">
        <v>0.0</v>
      </c>
      <c r="X25" s="226"/>
      <c r="Y25" s="226"/>
      <c r="Z25" s="226"/>
      <c r="AA25" s="226"/>
      <c r="AB25" s="226"/>
      <c r="AC25" s="226"/>
      <c r="AD25" s="226"/>
      <c r="AE25" s="226"/>
      <c r="AF25" s="226"/>
      <c r="AG25" s="226"/>
      <c r="AH25" s="226"/>
      <c r="AI25" s="226"/>
      <c r="AJ25" s="226"/>
      <c r="AK25" s="226"/>
      <c r="AL25" s="226"/>
      <c r="AM25" s="112"/>
      <c r="AN25" s="449" t="s">
        <v>1982</v>
      </c>
      <c r="AO25" s="449" t="s">
        <v>1920</v>
      </c>
      <c r="AP25" s="450" t="s">
        <v>1982</v>
      </c>
      <c r="AQ25" s="490" t="s">
        <v>1922</v>
      </c>
      <c r="AR25" s="449" t="s">
        <v>1982</v>
      </c>
      <c r="AS25" s="450" t="s">
        <v>1983</v>
      </c>
      <c r="AT25" s="449" t="s">
        <v>1982</v>
      </c>
      <c r="AU25" s="450" t="s">
        <v>1984</v>
      </c>
      <c r="AV25" s="449" t="s">
        <v>1982</v>
      </c>
      <c r="AW25" s="450" t="s">
        <v>1985</v>
      </c>
      <c r="AX25" s="449" t="s">
        <v>1982</v>
      </c>
      <c r="AY25" s="450" t="s">
        <v>1986</v>
      </c>
      <c r="AZ25" s="449" t="s">
        <v>1987</v>
      </c>
      <c r="BA25" s="450" t="s">
        <v>1988</v>
      </c>
      <c r="BB25" s="449" t="s">
        <v>1989</v>
      </c>
      <c r="BC25" s="450" t="s">
        <v>1990</v>
      </c>
      <c r="BD25" s="449" t="s">
        <v>1991</v>
      </c>
      <c r="BE25" s="450" t="s">
        <v>1992</v>
      </c>
      <c r="BF25" s="340"/>
      <c r="BG25" s="340"/>
    </row>
    <row r="26">
      <c r="A26" s="478" t="s">
        <v>1993</v>
      </c>
      <c r="B26" s="487">
        <f>ROUND((1.14+5)+(F24/33)+(G23/22.08)+(K53/22.08), 2)</f>
        <v>26.52</v>
      </c>
      <c r="C26" s="491">
        <f>ROUND(B26+3, 2)</f>
        <v>29.52</v>
      </c>
      <c r="D26" s="476"/>
      <c r="E26" s="226"/>
      <c r="F26" s="456"/>
      <c r="G26" s="476"/>
      <c r="H26" s="476"/>
      <c r="I26" s="476"/>
      <c r="J26" s="476"/>
      <c r="K26" s="473"/>
      <c r="L26" s="473"/>
      <c r="M26" s="473"/>
      <c r="N26" s="473"/>
      <c r="O26" s="473"/>
      <c r="P26" s="226"/>
      <c r="Q26" s="226"/>
      <c r="R26" s="226"/>
      <c r="S26" s="226"/>
      <c r="T26" s="226"/>
      <c r="U26" s="226"/>
      <c r="V26" s="226"/>
      <c r="W26" s="226"/>
      <c r="X26" s="226"/>
      <c r="Y26" s="226"/>
      <c r="Z26" s="226"/>
      <c r="AA26" s="226"/>
      <c r="AB26" s="226"/>
      <c r="AC26" s="226"/>
      <c r="AD26" s="226"/>
      <c r="AE26" s="226"/>
      <c r="AF26" s="226"/>
      <c r="AG26" s="226"/>
      <c r="AH26" s="226"/>
      <c r="AI26" s="226"/>
      <c r="AJ26" s="226"/>
      <c r="AK26" s="226"/>
      <c r="AL26" s="226"/>
      <c r="AM26" s="112"/>
      <c r="AN26" s="456" t="s">
        <v>620</v>
      </c>
      <c r="AO26" s="456">
        <v>182.0</v>
      </c>
      <c r="AP26" s="457" t="s">
        <v>620</v>
      </c>
      <c r="AQ26" s="457">
        <v>207.64</v>
      </c>
      <c r="AR26" s="456" t="s">
        <v>620</v>
      </c>
      <c r="AS26" s="457">
        <v>0.0</v>
      </c>
      <c r="AT26" s="456" t="s">
        <v>620</v>
      </c>
      <c r="AU26" s="457">
        <v>0.0</v>
      </c>
      <c r="AV26" s="456" t="s">
        <v>620</v>
      </c>
      <c r="AW26" s="457">
        <v>43.0</v>
      </c>
      <c r="AX26" s="456" t="s">
        <v>620</v>
      </c>
      <c r="AY26" s="457">
        <v>34.0</v>
      </c>
      <c r="AZ26" s="456" t="s">
        <v>620</v>
      </c>
      <c r="BA26" s="457">
        <v>0.0</v>
      </c>
      <c r="BB26" s="456" t="s">
        <v>620</v>
      </c>
      <c r="BC26" s="457">
        <v>0.0</v>
      </c>
      <c r="BD26" s="456" t="s">
        <v>620</v>
      </c>
      <c r="BE26" s="457">
        <v>126.0</v>
      </c>
      <c r="BF26" s="340"/>
      <c r="BG26" s="340"/>
    </row>
    <row r="27">
      <c r="A27" s="478" t="s">
        <v>1994</v>
      </c>
      <c r="B27" s="487">
        <f>ROUND(H23, 2)</f>
        <v>143</v>
      </c>
      <c r="C27" s="492" t="s">
        <v>1995</v>
      </c>
      <c r="D27" s="493">
        <f>ROUND((B27/15.77), 2)</f>
        <v>9.07</v>
      </c>
      <c r="E27" s="476"/>
      <c r="F27" s="226"/>
      <c r="G27" s="476"/>
      <c r="H27" s="476"/>
      <c r="I27" s="476"/>
      <c r="J27" s="476"/>
      <c r="K27" s="473"/>
      <c r="L27" s="473"/>
      <c r="M27" s="473"/>
      <c r="N27" s="473"/>
      <c r="O27" s="473"/>
      <c r="P27" s="226"/>
      <c r="Q27" s="226"/>
      <c r="R27" s="226"/>
      <c r="S27" s="226"/>
      <c r="T27" s="226"/>
      <c r="U27" s="226"/>
      <c r="V27" s="226"/>
      <c r="W27" s="226"/>
      <c r="X27" s="226"/>
      <c r="Y27" s="226"/>
      <c r="Z27" s="226"/>
      <c r="AA27" s="226"/>
      <c r="AB27" s="226"/>
      <c r="AC27" s="226"/>
      <c r="AD27" s="226"/>
      <c r="AE27" s="226"/>
      <c r="AF27" s="226"/>
      <c r="AG27" s="226"/>
      <c r="AH27" s="226"/>
      <c r="AI27" s="226"/>
      <c r="AJ27" s="226"/>
      <c r="AK27" s="226"/>
      <c r="AL27" s="226"/>
      <c r="AM27" s="112"/>
      <c r="AN27" s="456" t="s">
        <v>623</v>
      </c>
      <c r="AO27" s="456">
        <v>231.0</v>
      </c>
      <c r="AP27" s="457" t="s">
        <v>623</v>
      </c>
      <c r="AQ27" s="457">
        <v>198.62</v>
      </c>
      <c r="AR27" s="456" t="s">
        <v>623</v>
      </c>
      <c r="AS27" s="457">
        <v>0.0</v>
      </c>
      <c r="AT27" s="456" t="s">
        <v>623</v>
      </c>
      <c r="AU27" s="457">
        <v>61.0</v>
      </c>
      <c r="AV27" s="456" t="s">
        <v>623</v>
      </c>
      <c r="AW27" s="457">
        <v>0.0</v>
      </c>
      <c r="AX27" s="456" t="s">
        <v>623</v>
      </c>
      <c r="AY27" s="457">
        <v>40.0</v>
      </c>
      <c r="AZ27" s="456" t="s">
        <v>623</v>
      </c>
      <c r="BA27" s="457">
        <v>0.0</v>
      </c>
      <c r="BB27" s="456" t="s">
        <v>623</v>
      </c>
      <c r="BC27" s="457">
        <v>0.0</v>
      </c>
      <c r="BD27" s="456" t="s">
        <v>623</v>
      </c>
      <c r="BE27" s="457">
        <v>0.0</v>
      </c>
      <c r="BF27" s="340"/>
      <c r="BG27" s="340"/>
    </row>
    <row r="28">
      <c r="A28" s="478" t="s">
        <v>1996</v>
      </c>
      <c r="B28" s="494">
        <f>ROUND(J23/15.77, 2)</f>
        <v>0</v>
      </c>
      <c r="C28" s="495"/>
      <c r="D28" s="495"/>
      <c r="E28" s="476"/>
      <c r="F28" s="226"/>
      <c r="G28" s="476"/>
      <c r="H28" s="456"/>
      <c r="I28" s="476"/>
      <c r="J28" s="476"/>
      <c r="K28" s="473"/>
      <c r="L28" s="473"/>
      <c r="M28" s="473"/>
      <c r="N28" s="473"/>
      <c r="O28" s="473"/>
      <c r="P28" s="226"/>
      <c r="Q28" s="226"/>
      <c r="R28" s="226"/>
      <c r="S28" s="226"/>
      <c r="T28" s="226"/>
      <c r="U28" s="226"/>
      <c r="V28" s="226"/>
      <c r="W28" s="226"/>
      <c r="X28" s="226"/>
      <c r="Y28" s="226"/>
      <c r="Z28" s="226"/>
      <c r="AA28" s="226"/>
      <c r="AB28" s="226"/>
      <c r="AC28" s="226"/>
      <c r="AD28" s="226"/>
      <c r="AE28" s="226"/>
      <c r="AF28" s="226"/>
      <c r="AG28" s="226"/>
      <c r="AH28" s="226"/>
      <c r="AI28" s="226"/>
      <c r="AJ28" s="226"/>
      <c r="AK28" s="226"/>
      <c r="AL28" s="226"/>
      <c r="AM28" s="112"/>
      <c r="AN28" s="456" t="s">
        <v>631</v>
      </c>
      <c r="AO28" s="456">
        <v>0.0</v>
      </c>
      <c r="AP28" s="457" t="s">
        <v>631</v>
      </c>
      <c r="AQ28" s="457">
        <v>174.78</v>
      </c>
      <c r="AR28" s="456" t="s">
        <v>631</v>
      </c>
      <c r="AS28" s="457">
        <v>21.0</v>
      </c>
      <c r="AT28" s="456" t="s">
        <v>631</v>
      </c>
      <c r="AU28" s="457">
        <v>0.0</v>
      </c>
      <c r="AV28" s="456" t="s">
        <v>631</v>
      </c>
      <c r="AW28" s="457">
        <v>39.0</v>
      </c>
      <c r="AX28" s="456" t="s">
        <v>631</v>
      </c>
      <c r="AY28" s="457">
        <v>38.0</v>
      </c>
      <c r="AZ28" s="456" t="s">
        <v>631</v>
      </c>
      <c r="BA28" s="457">
        <v>0.0</v>
      </c>
      <c r="BB28" s="456" t="s">
        <v>631</v>
      </c>
      <c r="BC28" s="457">
        <v>0.0</v>
      </c>
      <c r="BD28" s="456" t="s">
        <v>631</v>
      </c>
      <c r="BE28" s="457">
        <v>108.0</v>
      </c>
      <c r="BF28" s="340"/>
      <c r="BG28" s="340"/>
    </row>
    <row r="29">
      <c r="A29" s="478" t="s">
        <v>563</v>
      </c>
      <c r="B29" s="494">
        <f>ROUNDDOWN((I23/3.9423)+(K59/3.9423),0)</f>
        <v>6</v>
      </c>
      <c r="C29" s="492" t="s">
        <v>1997</v>
      </c>
      <c r="D29" s="496">
        <f>Round(B29*0.25+2, 2)
</f>
        <v>3.5</v>
      </c>
      <c r="E29" s="476"/>
      <c r="F29" s="226"/>
      <c r="G29" s="476"/>
      <c r="H29" s="476"/>
      <c r="I29" s="476"/>
      <c r="J29" s="476"/>
      <c r="K29" s="473"/>
      <c r="L29" s="473"/>
      <c r="M29" s="473"/>
      <c r="N29" s="473"/>
      <c r="O29" s="473"/>
      <c r="P29" s="226"/>
      <c r="Q29" s="226"/>
      <c r="R29" s="226"/>
      <c r="S29" s="226"/>
      <c r="T29" s="226"/>
      <c r="U29" s="226"/>
      <c r="V29" s="226"/>
      <c r="W29" s="226"/>
      <c r="X29" s="226"/>
      <c r="Y29" s="226"/>
      <c r="Z29" s="226"/>
      <c r="AA29" s="226"/>
      <c r="AB29" s="226"/>
      <c r="AC29" s="226"/>
      <c r="AD29" s="226"/>
      <c r="AE29" s="226"/>
      <c r="AF29" s="226"/>
      <c r="AG29" s="226"/>
      <c r="AH29" s="226"/>
      <c r="AI29" s="226"/>
      <c r="AJ29" s="226"/>
      <c r="AK29" s="226"/>
      <c r="AL29" s="226"/>
      <c r="AN29" s="456" t="s">
        <v>628</v>
      </c>
      <c r="AO29" s="456">
        <v>0.0</v>
      </c>
      <c r="AP29" s="457" t="s">
        <v>628</v>
      </c>
      <c r="AQ29" s="457">
        <v>178.44</v>
      </c>
      <c r="AR29" s="456" t="s">
        <v>628</v>
      </c>
      <c r="AS29" s="457">
        <v>26.0</v>
      </c>
      <c r="AT29" s="456" t="s">
        <v>628</v>
      </c>
      <c r="AU29" s="457">
        <v>62.0</v>
      </c>
      <c r="AV29" s="456" t="s">
        <v>628</v>
      </c>
      <c r="AW29" s="457">
        <v>0.0</v>
      </c>
      <c r="AX29" s="456" t="s">
        <v>628</v>
      </c>
      <c r="AY29" s="457">
        <v>51.0</v>
      </c>
      <c r="AZ29" s="456" t="s">
        <v>628</v>
      </c>
      <c r="BA29" s="457">
        <v>0.0</v>
      </c>
      <c r="BB29" s="456" t="s">
        <v>628</v>
      </c>
      <c r="BC29" s="457">
        <v>0.0</v>
      </c>
      <c r="BD29" s="456" t="s">
        <v>628</v>
      </c>
      <c r="BE29" s="457">
        <v>0.0</v>
      </c>
      <c r="BF29" s="112"/>
      <c r="BG29" s="112"/>
    </row>
    <row r="30">
      <c r="A30" s="478" t="s">
        <v>564</v>
      </c>
      <c r="B30" s="494">
        <f>ROUND(K23, 2)</f>
        <v>1441</v>
      </c>
      <c r="C30" s="451">
        <v>0.0</v>
      </c>
      <c r="D30" s="476"/>
      <c r="E30" s="476"/>
      <c r="F30" s="226"/>
      <c r="G30" s="476"/>
      <c r="H30" s="476"/>
      <c r="I30" s="476"/>
      <c r="J30" s="476"/>
      <c r="K30" s="476"/>
      <c r="L30" s="476"/>
      <c r="M30" s="476"/>
      <c r="N30" s="476"/>
      <c r="O30" s="476"/>
      <c r="P30" s="226"/>
      <c r="Q30" s="226"/>
      <c r="R30" s="226"/>
      <c r="S30" s="226"/>
      <c r="T30" s="226"/>
      <c r="U30" s="226"/>
      <c r="V30" s="226"/>
      <c r="W30" s="226"/>
      <c r="X30" s="226"/>
      <c r="Y30" s="226"/>
      <c r="Z30" s="226"/>
      <c r="AA30" s="226"/>
      <c r="AB30" s="226"/>
      <c r="AC30" s="226"/>
      <c r="AD30" s="226"/>
      <c r="AE30" s="226"/>
      <c r="AF30" s="226"/>
      <c r="AG30" s="226"/>
      <c r="AH30" s="226"/>
      <c r="AI30" s="226"/>
      <c r="AJ30" s="226"/>
      <c r="AK30" s="226"/>
      <c r="AL30" s="226"/>
      <c r="AN30" s="497" t="s">
        <v>636</v>
      </c>
      <c r="AO30" s="456">
        <v>84.0</v>
      </c>
      <c r="AP30" s="498" t="s">
        <v>636</v>
      </c>
      <c r="AQ30" s="457">
        <v>165.2</v>
      </c>
      <c r="AR30" s="497" t="s">
        <v>636</v>
      </c>
      <c r="AS30" s="457">
        <v>18.0</v>
      </c>
      <c r="AT30" s="497" t="s">
        <v>636</v>
      </c>
      <c r="AU30" s="457">
        <v>45.0</v>
      </c>
      <c r="AV30" s="497" t="s">
        <v>636</v>
      </c>
      <c r="AW30" s="457">
        <v>0.0</v>
      </c>
      <c r="AX30" s="497" t="s">
        <v>636</v>
      </c>
      <c r="AY30" s="457">
        <v>41.0</v>
      </c>
      <c r="AZ30" s="497" t="s">
        <v>636</v>
      </c>
      <c r="BA30" s="457">
        <v>0.0</v>
      </c>
      <c r="BB30" s="497" t="s">
        <v>636</v>
      </c>
      <c r="BC30" s="457">
        <v>0.0</v>
      </c>
      <c r="BD30" s="497" t="s">
        <v>636</v>
      </c>
      <c r="BE30" s="457">
        <v>0.0</v>
      </c>
      <c r="BF30" s="112"/>
      <c r="BG30" s="112"/>
    </row>
    <row r="31">
      <c r="A31" s="458" t="s">
        <v>1998</v>
      </c>
      <c r="B31" s="449" t="s">
        <v>1999</v>
      </c>
      <c r="C31" s="449" t="s">
        <v>2000</v>
      </c>
      <c r="D31" s="449" t="s">
        <v>2001</v>
      </c>
      <c r="E31" s="456"/>
      <c r="F31" s="456" t="s">
        <v>2002</v>
      </c>
      <c r="G31" s="226"/>
      <c r="H31" s="226"/>
      <c r="I31" s="226"/>
      <c r="J31" s="226"/>
      <c r="K31" s="226"/>
      <c r="L31" s="226"/>
      <c r="M31" s="226"/>
      <c r="N31" s="226"/>
      <c r="O31" s="226"/>
      <c r="P31" s="226"/>
      <c r="Q31" s="226"/>
      <c r="R31" s="226"/>
      <c r="S31" s="476"/>
      <c r="T31" s="476"/>
      <c r="U31" s="226"/>
      <c r="V31" s="226"/>
      <c r="W31" s="226"/>
      <c r="X31" s="226"/>
      <c r="Y31" s="226"/>
      <c r="Z31" s="226"/>
      <c r="AA31" s="226"/>
      <c r="AB31" s="226"/>
      <c r="AC31" s="226"/>
      <c r="AD31" s="226"/>
      <c r="AE31" s="226"/>
      <c r="AF31" s="226"/>
      <c r="AG31" s="226"/>
      <c r="AH31" s="226"/>
      <c r="AI31" s="226"/>
      <c r="AJ31" s="226"/>
      <c r="AK31" s="226"/>
      <c r="AL31" s="226"/>
      <c r="AN31" s="456" t="s">
        <v>641</v>
      </c>
      <c r="AO31" s="456">
        <v>105.0</v>
      </c>
      <c r="AP31" s="457" t="s">
        <v>641</v>
      </c>
      <c r="AQ31" s="457">
        <v>158.57</v>
      </c>
      <c r="AR31" s="456" t="s">
        <v>641</v>
      </c>
      <c r="AS31" s="457">
        <v>0.0</v>
      </c>
      <c r="AT31" s="456" t="s">
        <v>641</v>
      </c>
      <c r="AU31" s="457">
        <v>54.0</v>
      </c>
      <c r="AV31" s="456" t="s">
        <v>641</v>
      </c>
      <c r="AW31" s="457">
        <v>41.0</v>
      </c>
      <c r="AX31" s="456" t="s">
        <v>641</v>
      </c>
      <c r="AY31" s="457">
        <v>0.0</v>
      </c>
      <c r="AZ31" s="456" t="s">
        <v>641</v>
      </c>
      <c r="BA31" s="457">
        <v>0.0</v>
      </c>
      <c r="BB31" s="456" t="s">
        <v>641</v>
      </c>
      <c r="BC31" s="457">
        <v>0.0</v>
      </c>
      <c r="BD31" s="456" t="s">
        <v>641</v>
      </c>
      <c r="BE31" s="457">
        <v>0.0</v>
      </c>
      <c r="BF31" s="112"/>
      <c r="BG31" s="112"/>
    </row>
    <row r="32">
      <c r="A32" s="499" t="s">
        <v>2003</v>
      </c>
      <c r="B32" s="500">
        <f>Round(V23+D32,0)</f>
        <v>8</v>
      </c>
      <c r="C32" s="501" t="s">
        <v>2004</v>
      </c>
      <c r="D32" s="502">
        <v>-3.0</v>
      </c>
      <c r="E32" s="465"/>
      <c r="F32" s="456" t="s">
        <v>2005</v>
      </c>
      <c r="G32" s="226"/>
      <c r="H32" s="226"/>
      <c r="I32" s="226"/>
      <c r="J32" s="226"/>
      <c r="K32" s="226"/>
      <c r="L32" s="226"/>
      <c r="M32" s="226"/>
      <c r="N32" s="226"/>
      <c r="O32" s="226"/>
      <c r="P32" s="226"/>
      <c r="Q32" s="226"/>
      <c r="R32" s="476"/>
      <c r="S32" s="226"/>
      <c r="T32" s="226"/>
      <c r="U32" s="226"/>
      <c r="V32" s="226"/>
      <c r="W32" s="226"/>
      <c r="X32" s="226"/>
      <c r="Y32" s="226"/>
      <c r="Z32" s="226"/>
      <c r="AA32" s="226"/>
      <c r="AB32" s="226"/>
      <c r="AC32" s="226"/>
      <c r="AD32" s="226"/>
      <c r="AE32" s="226"/>
      <c r="AF32" s="226"/>
      <c r="AG32" s="226"/>
      <c r="AH32" s="226"/>
      <c r="AI32" s="226"/>
      <c r="AJ32" s="226"/>
      <c r="AK32" s="226"/>
      <c r="AL32" s="226"/>
      <c r="AN32" s="456" t="s">
        <v>645</v>
      </c>
      <c r="AO32" s="456">
        <v>84.0</v>
      </c>
      <c r="AP32" s="457" t="s">
        <v>645</v>
      </c>
      <c r="AQ32" s="457">
        <v>150.27</v>
      </c>
      <c r="AR32" s="456" t="s">
        <v>645</v>
      </c>
      <c r="AS32" s="457">
        <v>12.0</v>
      </c>
      <c r="AT32" s="456" t="s">
        <v>645</v>
      </c>
      <c r="AU32" s="457">
        <v>39.0</v>
      </c>
      <c r="AV32" s="456" t="s">
        <v>645</v>
      </c>
      <c r="AW32" s="457">
        <v>0.0</v>
      </c>
      <c r="AX32" s="456" t="s">
        <v>645</v>
      </c>
      <c r="AY32" s="457">
        <v>35.0</v>
      </c>
      <c r="AZ32" s="456" t="s">
        <v>645</v>
      </c>
      <c r="BA32" s="457">
        <v>0.0</v>
      </c>
      <c r="BB32" s="456" t="s">
        <v>645</v>
      </c>
      <c r="BC32" s="457">
        <v>0.0</v>
      </c>
      <c r="BD32" s="456" t="s">
        <v>645</v>
      </c>
      <c r="BE32" s="457">
        <v>0.0</v>
      </c>
      <c r="BF32" s="112"/>
      <c r="BG32" s="112"/>
    </row>
    <row r="33">
      <c r="A33" s="503" t="s">
        <v>2006</v>
      </c>
      <c r="B33" s="504">
        <f>ROUND(W23+D33,0)</f>
        <v>2</v>
      </c>
      <c r="C33" s="501" t="s">
        <v>2007</v>
      </c>
      <c r="D33" s="502">
        <v>0.0</v>
      </c>
      <c r="E33" s="465"/>
      <c r="F33" s="456" t="s">
        <v>2008</v>
      </c>
      <c r="G33" s="226"/>
      <c r="H33" s="226"/>
      <c r="I33" s="226"/>
      <c r="J33" s="226"/>
      <c r="K33" s="226"/>
      <c r="L33" s="226"/>
      <c r="M33" s="226"/>
      <c r="N33" s="226"/>
      <c r="O33" s="226"/>
      <c r="P33" s="226"/>
      <c r="Q33" s="226"/>
      <c r="R33" s="226"/>
      <c r="S33" s="226"/>
      <c r="T33" s="226"/>
      <c r="U33" s="226"/>
      <c r="V33" s="226"/>
      <c r="W33" s="226"/>
      <c r="X33" s="226"/>
      <c r="Y33" s="226"/>
      <c r="Z33" s="226"/>
      <c r="AA33" s="226"/>
      <c r="AB33" s="226"/>
      <c r="AC33" s="226"/>
      <c r="AD33" s="226"/>
      <c r="AE33" s="226"/>
      <c r="AF33" s="226"/>
      <c r="AG33" s="226"/>
      <c r="AH33" s="226"/>
      <c r="AI33" s="226"/>
      <c r="AJ33" s="226"/>
      <c r="AK33" s="226"/>
      <c r="AL33" s="226"/>
      <c r="AN33" s="505" t="s">
        <v>638</v>
      </c>
      <c r="AO33" s="506">
        <v>0.0</v>
      </c>
      <c r="AP33" s="507" t="s">
        <v>638</v>
      </c>
      <c r="AQ33" s="508">
        <v>161.9</v>
      </c>
      <c r="AR33" s="505" t="s">
        <v>638</v>
      </c>
      <c r="AS33" s="508">
        <v>34.0</v>
      </c>
      <c r="AT33" s="505" t="s">
        <v>638</v>
      </c>
      <c r="AU33" s="508">
        <v>51.0</v>
      </c>
      <c r="AV33" s="505" t="s">
        <v>638</v>
      </c>
      <c r="AW33" s="508">
        <v>0.0</v>
      </c>
      <c r="AX33" s="505" t="s">
        <v>638</v>
      </c>
      <c r="AY33" s="508">
        <v>42.0</v>
      </c>
      <c r="AZ33" s="505" t="s">
        <v>638</v>
      </c>
      <c r="BA33" s="508">
        <v>0.0</v>
      </c>
      <c r="BB33" s="505" t="s">
        <v>638</v>
      </c>
      <c r="BC33" s="508">
        <v>0.0</v>
      </c>
      <c r="BD33" s="505" t="s">
        <v>638</v>
      </c>
      <c r="BE33" s="508">
        <v>0.0</v>
      </c>
      <c r="BF33" s="112"/>
      <c r="BG33" s="112"/>
    </row>
    <row r="34">
      <c r="A34" s="503" t="s">
        <v>2009</v>
      </c>
      <c r="B34" s="502">
        <v>1.0</v>
      </c>
      <c r="C34" s="501" t="s">
        <v>2010</v>
      </c>
      <c r="D34" s="465">
        <v>0.0</v>
      </c>
      <c r="E34" s="465"/>
      <c r="F34" s="509" t="s">
        <v>2011</v>
      </c>
      <c r="G34" s="226"/>
      <c r="H34" s="226"/>
      <c r="I34" s="226"/>
      <c r="J34" s="226"/>
      <c r="K34" s="226"/>
      <c r="L34" s="226"/>
      <c r="M34" s="226"/>
      <c r="N34" s="226"/>
      <c r="O34" s="226"/>
      <c r="P34" s="226"/>
      <c r="Q34" s="226"/>
      <c r="R34" s="226"/>
      <c r="S34" s="226"/>
      <c r="T34" s="226"/>
      <c r="U34" s="226"/>
      <c r="V34" s="226"/>
      <c r="W34" s="226"/>
      <c r="X34" s="226"/>
      <c r="Y34" s="226"/>
      <c r="Z34" s="226"/>
      <c r="AA34" s="226"/>
      <c r="AB34" s="226"/>
      <c r="AC34" s="226"/>
      <c r="AD34" s="226"/>
      <c r="AE34" s="226"/>
      <c r="AF34" s="226"/>
      <c r="AG34" s="226"/>
      <c r="AH34" s="226"/>
      <c r="AI34" s="226"/>
      <c r="AJ34" s="226"/>
      <c r="AK34" s="226"/>
      <c r="AL34" s="226"/>
      <c r="AN34" s="510" t="s">
        <v>648</v>
      </c>
      <c r="AO34" s="506">
        <v>0.0</v>
      </c>
      <c r="AP34" s="511" t="s">
        <v>648</v>
      </c>
      <c r="AQ34" s="508">
        <v>145.9</v>
      </c>
      <c r="AR34" s="510" t="s">
        <v>648</v>
      </c>
      <c r="AS34" s="508">
        <v>21.0</v>
      </c>
      <c r="AT34" s="510" t="s">
        <v>648</v>
      </c>
      <c r="AU34" s="508">
        <v>47.0</v>
      </c>
      <c r="AV34" s="510" t="s">
        <v>648</v>
      </c>
      <c r="AW34" s="508">
        <v>0.0</v>
      </c>
      <c r="AX34" s="510" t="s">
        <v>648</v>
      </c>
      <c r="AY34" s="508">
        <v>36.0</v>
      </c>
      <c r="AZ34" s="510" t="s">
        <v>648</v>
      </c>
      <c r="BA34" s="508">
        <v>0.0</v>
      </c>
      <c r="BB34" s="510" t="s">
        <v>648</v>
      </c>
      <c r="BC34" s="508">
        <v>0.0</v>
      </c>
      <c r="BD34" s="510" t="s">
        <v>648</v>
      </c>
      <c r="BE34" s="508">
        <v>0.0</v>
      </c>
      <c r="BF34" s="112"/>
      <c r="BG34" s="112"/>
    </row>
    <row r="35">
      <c r="A35" s="512" t="s">
        <v>2012</v>
      </c>
      <c r="B35" s="502">
        <v>2.0</v>
      </c>
      <c r="C35" s="501" t="s">
        <v>2013</v>
      </c>
      <c r="D35" s="465">
        <v>0.0</v>
      </c>
      <c r="E35" s="465"/>
      <c r="F35" s="226"/>
      <c r="G35" s="226"/>
      <c r="H35" s="226"/>
      <c r="I35" s="226"/>
      <c r="J35" s="226"/>
      <c r="K35" s="226"/>
      <c r="L35" s="226"/>
      <c r="M35" s="226"/>
      <c r="N35" s="226"/>
      <c r="O35" s="226"/>
      <c r="P35" s="226"/>
      <c r="Q35" s="226"/>
      <c r="R35" s="226"/>
      <c r="S35" s="226"/>
      <c r="T35" s="226"/>
      <c r="U35" s="226"/>
      <c r="V35" s="226"/>
      <c r="W35" s="226"/>
      <c r="X35" s="226"/>
      <c r="Y35" s="226"/>
      <c r="Z35" s="226"/>
      <c r="AA35" s="226"/>
      <c r="AB35" s="226"/>
      <c r="AC35" s="226"/>
      <c r="AD35" s="226"/>
      <c r="AE35" s="226"/>
      <c r="AF35" s="226"/>
      <c r="AG35" s="226"/>
      <c r="AH35" s="226"/>
      <c r="AI35" s="226"/>
      <c r="AJ35" s="226"/>
      <c r="AK35" s="226"/>
      <c r="AL35" s="226"/>
      <c r="AN35" s="510" t="s">
        <v>652</v>
      </c>
      <c r="AO35" s="506">
        <v>0.0</v>
      </c>
      <c r="AP35" s="511" t="s">
        <v>652</v>
      </c>
      <c r="AQ35" s="508">
        <v>144.08</v>
      </c>
      <c r="AR35" s="510" t="s">
        <v>652</v>
      </c>
      <c r="AS35" s="508">
        <v>13.0</v>
      </c>
      <c r="AT35" s="510" t="s">
        <v>652</v>
      </c>
      <c r="AU35" s="508">
        <v>48.0</v>
      </c>
      <c r="AV35" s="510" t="s">
        <v>652</v>
      </c>
      <c r="AW35" s="508">
        <v>0.0</v>
      </c>
      <c r="AX35" s="510" t="s">
        <v>652</v>
      </c>
      <c r="AY35" s="508">
        <v>38.0</v>
      </c>
      <c r="AZ35" s="510" t="s">
        <v>652</v>
      </c>
      <c r="BA35" s="508">
        <v>0.0</v>
      </c>
      <c r="BB35" s="510" t="s">
        <v>652</v>
      </c>
      <c r="BC35" s="508">
        <v>0.0</v>
      </c>
      <c r="BD35" s="510" t="s">
        <v>652</v>
      </c>
      <c r="BE35" s="508">
        <v>0.0</v>
      </c>
      <c r="BF35" s="112"/>
      <c r="BG35" s="112"/>
    </row>
    <row r="36">
      <c r="A36" s="513" t="s">
        <v>2014</v>
      </c>
      <c r="B36" s="502">
        <v>0.0</v>
      </c>
      <c r="C36" s="501" t="s">
        <v>2015</v>
      </c>
      <c r="D36" s="226"/>
      <c r="E36" s="226"/>
      <c r="F36" s="226"/>
      <c r="G36" s="226"/>
      <c r="H36" s="226"/>
      <c r="I36" s="226"/>
      <c r="J36" s="226"/>
      <c r="K36" s="226"/>
      <c r="L36" s="226"/>
      <c r="M36" s="226"/>
      <c r="N36" s="226"/>
      <c r="O36" s="226"/>
      <c r="P36" s="226"/>
      <c r="Q36" s="226"/>
      <c r="R36" s="226"/>
      <c r="S36" s="226"/>
      <c r="T36" s="226"/>
      <c r="U36" s="226"/>
      <c r="V36" s="226"/>
      <c r="W36" s="226"/>
      <c r="X36" s="226"/>
      <c r="Y36" s="226"/>
      <c r="Z36" s="226"/>
      <c r="AA36" s="226"/>
      <c r="AB36" s="226"/>
      <c r="AC36" s="226"/>
      <c r="AD36" s="226"/>
      <c r="AE36" s="226"/>
      <c r="AF36" s="226"/>
      <c r="AG36" s="226"/>
      <c r="AH36" s="226"/>
      <c r="AI36" s="226"/>
      <c r="AJ36" s="226"/>
      <c r="AK36" s="226"/>
      <c r="AL36" s="226"/>
      <c r="AN36" s="510" t="s">
        <v>655</v>
      </c>
      <c r="AO36" s="506">
        <v>0.0</v>
      </c>
      <c r="AP36" s="511" t="s">
        <v>655</v>
      </c>
      <c r="AQ36" s="508">
        <v>130.54</v>
      </c>
      <c r="AR36" s="510" t="s">
        <v>655</v>
      </c>
      <c r="AS36" s="508">
        <v>14.0</v>
      </c>
      <c r="AT36" s="510" t="s">
        <v>655</v>
      </c>
      <c r="AU36" s="508">
        <v>45.0</v>
      </c>
      <c r="AV36" s="510" t="s">
        <v>655</v>
      </c>
      <c r="AW36" s="508">
        <v>0.0</v>
      </c>
      <c r="AX36" s="510" t="s">
        <v>655</v>
      </c>
      <c r="AY36" s="508">
        <v>24.0</v>
      </c>
      <c r="AZ36" s="510" t="s">
        <v>655</v>
      </c>
      <c r="BA36" s="508">
        <v>0.0</v>
      </c>
      <c r="BB36" s="510" t="s">
        <v>655</v>
      </c>
      <c r="BC36" s="508">
        <v>0.0</v>
      </c>
      <c r="BD36" s="510" t="s">
        <v>655</v>
      </c>
      <c r="BE36" s="508">
        <v>0.0</v>
      </c>
      <c r="BF36" s="112"/>
      <c r="BG36" s="112"/>
    </row>
    <row r="37">
      <c r="A37" s="513" t="s">
        <v>2016</v>
      </c>
      <c r="B37" s="502">
        <v>0.0</v>
      </c>
      <c r="C37" s="501" t="s">
        <v>2017</v>
      </c>
      <c r="D37" s="226"/>
      <c r="E37" s="226"/>
      <c r="F37" s="226"/>
      <c r="G37" s="226"/>
      <c r="H37" s="226"/>
      <c r="I37" s="226"/>
      <c r="J37" s="226"/>
      <c r="K37" s="226"/>
      <c r="L37" s="226"/>
      <c r="M37" s="226"/>
      <c r="N37" s="226"/>
      <c r="O37" s="226"/>
      <c r="P37" s="226"/>
      <c r="Q37" s="226"/>
      <c r="R37" s="226"/>
      <c r="S37" s="226"/>
      <c r="T37" s="226"/>
      <c r="U37" s="226"/>
      <c r="V37" s="226"/>
      <c r="W37" s="226"/>
      <c r="X37" s="226"/>
      <c r="Y37" s="226"/>
      <c r="Z37" s="226"/>
      <c r="AA37" s="226"/>
      <c r="AB37" s="226"/>
      <c r="AC37" s="226"/>
      <c r="AD37" s="226"/>
      <c r="AE37" s="226"/>
      <c r="AF37" s="226"/>
      <c r="AG37" s="226"/>
      <c r="AH37" s="226"/>
      <c r="AI37" s="226"/>
      <c r="AJ37" s="226"/>
      <c r="AK37" s="226"/>
      <c r="AL37" s="226"/>
      <c r="BF37" s="112"/>
      <c r="BG37" s="112"/>
    </row>
    <row r="38">
      <c r="A38" s="458" t="s">
        <v>2018</v>
      </c>
      <c r="B38" s="449" t="s">
        <v>2019</v>
      </c>
      <c r="C38" s="449"/>
      <c r="D38" s="449"/>
      <c r="E38" s="449"/>
      <c r="F38" s="226"/>
      <c r="G38" s="449"/>
      <c r="H38" s="449"/>
      <c r="I38" s="449"/>
      <c r="J38" s="449"/>
      <c r="K38" s="226"/>
      <c r="L38" s="226"/>
      <c r="M38" s="226"/>
      <c r="N38" s="226"/>
      <c r="O38" s="226"/>
      <c r="P38" s="226"/>
      <c r="Q38" s="226"/>
      <c r="R38" s="226"/>
      <c r="S38" s="226"/>
      <c r="T38" s="226"/>
      <c r="U38" s="226"/>
      <c r="V38" s="226"/>
      <c r="W38" s="226"/>
      <c r="X38" s="226"/>
      <c r="Y38" s="226"/>
      <c r="Z38" s="226"/>
      <c r="AA38" s="226"/>
      <c r="AB38" s="226"/>
      <c r="AC38" s="226"/>
      <c r="AD38" s="226"/>
      <c r="AE38" s="226"/>
      <c r="AF38" s="226"/>
      <c r="AG38" s="226"/>
      <c r="AH38" s="226"/>
      <c r="AI38" s="226"/>
      <c r="AJ38" s="226"/>
      <c r="AK38" s="226"/>
      <c r="AL38" s="226"/>
      <c r="AN38" s="449" t="s">
        <v>2020</v>
      </c>
      <c r="AO38" s="449" t="s">
        <v>1920</v>
      </c>
      <c r="AP38" s="450" t="s">
        <v>2021</v>
      </c>
      <c r="AQ38" s="450" t="s">
        <v>1922</v>
      </c>
      <c r="AR38" s="449" t="s">
        <v>2020</v>
      </c>
      <c r="AS38" s="450" t="s">
        <v>2022</v>
      </c>
      <c r="AT38" s="449" t="s">
        <v>2020</v>
      </c>
      <c r="AU38" s="450" t="s">
        <v>2023</v>
      </c>
      <c r="AV38" s="449" t="s">
        <v>2020</v>
      </c>
      <c r="AW38" s="450" t="s">
        <v>2024</v>
      </c>
      <c r="AX38" s="449" t="s">
        <v>2020</v>
      </c>
      <c r="AY38" s="450" t="s">
        <v>2025</v>
      </c>
      <c r="AZ38" s="449" t="s">
        <v>2020</v>
      </c>
      <c r="BA38" s="450" t="s">
        <v>2026</v>
      </c>
      <c r="BB38" s="449" t="s">
        <v>2020</v>
      </c>
      <c r="BC38" s="450" t="s">
        <v>2027</v>
      </c>
      <c r="BD38" s="449" t="s">
        <v>2020</v>
      </c>
      <c r="BE38" s="450" t="s">
        <v>2028</v>
      </c>
      <c r="BF38" s="112"/>
      <c r="BG38" s="112"/>
    </row>
    <row r="39">
      <c r="A39" s="478" t="s">
        <v>2029</v>
      </c>
      <c r="B39" s="480">
        <f>ROUND(6200-K1-K3-K4-K5-K6-K7-K8-K9-K10-K11-K12-K13-K14-K15-K16-K17-K18-K19-K57-K58, 2)</f>
        <v>4759</v>
      </c>
      <c r="C39" s="226"/>
      <c r="D39" s="482"/>
      <c r="E39" s="482"/>
      <c r="F39" s="514"/>
      <c r="G39" s="482"/>
      <c r="H39" s="482"/>
      <c r="I39" s="482"/>
      <c r="J39" s="482"/>
      <c r="K39" s="226"/>
      <c r="L39" s="226"/>
      <c r="M39" s="226"/>
      <c r="N39" s="226"/>
      <c r="O39" s="226"/>
      <c r="P39" s="226"/>
      <c r="Q39" s="226"/>
      <c r="R39" s="226"/>
      <c r="S39" s="226"/>
      <c r="T39" s="226"/>
      <c r="U39" s="226"/>
      <c r="V39" s="226"/>
      <c r="W39" s="226"/>
      <c r="X39" s="226"/>
      <c r="Y39" s="226"/>
      <c r="Z39" s="226"/>
      <c r="AA39" s="226"/>
      <c r="AB39" s="226"/>
      <c r="AC39" s="226"/>
      <c r="AD39" s="226"/>
      <c r="AE39" s="226"/>
      <c r="AF39" s="226"/>
      <c r="AG39" s="226"/>
      <c r="AH39" s="226"/>
      <c r="AI39" s="226"/>
      <c r="AJ39" s="226"/>
      <c r="AK39" s="226"/>
      <c r="AL39" s="226"/>
      <c r="AN39" s="454" t="s">
        <v>725</v>
      </c>
      <c r="AO39" s="454">
        <v>0.0</v>
      </c>
      <c r="AP39" s="515" t="s">
        <v>725</v>
      </c>
      <c r="AQ39" s="457">
        <v>88.45</v>
      </c>
      <c r="AR39" s="454" t="s">
        <v>725</v>
      </c>
      <c r="AS39" s="457">
        <v>0.0</v>
      </c>
      <c r="AT39" s="454" t="s">
        <v>725</v>
      </c>
      <c r="AU39" s="457">
        <v>0.0</v>
      </c>
      <c r="AV39" s="454" t="s">
        <v>725</v>
      </c>
      <c r="AW39" s="457">
        <v>26.0</v>
      </c>
      <c r="AX39" s="454" t="s">
        <v>725</v>
      </c>
      <c r="AY39" s="457">
        <v>0.0</v>
      </c>
      <c r="AZ39" s="454" t="s">
        <v>725</v>
      </c>
      <c r="BA39" s="457">
        <v>32.0</v>
      </c>
      <c r="BB39" s="454" t="s">
        <v>725</v>
      </c>
      <c r="BC39" s="457">
        <v>0.0</v>
      </c>
      <c r="BD39" s="454" t="s">
        <v>725</v>
      </c>
      <c r="BE39" s="457">
        <v>72.0</v>
      </c>
      <c r="BF39" s="112"/>
      <c r="BG39" s="112"/>
    </row>
    <row r="40">
      <c r="A40" s="478" t="s">
        <v>2030</v>
      </c>
      <c r="B40" s="480">
        <f>ROUND(7700-K1-K3-K4-K5-K6-K7-K8-K9-K10-K11-K12-K13-K14-K15-K16-K17-K18-K19-K57-K58, 2)</f>
        <v>6259</v>
      </c>
      <c r="C40" s="226"/>
      <c r="D40" s="482"/>
      <c r="E40" s="482"/>
      <c r="F40" s="226"/>
      <c r="G40" s="482"/>
      <c r="H40" s="482"/>
      <c r="I40" s="482"/>
      <c r="J40" s="482"/>
      <c r="K40" s="226"/>
      <c r="L40" s="226"/>
      <c r="M40" s="226"/>
      <c r="N40" s="226"/>
      <c r="O40" s="226"/>
      <c r="P40" s="226"/>
      <c r="Q40" s="226"/>
      <c r="R40" s="226"/>
      <c r="S40" s="226"/>
      <c r="T40" s="226"/>
      <c r="U40" s="226"/>
      <c r="V40" s="226"/>
      <c r="W40" s="226"/>
      <c r="X40" s="226"/>
      <c r="Y40" s="226"/>
      <c r="Z40" s="226"/>
      <c r="AA40" s="226"/>
      <c r="AB40" s="226"/>
      <c r="AC40" s="226"/>
      <c r="AD40" s="226"/>
      <c r="AE40" s="226"/>
      <c r="AF40" s="226"/>
      <c r="AG40" s="226"/>
      <c r="AH40" s="226"/>
      <c r="AI40" s="226"/>
      <c r="AJ40" s="226"/>
      <c r="AK40" s="226"/>
      <c r="AL40" s="226"/>
      <c r="AN40" s="454" t="s">
        <v>726</v>
      </c>
      <c r="AO40" s="454">
        <v>0.0</v>
      </c>
      <c r="AP40" s="515" t="s">
        <v>726</v>
      </c>
      <c r="AQ40" s="457">
        <v>64.4</v>
      </c>
      <c r="AR40" s="454" t="s">
        <v>726</v>
      </c>
      <c r="AS40" s="457">
        <v>17.0</v>
      </c>
      <c r="AT40" s="454" t="s">
        <v>726</v>
      </c>
      <c r="AU40" s="457">
        <v>0.0</v>
      </c>
      <c r="AV40" s="454" t="s">
        <v>726</v>
      </c>
      <c r="AW40" s="457">
        <v>0.0</v>
      </c>
      <c r="AX40" s="454" t="s">
        <v>726</v>
      </c>
      <c r="AY40" s="457">
        <v>24.0</v>
      </c>
      <c r="AZ40" s="454" t="s">
        <v>726</v>
      </c>
      <c r="BA40" s="457">
        <v>0.0</v>
      </c>
      <c r="BB40" s="454" t="s">
        <v>726</v>
      </c>
      <c r="BC40" s="457">
        <v>0.0</v>
      </c>
      <c r="BD40" s="454" t="s">
        <v>726</v>
      </c>
      <c r="BE40" s="457">
        <v>72.0</v>
      </c>
      <c r="BF40" s="112"/>
      <c r="BG40" s="112"/>
    </row>
    <row r="41">
      <c r="A41" s="458" t="s">
        <v>1977</v>
      </c>
      <c r="B41" s="449" t="s">
        <v>2031</v>
      </c>
      <c r="C41" s="449" t="s">
        <v>2030</v>
      </c>
      <c r="D41" s="449" t="s">
        <v>2029</v>
      </c>
      <c r="E41" s="226"/>
      <c r="F41" s="226"/>
      <c r="G41" s="449"/>
      <c r="H41" s="449"/>
      <c r="I41" s="449"/>
      <c r="J41" s="449"/>
      <c r="K41" s="449"/>
      <c r="L41" s="449"/>
      <c r="M41" s="226"/>
      <c r="N41" s="226"/>
      <c r="O41" s="226"/>
      <c r="P41" s="226"/>
      <c r="Q41" s="476"/>
      <c r="R41" s="226"/>
      <c r="S41" s="226"/>
      <c r="T41" s="226"/>
      <c r="U41" s="226"/>
      <c r="V41" s="226"/>
      <c r="W41" s="226"/>
      <c r="X41" s="226"/>
      <c r="Y41" s="226"/>
      <c r="Z41" s="226"/>
      <c r="AA41" s="226"/>
      <c r="AB41" s="226"/>
      <c r="AC41" s="226"/>
      <c r="AD41" s="226"/>
      <c r="AE41" s="226"/>
      <c r="AF41" s="226"/>
      <c r="AG41" s="226"/>
      <c r="AH41" s="226"/>
      <c r="AI41" s="226"/>
      <c r="AJ41" s="226"/>
      <c r="AK41" s="226"/>
      <c r="AL41" s="226"/>
      <c r="AN41" s="454" t="s">
        <v>728</v>
      </c>
      <c r="AO41" s="454">
        <v>112.0</v>
      </c>
      <c r="AP41" s="515" t="s">
        <v>728</v>
      </c>
      <c r="AQ41" s="457">
        <v>60.7</v>
      </c>
      <c r="AR41" s="454" t="s">
        <v>728</v>
      </c>
      <c r="AS41" s="457">
        <v>0.0</v>
      </c>
      <c r="AT41" s="454" t="s">
        <v>728</v>
      </c>
      <c r="AU41" s="457">
        <v>0.0</v>
      </c>
      <c r="AV41" s="454" t="s">
        <v>728</v>
      </c>
      <c r="AW41" s="457">
        <v>0.0</v>
      </c>
      <c r="AX41" s="454" t="s">
        <v>728</v>
      </c>
      <c r="AY41" s="457">
        <v>20.0</v>
      </c>
      <c r="AZ41" s="454" t="s">
        <v>728</v>
      </c>
      <c r="BA41" s="457">
        <v>0.0</v>
      </c>
      <c r="BB41" s="454" t="s">
        <v>728</v>
      </c>
      <c r="BC41" s="457">
        <v>0.0</v>
      </c>
      <c r="BD41" s="454" t="s">
        <v>728</v>
      </c>
      <c r="BE41" s="457">
        <v>46.0</v>
      </c>
      <c r="BF41" s="112"/>
      <c r="BG41" s="112"/>
    </row>
    <row r="42">
      <c r="A42" s="516" t="s">
        <v>2032</v>
      </c>
      <c r="B42" s="517">
        <v>610.0</v>
      </c>
      <c r="C42" s="518">
        <f>ROUND(B40 - B42,2)</f>
        <v>5649</v>
      </c>
      <c r="D42" s="518">
        <f>ROUND(B39 - B42,2)</f>
        <v>4149</v>
      </c>
      <c r="E42" s="465"/>
      <c r="F42" s="226"/>
      <c r="G42" s="465"/>
      <c r="H42" s="465"/>
      <c r="I42" s="465"/>
      <c r="J42" s="465"/>
      <c r="K42" s="465"/>
      <c r="L42" s="482"/>
      <c r="M42" s="226"/>
      <c r="N42" s="226"/>
      <c r="O42" s="226"/>
      <c r="P42" s="226"/>
      <c r="Q42" s="226"/>
      <c r="R42" s="226"/>
      <c r="S42" s="226"/>
      <c r="T42" s="226"/>
      <c r="U42" s="226"/>
      <c r="V42" s="226"/>
      <c r="W42" s="226"/>
      <c r="X42" s="226"/>
      <c r="Y42" s="226"/>
      <c r="Z42" s="226"/>
      <c r="AA42" s="226"/>
      <c r="AB42" s="226"/>
      <c r="AC42" s="226"/>
      <c r="AD42" s="226"/>
      <c r="AE42" s="226"/>
      <c r="AF42" s="226"/>
      <c r="AG42" s="226"/>
      <c r="AH42" s="226"/>
      <c r="AI42" s="226"/>
      <c r="AJ42" s="226"/>
      <c r="AK42" s="226"/>
      <c r="AL42" s="226"/>
      <c r="AN42" s="454" t="s">
        <v>729</v>
      </c>
      <c r="AO42" s="454">
        <v>0.0</v>
      </c>
      <c r="AP42" s="515" t="s">
        <v>729</v>
      </c>
      <c r="AQ42" s="457">
        <v>55.7</v>
      </c>
      <c r="AR42" s="454" t="s">
        <v>729</v>
      </c>
      <c r="AS42" s="457">
        <v>0.0</v>
      </c>
      <c r="AT42" s="454" t="s">
        <v>729</v>
      </c>
      <c r="AU42" s="457">
        <v>0.0</v>
      </c>
      <c r="AV42" s="454" t="s">
        <v>729</v>
      </c>
      <c r="AW42" s="457">
        <v>0.0</v>
      </c>
      <c r="AX42" s="454" t="s">
        <v>729</v>
      </c>
      <c r="AY42" s="457">
        <v>23.0</v>
      </c>
      <c r="AZ42" s="454" t="s">
        <v>729</v>
      </c>
      <c r="BA42" s="457">
        <v>0.0</v>
      </c>
      <c r="BB42" s="454" t="s">
        <v>729</v>
      </c>
      <c r="BC42" s="457">
        <v>0.0</v>
      </c>
      <c r="BD42" s="454" t="s">
        <v>729</v>
      </c>
      <c r="BE42" s="457">
        <v>52.0</v>
      </c>
      <c r="BF42" s="112"/>
      <c r="BG42" s="112"/>
    </row>
    <row r="43">
      <c r="A43" s="516" t="s">
        <v>2033</v>
      </c>
      <c r="B43" s="517">
        <v>800.0</v>
      </c>
      <c r="C43" s="518">
        <f>ROUND(B40 - B42 - B43,2)</f>
        <v>4849</v>
      </c>
      <c r="D43" s="518">
        <f>ROUND(B39 - B42 - B43,2)</f>
        <v>3349</v>
      </c>
      <c r="E43" s="465"/>
      <c r="F43" s="509"/>
      <c r="G43" s="465"/>
      <c r="H43" s="465"/>
      <c r="I43" s="465"/>
      <c r="J43" s="465"/>
      <c r="K43" s="465"/>
      <c r="L43" s="482"/>
      <c r="M43" s="226"/>
      <c r="N43" s="226"/>
      <c r="O43" s="226"/>
      <c r="P43" s="226"/>
      <c r="Q43" s="226"/>
      <c r="R43" s="226"/>
      <c r="S43" s="226"/>
      <c r="T43" s="226"/>
      <c r="U43" s="226"/>
      <c r="V43" s="226"/>
      <c r="W43" s="226"/>
      <c r="X43" s="226"/>
      <c r="Y43" s="226"/>
      <c r="Z43" s="226"/>
      <c r="AA43" s="226"/>
      <c r="AB43" s="226"/>
      <c r="AC43" s="226"/>
      <c r="AD43" s="226"/>
      <c r="AE43" s="226"/>
      <c r="AF43" s="226"/>
      <c r="AG43" s="226"/>
      <c r="AH43" s="226"/>
      <c r="AI43" s="226"/>
      <c r="AJ43" s="226"/>
      <c r="AK43" s="226"/>
      <c r="AL43" s="226"/>
      <c r="AN43" s="454" t="s">
        <v>732</v>
      </c>
      <c r="AO43" s="454">
        <v>0.0</v>
      </c>
      <c r="AP43" s="515" t="s">
        <v>732</v>
      </c>
      <c r="AQ43" s="457">
        <v>55.33</v>
      </c>
      <c r="AR43" s="454" t="s">
        <v>732</v>
      </c>
      <c r="AS43" s="457">
        <v>0.0</v>
      </c>
      <c r="AT43" s="454" t="s">
        <v>732</v>
      </c>
      <c r="AU43" s="457">
        <v>0.0</v>
      </c>
      <c r="AV43" s="454" t="s">
        <v>732</v>
      </c>
      <c r="AW43" s="457">
        <v>20.0</v>
      </c>
      <c r="AX43" s="454" t="s">
        <v>732</v>
      </c>
      <c r="AY43" s="457">
        <v>0.0</v>
      </c>
      <c r="AZ43" s="454" t="s">
        <v>732</v>
      </c>
      <c r="BA43" s="457">
        <v>25.0</v>
      </c>
      <c r="BB43" s="454" t="s">
        <v>732</v>
      </c>
      <c r="BC43" s="457">
        <v>0.0</v>
      </c>
      <c r="BD43" s="454" t="s">
        <v>732</v>
      </c>
      <c r="BE43" s="457">
        <v>46.0</v>
      </c>
      <c r="BF43" s="112"/>
      <c r="BG43" s="112"/>
    </row>
    <row r="44">
      <c r="A44" s="519" t="s">
        <v>2034</v>
      </c>
      <c r="B44" s="520">
        <v>2600.0</v>
      </c>
      <c r="C44" s="521">
        <f>ROUND(B40 - B42 - B43 - B44,2)</f>
        <v>2249</v>
      </c>
      <c r="D44" s="521">
        <f>ROUND(B39 - B42 - B43 - B44,2)</f>
        <v>749</v>
      </c>
      <c r="E44" s="465"/>
      <c r="F44" s="522"/>
      <c r="G44" s="465"/>
      <c r="H44" s="465"/>
      <c r="I44" s="465"/>
      <c r="J44" s="465"/>
      <c r="K44" s="465"/>
      <c r="L44" s="482"/>
      <c r="M44" s="523"/>
      <c r="N44" s="523"/>
      <c r="O44" s="523"/>
      <c r="P44" s="523"/>
      <c r="Q44" s="226"/>
      <c r="R44" s="226"/>
      <c r="S44" s="226"/>
      <c r="T44" s="226"/>
      <c r="U44" s="226"/>
      <c r="V44" s="226"/>
      <c r="W44" s="226"/>
      <c r="X44" s="226"/>
      <c r="Y44" s="226"/>
      <c r="Z44" s="226"/>
      <c r="AA44" s="226"/>
      <c r="AB44" s="226"/>
      <c r="AC44" s="226"/>
      <c r="AD44" s="226"/>
      <c r="AE44" s="226"/>
      <c r="AF44" s="226"/>
      <c r="AG44" s="226"/>
      <c r="AH44" s="226"/>
      <c r="AI44" s="226"/>
      <c r="AJ44" s="226"/>
      <c r="AK44" s="226"/>
      <c r="AL44" s="226"/>
      <c r="AN44" s="454" t="s">
        <v>734</v>
      </c>
      <c r="AO44" s="454">
        <v>0.0</v>
      </c>
      <c r="AP44" s="515" t="s">
        <v>734</v>
      </c>
      <c r="AQ44" s="457">
        <v>54.82</v>
      </c>
      <c r="AR44" s="454" t="s">
        <v>734</v>
      </c>
      <c r="AS44" s="457">
        <v>0.0</v>
      </c>
      <c r="AT44" s="454" t="s">
        <v>734</v>
      </c>
      <c r="AU44" s="457">
        <v>23.0</v>
      </c>
      <c r="AV44" s="454" t="s">
        <v>734</v>
      </c>
      <c r="AW44" s="457">
        <v>0.0</v>
      </c>
      <c r="AX44" s="454" t="s">
        <v>734</v>
      </c>
      <c r="AY44" s="457">
        <v>24.0</v>
      </c>
      <c r="AZ44" s="454" t="s">
        <v>734</v>
      </c>
      <c r="BA44" s="457">
        <v>0.0</v>
      </c>
      <c r="BB44" s="454" t="s">
        <v>734</v>
      </c>
      <c r="BC44" s="457">
        <v>0.0</v>
      </c>
      <c r="BD44" s="454" t="s">
        <v>734</v>
      </c>
      <c r="BE44" s="457">
        <v>0.0</v>
      </c>
      <c r="BF44" s="112"/>
      <c r="BG44" s="112"/>
    </row>
    <row r="45">
      <c r="A45" s="524" t="s">
        <v>2035</v>
      </c>
      <c r="B45" s="525">
        <v>840.0</v>
      </c>
      <c r="C45" s="526">
        <f>ROUND(C44 - B45,2)</f>
        <v>1409</v>
      </c>
      <c r="D45" s="526">
        <f>ROUND(D44 - B45,2)</f>
        <v>-91</v>
      </c>
      <c r="E45" s="465"/>
      <c r="F45" s="509"/>
      <c r="G45" s="465"/>
      <c r="H45" s="465"/>
      <c r="I45" s="465"/>
      <c r="J45" s="465"/>
      <c r="K45" s="465"/>
      <c r="L45" s="482"/>
      <c r="M45" s="527"/>
      <c r="N45" s="527"/>
      <c r="O45" s="527"/>
      <c r="P45" s="527"/>
      <c r="Q45" s="226"/>
      <c r="R45" s="226"/>
      <c r="S45" s="226"/>
      <c r="T45" s="226"/>
      <c r="U45" s="226"/>
      <c r="V45" s="226"/>
      <c r="W45" s="226"/>
      <c r="X45" s="226"/>
      <c r="Y45" s="226"/>
      <c r="Z45" s="226"/>
      <c r="AA45" s="226"/>
      <c r="AB45" s="226"/>
      <c r="AC45" s="226"/>
      <c r="AD45" s="226"/>
      <c r="AE45" s="226"/>
      <c r="AF45" s="226"/>
      <c r="AG45" s="226"/>
      <c r="AH45" s="226"/>
      <c r="AI45" s="226"/>
      <c r="AJ45" s="226"/>
      <c r="AK45" s="226"/>
      <c r="AL45" s="226"/>
      <c r="BF45" s="112"/>
      <c r="BG45" s="112"/>
    </row>
    <row r="46">
      <c r="A46" s="226"/>
      <c r="B46" s="226"/>
      <c r="C46" s="226"/>
      <c r="D46" s="226"/>
      <c r="E46" s="528"/>
      <c r="F46" s="226"/>
      <c r="G46" s="528"/>
      <c r="H46" s="528"/>
      <c r="I46" s="528"/>
      <c r="J46" s="528"/>
      <c r="K46" s="529"/>
      <c r="L46" s="529"/>
      <c r="M46" s="528"/>
      <c r="N46" s="528"/>
      <c r="O46" s="528"/>
      <c r="P46" s="528"/>
      <c r="Q46" s="226"/>
      <c r="R46" s="226"/>
      <c r="S46" s="226"/>
      <c r="T46" s="226"/>
      <c r="U46" s="226"/>
      <c r="V46" s="226"/>
      <c r="W46" s="226"/>
      <c r="X46" s="226"/>
      <c r="Y46" s="226"/>
      <c r="Z46" s="226"/>
      <c r="AA46" s="226"/>
      <c r="AB46" s="226"/>
      <c r="AC46" s="226"/>
      <c r="AD46" s="226"/>
      <c r="AE46" s="226"/>
      <c r="AF46" s="226"/>
      <c r="AG46" s="226"/>
      <c r="AH46" s="226"/>
      <c r="AI46" s="226"/>
      <c r="AJ46" s="226"/>
      <c r="AK46" s="226"/>
      <c r="AL46" s="226"/>
      <c r="AN46" s="449" t="s">
        <v>2036</v>
      </c>
      <c r="AO46" s="449" t="s">
        <v>1920</v>
      </c>
      <c r="AP46" s="450" t="s">
        <v>2037</v>
      </c>
      <c r="AQ46" s="450" t="s">
        <v>1922</v>
      </c>
      <c r="AR46" s="449" t="s">
        <v>2036</v>
      </c>
      <c r="AS46" s="450" t="s">
        <v>2038</v>
      </c>
      <c r="AT46" s="449" t="s">
        <v>2036</v>
      </c>
      <c r="AU46" s="450" t="s">
        <v>2039</v>
      </c>
      <c r="AV46" s="449" t="s">
        <v>2036</v>
      </c>
      <c r="AW46" s="450" t="s">
        <v>2040</v>
      </c>
      <c r="AX46" s="449" t="s">
        <v>2036</v>
      </c>
      <c r="AY46" s="450" t="s">
        <v>2041</v>
      </c>
      <c r="AZ46" s="449" t="s">
        <v>2036</v>
      </c>
      <c r="BA46" s="450" t="s">
        <v>2042</v>
      </c>
      <c r="BB46" s="449" t="s">
        <v>2036</v>
      </c>
      <c r="BC46" s="450" t="s">
        <v>2043</v>
      </c>
      <c r="BD46" s="449" t="s">
        <v>2036</v>
      </c>
      <c r="BE46" s="450" t="s">
        <v>2044</v>
      </c>
      <c r="BF46" s="112"/>
      <c r="BG46" s="112"/>
    </row>
    <row r="47">
      <c r="A47" s="530" t="s">
        <v>2045</v>
      </c>
      <c r="B47" s="531">
        <v>3075.0</v>
      </c>
      <c r="C47" s="532">
        <f>ROUND(B40 - B42 - B43 - B47,2)</f>
        <v>1774</v>
      </c>
      <c r="D47" s="532">
        <f>ROUND(B39 - B42 - B43 - B47,2)</f>
        <v>274</v>
      </c>
      <c r="E47" s="533"/>
      <c r="F47" s="497" t="s">
        <v>2046</v>
      </c>
      <c r="G47" s="533"/>
      <c r="H47" s="533"/>
      <c r="I47" s="533"/>
      <c r="J47" s="533"/>
      <c r="K47" s="534"/>
      <c r="L47" s="534"/>
      <c r="M47" s="535"/>
      <c r="N47" s="535"/>
      <c r="O47" s="535"/>
      <c r="P47" s="535"/>
      <c r="Q47" s="473"/>
      <c r="R47" s="226"/>
      <c r="S47" s="226"/>
      <c r="T47" s="226"/>
      <c r="U47" s="226"/>
      <c r="V47" s="226"/>
      <c r="W47" s="226"/>
      <c r="X47" s="226"/>
      <c r="Y47" s="226"/>
      <c r="Z47" s="226"/>
      <c r="AA47" s="226"/>
      <c r="AB47" s="226"/>
      <c r="AC47" s="226"/>
      <c r="AD47" s="226"/>
      <c r="AE47" s="226"/>
      <c r="AF47" s="226"/>
      <c r="AG47" s="226"/>
      <c r="AH47" s="226"/>
      <c r="AI47" s="226"/>
      <c r="AJ47" s="226"/>
      <c r="AK47" s="226"/>
      <c r="AL47" s="226"/>
      <c r="AN47" s="454" t="s">
        <v>743</v>
      </c>
      <c r="AO47" s="536">
        <v>210.0</v>
      </c>
      <c r="AP47" s="515" t="s">
        <v>743</v>
      </c>
      <c r="AQ47" s="537">
        <v>187.58</v>
      </c>
      <c r="AR47" s="454" t="s">
        <v>743</v>
      </c>
      <c r="AS47" s="537">
        <v>0.0</v>
      </c>
      <c r="AT47" s="454" t="s">
        <v>743</v>
      </c>
      <c r="AU47" s="537">
        <v>0.0</v>
      </c>
      <c r="AV47" s="454" t="s">
        <v>743</v>
      </c>
      <c r="AW47" s="537">
        <v>42.0</v>
      </c>
      <c r="AX47" s="454" t="s">
        <v>743</v>
      </c>
      <c r="AY47" s="537">
        <v>38.0</v>
      </c>
      <c r="AZ47" s="454" t="s">
        <v>743</v>
      </c>
      <c r="BA47" s="537">
        <v>0.0</v>
      </c>
      <c r="BB47" s="454" t="s">
        <v>743</v>
      </c>
      <c r="BC47" s="537">
        <v>0.0</v>
      </c>
      <c r="BD47" s="454" t="s">
        <v>743</v>
      </c>
      <c r="BE47" s="537">
        <v>120.0</v>
      </c>
      <c r="BF47" s="112"/>
      <c r="BG47" s="112"/>
    </row>
    <row r="48">
      <c r="A48" s="538" t="s">
        <v>2047</v>
      </c>
      <c r="B48" s="539">
        <v>840.0</v>
      </c>
      <c r="C48" s="540">
        <f>ROUND(C47 - B48,2)</f>
        <v>934</v>
      </c>
      <c r="D48" s="540">
        <f>ROUND(D47 - B48,2)</f>
        <v>-566</v>
      </c>
      <c r="E48" s="226"/>
      <c r="F48" s="226"/>
      <c r="G48" s="226"/>
      <c r="H48" s="226"/>
      <c r="I48" s="226"/>
      <c r="J48" s="226"/>
      <c r="K48" s="226"/>
      <c r="L48" s="226"/>
      <c r="M48" s="226"/>
      <c r="N48" s="226"/>
      <c r="O48" s="226"/>
      <c r="P48" s="226"/>
      <c r="Q48" s="226"/>
      <c r="R48" s="226"/>
      <c r="S48" s="226"/>
      <c r="T48" s="226"/>
      <c r="U48" s="226"/>
      <c r="V48" s="226"/>
      <c r="W48" s="226"/>
      <c r="X48" s="226"/>
      <c r="Y48" s="226"/>
      <c r="Z48" s="226"/>
      <c r="AA48" s="226"/>
      <c r="AB48" s="226"/>
      <c r="AC48" s="226"/>
      <c r="AD48" s="226"/>
      <c r="AE48" s="226"/>
      <c r="AF48" s="226"/>
      <c r="AG48" s="226"/>
      <c r="AH48" s="226"/>
      <c r="AI48" s="226"/>
      <c r="AJ48" s="226"/>
      <c r="AK48" s="226"/>
      <c r="AL48" s="226"/>
      <c r="AN48" s="454" t="s">
        <v>746</v>
      </c>
      <c r="AO48" s="536">
        <v>280.0</v>
      </c>
      <c r="AP48" s="515" t="s">
        <v>746</v>
      </c>
      <c r="AQ48" s="537">
        <v>185.99</v>
      </c>
      <c r="AR48" s="454" t="s">
        <v>746</v>
      </c>
      <c r="AS48" s="537">
        <v>0.0</v>
      </c>
      <c r="AT48" s="454" t="s">
        <v>746</v>
      </c>
      <c r="AU48" s="537">
        <v>61.0</v>
      </c>
      <c r="AV48" s="454" t="s">
        <v>746</v>
      </c>
      <c r="AW48" s="537">
        <v>0.0</v>
      </c>
      <c r="AX48" s="454" t="s">
        <v>746</v>
      </c>
      <c r="AY48" s="537">
        <v>41.0</v>
      </c>
      <c r="AZ48" s="454" t="s">
        <v>746</v>
      </c>
      <c r="BA48" s="537">
        <v>0.0</v>
      </c>
      <c r="BB48" s="454" t="s">
        <v>746</v>
      </c>
      <c r="BC48" s="537">
        <v>0.0</v>
      </c>
      <c r="BD48" s="454" t="s">
        <v>746</v>
      </c>
      <c r="BE48" s="537">
        <v>0.0</v>
      </c>
      <c r="BF48" s="112"/>
      <c r="BG48" s="112"/>
    </row>
    <row r="49">
      <c r="A49" s="226"/>
      <c r="B49" s="226"/>
      <c r="C49" s="465" t="s">
        <v>2048</v>
      </c>
      <c r="D49" s="465">
        <v>9.0</v>
      </c>
      <c r="E49" s="226"/>
      <c r="F49" s="226"/>
      <c r="G49" s="226"/>
      <c r="H49" s="226"/>
      <c r="I49" s="226"/>
      <c r="J49" s="226"/>
      <c r="K49" s="226"/>
      <c r="L49" s="226"/>
      <c r="M49" s="226"/>
      <c r="N49" s="226"/>
      <c r="O49" s="226"/>
      <c r="P49" s="226"/>
      <c r="Q49" s="226"/>
      <c r="R49" s="226"/>
      <c r="S49" s="226"/>
      <c r="T49" s="226"/>
      <c r="U49" s="226"/>
      <c r="V49" s="226"/>
      <c r="W49" s="226"/>
      <c r="X49" s="226"/>
      <c r="Y49" s="226"/>
      <c r="Z49" s="226"/>
      <c r="AA49" s="226"/>
      <c r="AB49" s="226"/>
      <c r="AC49" s="226"/>
      <c r="AD49" s="226"/>
      <c r="AE49" s="226"/>
      <c r="AF49" s="226"/>
      <c r="AG49" s="226"/>
      <c r="AH49" s="226"/>
      <c r="AI49" s="226"/>
      <c r="AJ49" s="226"/>
      <c r="AK49" s="226"/>
      <c r="AL49" s="226"/>
      <c r="AN49" s="454" t="s">
        <v>749</v>
      </c>
      <c r="AO49" s="536">
        <v>0.0</v>
      </c>
      <c r="AP49" s="515" t="s">
        <v>749</v>
      </c>
      <c r="AQ49" s="537">
        <v>165.22</v>
      </c>
      <c r="AR49" s="454" t="s">
        <v>749</v>
      </c>
      <c r="AS49" s="537">
        <v>30.0</v>
      </c>
      <c r="AT49" s="454" t="s">
        <v>749</v>
      </c>
      <c r="AU49" s="537">
        <v>0.0</v>
      </c>
      <c r="AV49" s="454" t="s">
        <v>749</v>
      </c>
      <c r="AW49" s="537">
        <v>42.0</v>
      </c>
      <c r="AX49" s="454" t="s">
        <v>749</v>
      </c>
      <c r="AY49" s="537">
        <v>0.0</v>
      </c>
      <c r="AZ49" s="454" t="s">
        <v>749</v>
      </c>
      <c r="BA49" s="537">
        <v>38.0</v>
      </c>
      <c r="BB49" s="454" t="s">
        <v>749</v>
      </c>
      <c r="BC49" s="537">
        <v>0.0</v>
      </c>
      <c r="BD49" s="454" t="s">
        <v>749</v>
      </c>
      <c r="BE49" s="537">
        <v>120.0</v>
      </c>
      <c r="BF49" s="112"/>
      <c r="BG49" s="112"/>
    </row>
    <row r="50">
      <c r="A50" s="541" t="s">
        <v>2049</v>
      </c>
      <c r="B50" s="542" t="s">
        <v>2050</v>
      </c>
      <c r="C50" s="465" t="s">
        <v>2051</v>
      </c>
      <c r="D50" s="465">
        <v>0.0</v>
      </c>
      <c r="E50" s="226"/>
      <c r="F50" s="226"/>
      <c r="G50" s="226"/>
      <c r="H50" s="226"/>
      <c r="I50" s="226"/>
      <c r="J50" s="226"/>
      <c r="K50" s="226"/>
      <c r="L50" s="226"/>
      <c r="M50" s="226"/>
      <c r="N50" s="226"/>
      <c r="O50" s="226"/>
      <c r="P50" s="226"/>
      <c r="Q50" s="226"/>
      <c r="R50" s="226"/>
      <c r="S50" s="226"/>
      <c r="T50" s="226"/>
      <c r="U50" s="226"/>
      <c r="V50" s="226"/>
      <c r="W50" s="226"/>
      <c r="X50" s="226"/>
      <c r="Y50" s="226"/>
      <c r="Z50" s="226"/>
      <c r="AA50" s="226"/>
      <c r="AB50" s="226"/>
      <c r="AC50" s="226"/>
      <c r="AD50" s="226"/>
      <c r="AE50" s="226"/>
      <c r="AF50" s="226"/>
      <c r="AG50" s="226"/>
      <c r="AH50" s="226"/>
      <c r="AI50" s="226"/>
      <c r="AJ50" s="226"/>
      <c r="AK50" s="226"/>
      <c r="AL50" s="226"/>
      <c r="AN50" s="454" t="s">
        <v>751</v>
      </c>
      <c r="AO50" s="536">
        <v>0.0</v>
      </c>
      <c r="AP50" s="515" t="s">
        <v>751</v>
      </c>
      <c r="AQ50" s="537">
        <v>158.48</v>
      </c>
      <c r="AR50" s="454" t="s">
        <v>751</v>
      </c>
      <c r="AS50" s="537">
        <v>0.0</v>
      </c>
      <c r="AT50" s="454" t="s">
        <v>751</v>
      </c>
      <c r="AU50" s="537">
        <v>67.0</v>
      </c>
      <c r="AV50" s="454" t="s">
        <v>751</v>
      </c>
      <c r="AW50" s="537">
        <v>0.0</v>
      </c>
      <c r="AX50" s="454" t="s">
        <v>751</v>
      </c>
      <c r="AY50" s="537">
        <v>41.0</v>
      </c>
      <c r="AZ50" s="454" t="s">
        <v>751</v>
      </c>
      <c r="BA50" s="537">
        <v>32.0</v>
      </c>
      <c r="BB50" s="454" t="s">
        <v>751</v>
      </c>
      <c r="BC50" s="537">
        <v>0.0</v>
      </c>
      <c r="BD50" s="454" t="s">
        <v>751</v>
      </c>
      <c r="BE50" s="537">
        <v>0.0</v>
      </c>
      <c r="BF50" s="112"/>
      <c r="BG50" s="112"/>
    </row>
    <row r="51">
      <c r="A51" s="543" t="s">
        <v>2052</v>
      </c>
      <c r="B51" s="544" t="s">
        <v>2051</v>
      </c>
      <c r="C51" s="465" t="s">
        <v>2048</v>
      </c>
      <c r="D51" s="465">
        <v>14.0</v>
      </c>
      <c r="E51" s="226"/>
      <c r="F51" s="226"/>
      <c r="G51" s="226"/>
      <c r="H51" s="226"/>
      <c r="I51" s="226"/>
      <c r="J51" s="226"/>
      <c r="K51" s="534">
        <f>VLOOKUP(B51,C49:D50,2,FALSE)</f>
        <v>0</v>
      </c>
      <c r="L51" s="226"/>
      <c r="M51" s="226"/>
      <c r="N51" s="226"/>
      <c r="O51" s="226"/>
      <c r="P51" s="226"/>
      <c r="Q51" s="226"/>
      <c r="R51" s="226"/>
      <c r="S51" s="226"/>
      <c r="T51" s="226"/>
      <c r="U51" s="226"/>
      <c r="V51" s="226"/>
      <c r="W51" s="226"/>
      <c r="X51" s="226"/>
      <c r="Y51" s="226"/>
      <c r="Z51" s="226"/>
      <c r="AA51" s="226"/>
      <c r="AB51" s="226"/>
      <c r="AC51" s="226"/>
      <c r="AD51" s="226"/>
      <c r="AE51" s="226"/>
      <c r="AF51" s="226"/>
      <c r="AG51" s="226"/>
      <c r="AH51" s="226"/>
      <c r="AI51" s="226"/>
      <c r="AJ51" s="226"/>
      <c r="AK51" s="226"/>
      <c r="AL51" s="226"/>
      <c r="AN51" s="454" t="s">
        <v>754</v>
      </c>
      <c r="AO51" s="536">
        <v>84.0</v>
      </c>
      <c r="AP51" s="515" t="s">
        <v>754</v>
      </c>
      <c r="AQ51" s="537">
        <v>145.84</v>
      </c>
      <c r="AR51" s="454" t="s">
        <v>754</v>
      </c>
      <c r="AS51" s="537">
        <v>18.0</v>
      </c>
      <c r="AT51" s="454" t="s">
        <v>754</v>
      </c>
      <c r="AU51" s="537">
        <v>45.0</v>
      </c>
      <c r="AV51" s="454" t="s">
        <v>754</v>
      </c>
      <c r="AW51" s="537">
        <v>0.0</v>
      </c>
      <c r="AX51" s="454" t="s">
        <v>754</v>
      </c>
      <c r="AY51" s="537">
        <v>45.0</v>
      </c>
      <c r="AZ51" s="454" t="s">
        <v>754</v>
      </c>
      <c r="BA51" s="537">
        <v>0.0</v>
      </c>
      <c r="BB51" s="454" t="s">
        <v>754</v>
      </c>
      <c r="BC51" s="537">
        <v>0.0</v>
      </c>
      <c r="BD51" s="454" t="s">
        <v>754</v>
      </c>
      <c r="BE51" s="537">
        <v>0.0</v>
      </c>
      <c r="BF51" s="112"/>
      <c r="BG51" s="112"/>
    </row>
    <row r="52">
      <c r="A52" s="545" t="s">
        <v>2053</v>
      </c>
      <c r="B52" s="546" t="s">
        <v>2051</v>
      </c>
      <c r="C52" s="465" t="s">
        <v>2051</v>
      </c>
      <c r="D52" s="465">
        <v>0.0</v>
      </c>
      <c r="E52" s="226"/>
      <c r="F52" s="226"/>
      <c r="G52" s="226"/>
      <c r="H52" s="226"/>
      <c r="I52" s="226"/>
      <c r="J52" s="226"/>
      <c r="K52" s="534">
        <f>VLOOKUP(B52,C51:D52,2,FALSE)</f>
        <v>0</v>
      </c>
      <c r="L52" s="226"/>
      <c r="M52" s="226"/>
      <c r="N52" s="226"/>
      <c r="O52" s="226"/>
      <c r="P52" s="226"/>
      <c r="Q52" s="226"/>
      <c r="R52" s="226"/>
      <c r="S52" s="226"/>
      <c r="T52" s="226"/>
      <c r="U52" s="226"/>
      <c r="V52" s="226"/>
      <c r="W52" s="226"/>
      <c r="X52" s="226"/>
      <c r="Y52" s="226"/>
      <c r="Z52" s="226"/>
      <c r="AA52" s="226"/>
      <c r="AB52" s="226"/>
      <c r="AC52" s="226"/>
      <c r="AD52" s="226"/>
      <c r="AE52" s="226"/>
      <c r="AF52" s="226"/>
      <c r="AG52" s="226"/>
      <c r="AH52" s="226"/>
      <c r="AI52" s="226"/>
      <c r="AJ52" s="226"/>
      <c r="AK52" s="226"/>
      <c r="AL52" s="226"/>
      <c r="AN52" s="454" t="s">
        <v>757</v>
      </c>
      <c r="AO52" s="536">
        <v>126.0</v>
      </c>
      <c r="AP52" s="515" t="s">
        <v>757</v>
      </c>
      <c r="AQ52" s="537">
        <v>139.24</v>
      </c>
      <c r="AR52" s="454" t="s">
        <v>757</v>
      </c>
      <c r="AS52" s="537">
        <v>16.0</v>
      </c>
      <c r="AT52" s="454" t="s">
        <v>757</v>
      </c>
      <c r="AU52" s="537">
        <v>53.0</v>
      </c>
      <c r="AV52" s="454" t="s">
        <v>757</v>
      </c>
      <c r="AW52" s="537">
        <v>34.0</v>
      </c>
      <c r="AX52" s="454" t="s">
        <v>757</v>
      </c>
      <c r="AY52" s="537">
        <v>0.0</v>
      </c>
      <c r="AZ52" s="454" t="s">
        <v>757</v>
      </c>
      <c r="BA52" s="537">
        <v>0.0</v>
      </c>
      <c r="BB52" s="454" t="s">
        <v>757</v>
      </c>
      <c r="BC52" s="537">
        <v>0.0</v>
      </c>
      <c r="BD52" s="454" t="s">
        <v>757</v>
      </c>
      <c r="BE52" s="537">
        <v>0.0</v>
      </c>
      <c r="BF52" s="112"/>
      <c r="BG52" s="112"/>
    </row>
    <row r="53">
      <c r="A53" s="547" t="s">
        <v>2054</v>
      </c>
      <c r="B53" s="548" t="s">
        <v>2051</v>
      </c>
      <c r="C53" s="549" t="s">
        <v>2048</v>
      </c>
      <c r="D53" s="550">
        <v>110.4</v>
      </c>
      <c r="E53" s="533"/>
      <c r="F53" s="533"/>
      <c r="G53" s="533"/>
      <c r="H53" s="533"/>
      <c r="I53" s="533"/>
      <c r="J53" s="533"/>
      <c r="K53" s="534">
        <f>VLOOKUP(B53,C53:D54,2,FALSE)</f>
        <v>0</v>
      </c>
      <c r="L53" s="534"/>
      <c r="M53" s="535"/>
      <c r="N53" s="535"/>
      <c r="O53" s="535"/>
      <c r="P53" s="535"/>
      <c r="Q53" s="226"/>
      <c r="R53" s="226"/>
      <c r="S53" s="226"/>
      <c r="T53" s="226"/>
      <c r="U53" s="226"/>
      <c r="V53" s="226"/>
      <c r="W53" s="226"/>
      <c r="X53" s="226"/>
      <c r="Y53" s="226"/>
      <c r="Z53" s="226"/>
      <c r="AA53" s="226"/>
      <c r="AB53" s="226"/>
      <c r="AC53" s="226"/>
      <c r="AD53" s="226"/>
      <c r="AE53" s="226"/>
      <c r="AF53" s="226"/>
      <c r="AG53" s="226"/>
      <c r="AH53" s="226"/>
      <c r="AI53" s="226"/>
      <c r="AJ53" s="226"/>
      <c r="AK53" s="226"/>
      <c r="AL53" s="226"/>
      <c r="AN53" s="454" t="s">
        <v>758</v>
      </c>
      <c r="AO53" s="536">
        <v>0.0</v>
      </c>
      <c r="AP53" s="515" t="s">
        <v>758</v>
      </c>
      <c r="AQ53" s="537">
        <v>136.81</v>
      </c>
      <c r="AR53" s="454" t="s">
        <v>758</v>
      </c>
      <c r="AS53" s="537">
        <v>29.0</v>
      </c>
      <c r="AT53" s="454" t="s">
        <v>758</v>
      </c>
      <c r="AU53" s="537">
        <v>0.0</v>
      </c>
      <c r="AV53" s="454" t="s">
        <v>758</v>
      </c>
      <c r="AW53" s="537">
        <v>0.0</v>
      </c>
      <c r="AX53" s="454" t="s">
        <v>758</v>
      </c>
      <c r="AY53" s="537">
        <v>46.0</v>
      </c>
      <c r="AZ53" s="454" t="s">
        <v>758</v>
      </c>
      <c r="BA53" s="537">
        <v>0.0</v>
      </c>
      <c r="BB53" s="454" t="s">
        <v>758</v>
      </c>
      <c r="BC53" s="537">
        <v>0.0</v>
      </c>
      <c r="BD53" s="454" t="s">
        <v>758</v>
      </c>
      <c r="BE53" s="537">
        <v>106.0</v>
      </c>
      <c r="BF53" s="112"/>
      <c r="BG53" s="112"/>
    </row>
    <row r="54">
      <c r="A54" s="551" t="s">
        <v>2055</v>
      </c>
      <c r="B54" s="552" t="s">
        <v>2048</v>
      </c>
      <c r="C54" s="549" t="s">
        <v>2051</v>
      </c>
      <c r="D54" s="553">
        <v>0.0</v>
      </c>
      <c r="E54" s="533"/>
      <c r="F54" s="533"/>
      <c r="G54" s="533"/>
      <c r="H54" s="533"/>
      <c r="I54" s="533"/>
      <c r="J54" s="533"/>
      <c r="K54" s="534">
        <f>VLOOKUP(B54,C55:D56,2,FALSE)</f>
        <v>8</v>
      </c>
      <c r="L54" s="534"/>
      <c r="M54" s="226"/>
      <c r="N54" s="535"/>
      <c r="O54" s="535"/>
      <c r="P54" s="535"/>
      <c r="Q54" s="226"/>
      <c r="R54" s="226"/>
      <c r="S54" s="226"/>
      <c r="T54" s="226"/>
      <c r="U54" s="226"/>
      <c r="V54" s="226"/>
      <c r="W54" s="226"/>
      <c r="X54" s="226"/>
      <c r="Y54" s="226"/>
      <c r="Z54" s="226"/>
      <c r="AA54" s="226"/>
      <c r="AB54" s="226"/>
      <c r="AC54" s="226"/>
      <c r="AD54" s="226"/>
      <c r="AE54" s="226"/>
      <c r="AF54" s="226"/>
      <c r="AG54" s="226"/>
      <c r="AH54" s="226"/>
      <c r="AI54" s="226"/>
      <c r="AJ54" s="226"/>
      <c r="AK54" s="226"/>
      <c r="AL54" s="226"/>
      <c r="AN54" s="454" t="s">
        <v>759</v>
      </c>
      <c r="AO54" s="536">
        <v>84.0</v>
      </c>
      <c r="AP54" s="515" t="s">
        <v>759</v>
      </c>
      <c r="AQ54" s="537">
        <v>130.9</v>
      </c>
      <c r="AR54" s="454" t="s">
        <v>759</v>
      </c>
      <c r="AS54" s="537">
        <v>12.0</v>
      </c>
      <c r="AT54" s="454" t="s">
        <v>759</v>
      </c>
      <c r="AU54" s="537">
        <v>39.0</v>
      </c>
      <c r="AV54" s="454" t="s">
        <v>759</v>
      </c>
      <c r="AW54" s="537">
        <v>0.0</v>
      </c>
      <c r="AX54" s="454" t="s">
        <v>759</v>
      </c>
      <c r="AY54" s="537">
        <v>39.0</v>
      </c>
      <c r="AZ54" s="454" t="s">
        <v>759</v>
      </c>
      <c r="BA54" s="537">
        <v>0.0</v>
      </c>
      <c r="BB54" s="454" t="s">
        <v>759</v>
      </c>
      <c r="BC54" s="537">
        <v>0.0</v>
      </c>
      <c r="BD54" s="454" t="s">
        <v>759</v>
      </c>
      <c r="BE54" s="537">
        <v>0.0</v>
      </c>
      <c r="BF54" s="112"/>
      <c r="BG54" s="112"/>
    </row>
    <row r="55">
      <c r="A55" s="554" t="s">
        <v>2056</v>
      </c>
      <c r="B55" s="555" t="s">
        <v>2051</v>
      </c>
      <c r="C55" s="556" t="s">
        <v>2048</v>
      </c>
      <c r="D55" s="557">
        <v>8.0</v>
      </c>
      <c r="E55" s="533"/>
      <c r="F55" s="533"/>
      <c r="G55" s="533"/>
      <c r="H55" s="533"/>
      <c r="I55" s="533"/>
      <c r="J55" s="533"/>
      <c r="K55" s="534">
        <f>VLOOKUP(B55,C57:D58,2,FALSE)</f>
        <v>0</v>
      </c>
      <c r="L55" s="534"/>
      <c r="M55" s="226"/>
      <c r="N55" s="553"/>
      <c r="O55" s="553"/>
      <c r="P55" s="553"/>
      <c r="Q55" s="226"/>
      <c r="R55" s="226"/>
      <c r="S55" s="226"/>
      <c r="T55" s="226"/>
      <c r="U55" s="226"/>
      <c r="V55" s="226"/>
      <c r="W55" s="226"/>
      <c r="X55" s="226"/>
      <c r="Y55" s="226"/>
      <c r="Z55" s="226"/>
      <c r="AA55" s="226"/>
      <c r="AB55" s="226"/>
      <c r="AC55" s="226"/>
      <c r="AD55" s="226"/>
      <c r="AE55" s="226"/>
      <c r="AF55" s="226"/>
      <c r="AG55" s="226"/>
      <c r="AH55" s="226"/>
      <c r="AI55" s="226"/>
      <c r="AJ55" s="226"/>
      <c r="AK55" s="226"/>
      <c r="AL55" s="226"/>
      <c r="AN55" s="454" t="s">
        <v>760</v>
      </c>
      <c r="AO55" s="536">
        <v>0.0</v>
      </c>
      <c r="AP55" s="515" t="s">
        <v>760</v>
      </c>
      <c r="AQ55" s="537">
        <v>121.77</v>
      </c>
      <c r="AR55" s="454" t="s">
        <v>760</v>
      </c>
      <c r="AS55" s="537">
        <v>25.0</v>
      </c>
      <c r="AT55" s="454" t="s">
        <v>760</v>
      </c>
      <c r="AU55" s="537">
        <v>40.0</v>
      </c>
      <c r="AV55" s="454" t="s">
        <v>760</v>
      </c>
      <c r="AW55" s="537">
        <v>0.0</v>
      </c>
      <c r="AX55" s="454" t="s">
        <v>760</v>
      </c>
      <c r="AY55" s="537">
        <v>41.0</v>
      </c>
      <c r="AZ55" s="454" t="s">
        <v>760</v>
      </c>
      <c r="BA55" s="537">
        <v>0.0</v>
      </c>
      <c r="BB55" s="454" t="s">
        <v>760</v>
      </c>
      <c r="BC55" s="537">
        <v>0.0</v>
      </c>
      <c r="BD55" s="454" t="s">
        <v>760</v>
      </c>
      <c r="BE55" s="537">
        <v>0.0</v>
      </c>
      <c r="BF55" s="112"/>
      <c r="BG55" s="112"/>
    </row>
    <row r="56">
      <c r="A56" s="226"/>
      <c r="B56" s="226"/>
      <c r="C56" s="556" t="s">
        <v>2051</v>
      </c>
      <c r="D56" s="557">
        <v>0.0</v>
      </c>
      <c r="E56" s="473"/>
      <c r="F56" s="473"/>
      <c r="G56" s="473"/>
      <c r="H56" s="473"/>
      <c r="I56" s="473"/>
      <c r="J56" s="473"/>
      <c r="K56" s="473"/>
      <c r="L56" s="534"/>
      <c r="M56" s="226"/>
      <c r="N56" s="557"/>
      <c r="O56" s="557"/>
      <c r="P56" s="557"/>
      <c r="Q56" s="226"/>
      <c r="R56" s="226"/>
      <c r="S56" s="226"/>
      <c r="T56" s="226"/>
      <c r="U56" s="226"/>
      <c r="V56" s="226"/>
      <c r="W56" s="226"/>
      <c r="X56" s="226"/>
      <c r="Y56" s="226"/>
      <c r="Z56" s="226"/>
      <c r="AA56" s="226"/>
      <c r="AB56" s="226"/>
      <c r="AC56" s="226"/>
      <c r="AD56" s="226"/>
      <c r="AE56" s="226"/>
      <c r="AF56" s="226"/>
      <c r="AG56" s="226"/>
      <c r="AH56" s="226"/>
      <c r="AI56" s="226"/>
      <c r="AJ56" s="226"/>
      <c r="AK56" s="226"/>
      <c r="AL56" s="226"/>
      <c r="AN56" s="454" t="s">
        <v>763</v>
      </c>
      <c r="AO56" s="536">
        <v>0.0</v>
      </c>
      <c r="AP56" s="515" t="s">
        <v>763</v>
      </c>
      <c r="AQ56" s="537">
        <v>120.4</v>
      </c>
      <c r="AR56" s="454" t="s">
        <v>763</v>
      </c>
      <c r="AS56" s="537">
        <v>30.0</v>
      </c>
      <c r="AT56" s="454" t="s">
        <v>763</v>
      </c>
      <c r="AU56" s="537">
        <v>63.0</v>
      </c>
      <c r="AV56" s="454" t="s">
        <v>763</v>
      </c>
      <c r="AW56" s="537">
        <v>0.0</v>
      </c>
      <c r="AX56" s="454" t="s">
        <v>763</v>
      </c>
      <c r="AY56" s="537">
        <v>44.0</v>
      </c>
      <c r="AZ56" s="454" t="s">
        <v>763</v>
      </c>
      <c r="BA56" s="537">
        <v>0.0</v>
      </c>
      <c r="BB56" s="454" t="s">
        <v>763</v>
      </c>
      <c r="BC56" s="537">
        <v>0.0</v>
      </c>
      <c r="BD56" s="454" t="s">
        <v>763</v>
      </c>
      <c r="BE56" s="537">
        <v>0.0</v>
      </c>
      <c r="BF56" s="112"/>
      <c r="BG56" s="112"/>
    </row>
    <row r="57">
      <c r="A57" s="558" t="s">
        <v>2057</v>
      </c>
      <c r="B57" s="559" t="s">
        <v>2051</v>
      </c>
      <c r="C57" s="556" t="s">
        <v>2048</v>
      </c>
      <c r="D57" s="557">
        <v>16.0</v>
      </c>
      <c r="E57" s="533"/>
      <c r="F57" s="533"/>
      <c r="G57" s="533"/>
      <c r="H57" s="533"/>
      <c r="I57" s="533"/>
      <c r="J57" s="533"/>
      <c r="K57" s="560">
        <f>VLOOKUP(B57,C59:D60,2,FALSE)</f>
        <v>0</v>
      </c>
      <c r="L57" s="473"/>
      <c r="M57" s="226"/>
      <c r="N57" s="557"/>
      <c r="O57" s="557"/>
      <c r="P57" s="557"/>
      <c r="Q57" s="226"/>
      <c r="R57" s="226"/>
      <c r="S57" s="226"/>
      <c r="T57" s="226"/>
      <c r="U57" s="226"/>
      <c r="V57" s="226"/>
      <c r="W57" s="226"/>
      <c r="X57" s="226"/>
      <c r="Y57" s="226"/>
      <c r="Z57" s="226"/>
      <c r="AA57" s="226"/>
      <c r="AB57" s="226"/>
      <c r="AC57" s="226"/>
      <c r="AD57" s="226"/>
      <c r="AE57" s="226"/>
      <c r="AF57" s="226"/>
      <c r="AG57" s="226"/>
      <c r="AH57" s="226"/>
      <c r="AI57" s="226"/>
      <c r="AJ57" s="226"/>
      <c r="AK57" s="226"/>
      <c r="AL57" s="226"/>
      <c r="AN57" s="454" t="s">
        <v>764</v>
      </c>
      <c r="AO57" s="536">
        <v>0.0</v>
      </c>
      <c r="AP57" s="515" t="s">
        <v>764</v>
      </c>
      <c r="AQ57" s="537">
        <v>120.2</v>
      </c>
      <c r="AR57" s="454" t="s">
        <v>764</v>
      </c>
      <c r="AS57" s="537">
        <v>27.0</v>
      </c>
      <c r="AT57" s="454" t="s">
        <v>764</v>
      </c>
      <c r="AU57" s="537">
        <v>0.0</v>
      </c>
      <c r="AV57" s="454" t="s">
        <v>764</v>
      </c>
      <c r="AW57" s="537">
        <v>0.0</v>
      </c>
      <c r="AX57" s="454" t="s">
        <v>764</v>
      </c>
      <c r="AY57" s="537">
        <v>36.0</v>
      </c>
      <c r="AZ57" s="454" t="s">
        <v>764</v>
      </c>
      <c r="BA57" s="537">
        <v>0.0</v>
      </c>
      <c r="BB57" s="454" t="s">
        <v>764</v>
      </c>
      <c r="BC57" s="537">
        <v>0.0</v>
      </c>
      <c r="BD57" s="454" t="s">
        <v>764</v>
      </c>
      <c r="BE57" s="537">
        <v>92.0</v>
      </c>
      <c r="BF57" s="112"/>
      <c r="BG57" s="112"/>
    </row>
    <row r="58">
      <c r="A58" s="561" t="s">
        <v>2058</v>
      </c>
      <c r="B58" s="562" t="s">
        <v>2051</v>
      </c>
      <c r="C58" s="556" t="s">
        <v>2051</v>
      </c>
      <c r="D58" s="557">
        <v>0.0</v>
      </c>
      <c r="E58" s="533"/>
      <c r="F58" s="533"/>
      <c r="G58" s="533"/>
      <c r="H58" s="533"/>
      <c r="I58" s="533"/>
      <c r="J58" s="533"/>
      <c r="K58" s="560">
        <f>VLOOKUP(B58,C61:D64,2,FALSE)</f>
        <v>0</v>
      </c>
      <c r="L58" s="560"/>
      <c r="M58" s="226"/>
      <c r="N58" s="557"/>
      <c r="O58" s="557"/>
      <c r="P58" s="557"/>
      <c r="Q58" s="226"/>
      <c r="R58" s="226"/>
      <c r="S58" s="226"/>
      <c r="T58" s="226"/>
      <c r="U58" s="226"/>
      <c r="V58" s="226"/>
      <c r="W58" s="226"/>
      <c r="X58" s="226"/>
      <c r="Y58" s="226"/>
      <c r="Z58" s="226"/>
      <c r="AA58" s="226"/>
      <c r="AB58" s="226"/>
      <c r="AC58" s="226"/>
      <c r="AD58" s="226"/>
      <c r="AE58" s="226"/>
      <c r="AF58" s="226"/>
      <c r="AG58" s="226"/>
      <c r="AH58" s="226"/>
      <c r="AI58" s="226"/>
      <c r="AJ58" s="226"/>
      <c r="AK58" s="226"/>
      <c r="AL58" s="226"/>
      <c r="AN58" s="454" t="s">
        <v>2059</v>
      </c>
      <c r="AO58" s="536">
        <v>0.0</v>
      </c>
      <c r="AP58" s="515" t="s">
        <v>2059</v>
      </c>
      <c r="AQ58" s="537">
        <v>118.7</v>
      </c>
      <c r="AR58" s="454" t="s">
        <v>2059</v>
      </c>
      <c r="AS58" s="537">
        <v>15.0</v>
      </c>
      <c r="AT58" s="454" t="s">
        <v>2059</v>
      </c>
      <c r="AU58" s="537">
        <v>50.0</v>
      </c>
      <c r="AV58" s="454" t="s">
        <v>2059</v>
      </c>
      <c r="AW58" s="537">
        <v>0.0</v>
      </c>
      <c r="AX58" s="454" t="s">
        <v>2059</v>
      </c>
      <c r="AY58" s="537">
        <v>33.0</v>
      </c>
      <c r="AZ58" s="454" t="s">
        <v>2059</v>
      </c>
      <c r="BA58" s="537">
        <v>0.0</v>
      </c>
      <c r="BB58" s="454" t="s">
        <v>2059</v>
      </c>
      <c r="BC58" s="537">
        <v>0.0</v>
      </c>
      <c r="BD58" s="454" t="s">
        <v>2059</v>
      </c>
      <c r="BE58" s="537">
        <v>0.0</v>
      </c>
      <c r="BF58" s="112"/>
      <c r="BG58" s="112"/>
    </row>
    <row r="59">
      <c r="A59" s="563" t="s">
        <v>2060</v>
      </c>
      <c r="B59" s="564" t="s">
        <v>2051</v>
      </c>
      <c r="C59" s="556" t="s">
        <v>2048</v>
      </c>
      <c r="D59" s="565">
        <v>200.0</v>
      </c>
      <c r="E59" s="452" t="s">
        <v>2048</v>
      </c>
      <c r="F59" s="452">
        <v>19.7115</v>
      </c>
      <c r="G59" s="566"/>
      <c r="H59" s="566"/>
      <c r="I59" s="566"/>
      <c r="J59" s="566"/>
      <c r="K59" s="560">
        <f>VLOOKUP(B59,E59:F60,2,FALSE)</f>
        <v>0</v>
      </c>
      <c r="L59" s="560"/>
      <c r="M59" s="226"/>
      <c r="N59" s="557"/>
      <c r="O59" s="557"/>
      <c r="P59" s="557"/>
      <c r="Q59" s="226"/>
      <c r="R59" s="226"/>
      <c r="S59" s="226"/>
      <c r="T59" s="226"/>
      <c r="U59" s="226"/>
      <c r="V59" s="226"/>
      <c r="W59" s="226"/>
      <c r="X59" s="226"/>
      <c r="Y59" s="226"/>
      <c r="Z59" s="226"/>
      <c r="AA59" s="226"/>
      <c r="AB59" s="226"/>
      <c r="AC59" s="226"/>
      <c r="AD59" s="226"/>
      <c r="AE59" s="226"/>
      <c r="AF59" s="226"/>
      <c r="AG59" s="226"/>
      <c r="AH59" s="226"/>
      <c r="AI59" s="226"/>
      <c r="AJ59" s="226"/>
      <c r="AK59" s="226"/>
      <c r="AL59" s="226"/>
      <c r="AN59" s="454" t="s">
        <v>1420</v>
      </c>
      <c r="AO59" s="536">
        <v>0.0</v>
      </c>
      <c r="AP59" s="515" t="s">
        <v>1420</v>
      </c>
      <c r="AQ59" s="537">
        <v>97.63</v>
      </c>
      <c r="AR59" s="454" t="s">
        <v>1420</v>
      </c>
      <c r="AS59" s="537">
        <v>0.0</v>
      </c>
      <c r="AT59" s="454" t="s">
        <v>1420</v>
      </c>
      <c r="AU59" s="537">
        <v>44.0</v>
      </c>
      <c r="AV59" s="454" t="s">
        <v>1420</v>
      </c>
      <c r="AW59" s="537">
        <v>0.0</v>
      </c>
      <c r="AX59" s="454" t="s">
        <v>1420</v>
      </c>
      <c r="AY59" s="537">
        <v>26.0</v>
      </c>
      <c r="AZ59" s="454" t="s">
        <v>1420</v>
      </c>
      <c r="BA59" s="537">
        <v>0.0</v>
      </c>
      <c r="BB59" s="454" t="s">
        <v>1420</v>
      </c>
      <c r="BC59" s="537">
        <v>0.0</v>
      </c>
      <c r="BD59" s="454" t="s">
        <v>1420</v>
      </c>
      <c r="BE59" s="537">
        <v>0.0</v>
      </c>
      <c r="BF59" s="112"/>
      <c r="BG59" s="112"/>
    </row>
    <row r="60">
      <c r="A60" s="226"/>
      <c r="B60" s="567"/>
      <c r="C60" s="556" t="s">
        <v>2051</v>
      </c>
      <c r="D60" s="557">
        <v>0.0</v>
      </c>
      <c r="E60" s="452" t="s">
        <v>2051</v>
      </c>
      <c r="F60" s="452">
        <v>0.0</v>
      </c>
      <c r="G60" s="566"/>
      <c r="H60" s="566"/>
      <c r="I60" s="566"/>
      <c r="J60" s="566"/>
      <c r="K60" s="451"/>
      <c r="L60" s="451"/>
      <c r="M60" s="226"/>
      <c r="N60" s="557"/>
      <c r="O60" s="557"/>
      <c r="P60" s="557"/>
      <c r="Q60" s="226"/>
      <c r="R60" s="226"/>
      <c r="S60" s="226"/>
      <c r="T60" s="226"/>
      <c r="U60" s="226"/>
      <c r="V60" s="226"/>
      <c r="W60" s="226"/>
      <c r="X60" s="226"/>
      <c r="Y60" s="226"/>
      <c r="Z60" s="226"/>
      <c r="AA60" s="226"/>
      <c r="AB60" s="226"/>
      <c r="AC60" s="226"/>
      <c r="AD60" s="226"/>
      <c r="AE60" s="226"/>
      <c r="AF60" s="226"/>
      <c r="AG60" s="226"/>
      <c r="AH60" s="226"/>
      <c r="AI60" s="226"/>
      <c r="AJ60" s="226"/>
      <c r="AK60" s="226"/>
      <c r="AL60" s="226"/>
      <c r="AN60" s="455"/>
      <c r="AO60" s="568"/>
      <c r="AP60" s="455"/>
      <c r="AQ60" s="568"/>
      <c r="AR60" s="455"/>
      <c r="AS60" s="568"/>
      <c r="AT60" s="455"/>
      <c r="AU60" s="568"/>
      <c r="AV60" s="455"/>
      <c r="AW60" s="568"/>
      <c r="AX60" s="455"/>
      <c r="AY60" s="568"/>
      <c r="AZ60" s="455"/>
      <c r="BA60" s="568"/>
      <c r="BB60" s="455"/>
      <c r="BC60" s="568"/>
      <c r="BD60" s="455"/>
      <c r="BE60" s="568"/>
      <c r="BF60" s="112"/>
      <c r="BG60" s="112"/>
    </row>
    <row r="61">
      <c r="A61" s="226"/>
      <c r="B61" s="567"/>
      <c r="C61" s="569" t="s">
        <v>2051</v>
      </c>
      <c r="D61" s="465">
        <v>0.0</v>
      </c>
      <c r="E61" s="566"/>
      <c r="F61" s="566"/>
      <c r="G61" s="566"/>
      <c r="H61" s="566"/>
      <c r="I61" s="566"/>
      <c r="J61" s="566"/>
      <c r="K61" s="451"/>
      <c r="L61" s="451"/>
      <c r="M61" s="226"/>
      <c r="N61" s="557"/>
      <c r="O61" s="557"/>
      <c r="P61" s="557"/>
      <c r="Q61" s="226"/>
      <c r="R61" s="226"/>
      <c r="S61" s="226"/>
      <c r="T61" s="226"/>
      <c r="U61" s="226"/>
      <c r="V61" s="226"/>
      <c r="W61" s="226"/>
      <c r="X61" s="226"/>
      <c r="Y61" s="226"/>
      <c r="Z61" s="226"/>
      <c r="AA61" s="226"/>
      <c r="AB61" s="226"/>
      <c r="AC61" s="226"/>
      <c r="AD61" s="226"/>
      <c r="AE61" s="226"/>
      <c r="AF61" s="226"/>
      <c r="AG61" s="226"/>
      <c r="AH61" s="226"/>
      <c r="AI61" s="226"/>
      <c r="AJ61" s="226"/>
      <c r="AK61" s="226"/>
      <c r="AL61" s="226"/>
      <c r="BF61" s="112"/>
      <c r="BG61" s="112"/>
    </row>
    <row r="62">
      <c r="A62" s="458"/>
      <c r="B62" s="570"/>
      <c r="C62" s="569" t="s">
        <v>2061</v>
      </c>
      <c r="D62" s="465">
        <v>200.0</v>
      </c>
      <c r="E62" s="566"/>
      <c r="F62" s="566"/>
      <c r="G62" s="566"/>
      <c r="H62" s="566"/>
      <c r="I62" s="566"/>
      <c r="J62" s="566"/>
      <c r="K62" s="451"/>
      <c r="L62" s="451"/>
      <c r="M62" s="226"/>
      <c r="N62" s="465"/>
      <c r="O62" s="465"/>
      <c r="P62" s="465"/>
      <c r="Q62" s="226"/>
      <c r="R62" s="226"/>
      <c r="S62" s="226"/>
      <c r="T62" s="226"/>
      <c r="U62" s="226"/>
      <c r="V62" s="226"/>
      <c r="W62" s="226"/>
      <c r="X62" s="226"/>
      <c r="Y62" s="226"/>
      <c r="Z62" s="226"/>
      <c r="AA62" s="226"/>
      <c r="AB62" s="226"/>
      <c r="AC62" s="226"/>
      <c r="AD62" s="226"/>
      <c r="AE62" s="226"/>
      <c r="AF62" s="226"/>
      <c r="AG62" s="226"/>
      <c r="AH62" s="226"/>
      <c r="AI62" s="226"/>
      <c r="AJ62" s="226"/>
      <c r="AK62" s="226"/>
      <c r="AL62" s="226"/>
      <c r="AN62" s="449" t="s">
        <v>2062</v>
      </c>
      <c r="AO62" s="449" t="s">
        <v>1920</v>
      </c>
      <c r="AP62" s="450" t="s">
        <v>2063</v>
      </c>
      <c r="AQ62" s="450" t="s">
        <v>1922</v>
      </c>
      <c r="AR62" s="449" t="s">
        <v>2062</v>
      </c>
      <c r="AS62" s="450" t="s">
        <v>2064</v>
      </c>
      <c r="AT62" s="449" t="s">
        <v>2062</v>
      </c>
      <c r="AU62" s="450" t="s">
        <v>2065</v>
      </c>
      <c r="AV62" s="449" t="s">
        <v>2062</v>
      </c>
      <c r="AW62" s="450" t="s">
        <v>2066</v>
      </c>
      <c r="AX62" s="449" t="s">
        <v>2062</v>
      </c>
      <c r="AY62" s="450" t="s">
        <v>2067</v>
      </c>
      <c r="AZ62" s="449" t="s">
        <v>2062</v>
      </c>
      <c r="BA62" s="450" t="s">
        <v>2068</v>
      </c>
      <c r="BB62" s="449" t="s">
        <v>2062</v>
      </c>
      <c r="BC62" s="450" t="s">
        <v>2069</v>
      </c>
      <c r="BD62" s="449" t="s">
        <v>2062</v>
      </c>
      <c r="BE62" s="450" t="s">
        <v>2070</v>
      </c>
      <c r="BF62" s="112"/>
      <c r="BG62" s="112"/>
    </row>
    <row r="63">
      <c r="A63" s="458"/>
      <c r="B63" s="570"/>
      <c r="C63" s="465" t="s">
        <v>2071</v>
      </c>
      <c r="D63" s="465">
        <v>400.0</v>
      </c>
      <c r="E63" s="566"/>
      <c r="F63" s="566"/>
      <c r="G63" s="566"/>
      <c r="H63" s="566"/>
      <c r="I63" s="566"/>
      <c r="J63" s="566"/>
      <c r="K63" s="451"/>
      <c r="L63" s="451"/>
      <c r="M63" s="226"/>
      <c r="N63" s="465"/>
      <c r="O63" s="465"/>
      <c r="P63" s="465"/>
      <c r="Q63" s="226"/>
      <c r="R63" s="226"/>
      <c r="S63" s="226"/>
      <c r="T63" s="226"/>
      <c r="U63" s="226"/>
      <c r="V63" s="226"/>
      <c r="W63" s="226"/>
      <c r="X63" s="226"/>
      <c r="Y63" s="226"/>
      <c r="Z63" s="226"/>
      <c r="AA63" s="226"/>
      <c r="AB63" s="226"/>
      <c r="AC63" s="226"/>
      <c r="AD63" s="226"/>
      <c r="AE63" s="226"/>
      <c r="AF63" s="226"/>
      <c r="AG63" s="226"/>
      <c r="AH63" s="226"/>
      <c r="AI63" s="226"/>
      <c r="AJ63" s="226"/>
      <c r="AK63" s="226"/>
      <c r="AL63" s="226"/>
      <c r="AN63" s="454" t="s">
        <v>1008</v>
      </c>
      <c r="AO63" s="456">
        <v>196.0</v>
      </c>
      <c r="AP63" s="515" t="s">
        <v>1008</v>
      </c>
      <c r="AQ63" s="457">
        <v>650.58</v>
      </c>
      <c r="AR63" s="454" t="s">
        <v>1008</v>
      </c>
      <c r="AS63" s="457">
        <v>0.0</v>
      </c>
      <c r="AT63" s="454" t="s">
        <v>1008</v>
      </c>
      <c r="AU63" s="457">
        <v>0.0</v>
      </c>
      <c r="AV63" s="454" t="s">
        <v>1008</v>
      </c>
      <c r="AW63" s="457">
        <v>0.0</v>
      </c>
      <c r="AX63" s="454" t="s">
        <v>1008</v>
      </c>
      <c r="AY63" s="457">
        <v>0.0</v>
      </c>
      <c r="AZ63" s="454" t="s">
        <v>1008</v>
      </c>
      <c r="BA63" s="457">
        <v>0.0</v>
      </c>
      <c r="BB63" s="454" t="s">
        <v>1008</v>
      </c>
      <c r="BC63" s="457">
        <v>0.0</v>
      </c>
      <c r="BD63" s="454" t="s">
        <v>1008</v>
      </c>
      <c r="BE63" s="457">
        <v>54.0</v>
      </c>
      <c r="BF63" s="112"/>
      <c r="BG63" s="112"/>
    </row>
    <row r="64">
      <c r="A64" s="458"/>
      <c r="B64" s="570"/>
      <c r="C64" s="465" t="s">
        <v>2072</v>
      </c>
      <c r="D64" s="465">
        <v>600.0</v>
      </c>
      <c r="E64" s="566"/>
      <c r="F64" s="566"/>
      <c r="G64" s="566"/>
      <c r="H64" s="566"/>
      <c r="I64" s="566"/>
      <c r="J64" s="566"/>
      <c r="K64" s="451"/>
      <c r="L64" s="451"/>
      <c r="M64" s="226"/>
      <c r="N64" s="465"/>
      <c r="O64" s="465"/>
      <c r="P64" s="465"/>
      <c r="Q64" s="226"/>
      <c r="R64" s="226"/>
      <c r="S64" s="226"/>
      <c r="T64" s="226"/>
      <c r="U64" s="226"/>
      <c r="V64" s="226"/>
      <c r="W64" s="226"/>
      <c r="X64" s="226"/>
      <c r="Y64" s="226"/>
      <c r="Z64" s="226"/>
      <c r="AA64" s="226"/>
      <c r="AB64" s="226"/>
      <c r="AC64" s="226"/>
      <c r="AD64" s="226"/>
      <c r="AE64" s="226"/>
      <c r="AF64" s="226"/>
      <c r="AG64" s="226"/>
      <c r="AH64" s="226"/>
      <c r="AI64" s="226"/>
      <c r="AJ64" s="226"/>
      <c r="AK64" s="226"/>
      <c r="AL64" s="226"/>
      <c r="AN64" s="454" t="s">
        <v>1009</v>
      </c>
      <c r="AO64" s="456">
        <v>0.0</v>
      </c>
      <c r="AP64" s="515" t="s">
        <v>1009</v>
      </c>
      <c r="AQ64" s="457">
        <v>591.34</v>
      </c>
      <c r="AR64" s="454" t="s">
        <v>1009</v>
      </c>
      <c r="AS64" s="457">
        <v>21.0</v>
      </c>
      <c r="AT64" s="454" t="s">
        <v>1009</v>
      </c>
      <c r="AU64" s="457">
        <v>0.0</v>
      </c>
      <c r="AV64" s="454" t="s">
        <v>1009</v>
      </c>
      <c r="AW64" s="457">
        <v>22.0</v>
      </c>
      <c r="AX64" s="454" t="s">
        <v>1009</v>
      </c>
      <c r="AY64" s="457">
        <v>0.0</v>
      </c>
      <c r="AZ64" s="454" t="s">
        <v>1009</v>
      </c>
      <c r="BA64" s="457">
        <v>0.0</v>
      </c>
      <c r="BB64" s="454" t="s">
        <v>1009</v>
      </c>
      <c r="BC64" s="457">
        <v>0.0</v>
      </c>
      <c r="BD64" s="454" t="s">
        <v>1009</v>
      </c>
      <c r="BE64" s="457">
        <v>44.0</v>
      </c>
      <c r="BF64" s="112"/>
      <c r="BG64" s="112"/>
    </row>
    <row r="65">
      <c r="A65" s="556"/>
      <c r="B65" s="528"/>
      <c r="C65" s="556"/>
      <c r="D65" s="226"/>
      <c r="E65" s="226"/>
      <c r="F65" s="226"/>
      <c r="G65" s="226"/>
      <c r="H65" s="226"/>
      <c r="I65" s="226"/>
      <c r="J65" s="226"/>
      <c r="K65" s="226"/>
      <c r="L65" s="451"/>
      <c r="M65" s="226"/>
      <c r="N65" s="465"/>
      <c r="O65" s="465"/>
      <c r="P65" s="465"/>
      <c r="Q65" s="226"/>
      <c r="R65" s="226"/>
      <c r="S65" s="226"/>
      <c r="T65" s="226"/>
      <c r="U65" s="226"/>
      <c r="V65" s="226"/>
      <c r="W65" s="226"/>
      <c r="X65" s="226"/>
      <c r="Y65" s="226"/>
      <c r="Z65" s="226"/>
      <c r="AA65" s="226"/>
      <c r="AB65" s="226"/>
      <c r="AC65" s="226"/>
      <c r="AD65" s="226"/>
      <c r="AE65" s="226"/>
      <c r="AF65" s="226"/>
      <c r="AG65" s="226"/>
      <c r="AH65" s="226"/>
      <c r="AI65" s="226"/>
      <c r="AJ65" s="226"/>
      <c r="AK65" s="226"/>
      <c r="AL65" s="226"/>
      <c r="AN65" s="454" t="s">
        <v>1011</v>
      </c>
      <c r="AO65" s="456">
        <v>49.0</v>
      </c>
      <c r="AP65" s="515" t="s">
        <v>1011</v>
      </c>
      <c r="AQ65" s="457">
        <v>587.68</v>
      </c>
      <c r="AR65" s="454" t="s">
        <v>1011</v>
      </c>
      <c r="AS65" s="457">
        <v>9.0</v>
      </c>
      <c r="AT65" s="454" t="s">
        <v>1011</v>
      </c>
      <c r="AU65" s="457">
        <v>0.0</v>
      </c>
      <c r="AV65" s="454" t="s">
        <v>1011</v>
      </c>
      <c r="AW65" s="457">
        <v>0.0</v>
      </c>
      <c r="AX65" s="454" t="s">
        <v>1011</v>
      </c>
      <c r="AY65" s="457">
        <v>22.0</v>
      </c>
      <c r="AZ65" s="454" t="s">
        <v>1011</v>
      </c>
      <c r="BA65" s="457">
        <v>0.0</v>
      </c>
      <c r="BB65" s="454" t="s">
        <v>1011</v>
      </c>
      <c r="BC65" s="457">
        <v>0.0</v>
      </c>
      <c r="BD65" s="454" t="s">
        <v>1011</v>
      </c>
      <c r="BE65" s="457">
        <v>38.0</v>
      </c>
      <c r="BF65" s="112"/>
      <c r="BG65" s="112"/>
    </row>
    <row r="66">
      <c r="A66" s="528"/>
      <c r="B66" s="528"/>
      <c r="C66" s="556"/>
      <c r="D66" s="226"/>
      <c r="E66" s="226"/>
      <c r="F66" s="226"/>
      <c r="G66" s="226"/>
      <c r="H66" s="226"/>
      <c r="I66" s="226"/>
      <c r="J66" s="226"/>
      <c r="K66" s="226"/>
      <c r="L66" s="465"/>
      <c r="M66" s="226"/>
      <c r="N66" s="226"/>
      <c r="O66" s="226"/>
      <c r="P66" s="226"/>
      <c r="Q66" s="226"/>
      <c r="R66" s="226"/>
      <c r="S66" s="226"/>
      <c r="T66" s="226"/>
      <c r="U66" s="226"/>
      <c r="V66" s="226"/>
      <c r="W66" s="226"/>
      <c r="X66" s="226"/>
      <c r="Y66" s="226"/>
      <c r="Z66" s="226"/>
      <c r="AA66" s="226"/>
      <c r="AB66" s="226"/>
      <c r="AC66" s="226"/>
      <c r="AD66" s="226"/>
      <c r="AE66" s="226"/>
      <c r="AF66" s="226"/>
      <c r="AG66" s="226"/>
      <c r="AH66" s="226"/>
      <c r="AI66" s="226"/>
      <c r="AJ66" s="226"/>
      <c r="AK66" s="226"/>
      <c r="AL66" s="226"/>
      <c r="AN66" s="454" t="s">
        <v>1012</v>
      </c>
      <c r="AO66" s="456">
        <v>0.0</v>
      </c>
      <c r="AP66" s="515" t="s">
        <v>1012</v>
      </c>
      <c r="AQ66" s="457">
        <v>575.13</v>
      </c>
      <c r="AR66" s="454" t="s">
        <v>1012</v>
      </c>
      <c r="AS66" s="457">
        <v>17.0</v>
      </c>
      <c r="AT66" s="454" t="s">
        <v>1012</v>
      </c>
      <c r="AU66" s="457">
        <v>0.0</v>
      </c>
      <c r="AV66" s="454" t="s">
        <v>1012</v>
      </c>
      <c r="AW66" s="457">
        <v>0.0</v>
      </c>
      <c r="AX66" s="454" t="s">
        <v>1012</v>
      </c>
      <c r="AY66" s="457">
        <v>0.0</v>
      </c>
      <c r="AZ66" s="454" t="s">
        <v>1012</v>
      </c>
      <c r="BA66" s="457">
        <v>35.0</v>
      </c>
      <c r="BB66" s="454" t="s">
        <v>1012</v>
      </c>
      <c r="BC66" s="457">
        <v>0.0</v>
      </c>
      <c r="BD66" s="454" t="s">
        <v>1012</v>
      </c>
      <c r="BE66" s="457">
        <v>0.0</v>
      </c>
      <c r="BF66" s="112"/>
      <c r="BG66" s="112"/>
    </row>
    <row r="67">
      <c r="A67" s="226"/>
      <c r="B67" s="570"/>
      <c r="C67" s="465"/>
      <c r="D67" s="570"/>
      <c r="E67" s="570"/>
      <c r="F67" s="570"/>
      <c r="G67" s="570"/>
      <c r="H67" s="570"/>
      <c r="I67" s="570"/>
      <c r="J67" s="570"/>
      <c r="K67" s="465"/>
      <c r="L67" s="465"/>
      <c r="M67" s="226"/>
      <c r="N67" s="226"/>
      <c r="O67" s="226"/>
      <c r="P67" s="226"/>
      <c r="Q67" s="226"/>
      <c r="R67" s="226"/>
      <c r="S67" s="226"/>
      <c r="T67" s="226"/>
      <c r="U67" s="226"/>
      <c r="V67" s="226"/>
      <c r="W67" s="226"/>
      <c r="X67" s="226"/>
      <c r="Y67" s="226"/>
      <c r="Z67" s="226"/>
      <c r="AA67" s="226"/>
      <c r="AB67" s="226"/>
      <c r="AC67" s="226"/>
      <c r="AD67" s="226"/>
      <c r="AE67" s="226"/>
      <c r="AF67" s="226"/>
      <c r="AG67" s="226"/>
      <c r="AH67" s="226"/>
      <c r="AI67" s="226"/>
      <c r="AJ67" s="226"/>
      <c r="AK67" s="226"/>
      <c r="AL67" s="226"/>
      <c r="AN67" s="454" t="s">
        <v>1013</v>
      </c>
      <c r="AO67" s="456">
        <v>0.0</v>
      </c>
      <c r="AP67" s="515" t="s">
        <v>1013</v>
      </c>
      <c r="AQ67" s="457">
        <v>564.64</v>
      </c>
      <c r="AR67" s="454" t="s">
        <v>1013</v>
      </c>
      <c r="AS67" s="457">
        <v>0.0</v>
      </c>
      <c r="AT67" s="454" t="s">
        <v>1013</v>
      </c>
      <c r="AU67" s="457">
        <v>0.0</v>
      </c>
      <c r="AV67" s="454" t="s">
        <v>1013</v>
      </c>
      <c r="AW67" s="457">
        <v>23.0</v>
      </c>
      <c r="AX67" s="454" t="s">
        <v>1013</v>
      </c>
      <c r="AY67" s="457">
        <v>0.0</v>
      </c>
      <c r="AZ67" s="454" t="s">
        <v>1013</v>
      </c>
      <c r="BA67" s="457">
        <v>21.0</v>
      </c>
      <c r="BB67" s="454" t="s">
        <v>1013</v>
      </c>
      <c r="BC67" s="457">
        <v>0.0</v>
      </c>
      <c r="BD67" s="454" t="s">
        <v>1013</v>
      </c>
      <c r="BE67" s="457">
        <v>44.0</v>
      </c>
      <c r="BF67" s="112"/>
      <c r="BG67" s="112"/>
    </row>
    <row r="68">
      <c r="A68" s="458"/>
      <c r="B68" s="570"/>
      <c r="C68" s="465"/>
      <c r="D68" s="570"/>
      <c r="E68" s="570"/>
      <c r="F68" s="570"/>
      <c r="G68" s="570"/>
      <c r="H68" s="570"/>
      <c r="I68" s="570"/>
      <c r="J68" s="570"/>
      <c r="K68" s="465"/>
      <c r="L68" s="465"/>
      <c r="M68" s="226"/>
      <c r="N68" s="226"/>
      <c r="O68" s="226"/>
      <c r="P68" s="226"/>
      <c r="Q68" s="226"/>
      <c r="R68" s="226"/>
      <c r="S68" s="226"/>
      <c r="T68" s="226"/>
      <c r="U68" s="226"/>
      <c r="V68" s="226"/>
      <c r="W68" s="226"/>
      <c r="X68" s="226"/>
      <c r="Y68" s="226"/>
      <c r="Z68" s="226"/>
      <c r="AA68" s="226"/>
      <c r="AB68" s="226"/>
      <c r="AC68" s="226"/>
      <c r="AD68" s="226"/>
      <c r="AE68" s="226"/>
      <c r="AF68" s="226"/>
      <c r="AG68" s="226"/>
      <c r="AH68" s="226"/>
      <c r="AI68" s="226"/>
      <c r="AJ68" s="226"/>
      <c r="AK68" s="226"/>
      <c r="AL68" s="226"/>
      <c r="AN68" s="454" t="s">
        <v>1018</v>
      </c>
      <c r="AO68" s="456">
        <v>49.0</v>
      </c>
      <c r="AP68" s="515" t="s">
        <v>1018</v>
      </c>
      <c r="AQ68" s="457">
        <v>561.61</v>
      </c>
      <c r="AR68" s="454" t="s">
        <v>1018</v>
      </c>
      <c r="AS68" s="457">
        <v>8.0</v>
      </c>
      <c r="AT68" s="454" t="s">
        <v>1018</v>
      </c>
      <c r="AU68" s="457">
        <v>0.0</v>
      </c>
      <c r="AV68" s="454" t="s">
        <v>1018</v>
      </c>
      <c r="AW68" s="457">
        <v>0.0</v>
      </c>
      <c r="AX68" s="454" t="s">
        <v>1018</v>
      </c>
      <c r="AY68" s="457">
        <v>21.0</v>
      </c>
      <c r="AZ68" s="454" t="s">
        <v>1018</v>
      </c>
      <c r="BA68" s="457">
        <v>0.0</v>
      </c>
      <c r="BB68" s="454" t="s">
        <v>1018</v>
      </c>
      <c r="BC68" s="457">
        <v>0.0</v>
      </c>
      <c r="BD68" s="454" t="s">
        <v>1018</v>
      </c>
      <c r="BE68" s="457">
        <v>34.0</v>
      </c>
      <c r="BF68" s="112"/>
      <c r="BG68" s="112"/>
    </row>
    <row r="69">
      <c r="A69" s="458"/>
      <c r="B69" s="571"/>
      <c r="C69" s="465"/>
      <c r="D69" s="571"/>
      <c r="E69" s="571"/>
      <c r="F69" s="571"/>
      <c r="G69" s="571"/>
      <c r="H69" s="571"/>
      <c r="I69" s="571"/>
      <c r="J69" s="571"/>
      <c r="K69" s="465"/>
      <c r="L69" s="465"/>
      <c r="M69" s="226"/>
      <c r="N69" s="226"/>
      <c r="O69" s="226"/>
      <c r="P69" s="226"/>
      <c r="Q69" s="226"/>
      <c r="R69" s="226"/>
      <c r="S69" s="226"/>
      <c r="T69" s="226"/>
      <c r="U69" s="226"/>
      <c r="V69" s="226"/>
      <c r="W69" s="226"/>
      <c r="X69" s="226"/>
      <c r="Y69" s="226"/>
      <c r="Z69" s="226"/>
      <c r="AA69" s="226"/>
      <c r="AB69" s="226"/>
      <c r="AC69" s="226"/>
      <c r="AD69" s="226"/>
      <c r="AE69" s="226"/>
      <c r="AF69" s="226"/>
      <c r="AG69" s="226"/>
      <c r="AH69" s="226"/>
      <c r="AI69" s="226"/>
      <c r="AJ69" s="226"/>
      <c r="AK69" s="226"/>
      <c r="AL69" s="226"/>
      <c r="AM69" s="112"/>
      <c r="AN69" s="454" t="s">
        <v>1055</v>
      </c>
      <c r="AO69" s="456">
        <v>0.0</v>
      </c>
      <c r="AP69" s="515" t="s">
        <v>1055</v>
      </c>
      <c r="AQ69" s="457">
        <v>556.41</v>
      </c>
      <c r="AR69" s="454" t="s">
        <v>1055</v>
      </c>
      <c r="AS69" s="457">
        <v>0.0</v>
      </c>
      <c r="AT69" s="454" t="s">
        <v>1055</v>
      </c>
      <c r="AU69" s="457">
        <v>0.0</v>
      </c>
      <c r="AV69" s="454" t="s">
        <v>1055</v>
      </c>
      <c r="AW69" s="457">
        <v>0.0</v>
      </c>
      <c r="AX69" s="454" t="s">
        <v>1055</v>
      </c>
      <c r="AY69" s="457">
        <v>0.0</v>
      </c>
      <c r="AZ69" s="454" t="s">
        <v>1055</v>
      </c>
      <c r="BA69" s="457">
        <v>0.0</v>
      </c>
      <c r="BB69" s="454" t="s">
        <v>1055</v>
      </c>
      <c r="BC69" s="457">
        <v>0.0</v>
      </c>
      <c r="BD69" s="454" t="s">
        <v>1055</v>
      </c>
      <c r="BE69" s="457">
        <v>0.0</v>
      </c>
      <c r="BF69" s="112"/>
      <c r="BG69" s="112"/>
    </row>
    <row r="70">
      <c r="A70" s="458"/>
      <c r="B70" s="571"/>
      <c r="C70" s="465"/>
      <c r="D70" s="571"/>
      <c r="E70" s="571"/>
      <c r="F70" s="571"/>
      <c r="G70" s="571"/>
      <c r="H70" s="571"/>
      <c r="I70" s="571"/>
      <c r="J70" s="571"/>
      <c r="K70" s="465"/>
      <c r="L70" s="465"/>
      <c r="M70" s="226"/>
      <c r="N70" s="226"/>
      <c r="O70" s="226"/>
      <c r="P70" s="226"/>
      <c r="Q70" s="226"/>
      <c r="R70" s="226"/>
      <c r="S70" s="226"/>
      <c r="T70" s="226"/>
      <c r="U70" s="226"/>
      <c r="V70" s="226"/>
      <c r="W70" s="226"/>
      <c r="X70" s="226"/>
      <c r="Y70" s="112"/>
      <c r="Z70" s="112"/>
      <c r="AA70" s="112"/>
      <c r="AB70" s="112"/>
      <c r="AC70" s="112"/>
      <c r="AD70" s="112"/>
      <c r="AE70" s="112"/>
      <c r="AF70" s="112"/>
      <c r="AG70" s="112"/>
      <c r="AH70" s="112"/>
      <c r="AI70" s="112"/>
      <c r="AJ70" s="112"/>
      <c r="AK70" s="112"/>
      <c r="AN70" s="454" t="s">
        <v>1019</v>
      </c>
      <c r="AO70" s="536">
        <v>0.0</v>
      </c>
      <c r="AP70" s="515" t="s">
        <v>1019</v>
      </c>
      <c r="AQ70" s="457">
        <v>543.64</v>
      </c>
      <c r="AR70" s="454" t="s">
        <v>1019</v>
      </c>
      <c r="AS70" s="457">
        <v>0.0</v>
      </c>
      <c r="AT70" s="454" t="s">
        <v>1019</v>
      </c>
      <c r="AU70" s="457">
        <v>0.0</v>
      </c>
      <c r="AV70" s="454" t="s">
        <v>1019</v>
      </c>
      <c r="AW70" s="457">
        <v>28.0</v>
      </c>
      <c r="AX70" s="454" t="s">
        <v>1019</v>
      </c>
      <c r="AY70" s="457">
        <v>0.0</v>
      </c>
      <c r="AZ70" s="454" t="s">
        <v>1019</v>
      </c>
      <c r="BA70" s="457">
        <v>0.0</v>
      </c>
      <c r="BB70" s="454" t="s">
        <v>1019</v>
      </c>
      <c r="BC70" s="457">
        <v>0.0</v>
      </c>
      <c r="BD70" s="454" t="s">
        <v>1019</v>
      </c>
      <c r="BE70" s="457">
        <v>56.0</v>
      </c>
    </row>
    <row r="71">
      <c r="A71" s="458"/>
      <c r="B71" s="570"/>
      <c r="C71" s="465"/>
      <c r="D71" s="570"/>
      <c r="E71" s="570"/>
      <c r="F71" s="570"/>
      <c r="G71" s="570"/>
      <c r="H71" s="570"/>
      <c r="I71" s="570"/>
      <c r="J71" s="570"/>
      <c r="K71" s="465"/>
      <c r="L71" s="465"/>
      <c r="M71" s="226"/>
      <c r="N71" s="226"/>
      <c r="O71" s="226"/>
      <c r="P71" s="226"/>
      <c r="Q71" s="226"/>
      <c r="R71" s="226"/>
      <c r="S71" s="226"/>
      <c r="T71" s="226"/>
      <c r="U71" s="226"/>
      <c r="V71" s="226"/>
      <c r="W71" s="226"/>
      <c r="X71" s="226"/>
      <c r="AN71" s="454" t="s">
        <v>1026</v>
      </c>
      <c r="AO71" s="536">
        <v>0.0</v>
      </c>
      <c r="AP71" s="515" t="s">
        <v>1026</v>
      </c>
      <c r="AQ71" s="457">
        <v>531.72</v>
      </c>
      <c r="AR71" s="454" t="s">
        <v>1026</v>
      </c>
      <c r="AS71" s="457">
        <v>21.0</v>
      </c>
      <c r="AT71" s="454" t="s">
        <v>1026</v>
      </c>
      <c r="AU71" s="457">
        <v>0.0</v>
      </c>
      <c r="AV71" s="454" t="s">
        <v>1026</v>
      </c>
      <c r="AW71" s="457">
        <v>0.0</v>
      </c>
      <c r="AX71" s="454" t="s">
        <v>1026</v>
      </c>
      <c r="AY71" s="457">
        <v>0.0</v>
      </c>
      <c r="AZ71" s="454" t="s">
        <v>1026</v>
      </c>
      <c r="BA71" s="457">
        <v>0.0</v>
      </c>
      <c r="BB71" s="454" t="s">
        <v>1026</v>
      </c>
      <c r="BC71" s="457">
        <v>0.0</v>
      </c>
      <c r="BD71" s="454" t="s">
        <v>1026</v>
      </c>
      <c r="BE71" s="457">
        <v>44.0</v>
      </c>
    </row>
    <row r="72">
      <c r="A72" s="572"/>
      <c r="B72" s="472"/>
      <c r="C72" s="573"/>
      <c r="D72" s="472"/>
      <c r="E72" s="472"/>
      <c r="F72" s="472"/>
      <c r="G72" s="472"/>
      <c r="H72" s="472"/>
      <c r="I72" s="472"/>
      <c r="J72" s="472"/>
      <c r="K72" s="574"/>
      <c r="L72" s="574"/>
      <c r="M72" s="112"/>
      <c r="N72" s="112"/>
      <c r="O72" s="112"/>
      <c r="P72" s="112"/>
      <c r="AN72" s="454" t="s">
        <v>1024</v>
      </c>
      <c r="AO72" s="536">
        <v>0.0</v>
      </c>
      <c r="AP72" s="515" t="s">
        <v>1024</v>
      </c>
      <c r="AQ72" s="457">
        <v>532.86</v>
      </c>
      <c r="AR72" s="454" t="s">
        <v>1024</v>
      </c>
      <c r="AS72" s="457">
        <v>15.0</v>
      </c>
      <c r="AT72" s="454" t="s">
        <v>1024</v>
      </c>
      <c r="AU72" s="457">
        <v>0.0</v>
      </c>
      <c r="AV72" s="454" t="s">
        <v>1024</v>
      </c>
      <c r="AW72" s="457">
        <v>0.0</v>
      </c>
      <c r="AX72" s="454" t="s">
        <v>1024</v>
      </c>
      <c r="AY72" s="457">
        <v>19.0</v>
      </c>
      <c r="AZ72" s="454" t="s">
        <v>1024</v>
      </c>
      <c r="BA72" s="457">
        <v>0.0</v>
      </c>
      <c r="BB72" s="454" t="s">
        <v>1024</v>
      </c>
      <c r="BC72" s="457">
        <v>0.0</v>
      </c>
      <c r="BD72" s="454" t="s">
        <v>1024</v>
      </c>
      <c r="BE72" s="457">
        <v>52.0</v>
      </c>
    </row>
    <row r="73">
      <c r="A73" s="575"/>
      <c r="B73" s="472"/>
      <c r="C73" s="573"/>
      <c r="D73" s="472"/>
      <c r="E73" s="472"/>
      <c r="F73" s="472"/>
      <c r="G73" s="472"/>
      <c r="H73" s="472"/>
      <c r="I73" s="472"/>
      <c r="J73" s="472"/>
      <c r="K73" s="202"/>
      <c r="L73" s="202"/>
      <c r="M73" s="112"/>
      <c r="N73" s="112"/>
      <c r="O73" s="112"/>
      <c r="P73" s="112"/>
      <c r="AN73" s="454" t="s">
        <v>1020</v>
      </c>
      <c r="AO73" s="536">
        <v>0.0</v>
      </c>
      <c r="AP73" s="515" t="s">
        <v>1020</v>
      </c>
      <c r="AQ73" s="457">
        <v>524.27</v>
      </c>
      <c r="AR73" s="454" t="s">
        <v>1020</v>
      </c>
      <c r="AS73" s="457">
        <v>0.0</v>
      </c>
      <c r="AT73" s="454" t="s">
        <v>1020</v>
      </c>
      <c r="AU73" s="457">
        <v>0.0</v>
      </c>
      <c r="AV73" s="454" t="s">
        <v>1020</v>
      </c>
      <c r="AW73" s="457">
        <v>0.0</v>
      </c>
      <c r="AX73" s="454" t="s">
        <v>1020</v>
      </c>
      <c r="AY73" s="457">
        <v>0.0</v>
      </c>
      <c r="AZ73" s="454" t="s">
        <v>1020</v>
      </c>
      <c r="BA73" s="457">
        <v>0.0</v>
      </c>
      <c r="BB73" s="454" t="s">
        <v>1020</v>
      </c>
      <c r="BC73" s="457">
        <v>0.0</v>
      </c>
      <c r="BD73" s="454" t="s">
        <v>1020</v>
      </c>
      <c r="BE73" s="457">
        <v>52.0</v>
      </c>
    </row>
    <row r="74">
      <c r="A74" s="575"/>
      <c r="B74" s="576" t="s">
        <v>2073</v>
      </c>
      <c r="C74" s="573"/>
      <c r="D74" s="472"/>
      <c r="E74" s="472"/>
      <c r="F74" s="472"/>
      <c r="G74" s="472"/>
      <c r="H74" s="472"/>
      <c r="I74" s="472"/>
      <c r="J74" s="472"/>
      <c r="K74" s="202"/>
      <c r="L74" s="202"/>
      <c r="M74" s="112"/>
      <c r="N74" s="112"/>
      <c r="O74" s="112"/>
      <c r="P74" s="112"/>
      <c r="AN74" s="454" t="s">
        <v>1022</v>
      </c>
      <c r="AO74" s="536">
        <v>0.0</v>
      </c>
      <c r="AP74" s="515" t="s">
        <v>1022</v>
      </c>
      <c r="AQ74" s="457">
        <v>524.47</v>
      </c>
      <c r="AR74" s="454" t="s">
        <v>1022</v>
      </c>
      <c r="AS74" s="457">
        <v>0.0</v>
      </c>
      <c r="AT74" s="454" t="s">
        <v>1022</v>
      </c>
      <c r="AU74" s="457">
        <v>0.0</v>
      </c>
      <c r="AV74" s="454" t="s">
        <v>1022</v>
      </c>
      <c r="AW74" s="457">
        <v>0.0</v>
      </c>
      <c r="AX74" s="454" t="s">
        <v>1022</v>
      </c>
      <c r="AY74" s="457">
        <v>0.0</v>
      </c>
      <c r="AZ74" s="454" t="s">
        <v>1022</v>
      </c>
      <c r="BA74" s="457">
        <v>0.0</v>
      </c>
      <c r="BB74" s="454" t="s">
        <v>1022</v>
      </c>
      <c r="BC74" s="457">
        <v>0.0</v>
      </c>
      <c r="BD74" s="454" t="s">
        <v>1022</v>
      </c>
      <c r="BE74" s="457">
        <v>50.0</v>
      </c>
    </row>
    <row r="75">
      <c r="A75" s="577"/>
      <c r="B75" s="566"/>
      <c r="C75" s="451"/>
      <c r="D75" s="566"/>
      <c r="E75" s="566"/>
      <c r="F75" s="566"/>
      <c r="G75" s="566"/>
      <c r="H75" s="472"/>
      <c r="I75" s="472"/>
      <c r="J75" s="472"/>
      <c r="K75" s="202"/>
      <c r="L75" s="202"/>
      <c r="M75" s="112"/>
      <c r="N75" s="112"/>
      <c r="O75" s="112"/>
      <c r="P75" s="112"/>
      <c r="AN75" s="454" t="s">
        <v>1028</v>
      </c>
      <c r="AO75" s="536">
        <v>0.0</v>
      </c>
      <c r="AP75" s="515" t="s">
        <v>1028</v>
      </c>
      <c r="AQ75" s="457">
        <v>531.23</v>
      </c>
      <c r="AR75" s="454" t="s">
        <v>1028</v>
      </c>
      <c r="AS75" s="457">
        <v>0.0</v>
      </c>
      <c r="AT75" s="454" t="s">
        <v>1028</v>
      </c>
      <c r="AU75" s="457">
        <v>0.0</v>
      </c>
      <c r="AV75" s="454" t="s">
        <v>1028</v>
      </c>
      <c r="AW75" s="457">
        <v>20.0</v>
      </c>
      <c r="AX75" s="454" t="s">
        <v>1028</v>
      </c>
      <c r="AY75" s="457">
        <v>0.0</v>
      </c>
      <c r="AZ75" s="454" t="s">
        <v>1028</v>
      </c>
      <c r="BA75" s="457">
        <v>0.0</v>
      </c>
      <c r="BB75" s="454" t="s">
        <v>1028</v>
      </c>
      <c r="BC75" s="457">
        <v>0.0</v>
      </c>
      <c r="BD75" s="454" t="s">
        <v>1028</v>
      </c>
      <c r="BE75" s="457">
        <v>38.0</v>
      </c>
    </row>
    <row r="76">
      <c r="A76" s="226"/>
      <c r="B76" s="226"/>
      <c r="C76" s="226"/>
      <c r="D76" s="226"/>
      <c r="E76" s="226"/>
      <c r="F76" s="566"/>
      <c r="G76" s="566"/>
      <c r="H76" s="472"/>
      <c r="I76" s="472"/>
      <c r="J76" s="472"/>
      <c r="K76" s="202"/>
      <c r="L76" s="202"/>
      <c r="M76" s="112"/>
      <c r="N76" s="112"/>
      <c r="O76" s="112"/>
      <c r="P76" s="112"/>
      <c r="AN76" s="454" t="s">
        <v>1031</v>
      </c>
      <c r="AO76" s="536">
        <v>0.0</v>
      </c>
      <c r="AP76" s="515" t="s">
        <v>1031</v>
      </c>
      <c r="AQ76" s="457">
        <v>531.14</v>
      </c>
      <c r="AR76" s="454" t="s">
        <v>1031</v>
      </c>
      <c r="AS76" s="457">
        <v>0.0</v>
      </c>
      <c r="AT76" s="454" t="s">
        <v>1031</v>
      </c>
      <c r="AU76" s="457">
        <v>0.0</v>
      </c>
      <c r="AV76" s="454" t="s">
        <v>1031</v>
      </c>
      <c r="AW76" s="457">
        <v>0.0</v>
      </c>
      <c r="AX76" s="454" t="s">
        <v>1031</v>
      </c>
      <c r="AY76" s="457">
        <v>23.0</v>
      </c>
      <c r="AZ76" s="454" t="s">
        <v>1031</v>
      </c>
      <c r="BA76" s="457">
        <v>0.0</v>
      </c>
      <c r="BB76" s="454" t="s">
        <v>1031</v>
      </c>
      <c r="BC76" s="457">
        <v>0.0</v>
      </c>
      <c r="BD76" s="454" t="s">
        <v>1031</v>
      </c>
      <c r="BE76" s="457">
        <v>48.0</v>
      </c>
    </row>
    <row r="77">
      <c r="A77" s="578" t="s">
        <v>2074</v>
      </c>
      <c r="B77" s="579" t="s">
        <v>2075</v>
      </c>
      <c r="C77" s="579" t="s">
        <v>2076</v>
      </c>
      <c r="D77" s="580" t="s">
        <v>1004</v>
      </c>
      <c r="E77" s="579" t="s">
        <v>562</v>
      </c>
      <c r="F77" s="581" t="s">
        <v>2077</v>
      </c>
      <c r="G77" s="465" t="s">
        <v>2078</v>
      </c>
      <c r="H77" s="112"/>
      <c r="I77" s="573"/>
      <c r="J77" s="573"/>
      <c r="K77" s="202"/>
      <c r="L77" s="202"/>
      <c r="M77" s="112"/>
      <c r="N77" s="112"/>
      <c r="O77" s="112"/>
      <c r="P77" s="112"/>
      <c r="AN77" s="454" t="s">
        <v>1033</v>
      </c>
      <c r="AO77" s="536">
        <v>0.0</v>
      </c>
      <c r="AP77" s="515" t="s">
        <v>1033</v>
      </c>
      <c r="AQ77" s="457">
        <v>524.5</v>
      </c>
      <c r="AR77" s="454" t="s">
        <v>1033</v>
      </c>
      <c r="AS77" s="457">
        <v>10.0</v>
      </c>
      <c r="AT77" s="454" t="s">
        <v>1033</v>
      </c>
      <c r="AU77" s="457">
        <v>0.0</v>
      </c>
      <c r="AV77" s="454" t="s">
        <v>1033</v>
      </c>
      <c r="AW77" s="457">
        <v>0.0</v>
      </c>
      <c r="AX77" s="454" t="s">
        <v>1033</v>
      </c>
      <c r="AY77" s="457">
        <v>19.0</v>
      </c>
      <c r="AZ77" s="454" t="s">
        <v>1033</v>
      </c>
      <c r="BA77" s="457">
        <v>0.0</v>
      </c>
      <c r="BB77" s="454" t="s">
        <v>1033</v>
      </c>
      <c r="BC77" s="457">
        <v>0.0</v>
      </c>
      <c r="BD77" s="454" t="s">
        <v>1033</v>
      </c>
      <c r="BE77" s="457">
        <v>30.0</v>
      </c>
    </row>
    <row r="78">
      <c r="A78" s="582" t="s">
        <v>2079</v>
      </c>
      <c r="B78" s="583" t="s">
        <v>1127</v>
      </c>
      <c r="C78" s="584">
        <f>VLOOKUP(B78,AS496:AT509,2,FALSE)</f>
        <v>505</v>
      </c>
      <c r="D78" s="585">
        <f>VLOOKUP(B78,AU496:AV509,2,FALSE)</f>
        <v>3.6</v>
      </c>
      <c r="E78" s="586">
        <v>4000.0</v>
      </c>
      <c r="F78" s="451">
        <f>Round(C78+3.3*E78/14,0)</f>
        <v>1448</v>
      </c>
      <c r="G78" s="473">
        <f>F78/100*105</f>
        <v>1520.4</v>
      </c>
      <c r="H78" s="572"/>
      <c r="I78" s="572"/>
      <c r="J78" s="572"/>
      <c r="K78" s="202"/>
      <c r="L78" s="202"/>
      <c r="M78" s="112"/>
      <c r="N78" s="112"/>
      <c r="O78" s="112"/>
      <c r="AN78" s="454" t="s">
        <v>1035</v>
      </c>
      <c r="AO78" s="536">
        <v>0.0</v>
      </c>
      <c r="AP78" s="515" t="s">
        <v>1035</v>
      </c>
      <c r="AQ78" s="457">
        <v>523.02</v>
      </c>
      <c r="AR78" s="454" t="s">
        <v>1035</v>
      </c>
      <c r="AS78" s="457">
        <v>20.0</v>
      </c>
      <c r="AT78" s="454" t="s">
        <v>1035</v>
      </c>
      <c r="AU78" s="457">
        <v>0.0</v>
      </c>
      <c r="AV78" s="454" t="s">
        <v>1035</v>
      </c>
      <c r="AW78" s="457">
        <v>15.0</v>
      </c>
      <c r="AX78" s="454" t="s">
        <v>1035</v>
      </c>
      <c r="AY78" s="457">
        <v>0.0</v>
      </c>
      <c r="AZ78" s="454" t="s">
        <v>1035</v>
      </c>
      <c r="BA78" s="457">
        <v>0.0</v>
      </c>
      <c r="BB78" s="454" t="s">
        <v>1035</v>
      </c>
      <c r="BC78" s="457">
        <v>0.0</v>
      </c>
      <c r="BD78" s="454" t="s">
        <v>1035</v>
      </c>
      <c r="BE78" s="457">
        <v>40.0</v>
      </c>
    </row>
    <row r="79">
      <c r="A79" s="573" t="s">
        <v>2080</v>
      </c>
      <c r="B79" s="587" t="s">
        <v>2081</v>
      </c>
      <c r="C79" s="588">
        <f>Round(G78,0)</f>
        <v>1520</v>
      </c>
      <c r="D79" s="589" t="s">
        <v>2082</v>
      </c>
      <c r="E79" s="452">
        <v>20.0</v>
      </c>
      <c r="F79" s="590">
        <f>VLOOKUP(A79,D79:E80,2,FALSE)</f>
        <v>25</v>
      </c>
      <c r="G79" s="226"/>
      <c r="H79" s="472"/>
      <c r="I79" s="472"/>
      <c r="J79" s="472"/>
      <c r="K79" s="202"/>
      <c r="L79" s="202"/>
      <c r="M79" s="112"/>
      <c r="N79" s="112"/>
      <c r="O79" s="112"/>
    </row>
    <row r="80">
      <c r="A80" s="226"/>
      <c r="B80" s="591" t="s">
        <v>2083</v>
      </c>
      <c r="C80" s="592">
        <f>Round((26*C79)/240,0)</f>
        <v>165</v>
      </c>
      <c r="D80" s="581" t="s">
        <v>2080</v>
      </c>
      <c r="E80" s="452">
        <v>25.0</v>
      </c>
      <c r="F80" s="566"/>
      <c r="G80" s="226"/>
      <c r="H80" s="472"/>
      <c r="I80" s="472"/>
      <c r="J80" s="472"/>
      <c r="K80" s="202"/>
      <c r="L80" s="202"/>
      <c r="M80" s="112"/>
      <c r="N80" s="112"/>
      <c r="O80" s="112"/>
      <c r="P80" s="112"/>
      <c r="AN80" s="449" t="s">
        <v>2084</v>
      </c>
      <c r="AO80" s="449" t="s">
        <v>1920</v>
      </c>
      <c r="AP80" s="450" t="s">
        <v>2085</v>
      </c>
      <c r="AQ80" s="450" t="s">
        <v>1922</v>
      </c>
      <c r="AR80" s="449" t="s">
        <v>2084</v>
      </c>
      <c r="AS80" s="450" t="s">
        <v>2086</v>
      </c>
      <c r="AT80" s="449" t="s">
        <v>2084</v>
      </c>
      <c r="AU80" s="450" t="s">
        <v>2087</v>
      </c>
      <c r="AV80" s="449" t="s">
        <v>2084</v>
      </c>
      <c r="AW80" s="450" t="s">
        <v>2088</v>
      </c>
      <c r="AX80" s="449" t="s">
        <v>2084</v>
      </c>
      <c r="AY80" s="450" t="s">
        <v>2089</v>
      </c>
      <c r="AZ80" s="449" t="s">
        <v>2084</v>
      </c>
      <c r="BA80" s="450" t="s">
        <v>2090</v>
      </c>
      <c r="BB80" s="449" t="s">
        <v>2084</v>
      </c>
      <c r="BC80" s="450" t="s">
        <v>2091</v>
      </c>
      <c r="BD80" s="449" t="s">
        <v>2084</v>
      </c>
      <c r="BE80" s="450" t="s">
        <v>2092</v>
      </c>
    </row>
    <row r="81">
      <c r="A81" s="226"/>
      <c r="B81" s="591" t="s">
        <v>2093</v>
      </c>
      <c r="C81" s="592">
        <f>Round(C79/F79, 1)</f>
        <v>60.8</v>
      </c>
      <c r="D81" s="589" t="s">
        <v>2094</v>
      </c>
      <c r="E81" s="452">
        <v>25.0</v>
      </c>
      <c r="F81" s="590">
        <f>VLOOKUP(A83,D81:E82,2,FALSE)</f>
        <v>30</v>
      </c>
      <c r="G81" s="226"/>
      <c r="H81" s="472"/>
      <c r="I81" s="472"/>
      <c r="J81" s="472"/>
      <c r="K81" s="202"/>
      <c r="L81" s="202"/>
      <c r="M81" s="112"/>
      <c r="N81" s="112"/>
      <c r="O81" s="112"/>
      <c r="P81" s="112"/>
      <c r="AN81" s="454" t="s">
        <v>1041</v>
      </c>
      <c r="AO81" s="456">
        <v>140.0</v>
      </c>
      <c r="AP81" s="515" t="s">
        <v>1041</v>
      </c>
      <c r="AQ81" s="457">
        <v>446.44</v>
      </c>
      <c r="AR81" s="454" t="s">
        <v>1041</v>
      </c>
      <c r="AS81" s="457">
        <v>0.0</v>
      </c>
      <c r="AT81" s="454" t="s">
        <v>1041</v>
      </c>
      <c r="AU81" s="457">
        <v>0.0</v>
      </c>
      <c r="AV81" s="454" t="s">
        <v>1041</v>
      </c>
      <c r="AW81" s="457">
        <v>0.0</v>
      </c>
      <c r="AX81" s="454" t="s">
        <v>1041</v>
      </c>
      <c r="AY81" s="457">
        <v>0.0</v>
      </c>
      <c r="AZ81" s="454" t="s">
        <v>1041</v>
      </c>
      <c r="BA81" s="457">
        <v>0.0</v>
      </c>
      <c r="BB81" s="454" t="s">
        <v>1041</v>
      </c>
      <c r="BC81" s="457">
        <v>0.0</v>
      </c>
      <c r="BD81" s="454" t="s">
        <v>1041</v>
      </c>
      <c r="BE81" s="457">
        <v>46.0</v>
      </c>
    </row>
    <row r="82">
      <c r="A82" s="25" t="s">
        <v>2095</v>
      </c>
      <c r="B82" s="593" t="s">
        <v>2096</v>
      </c>
      <c r="C82" s="594">
        <f>Round(F83+F84,0)</f>
        <v>1741</v>
      </c>
      <c r="D82" s="581" t="s">
        <v>2097</v>
      </c>
      <c r="E82" s="452">
        <v>30.0</v>
      </c>
      <c r="F82" s="566"/>
      <c r="G82" s="226"/>
      <c r="H82" s="472"/>
      <c r="I82" s="472"/>
      <c r="J82" s="472"/>
      <c r="K82" s="202"/>
      <c r="L82" s="202"/>
      <c r="M82" s="112"/>
      <c r="N82" s="112"/>
      <c r="O82" s="112"/>
      <c r="P82" s="112"/>
      <c r="AN82" s="454" t="s">
        <v>1009</v>
      </c>
      <c r="AO82" s="456">
        <v>0.0</v>
      </c>
      <c r="AP82" s="515" t="s">
        <v>1009</v>
      </c>
      <c r="AQ82" s="457">
        <v>432.78</v>
      </c>
      <c r="AR82" s="454" t="s">
        <v>1009</v>
      </c>
      <c r="AS82" s="457">
        <v>0.0</v>
      </c>
      <c r="AT82" s="454" t="s">
        <v>1009</v>
      </c>
      <c r="AU82" s="457">
        <v>0.0</v>
      </c>
      <c r="AV82" s="454" t="s">
        <v>1009</v>
      </c>
      <c r="AW82" s="457">
        <v>21.0</v>
      </c>
      <c r="AX82" s="454" t="s">
        <v>1009</v>
      </c>
      <c r="AY82" s="457">
        <v>23.0</v>
      </c>
      <c r="AZ82" s="454" t="s">
        <v>1009</v>
      </c>
      <c r="BA82" s="457">
        <v>0.0</v>
      </c>
      <c r="BB82" s="454" t="s">
        <v>1009</v>
      </c>
      <c r="BC82" s="457">
        <v>0.0</v>
      </c>
      <c r="BD82" s="454" t="s">
        <v>1009</v>
      </c>
      <c r="BE82" s="457">
        <v>44.0</v>
      </c>
    </row>
    <row r="83">
      <c r="A83" s="202" t="s">
        <v>2097</v>
      </c>
      <c r="B83" s="595" t="s">
        <v>2098</v>
      </c>
      <c r="C83" s="596">
        <f>Round((40*C82)/240,0)</f>
        <v>290</v>
      </c>
      <c r="D83" s="226"/>
      <c r="E83" s="590">
        <f>ROUND(C78+210+3.3*E78/14,0)</f>
        <v>1658</v>
      </c>
      <c r="F83" s="452">
        <f>E83/100*105</f>
        <v>1740.9</v>
      </c>
      <c r="G83" s="226"/>
      <c r="K83" s="202"/>
      <c r="L83" s="202"/>
      <c r="M83" s="112"/>
      <c r="N83" s="112"/>
      <c r="O83" s="112"/>
      <c r="P83" s="112"/>
      <c r="AN83" s="454" t="s">
        <v>1042</v>
      </c>
      <c r="AO83" s="456">
        <v>0.0</v>
      </c>
      <c r="AP83" s="515" t="s">
        <v>1042</v>
      </c>
      <c r="AQ83" s="457">
        <v>432.59</v>
      </c>
      <c r="AR83" s="454" t="s">
        <v>1042</v>
      </c>
      <c r="AS83" s="457">
        <v>20.0</v>
      </c>
      <c r="AT83" s="454" t="s">
        <v>1042</v>
      </c>
      <c r="AU83" s="457">
        <v>0.0</v>
      </c>
      <c r="AV83" s="454" t="s">
        <v>1042</v>
      </c>
      <c r="AW83" s="457">
        <v>0.0</v>
      </c>
      <c r="AX83" s="454" t="s">
        <v>1042</v>
      </c>
      <c r="AY83" s="457">
        <v>0.0</v>
      </c>
      <c r="AZ83" s="454" t="s">
        <v>1042</v>
      </c>
      <c r="BA83" s="457">
        <v>31.0</v>
      </c>
      <c r="BB83" s="454" t="s">
        <v>1042</v>
      </c>
      <c r="BC83" s="457">
        <v>0.0</v>
      </c>
      <c r="BD83" s="454" t="s">
        <v>1042</v>
      </c>
      <c r="BE83" s="457">
        <v>46.0</v>
      </c>
    </row>
    <row r="84">
      <c r="A84" s="226"/>
      <c r="B84" s="595" t="s">
        <v>2093</v>
      </c>
      <c r="C84" s="597">
        <f>Round(C82/F81, 1)</f>
        <v>58</v>
      </c>
      <c r="D84" s="465" t="s">
        <v>2099</v>
      </c>
      <c r="E84" s="590">
        <f>Round(E83/100*5,2)</f>
        <v>82.9</v>
      </c>
      <c r="F84" s="590">
        <f>VLOOKUP(A82,D84:E85,2,FALSE)</f>
        <v>0</v>
      </c>
      <c r="G84" s="566"/>
      <c r="K84" s="202"/>
      <c r="L84" s="202"/>
      <c r="M84" s="112"/>
      <c r="N84" s="112"/>
      <c r="O84" s="112"/>
      <c r="P84" s="112"/>
      <c r="AN84" s="454" t="s">
        <v>1011</v>
      </c>
      <c r="AO84" s="456">
        <v>49.0</v>
      </c>
      <c r="AP84" s="515" t="s">
        <v>1011</v>
      </c>
      <c r="AQ84" s="457">
        <v>430.45</v>
      </c>
      <c r="AR84" s="454" t="s">
        <v>1011</v>
      </c>
      <c r="AS84" s="457">
        <v>9.0</v>
      </c>
      <c r="AT84" s="454" t="s">
        <v>1011</v>
      </c>
      <c r="AU84" s="457">
        <v>0.0</v>
      </c>
      <c r="AV84" s="454" t="s">
        <v>1011</v>
      </c>
      <c r="AW84" s="457">
        <v>0.0</v>
      </c>
      <c r="AX84" s="454" t="s">
        <v>1011</v>
      </c>
      <c r="AY84" s="457">
        <v>22.0</v>
      </c>
      <c r="AZ84" s="454" t="s">
        <v>1011</v>
      </c>
      <c r="BA84" s="457">
        <v>0.0</v>
      </c>
      <c r="BB84" s="454" t="s">
        <v>1011</v>
      </c>
      <c r="BC84" s="457">
        <v>0.0</v>
      </c>
      <c r="BD84" s="454" t="s">
        <v>1011</v>
      </c>
      <c r="BE84" s="457">
        <v>38.0</v>
      </c>
    </row>
    <row r="85">
      <c r="A85" s="566"/>
      <c r="B85" s="598" t="s">
        <v>2100</v>
      </c>
      <c r="C85" s="599">
        <f>Round(F86,0)</f>
        <v>1758</v>
      </c>
      <c r="D85" s="465" t="s">
        <v>2095</v>
      </c>
      <c r="E85" s="465">
        <v>0.0</v>
      </c>
      <c r="F85" s="226"/>
      <c r="G85" s="566"/>
      <c r="H85" s="472"/>
      <c r="I85" s="472"/>
      <c r="J85" s="472"/>
      <c r="K85" s="202"/>
      <c r="L85" s="202"/>
      <c r="M85" s="112"/>
      <c r="N85" s="112"/>
      <c r="O85" s="112"/>
      <c r="P85" s="112"/>
      <c r="AN85" s="454" t="s">
        <v>1043</v>
      </c>
      <c r="AO85" s="456">
        <v>0.0</v>
      </c>
      <c r="AP85" s="515" t="s">
        <v>1043</v>
      </c>
      <c r="AQ85" s="457">
        <v>427.52</v>
      </c>
      <c r="AR85" s="454" t="s">
        <v>1043</v>
      </c>
      <c r="AS85" s="457">
        <v>0.0</v>
      </c>
      <c r="AT85" s="454" t="s">
        <v>1043</v>
      </c>
      <c r="AU85" s="457">
        <v>0.0</v>
      </c>
      <c r="AV85" s="454" t="s">
        <v>1043</v>
      </c>
      <c r="AW85" s="457">
        <v>0.0</v>
      </c>
      <c r="AX85" s="454" t="s">
        <v>1043</v>
      </c>
      <c r="AY85" s="457">
        <v>0.0</v>
      </c>
      <c r="AZ85" s="454" t="s">
        <v>1043</v>
      </c>
      <c r="BA85" s="457">
        <v>25.0</v>
      </c>
      <c r="BB85" s="454" t="s">
        <v>1043</v>
      </c>
      <c r="BC85" s="457">
        <v>25.0</v>
      </c>
      <c r="BD85" s="454" t="s">
        <v>1043</v>
      </c>
      <c r="BE85" s="457">
        <v>0.0</v>
      </c>
    </row>
    <row r="86">
      <c r="A86" s="226"/>
      <c r="B86" s="600" t="s">
        <v>2093</v>
      </c>
      <c r="C86" s="601">
        <f>Round(C85/15, 1)</f>
        <v>117.2</v>
      </c>
      <c r="D86" s="226"/>
      <c r="E86" s="590">
        <f>ROUND((C78+D78*E78/14)+140,0)</f>
        <v>1674</v>
      </c>
      <c r="F86" s="452">
        <f>E86/100*105</f>
        <v>1757.7</v>
      </c>
      <c r="G86" s="226"/>
      <c r="J86" s="472"/>
      <c r="K86" s="202"/>
      <c r="L86" s="202"/>
      <c r="M86" s="112"/>
      <c r="N86" s="112"/>
      <c r="O86" s="112"/>
      <c r="P86" s="112"/>
      <c r="AN86" s="454" t="s">
        <v>1012</v>
      </c>
      <c r="AO86" s="456">
        <v>0.0</v>
      </c>
      <c r="AP86" s="515" t="s">
        <v>1012</v>
      </c>
      <c r="AQ86" s="457">
        <v>417.91</v>
      </c>
      <c r="AR86" s="454" t="s">
        <v>1012</v>
      </c>
      <c r="AS86" s="457">
        <v>17.0</v>
      </c>
      <c r="AT86" s="454" t="s">
        <v>1012</v>
      </c>
      <c r="AU86" s="457">
        <v>0.0</v>
      </c>
      <c r="AV86" s="454" t="s">
        <v>1012</v>
      </c>
      <c r="AW86" s="457">
        <v>0.0</v>
      </c>
      <c r="AX86" s="454" t="s">
        <v>1012</v>
      </c>
      <c r="AY86" s="457">
        <v>0.0</v>
      </c>
      <c r="AZ86" s="454" t="s">
        <v>1012</v>
      </c>
      <c r="BA86" s="457">
        <v>35.0</v>
      </c>
      <c r="BB86" s="454" t="s">
        <v>1012</v>
      </c>
      <c r="BC86" s="457">
        <v>0.0</v>
      </c>
      <c r="BD86" s="454" t="s">
        <v>1012</v>
      </c>
      <c r="BE86" s="457">
        <v>0.0</v>
      </c>
    </row>
    <row r="87">
      <c r="A87" s="602" t="s">
        <v>2101</v>
      </c>
      <c r="B87" s="602" t="s">
        <v>2102</v>
      </c>
      <c r="C87" s="602" t="s">
        <v>2103</v>
      </c>
      <c r="D87" s="603" t="s">
        <v>1976</v>
      </c>
      <c r="E87" s="604" t="s">
        <v>2104</v>
      </c>
      <c r="F87" s="226"/>
      <c r="G87" s="226"/>
      <c r="J87" s="472"/>
      <c r="K87" s="202"/>
      <c r="L87" s="202"/>
      <c r="M87" s="112"/>
      <c r="N87" s="112"/>
      <c r="O87" s="112"/>
      <c r="P87" s="112"/>
      <c r="AN87" s="454" t="s">
        <v>1046</v>
      </c>
      <c r="AO87" s="456">
        <v>0.0</v>
      </c>
      <c r="AP87" s="515" t="s">
        <v>1046</v>
      </c>
      <c r="AQ87" s="457">
        <v>412.99</v>
      </c>
      <c r="AR87" s="454" t="s">
        <v>1046</v>
      </c>
      <c r="AS87" s="457">
        <v>21.0</v>
      </c>
      <c r="AT87" s="454" t="s">
        <v>1046</v>
      </c>
      <c r="AU87" s="457">
        <v>0.0</v>
      </c>
      <c r="AV87" s="454" t="s">
        <v>1046</v>
      </c>
      <c r="AW87" s="457">
        <v>0.0</v>
      </c>
      <c r="AX87" s="454" t="s">
        <v>1046</v>
      </c>
      <c r="AY87" s="457">
        <v>0.0</v>
      </c>
      <c r="AZ87" s="454" t="s">
        <v>1046</v>
      </c>
      <c r="BA87" s="457">
        <v>23.0</v>
      </c>
      <c r="BB87" s="454" t="s">
        <v>1046</v>
      </c>
      <c r="BC87" s="457">
        <v>0.0</v>
      </c>
      <c r="BD87" s="454" t="s">
        <v>1046</v>
      </c>
      <c r="BE87" s="457">
        <v>44.0</v>
      </c>
    </row>
    <row r="88">
      <c r="A88" s="605">
        <v>925.0</v>
      </c>
      <c r="B88" s="606">
        <v>88.0</v>
      </c>
      <c r="C88" s="605">
        <f>B88*21</f>
        <v>1848</v>
      </c>
      <c r="D88" s="607">
        <f>Round(D89,0)</f>
        <v>2773</v>
      </c>
      <c r="E88" s="605">
        <f>Round(D88/B92,0)</f>
        <v>28</v>
      </c>
      <c r="F88" s="566"/>
      <c r="G88" s="473"/>
      <c r="J88" s="472"/>
      <c r="K88" s="202"/>
      <c r="L88" s="202"/>
      <c r="M88" s="112"/>
      <c r="N88" s="112"/>
      <c r="O88" s="112"/>
      <c r="P88" s="202"/>
      <c r="AN88" s="454" t="s">
        <v>1018</v>
      </c>
      <c r="AO88" s="456">
        <v>49.0</v>
      </c>
      <c r="AP88" s="515" t="s">
        <v>1018</v>
      </c>
      <c r="AQ88" s="457">
        <v>410.83</v>
      </c>
      <c r="AR88" s="454" t="s">
        <v>1018</v>
      </c>
      <c r="AS88" s="457">
        <v>8.0</v>
      </c>
      <c r="AT88" s="454" t="s">
        <v>1018</v>
      </c>
      <c r="AU88" s="457">
        <v>0.0</v>
      </c>
      <c r="AV88" s="454" t="s">
        <v>1018</v>
      </c>
      <c r="AW88" s="457">
        <v>0.0</v>
      </c>
      <c r="AX88" s="454" t="s">
        <v>1018</v>
      </c>
      <c r="AY88" s="457">
        <v>21.0</v>
      </c>
      <c r="AZ88" s="454" t="s">
        <v>1018</v>
      </c>
      <c r="BA88" s="457">
        <v>0.0</v>
      </c>
      <c r="BB88" s="454" t="s">
        <v>1018</v>
      </c>
      <c r="BC88" s="457">
        <v>0.0</v>
      </c>
      <c r="BD88" s="454" t="s">
        <v>1018</v>
      </c>
      <c r="BE88" s="457">
        <v>34.0</v>
      </c>
    </row>
    <row r="89">
      <c r="A89" s="608" t="s">
        <v>2105</v>
      </c>
      <c r="B89" s="609" t="s">
        <v>2051</v>
      </c>
      <c r="C89" s="465"/>
      <c r="D89" s="226">
        <f>A88+C88</f>
        <v>2773</v>
      </c>
      <c r="E89" s="226">
        <f>D89/100*105</f>
        <v>2911.65</v>
      </c>
      <c r="F89" s="566"/>
      <c r="G89" s="226"/>
      <c r="J89" s="472"/>
      <c r="K89" s="202"/>
      <c r="L89" s="202"/>
      <c r="M89" s="112"/>
      <c r="N89" s="112"/>
      <c r="O89" s="112"/>
      <c r="P89" s="112"/>
      <c r="AN89" s="454" t="s">
        <v>1019</v>
      </c>
      <c r="AO89" s="536">
        <v>0.0</v>
      </c>
      <c r="AP89" s="515" t="s">
        <v>1019</v>
      </c>
      <c r="AQ89" s="457">
        <v>396.43</v>
      </c>
      <c r="AR89" s="454" t="s">
        <v>1019</v>
      </c>
      <c r="AS89" s="457">
        <v>0.0</v>
      </c>
      <c r="AT89" s="454" t="s">
        <v>1019</v>
      </c>
      <c r="AU89" s="457">
        <v>0.0</v>
      </c>
      <c r="AV89" s="454" t="s">
        <v>1019</v>
      </c>
      <c r="AW89" s="457">
        <v>28.0</v>
      </c>
      <c r="AX89" s="454" t="s">
        <v>1019</v>
      </c>
      <c r="AY89" s="457">
        <v>0.0</v>
      </c>
      <c r="AZ89" s="454" t="s">
        <v>1019</v>
      </c>
      <c r="BA89" s="457">
        <v>0.0</v>
      </c>
      <c r="BB89" s="454" t="s">
        <v>1019</v>
      </c>
      <c r="BC89" s="457">
        <v>0.0</v>
      </c>
      <c r="BD89" s="454" t="s">
        <v>1019</v>
      </c>
      <c r="BE89" s="457">
        <v>56.0</v>
      </c>
    </row>
    <row r="90">
      <c r="A90" s="582" t="s">
        <v>2055</v>
      </c>
      <c r="B90" s="610" t="s">
        <v>2048</v>
      </c>
      <c r="C90" s="451"/>
      <c r="D90" s="226"/>
      <c r="E90" s="226"/>
      <c r="F90" s="566"/>
      <c r="G90" s="226"/>
      <c r="J90" s="472"/>
      <c r="K90" s="611"/>
      <c r="L90" s="611"/>
      <c r="M90" s="112"/>
      <c r="N90" s="112"/>
      <c r="O90" s="112"/>
      <c r="P90" s="112"/>
      <c r="AN90" s="454" t="s">
        <v>1026</v>
      </c>
      <c r="AO90" s="536">
        <v>0.0</v>
      </c>
      <c r="AP90" s="515" t="s">
        <v>1026</v>
      </c>
      <c r="AQ90" s="457">
        <v>384.51</v>
      </c>
      <c r="AR90" s="454" t="s">
        <v>1026</v>
      </c>
      <c r="AS90" s="457">
        <v>21.0</v>
      </c>
      <c r="AT90" s="454" t="s">
        <v>1026</v>
      </c>
      <c r="AU90" s="457">
        <v>0.0</v>
      </c>
      <c r="AV90" s="454" t="s">
        <v>1026</v>
      </c>
      <c r="AW90" s="457">
        <v>0.0</v>
      </c>
      <c r="AX90" s="454" t="s">
        <v>1026</v>
      </c>
      <c r="AY90" s="457">
        <v>0.0</v>
      </c>
      <c r="AZ90" s="454" t="s">
        <v>1026</v>
      </c>
      <c r="BA90" s="457">
        <v>0.0</v>
      </c>
      <c r="BB90" s="454" t="s">
        <v>1026</v>
      </c>
      <c r="BC90" s="457">
        <v>0.0</v>
      </c>
      <c r="BD90" s="454" t="s">
        <v>1026</v>
      </c>
      <c r="BE90" s="457">
        <v>44.0</v>
      </c>
    </row>
    <row r="91">
      <c r="A91" s="608" t="s">
        <v>2106</v>
      </c>
      <c r="B91" s="612">
        <f>E91-E94</f>
        <v>12</v>
      </c>
      <c r="C91" s="465" t="s">
        <v>2051</v>
      </c>
      <c r="D91" s="465">
        <v>15.0</v>
      </c>
      <c r="E91" s="534">
        <f>VLOOKUP(B89,C91:D93,2,FALSE)</f>
        <v>15</v>
      </c>
      <c r="F91" s="566"/>
      <c r="G91" s="566"/>
      <c r="H91" s="472"/>
      <c r="I91" s="472"/>
      <c r="J91" s="472"/>
      <c r="K91" s="112"/>
      <c r="L91" s="112"/>
      <c r="M91" s="112"/>
      <c r="N91" s="112"/>
      <c r="O91" s="112"/>
      <c r="P91" s="112"/>
      <c r="AN91" s="454" t="s">
        <v>1048</v>
      </c>
      <c r="AO91" s="456">
        <v>0.0</v>
      </c>
      <c r="AP91" s="613" t="s">
        <v>1048</v>
      </c>
      <c r="AQ91" s="457">
        <v>408.51</v>
      </c>
      <c r="AR91" s="614" t="s">
        <v>1048</v>
      </c>
      <c r="AS91" s="457">
        <v>21.0</v>
      </c>
      <c r="AT91" s="614" t="s">
        <v>1048</v>
      </c>
      <c r="AU91" s="457">
        <v>0.0</v>
      </c>
      <c r="AV91" s="614" t="s">
        <v>1048</v>
      </c>
      <c r="AW91" s="457">
        <v>0.0</v>
      </c>
      <c r="AX91" s="614" t="s">
        <v>1048</v>
      </c>
      <c r="AY91" s="457">
        <v>0.0</v>
      </c>
      <c r="AZ91" s="614" t="s">
        <v>1048</v>
      </c>
      <c r="BA91" s="457">
        <v>23.0</v>
      </c>
      <c r="BB91" s="614" t="s">
        <v>1048</v>
      </c>
      <c r="BC91" s="457">
        <v>0.0</v>
      </c>
      <c r="BD91" s="614" t="s">
        <v>1048</v>
      </c>
      <c r="BE91" s="457">
        <v>44.0</v>
      </c>
    </row>
    <row r="92">
      <c r="A92" s="608" t="s">
        <v>2107</v>
      </c>
      <c r="B92" s="582">
        <f>B88+B91</f>
        <v>100</v>
      </c>
      <c r="C92" s="465" t="s">
        <v>2108</v>
      </c>
      <c r="D92" s="465">
        <v>13.0</v>
      </c>
      <c r="E92" s="566"/>
      <c r="F92" s="566"/>
      <c r="G92" s="566"/>
      <c r="H92" s="472"/>
      <c r="I92" s="472"/>
      <c r="J92" s="472"/>
      <c r="K92" s="112"/>
      <c r="L92" s="112"/>
      <c r="M92" s="112"/>
      <c r="N92" s="112"/>
      <c r="O92" s="112"/>
      <c r="P92" s="112"/>
      <c r="AN92" s="454" t="s">
        <v>1052</v>
      </c>
      <c r="AO92" s="456">
        <v>0.0</v>
      </c>
      <c r="AP92" s="613" t="s">
        <v>1052</v>
      </c>
      <c r="AQ92" s="457">
        <v>399.73</v>
      </c>
      <c r="AR92" s="614" t="s">
        <v>1052</v>
      </c>
      <c r="AS92" s="457">
        <v>19.0</v>
      </c>
      <c r="AT92" s="614" t="s">
        <v>1052</v>
      </c>
      <c r="AU92" s="457">
        <v>0.0</v>
      </c>
      <c r="AV92" s="614" t="s">
        <v>1052</v>
      </c>
      <c r="AW92" s="457">
        <v>0.0</v>
      </c>
      <c r="AX92" s="614" t="s">
        <v>1052</v>
      </c>
      <c r="AY92" s="457">
        <v>0.0</v>
      </c>
      <c r="AZ92" s="614" t="s">
        <v>1052</v>
      </c>
      <c r="BA92" s="457">
        <v>27.0</v>
      </c>
      <c r="BB92" s="614" t="s">
        <v>1052</v>
      </c>
      <c r="BC92" s="457">
        <v>0.0</v>
      </c>
      <c r="BD92" s="614" t="s">
        <v>1052</v>
      </c>
      <c r="BE92" s="457">
        <v>40.0</v>
      </c>
    </row>
    <row r="93">
      <c r="A93" s="226"/>
      <c r="B93" s="226"/>
      <c r="C93" s="581" t="s">
        <v>2109</v>
      </c>
      <c r="D93" s="451">
        <v>10.0</v>
      </c>
      <c r="E93" s="226"/>
      <c r="F93" s="566"/>
      <c r="G93" s="566"/>
      <c r="H93" s="472"/>
      <c r="I93" s="472"/>
      <c r="J93" s="472"/>
      <c r="K93" s="112"/>
      <c r="L93" s="112"/>
      <c r="M93" s="112"/>
      <c r="N93" s="112"/>
      <c r="O93" s="112"/>
      <c r="P93" s="112"/>
      <c r="AN93" s="454" t="s">
        <v>1053</v>
      </c>
      <c r="AO93" s="456">
        <v>0.0</v>
      </c>
      <c r="AP93" s="613" t="s">
        <v>1053</v>
      </c>
      <c r="AQ93" s="457">
        <v>396.33</v>
      </c>
      <c r="AR93" s="614" t="s">
        <v>1053</v>
      </c>
      <c r="AS93" s="457">
        <v>15.0</v>
      </c>
      <c r="AT93" s="614" t="s">
        <v>1053</v>
      </c>
      <c r="AU93" s="457">
        <v>0.0</v>
      </c>
      <c r="AV93" s="614" t="s">
        <v>1053</v>
      </c>
      <c r="AW93" s="457">
        <v>0.0</v>
      </c>
      <c r="AX93" s="614" t="s">
        <v>1053</v>
      </c>
      <c r="AY93" s="457">
        <v>22.0</v>
      </c>
      <c r="AZ93" s="614" t="s">
        <v>1053</v>
      </c>
      <c r="BA93" s="457">
        <v>0.0</v>
      </c>
      <c r="BB93" s="614" t="s">
        <v>1053</v>
      </c>
      <c r="BC93" s="457">
        <v>0.0</v>
      </c>
      <c r="BD93" s="614" t="s">
        <v>1053</v>
      </c>
      <c r="BE93" s="457">
        <v>44.0</v>
      </c>
    </row>
    <row r="94">
      <c r="A94" s="226">
        <f>Round(C78+(D78*E78/14),0)</f>
        <v>1534</v>
      </c>
      <c r="B94" s="226"/>
      <c r="C94" s="465" t="s">
        <v>2051</v>
      </c>
      <c r="D94" s="465">
        <v>0.0</v>
      </c>
      <c r="E94" s="534">
        <f>VLOOKUP(B90,C94:D95,2,FALSE)</f>
        <v>3</v>
      </c>
      <c r="F94" s="566"/>
      <c r="G94" s="566"/>
      <c r="H94" s="472"/>
      <c r="I94" s="472"/>
      <c r="J94" s="472"/>
      <c r="K94" s="574"/>
      <c r="L94" s="574"/>
      <c r="M94" s="112"/>
      <c r="N94" s="112"/>
      <c r="O94" s="112"/>
      <c r="P94" s="112"/>
      <c r="AN94" s="454" t="s">
        <v>1020</v>
      </c>
      <c r="AO94" s="536">
        <v>0.0</v>
      </c>
      <c r="AP94" s="515" t="s">
        <v>1020</v>
      </c>
      <c r="AQ94" s="457">
        <v>376.41</v>
      </c>
      <c r="AR94" s="454" t="s">
        <v>1020</v>
      </c>
      <c r="AS94" s="457">
        <v>0.0</v>
      </c>
      <c r="AT94" s="454" t="s">
        <v>1020</v>
      </c>
      <c r="AU94" s="457">
        <v>0.0</v>
      </c>
      <c r="AV94" s="454" t="s">
        <v>1020</v>
      </c>
      <c r="AW94" s="457">
        <v>0.0</v>
      </c>
      <c r="AX94" s="454" t="s">
        <v>1020</v>
      </c>
      <c r="AY94" s="457">
        <v>0.0</v>
      </c>
      <c r="AZ94" s="454" t="s">
        <v>1020</v>
      </c>
      <c r="BA94" s="457">
        <v>0.0</v>
      </c>
      <c r="BB94" s="454" t="s">
        <v>1020</v>
      </c>
      <c r="BC94" s="457">
        <v>0.0</v>
      </c>
      <c r="BD94" s="454" t="s">
        <v>1020</v>
      </c>
      <c r="BE94" s="457">
        <v>52.0</v>
      </c>
    </row>
    <row r="95">
      <c r="A95" s="226">
        <f>A94/100*105</f>
        <v>1610.7</v>
      </c>
      <c r="B95" s="226"/>
      <c r="C95" s="465" t="s">
        <v>2048</v>
      </c>
      <c r="D95" s="465">
        <v>3.0</v>
      </c>
      <c r="E95" s="566"/>
      <c r="F95" s="566"/>
      <c r="G95" s="566"/>
      <c r="H95" s="472"/>
      <c r="I95" s="472"/>
      <c r="J95" s="112"/>
      <c r="K95" s="611"/>
      <c r="L95" s="611"/>
      <c r="M95" s="112"/>
      <c r="N95" s="112"/>
      <c r="O95" s="112"/>
      <c r="P95" s="112"/>
      <c r="AN95" s="454" t="s">
        <v>1022</v>
      </c>
      <c r="AO95" s="536">
        <v>0.0</v>
      </c>
      <c r="AP95" s="515" t="s">
        <v>1022</v>
      </c>
      <c r="AQ95" s="457">
        <v>375.95</v>
      </c>
      <c r="AR95" s="454" t="s">
        <v>1022</v>
      </c>
      <c r="AS95" s="457">
        <v>0.0</v>
      </c>
      <c r="AT95" s="454" t="s">
        <v>1022</v>
      </c>
      <c r="AU95" s="457">
        <v>0.0</v>
      </c>
      <c r="AV95" s="454" t="s">
        <v>1022</v>
      </c>
      <c r="AW95" s="457">
        <v>0.0</v>
      </c>
      <c r="AX95" s="454" t="s">
        <v>1022</v>
      </c>
      <c r="AY95" s="457">
        <v>0.0</v>
      </c>
      <c r="AZ95" s="454" t="s">
        <v>1022</v>
      </c>
      <c r="BA95" s="457">
        <v>0.0</v>
      </c>
      <c r="BB95" s="454" t="s">
        <v>1022</v>
      </c>
      <c r="BC95" s="457">
        <v>0.0</v>
      </c>
      <c r="BD95" s="454" t="s">
        <v>1022</v>
      </c>
      <c r="BE95" s="457">
        <v>50.0</v>
      </c>
    </row>
    <row r="96">
      <c r="F96" s="472"/>
      <c r="G96" s="472"/>
      <c r="H96" s="472"/>
      <c r="I96" s="472"/>
      <c r="J96" s="202"/>
      <c r="K96" s="611"/>
      <c r="L96" s="611"/>
      <c r="M96" s="112"/>
      <c r="N96" s="112"/>
      <c r="O96" s="112"/>
      <c r="P96" s="112"/>
      <c r="AN96" s="454" t="s">
        <v>1031</v>
      </c>
      <c r="AO96" s="536">
        <v>0.0</v>
      </c>
      <c r="AP96" s="515" t="s">
        <v>1031</v>
      </c>
      <c r="AQ96" s="457">
        <v>386.66</v>
      </c>
      <c r="AR96" s="454" t="s">
        <v>1031</v>
      </c>
      <c r="AS96" s="457">
        <v>0.0</v>
      </c>
      <c r="AT96" s="454" t="s">
        <v>1031</v>
      </c>
      <c r="AU96" s="457">
        <v>0.0</v>
      </c>
      <c r="AV96" s="454" t="s">
        <v>1031</v>
      </c>
      <c r="AW96" s="457">
        <v>0.0</v>
      </c>
      <c r="AX96" s="454" t="s">
        <v>1031</v>
      </c>
      <c r="AY96" s="457">
        <v>23.0</v>
      </c>
      <c r="AZ96" s="454" t="s">
        <v>1031</v>
      </c>
      <c r="BA96" s="457">
        <v>0.0</v>
      </c>
      <c r="BB96" s="454" t="s">
        <v>1031</v>
      </c>
      <c r="BC96" s="457">
        <v>0.0</v>
      </c>
      <c r="BD96" s="454" t="s">
        <v>1031</v>
      </c>
      <c r="BE96" s="457">
        <v>48.0</v>
      </c>
    </row>
    <row r="97">
      <c r="A97" s="615"/>
      <c r="B97" s="202"/>
      <c r="C97" s="611"/>
      <c r="D97" s="202"/>
      <c r="E97" s="202"/>
      <c r="F97" s="202"/>
      <c r="G97" s="202"/>
      <c r="H97" s="202"/>
      <c r="I97" s="202"/>
      <c r="J97" s="202"/>
      <c r="K97" s="611"/>
      <c r="L97" s="611"/>
      <c r="M97" s="112"/>
      <c r="N97" s="112"/>
      <c r="O97" s="112"/>
      <c r="P97" s="112"/>
      <c r="AN97" s="454" t="s">
        <v>1033</v>
      </c>
      <c r="AO97" s="536">
        <v>0.0</v>
      </c>
      <c r="AP97" s="515" t="s">
        <v>1033</v>
      </c>
      <c r="AQ97" s="457">
        <v>380.53</v>
      </c>
      <c r="AR97" s="454" t="s">
        <v>1033</v>
      </c>
      <c r="AS97" s="457">
        <v>10.0</v>
      </c>
      <c r="AT97" s="454" t="s">
        <v>1033</v>
      </c>
      <c r="AU97" s="457">
        <v>0.0</v>
      </c>
      <c r="AV97" s="454" t="s">
        <v>1033</v>
      </c>
      <c r="AW97" s="457">
        <v>0.0</v>
      </c>
      <c r="AX97" s="454" t="s">
        <v>1033</v>
      </c>
      <c r="AY97" s="457">
        <v>19.0</v>
      </c>
      <c r="AZ97" s="454" t="s">
        <v>1033</v>
      </c>
      <c r="BA97" s="457">
        <v>0.0</v>
      </c>
      <c r="BB97" s="454" t="s">
        <v>1033</v>
      </c>
      <c r="BC97" s="457">
        <v>0.0</v>
      </c>
      <c r="BD97" s="454" t="s">
        <v>1033</v>
      </c>
      <c r="BE97" s="457">
        <v>30.0</v>
      </c>
    </row>
    <row r="98">
      <c r="A98" s="615"/>
      <c r="B98" s="202"/>
      <c r="C98" s="611"/>
      <c r="D98" s="202"/>
      <c r="E98" s="202"/>
      <c r="F98" s="202"/>
      <c r="G98" s="202"/>
      <c r="H98" s="202"/>
      <c r="I98" s="202"/>
      <c r="J98" s="202"/>
      <c r="K98" s="611"/>
      <c r="L98" s="611"/>
      <c r="M98" s="112"/>
      <c r="N98" s="112"/>
      <c r="O98" s="112"/>
      <c r="P98" s="112"/>
      <c r="AN98" s="454" t="s">
        <v>1035</v>
      </c>
      <c r="AO98" s="536">
        <v>0.0</v>
      </c>
      <c r="AP98" s="515" t="s">
        <v>1035</v>
      </c>
      <c r="AQ98" s="457">
        <v>379.97</v>
      </c>
      <c r="AR98" s="454" t="s">
        <v>1035</v>
      </c>
      <c r="AS98" s="457">
        <v>20.0</v>
      </c>
      <c r="AT98" s="454" t="s">
        <v>1035</v>
      </c>
      <c r="AU98" s="457">
        <v>0.0</v>
      </c>
      <c r="AV98" s="454" t="s">
        <v>1035</v>
      </c>
      <c r="AW98" s="457">
        <v>15.0</v>
      </c>
      <c r="AX98" s="454" t="s">
        <v>1035</v>
      </c>
      <c r="AY98" s="457">
        <v>0.0</v>
      </c>
      <c r="AZ98" s="454" t="s">
        <v>1035</v>
      </c>
      <c r="BA98" s="457">
        <v>0.0</v>
      </c>
      <c r="BB98" s="454" t="s">
        <v>1035</v>
      </c>
      <c r="BC98" s="457">
        <v>0.0</v>
      </c>
      <c r="BD98" s="454" t="s">
        <v>1035</v>
      </c>
      <c r="BE98" s="457">
        <v>40.0</v>
      </c>
    </row>
    <row r="99">
      <c r="A99" s="112"/>
      <c r="B99" s="112"/>
      <c r="C99" s="112"/>
      <c r="D99" s="112"/>
      <c r="E99" s="112"/>
      <c r="F99" s="112"/>
      <c r="G99" s="112"/>
      <c r="H99" s="112"/>
      <c r="I99" s="112"/>
      <c r="J99" s="112"/>
      <c r="K99" s="112"/>
      <c r="L99" s="112"/>
      <c r="M99" s="112"/>
      <c r="N99" s="112"/>
      <c r="O99" s="112"/>
      <c r="P99" s="112"/>
      <c r="AN99" s="454" t="s">
        <v>1055</v>
      </c>
      <c r="AO99" s="456">
        <v>0.0</v>
      </c>
      <c r="AP99" s="515" t="s">
        <v>1055</v>
      </c>
      <c r="AQ99" s="457">
        <v>0.0</v>
      </c>
      <c r="AR99" s="454" t="s">
        <v>1055</v>
      </c>
      <c r="AS99" s="457">
        <v>0.0</v>
      </c>
      <c r="AT99" s="454" t="s">
        <v>1055</v>
      </c>
      <c r="AU99" s="457">
        <v>0.0</v>
      </c>
      <c r="AV99" s="454" t="s">
        <v>1055</v>
      </c>
      <c r="AW99" s="457">
        <v>0.0</v>
      </c>
      <c r="AX99" s="454" t="s">
        <v>1055</v>
      </c>
      <c r="AY99" s="457">
        <v>0.0</v>
      </c>
      <c r="AZ99" s="454" t="s">
        <v>1055</v>
      </c>
      <c r="BA99" s="457">
        <v>0.0</v>
      </c>
      <c r="BB99" s="454" t="s">
        <v>1055</v>
      </c>
      <c r="BC99" s="457">
        <v>0.0</v>
      </c>
      <c r="BD99" s="454" t="s">
        <v>1055</v>
      </c>
      <c r="BE99" s="457">
        <v>0.0</v>
      </c>
    </row>
    <row r="100">
      <c r="A100" s="112"/>
      <c r="B100" s="112"/>
      <c r="C100" s="112"/>
      <c r="D100" s="112"/>
      <c r="E100" s="112"/>
      <c r="F100" s="112"/>
      <c r="G100" s="112"/>
      <c r="H100" s="112"/>
      <c r="I100" s="112"/>
      <c r="J100" s="112"/>
      <c r="K100" s="112"/>
      <c r="L100" s="112"/>
      <c r="M100" s="112"/>
      <c r="N100" s="112"/>
      <c r="O100" s="112"/>
      <c r="P100" s="112"/>
    </row>
    <row r="101">
      <c r="A101" s="616"/>
      <c r="B101" s="617"/>
      <c r="C101" s="618"/>
      <c r="D101" s="617"/>
      <c r="E101" s="617"/>
      <c r="F101" s="617"/>
      <c r="G101" s="617"/>
      <c r="H101" s="617"/>
      <c r="I101" s="617"/>
      <c r="J101" s="617"/>
      <c r="K101" s="618"/>
      <c r="L101" s="618"/>
      <c r="M101" s="618"/>
      <c r="N101" s="618"/>
      <c r="O101" s="618"/>
      <c r="P101" s="618"/>
      <c r="AN101" s="449" t="s">
        <v>2110</v>
      </c>
      <c r="AO101" s="449" t="s">
        <v>1920</v>
      </c>
      <c r="AP101" s="450" t="s">
        <v>2111</v>
      </c>
      <c r="AQ101" s="450" t="s">
        <v>1922</v>
      </c>
      <c r="AR101" s="449" t="s">
        <v>2110</v>
      </c>
      <c r="AS101" s="450" t="s">
        <v>2112</v>
      </c>
      <c r="AT101" s="449" t="s">
        <v>2110</v>
      </c>
      <c r="AU101" s="450" t="s">
        <v>2113</v>
      </c>
      <c r="AV101" s="449" t="s">
        <v>2110</v>
      </c>
      <c r="AW101" s="450" t="s">
        <v>2114</v>
      </c>
      <c r="AX101" s="449" t="s">
        <v>2110</v>
      </c>
      <c r="AY101" s="450" t="s">
        <v>2115</v>
      </c>
      <c r="AZ101" s="449" t="s">
        <v>2110</v>
      </c>
      <c r="BA101" s="450" t="s">
        <v>2116</v>
      </c>
      <c r="BB101" s="449" t="s">
        <v>2110</v>
      </c>
      <c r="BC101" s="450" t="s">
        <v>2117</v>
      </c>
      <c r="BD101" s="449" t="s">
        <v>2110</v>
      </c>
      <c r="BE101" s="450" t="s">
        <v>2118</v>
      </c>
    </row>
    <row r="102">
      <c r="A102" s="449"/>
      <c r="B102" s="449"/>
      <c r="C102" s="449"/>
      <c r="D102" s="449"/>
      <c r="E102" s="449"/>
      <c r="F102" s="449"/>
      <c r="G102" s="449"/>
      <c r="H102" s="449"/>
      <c r="I102" s="449"/>
      <c r="J102" s="449"/>
      <c r="K102" s="449"/>
      <c r="L102" s="449"/>
      <c r="M102" s="226"/>
      <c r="N102" s="618"/>
      <c r="O102" s="618"/>
      <c r="P102" s="618"/>
      <c r="AN102" s="454" t="s">
        <v>1126</v>
      </c>
      <c r="AO102" s="456">
        <v>0.0</v>
      </c>
      <c r="AP102" s="515" t="s">
        <v>1126</v>
      </c>
      <c r="AQ102" s="457">
        <v>1524.59</v>
      </c>
      <c r="AR102" s="454" t="s">
        <v>1126</v>
      </c>
      <c r="AS102" s="457">
        <v>0.0</v>
      </c>
      <c r="AT102" s="454" t="s">
        <v>1126</v>
      </c>
      <c r="AU102" s="457">
        <v>0.0</v>
      </c>
      <c r="AV102" s="454" t="s">
        <v>1126</v>
      </c>
      <c r="AW102" s="457">
        <v>0.0</v>
      </c>
      <c r="AX102" s="454" t="s">
        <v>1126</v>
      </c>
      <c r="AY102" s="457">
        <v>42.0</v>
      </c>
      <c r="AZ102" s="454" t="s">
        <v>1126</v>
      </c>
      <c r="BA102" s="457">
        <v>32.0</v>
      </c>
      <c r="BB102" s="454" t="s">
        <v>1126</v>
      </c>
      <c r="BC102" s="457">
        <v>0.0</v>
      </c>
      <c r="BD102" s="454" t="s">
        <v>1126</v>
      </c>
      <c r="BE102" s="457">
        <v>126.0</v>
      </c>
    </row>
    <row r="103">
      <c r="A103" s="458"/>
      <c r="B103" s="619"/>
      <c r="C103" s="619" t="s">
        <v>2119</v>
      </c>
      <c r="D103" s="619"/>
      <c r="E103" s="619"/>
      <c r="I103" s="459"/>
      <c r="J103" s="202"/>
      <c r="L103" s="202"/>
      <c r="M103" s="226"/>
      <c r="N103" s="618"/>
      <c r="O103" s="618"/>
      <c r="P103" s="618"/>
      <c r="AN103" s="454" t="s">
        <v>1127</v>
      </c>
      <c r="AO103" s="456">
        <v>98.0</v>
      </c>
      <c r="AP103" s="515" t="s">
        <v>1127</v>
      </c>
      <c r="AQ103" s="457">
        <v>1451.26</v>
      </c>
      <c r="AR103" s="454" t="s">
        <v>1127</v>
      </c>
      <c r="AS103" s="457">
        <v>19.0</v>
      </c>
      <c r="AT103" s="454" t="s">
        <v>1127</v>
      </c>
      <c r="AU103" s="457">
        <v>50.0</v>
      </c>
      <c r="AV103" s="454" t="s">
        <v>1127</v>
      </c>
      <c r="AW103" s="457">
        <v>0.0</v>
      </c>
      <c r="AX103" s="454" t="s">
        <v>1127</v>
      </c>
      <c r="AY103" s="457">
        <v>50.0</v>
      </c>
      <c r="AZ103" s="454" t="s">
        <v>1127</v>
      </c>
      <c r="BA103" s="457">
        <v>0.0</v>
      </c>
      <c r="BB103" s="454" t="s">
        <v>1127</v>
      </c>
      <c r="BC103" s="457">
        <v>0.0</v>
      </c>
      <c r="BD103" s="454" t="s">
        <v>1127</v>
      </c>
      <c r="BE103" s="457">
        <v>0.0</v>
      </c>
    </row>
    <row r="104">
      <c r="A104" s="458"/>
      <c r="B104" s="620" t="s">
        <v>560</v>
      </c>
      <c r="C104" s="621">
        <f>VLOOKUP(B50,A146:B149,2,FALSE)</f>
        <v>1</v>
      </c>
      <c r="D104" s="620"/>
      <c r="E104" s="620"/>
      <c r="I104" s="459"/>
      <c r="J104" s="620"/>
      <c r="K104" s="202"/>
      <c r="L104" s="202"/>
      <c r="M104" s="226"/>
      <c r="N104" s="618"/>
      <c r="O104" s="618"/>
      <c r="P104" s="618"/>
      <c r="AN104" s="454" t="s">
        <v>1130</v>
      </c>
      <c r="AO104" s="456">
        <v>0.0</v>
      </c>
      <c r="AP104" s="515" t="s">
        <v>1130</v>
      </c>
      <c r="AQ104" s="457">
        <v>1433.04</v>
      </c>
      <c r="AR104" s="454" t="s">
        <v>1130</v>
      </c>
      <c r="AS104" s="457">
        <v>0.0</v>
      </c>
      <c r="AT104" s="454" t="s">
        <v>1130</v>
      </c>
      <c r="AU104" s="457">
        <v>0.0</v>
      </c>
      <c r="AV104" s="454" t="s">
        <v>1130</v>
      </c>
      <c r="AW104" s="457">
        <v>52.0</v>
      </c>
      <c r="AX104" s="454" t="s">
        <v>1130</v>
      </c>
      <c r="AY104" s="457">
        <v>0.0</v>
      </c>
      <c r="AZ104" s="454" t="s">
        <v>1130</v>
      </c>
      <c r="BA104" s="457">
        <v>53.0</v>
      </c>
      <c r="BB104" s="454" t="s">
        <v>1130</v>
      </c>
      <c r="BC104" s="457">
        <v>0.0</v>
      </c>
      <c r="BD104" s="454" t="s">
        <v>1130</v>
      </c>
      <c r="BE104" s="457">
        <v>120.0</v>
      </c>
    </row>
    <row r="105">
      <c r="A105" s="458"/>
      <c r="B105" s="620" t="s">
        <v>562</v>
      </c>
      <c r="C105" s="620">
        <f>VLOOKUP(B50,C146:D149,2,FALSE)</f>
        <v>0.4545</v>
      </c>
      <c r="D105" s="620"/>
      <c r="E105" s="620"/>
      <c r="I105" s="459"/>
      <c r="J105" s="620"/>
      <c r="K105" s="202"/>
      <c r="L105" s="202"/>
      <c r="M105" s="226"/>
      <c r="N105" s="618"/>
      <c r="O105" s="618"/>
      <c r="P105" s="618"/>
      <c r="AN105" s="454" t="s">
        <v>1128</v>
      </c>
      <c r="AO105" s="456">
        <v>335.0</v>
      </c>
      <c r="AP105" s="515" t="s">
        <v>1128</v>
      </c>
      <c r="AQ105" s="457">
        <v>1436.64</v>
      </c>
      <c r="AR105" s="454" t="s">
        <v>1128</v>
      </c>
      <c r="AS105" s="457">
        <v>0.0</v>
      </c>
      <c r="AT105" s="454" t="s">
        <v>1128</v>
      </c>
      <c r="AU105" s="457">
        <v>75.0</v>
      </c>
      <c r="AV105" s="454" t="s">
        <v>1128</v>
      </c>
      <c r="AW105" s="457">
        <v>0.0</v>
      </c>
      <c r="AX105" s="454" t="s">
        <v>1128</v>
      </c>
      <c r="AY105" s="457">
        <v>0.0</v>
      </c>
      <c r="AZ105" s="454" t="s">
        <v>1128</v>
      </c>
      <c r="BA105" s="457">
        <v>0.0</v>
      </c>
      <c r="BB105" s="454" t="s">
        <v>1128</v>
      </c>
      <c r="BC105" s="457">
        <v>0.0</v>
      </c>
      <c r="BD105" s="454" t="s">
        <v>1128</v>
      </c>
      <c r="BE105" s="457">
        <v>0.0</v>
      </c>
    </row>
    <row r="106">
      <c r="A106" s="458"/>
      <c r="B106" s="620" t="s">
        <v>561</v>
      </c>
      <c r="C106" s="620">
        <f>VLOOKUP(B50,E146:F149,2,FALSE)</f>
        <v>0.667</v>
      </c>
      <c r="D106" s="620"/>
      <c r="E106" s="620"/>
      <c r="I106" s="459"/>
      <c r="J106" s="620"/>
      <c r="K106" s="202"/>
      <c r="L106" s="202"/>
      <c r="M106" s="226"/>
      <c r="N106" s="618"/>
      <c r="O106" s="618"/>
      <c r="P106" s="618"/>
      <c r="AN106" s="454" t="s">
        <v>1132</v>
      </c>
      <c r="AO106" s="456">
        <v>98.0</v>
      </c>
      <c r="AP106" s="515" t="s">
        <v>1132</v>
      </c>
      <c r="AQ106" s="457">
        <v>1392.06</v>
      </c>
      <c r="AR106" s="454" t="s">
        <v>1132</v>
      </c>
      <c r="AS106" s="457">
        <v>15.0</v>
      </c>
      <c r="AT106" s="454" t="s">
        <v>1132</v>
      </c>
      <c r="AU106" s="457">
        <v>46.0</v>
      </c>
      <c r="AV106" s="454" t="s">
        <v>1132</v>
      </c>
      <c r="AW106" s="457">
        <v>0.0</v>
      </c>
      <c r="AX106" s="454" t="s">
        <v>1132</v>
      </c>
      <c r="AY106" s="457">
        <v>46.0</v>
      </c>
      <c r="AZ106" s="454" t="s">
        <v>1132</v>
      </c>
      <c r="BA106" s="457">
        <v>0.0</v>
      </c>
      <c r="BB106" s="454" t="s">
        <v>1132</v>
      </c>
      <c r="BC106" s="457">
        <v>0.0</v>
      </c>
      <c r="BD106" s="454" t="s">
        <v>1132</v>
      </c>
      <c r="BE106" s="457">
        <v>0.0</v>
      </c>
    </row>
    <row r="107">
      <c r="A107" s="458"/>
      <c r="B107" s="620" t="s">
        <v>330</v>
      </c>
      <c r="C107" s="620">
        <f>VLOOKUP(B50,G146:H149,2,FALSE)</f>
        <v>0.91</v>
      </c>
      <c r="D107" s="620"/>
      <c r="E107" s="620"/>
      <c r="I107" s="459"/>
      <c r="J107" s="620"/>
      <c r="K107" s="202"/>
      <c r="L107" s="202"/>
      <c r="M107" s="226"/>
      <c r="N107" s="618"/>
      <c r="O107" s="618"/>
      <c r="P107" s="618"/>
      <c r="AN107" s="454" t="s">
        <v>1137</v>
      </c>
      <c r="AO107" s="456">
        <v>0.0</v>
      </c>
      <c r="AP107" s="515" t="s">
        <v>1137</v>
      </c>
      <c r="AQ107" s="457">
        <v>1359.44</v>
      </c>
      <c r="AR107" s="454" t="s">
        <v>1137</v>
      </c>
      <c r="AS107" s="457">
        <v>0.0</v>
      </c>
      <c r="AT107" s="454" t="s">
        <v>1137</v>
      </c>
      <c r="AU107" s="457">
        <v>0.0</v>
      </c>
      <c r="AV107" s="454" t="s">
        <v>1137</v>
      </c>
      <c r="AW107" s="457">
        <v>0.0</v>
      </c>
      <c r="AX107" s="454" t="s">
        <v>1137</v>
      </c>
      <c r="AY107" s="457">
        <v>37.0</v>
      </c>
      <c r="AZ107" s="454" t="s">
        <v>1137</v>
      </c>
      <c r="BA107" s="457">
        <v>0.0</v>
      </c>
      <c r="BB107" s="454" t="s">
        <v>1137</v>
      </c>
      <c r="BC107" s="457">
        <v>0.0</v>
      </c>
      <c r="BD107" s="454" t="s">
        <v>1137</v>
      </c>
      <c r="BE107" s="457">
        <v>110.0</v>
      </c>
    </row>
    <row r="108">
      <c r="A108" s="458"/>
      <c r="B108" s="620" t="s">
        <v>344</v>
      </c>
      <c r="C108" s="620">
        <f>VLOOKUP(B50,I146:J149,2,FALSE)</f>
        <v>0.69</v>
      </c>
      <c r="D108" s="620"/>
      <c r="E108" s="620"/>
      <c r="I108" s="459"/>
      <c r="J108" s="620"/>
      <c r="K108" s="202"/>
      <c r="L108" s="202"/>
      <c r="M108" s="226"/>
      <c r="N108" s="618"/>
      <c r="O108" s="618"/>
      <c r="P108" s="618"/>
      <c r="AN108" s="454" t="s">
        <v>1139</v>
      </c>
      <c r="AO108" s="456">
        <v>0.0</v>
      </c>
      <c r="AP108" s="515" t="s">
        <v>1139</v>
      </c>
      <c r="AQ108" s="457">
        <v>1341.75</v>
      </c>
      <c r="AR108" s="454" t="s">
        <v>1139</v>
      </c>
      <c r="AS108" s="457">
        <v>0.0</v>
      </c>
      <c r="AT108" s="454" t="s">
        <v>1139</v>
      </c>
      <c r="AU108" s="457">
        <v>52.0</v>
      </c>
      <c r="AV108" s="454" t="s">
        <v>1139</v>
      </c>
      <c r="AW108" s="457">
        <v>44.0</v>
      </c>
      <c r="AX108" s="454" t="s">
        <v>1139</v>
      </c>
      <c r="AY108" s="457">
        <v>0.0</v>
      </c>
      <c r="AZ108" s="454" t="s">
        <v>1139</v>
      </c>
      <c r="BA108" s="457">
        <v>0.0</v>
      </c>
      <c r="BB108" s="454" t="s">
        <v>1139</v>
      </c>
      <c r="BC108" s="457">
        <v>0.0</v>
      </c>
      <c r="BD108" s="454" t="s">
        <v>1139</v>
      </c>
      <c r="BE108" s="457">
        <v>0.0</v>
      </c>
    </row>
    <row r="109">
      <c r="A109" s="458"/>
      <c r="B109" s="620" t="s">
        <v>356</v>
      </c>
      <c r="C109" s="620">
        <f>VLOOKUP(B50,K146:L149,2,FALSE)</f>
        <v>0.56</v>
      </c>
      <c r="D109" s="620"/>
      <c r="E109" s="620"/>
      <c r="I109" s="459"/>
      <c r="J109" s="620"/>
      <c r="K109" s="202"/>
      <c r="L109" s="202"/>
      <c r="M109" s="226"/>
      <c r="N109" s="618"/>
      <c r="O109" s="618"/>
      <c r="P109" s="618"/>
      <c r="AN109" s="454" t="s">
        <v>1145</v>
      </c>
      <c r="AO109" s="456">
        <v>0.0</v>
      </c>
      <c r="AP109" s="515" t="s">
        <v>1145</v>
      </c>
      <c r="AQ109" s="457">
        <v>1310.28</v>
      </c>
      <c r="AR109" s="454" t="s">
        <v>1145</v>
      </c>
      <c r="AS109" s="457">
        <v>18.0</v>
      </c>
      <c r="AT109" s="454" t="s">
        <v>1145</v>
      </c>
      <c r="AU109" s="457">
        <v>42.0</v>
      </c>
      <c r="AV109" s="454" t="s">
        <v>1145</v>
      </c>
      <c r="AW109" s="457">
        <v>0.0</v>
      </c>
      <c r="AX109" s="454" t="s">
        <v>1145</v>
      </c>
      <c r="AY109" s="457">
        <v>42.0</v>
      </c>
      <c r="AZ109" s="454" t="s">
        <v>1145</v>
      </c>
      <c r="BA109" s="457">
        <v>0.0</v>
      </c>
      <c r="BB109" s="454" t="s">
        <v>1145</v>
      </c>
      <c r="BC109" s="457">
        <v>0.0</v>
      </c>
      <c r="BD109" s="454" t="s">
        <v>1145</v>
      </c>
      <c r="BE109" s="457">
        <v>0.0</v>
      </c>
    </row>
    <row r="110">
      <c r="A110" s="458"/>
      <c r="B110" s="620" t="s">
        <v>2120</v>
      </c>
      <c r="C110" s="620">
        <f>VLOOKUP(B50,M146:N149,2,FALSE)</f>
        <v>1.29</v>
      </c>
      <c r="D110" s="620"/>
      <c r="E110" s="620"/>
      <c r="I110" s="459"/>
      <c r="J110" s="620"/>
      <c r="K110" s="202"/>
      <c r="L110" s="202"/>
      <c r="M110" s="226"/>
      <c r="N110" s="618"/>
      <c r="O110" s="618"/>
      <c r="P110" s="618"/>
      <c r="AN110" s="614" t="s">
        <v>1136</v>
      </c>
      <c r="AO110" s="456">
        <v>315.0</v>
      </c>
      <c r="AP110" s="515" t="s">
        <v>1136</v>
      </c>
      <c r="AQ110" s="457">
        <v>1357.62</v>
      </c>
      <c r="AR110" s="614" t="s">
        <v>1136</v>
      </c>
      <c r="AS110" s="457">
        <v>0.0</v>
      </c>
      <c r="AT110" s="614" t="s">
        <v>1136</v>
      </c>
      <c r="AU110" s="457">
        <v>65.0</v>
      </c>
      <c r="AV110" s="614" t="s">
        <v>1136</v>
      </c>
      <c r="AW110" s="457">
        <v>0.0</v>
      </c>
      <c r="AX110" s="614" t="s">
        <v>1136</v>
      </c>
      <c r="AY110" s="457">
        <v>0.0</v>
      </c>
      <c r="AZ110" s="614" t="s">
        <v>1136</v>
      </c>
      <c r="BA110" s="457">
        <v>0.0</v>
      </c>
      <c r="BB110" s="614" t="s">
        <v>1136</v>
      </c>
      <c r="BC110" s="457">
        <v>0.0</v>
      </c>
      <c r="BD110" s="614" t="s">
        <v>1136</v>
      </c>
      <c r="BE110" s="457">
        <v>0.0</v>
      </c>
    </row>
    <row r="111">
      <c r="A111" s="458"/>
      <c r="B111" s="620" t="s">
        <v>1920</v>
      </c>
      <c r="C111" s="620">
        <f>VLOOKUP(B50,O146:P149,2,FALSE)</f>
        <v>0.183</v>
      </c>
      <c r="D111" s="620"/>
      <c r="E111" s="620"/>
      <c r="I111" s="459"/>
      <c r="J111" s="620"/>
      <c r="K111" s="202"/>
      <c r="L111" s="202"/>
      <c r="M111" s="226"/>
      <c r="N111" s="618"/>
      <c r="O111" s="618"/>
      <c r="P111" s="618"/>
      <c r="AS111" s="112"/>
      <c r="AT111" s="112"/>
      <c r="AU111" s="112"/>
      <c r="AV111" s="112"/>
    </row>
    <row r="112">
      <c r="A112" s="458"/>
      <c r="B112" s="620" t="s">
        <v>566</v>
      </c>
      <c r="C112" s="620">
        <f>VLOOKUP(B50,Q146:R149,2,FALSE)</f>
        <v>10</v>
      </c>
      <c r="D112" s="620"/>
      <c r="E112" s="620"/>
      <c r="I112" s="459"/>
      <c r="J112" s="620"/>
      <c r="K112" s="202"/>
      <c r="L112" s="202"/>
      <c r="M112" s="226"/>
      <c r="N112" s="618"/>
      <c r="O112" s="618"/>
      <c r="P112" s="618"/>
      <c r="AS112" s="112"/>
      <c r="AT112" s="112"/>
      <c r="AU112" s="112"/>
      <c r="AV112" s="112"/>
    </row>
    <row r="113">
      <c r="A113" s="458"/>
      <c r="B113" s="620" t="s">
        <v>567</v>
      </c>
      <c r="C113" s="620">
        <f>VLOOKUP(B50,S146:T149,2,FALSE)</f>
        <v>9.55</v>
      </c>
      <c r="D113" s="620"/>
      <c r="E113" s="620"/>
      <c r="I113" s="459"/>
      <c r="J113" s="620"/>
      <c r="K113" s="202"/>
      <c r="L113" s="202"/>
      <c r="M113" s="226"/>
      <c r="N113" s="618"/>
      <c r="O113" s="618"/>
      <c r="P113" s="618"/>
      <c r="AS113" s="112"/>
      <c r="AT113" s="112"/>
      <c r="AU113" s="112"/>
      <c r="AV113" s="112"/>
    </row>
    <row r="114">
      <c r="A114" s="458"/>
      <c r="B114" s="620" t="s">
        <v>571</v>
      </c>
      <c r="C114" s="620">
        <f>VLOOKUP(B50,U146:V149,2,FALSE)</f>
        <v>5</v>
      </c>
      <c r="D114" s="620"/>
      <c r="E114" s="620"/>
      <c r="I114" s="459"/>
      <c r="J114" s="620"/>
      <c r="K114" s="202"/>
      <c r="L114" s="202"/>
      <c r="M114" s="226"/>
      <c r="N114" s="618"/>
      <c r="O114" s="618"/>
      <c r="P114" s="618"/>
      <c r="AS114" s="112"/>
      <c r="AT114" s="112"/>
      <c r="AU114" s="112"/>
      <c r="AV114" s="112"/>
    </row>
    <row r="115">
      <c r="A115" s="458"/>
      <c r="B115" s="620" t="s">
        <v>565</v>
      </c>
      <c r="C115" s="622">
        <f>VLOOKUP(B50,W146:X149,2,FALSE)</f>
        <v>42</v>
      </c>
      <c r="D115" s="459"/>
      <c r="E115" s="459"/>
      <c r="I115" s="459"/>
      <c r="J115" s="620"/>
      <c r="K115" s="202"/>
      <c r="L115" s="202"/>
      <c r="M115" s="226"/>
      <c r="N115" s="618"/>
      <c r="O115" s="618"/>
      <c r="P115" s="618"/>
      <c r="AS115" s="112"/>
      <c r="AT115" s="112"/>
      <c r="AU115" s="112"/>
      <c r="AV115" s="112"/>
    </row>
    <row r="116">
      <c r="A116" s="458"/>
      <c r="B116" s="620" t="s">
        <v>2121</v>
      </c>
      <c r="C116" s="622">
        <f>VLOOKUP(B50,Y146:Z149,2,FALSE)</f>
        <v>8</v>
      </c>
      <c r="D116" s="459"/>
      <c r="E116" s="459"/>
      <c r="G116" s="459"/>
      <c r="H116" s="459"/>
      <c r="I116" s="459"/>
      <c r="J116" s="459"/>
      <c r="K116" s="202"/>
      <c r="L116" s="202"/>
      <c r="M116" s="226"/>
      <c r="N116" s="618"/>
      <c r="O116" s="618"/>
      <c r="P116" s="618"/>
      <c r="AN116" s="623" t="s">
        <v>2122</v>
      </c>
      <c r="AO116" s="623" t="s">
        <v>1920</v>
      </c>
      <c r="AP116" s="490" t="s">
        <v>2123</v>
      </c>
      <c r="AQ116" s="490" t="s">
        <v>1922</v>
      </c>
      <c r="AR116" s="623" t="s">
        <v>2122</v>
      </c>
      <c r="AS116" s="490" t="s">
        <v>344</v>
      </c>
      <c r="AT116" s="623" t="s">
        <v>2122</v>
      </c>
      <c r="AU116" s="490" t="s">
        <v>2124</v>
      </c>
      <c r="AV116" s="623" t="s">
        <v>2122</v>
      </c>
      <c r="AW116" s="490" t="s">
        <v>2125</v>
      </c>
      <c r="AX116" s="623" t="s">
        <v>2122</v>
      </c>
      <c r="AY116" s="623" t="s">
        <v>2126</v>
      </c>
      <c r="AZ116" s="623" t="s">
        <v>2122</v>
      </c>
      <c r="BA116" s="623" t="s">
        <v>2127</v>
      </c>
      <c r="BB116" s="623" t="s">
        <v>2122</v>
      </c>
      <c r="BC116" s="623" t="s">
        <v>2128</v>
      </c>
      <c r="BD116" s="623" t="s">
        <v>2122</v>
      </c>
      <c r="BE116" s="623" t="s">
        <v>2129</v>
      </c>
    </row>
    <row r="117">
      <c r="A117" s="458"/>
      <c r="B117" s="620"/>
      <c r="C117" s="620"/>
      <c r="D117" s="624"/>
      <c r="E117" s="624"/>
      <c r="G117" s="624"/>
      <c r="H117" s="624"/>
      <c r="I117" s="624"/>
      <c r="J117" s="624"/>
      <c r="K117" s="202"/>
      <c r="L117" s="202"/>
      <c r="M117" s="226"/>
      <c r="N117" s="618"/>
      <c r="O117" s="618"/>
      <c r="P117" s="618"/>
      <c r="AN117" s="454" t="s">
        <v>780</v>
      </c>
      <c r="AO117" s="456">
        <v>140.0</v>
      </c>
      <c r="AP117" s="515" t="s">
        <v>780</v>
      </c>
      <c r="AQ117" s="457">
        <v>106.57</v>
      </c>
      <c r="AR117" s="454" t="s">
        <v>780</v>
      </c>
      <c r="AS117" s="457">
        <v>16.0</v>
      </c>
      <c r="AT117" s="454" t="s">
        <v>780</v>
      </c>
      <c r="AU117" s="457">
        <v>33.0</v>
      </c>
      <c r="AV117" s="454" t="s">
        <v>780</v>
      </c>
      <c r="AW117" s="457">
        <v>0.0</v>
      </c>
      <c r="AX117" s="454" t="s">
        <v>780</v>
      </c>
      <c r="AY117" s="456">
        <v>30.0</v>
      </c>
      <c r="AZ117" s="454" t="s">
        <v>780</v>
      </c>
      <c r="BA117" s="456">
        <v>0.0</v>
      </c>
      <c r="BB117" s="454" t="s">
        <v>780</v>
      </c>
      <c r="BC117" s="456">
        <v>0.0</v>
      </c>
      <c r="BD117" s="454" t="s">
        <v>780</v>
      </c>
      <c r="BE117" s="456">
        <v>0.0</v>
      </c>
    </row>
    <row r="118">
      <c r="A118" s="458"/>
      <c r="B118" s="620"/>
      <c r="C118" s="620"/>
      <c r="D118" s="624"/>
      <c r="E118" s="624"/>
      <c r="G118" s="624"/>
      <c r="H118" s="624"/>
      <c r="I118" s="624"/>
      <c r="J118" s="624"/>
      <c r="K118" s="202"/>
      <c r="L118" s="202"/>
      <c r="M118" s="226"/>
      <c r="N118" s="618"/>
      <c r="O118" s="618"/>
      <c r="P118" s="618"/>
      <c r="AN118" s="454" t="s">
        <v>782</v>
      </c>
      <c r="AO118" s="456">
        <v>0.0</v>
      </c>
      <c r="AP118" s="515" t="s">
        <v>782</v>
      </c>
      <c r="AQ118" s="457">
        <v>68.77</v>
      </c>
      <c r="AR118" s="454" t="s">
        <v>782</v>
      </c>
      <c r="AS118" s="457">
        <v>12.0</v>
      </c>
      <c r="AT118" s="454" t="s">
        <v>782</v>
      </c>
      <c r="AU118" s="457">
        <v>0.0</v>
      </c>
      <c r="AV118" s="454" t="s">
        <v>782</v>
      </c>
      <c r="AW118" s="457">
        <v>0.0</v>
      </c>
      <c r="AX118" s="454" t="s">
        <v>782</v>
      </c>
      <c r="AY118" s="456">
        <v>28.0</v>
      </c>
      <c r="AZ118" s="454" t="s">
        <v>782</v>
      </c>
      <c r="BA118" s="456">
        <v>0.0</v>
      </c>
      <c r="BB118" s="454" t="s">
        <v>782</v>
      </c>
      <c r="BC118" s="456">
        <v>0.0</v>
      </c>
      <c r="BD118" s="454" t="s">
        <v>782</v>
      </c>
      <c r="BE118" s="456">
        <v>58.0</v>
      </c>
    </row>
    <row r="119">
      <c r="A119" s="458"/>
      <c r="B119" s="620" t="s">
        <v>575</v>
      </c>
      <c r="C119" s="622">
        <f>VLOOKUP(B50,AC146:AD149,2,FALSE)</f>
        <v>52</v>
      </c>
      <c r="D119" s="459"/>
      <c r="E119" s="459"/>
      <c r="G119" s="459"/>
      <c r="H119" s="459"/>
      <c r="I119" s="459"/>
      <c r="J119" s="459"/>
      <c r="K119" s="202"/>
      <c r="L119" s="202"/>
      <c r="M119" s="226"/>
      <c r="N119" s="618"/>
      <c r="O119" s="618"/>
      <c r="P119" s="618"/>
      <c r="AN119" s="454" t="s">
        <v>783</v>
      </c>
      <c r="AO119" s="456">
        <v>0.0</v>
      </c>
      <c r="AP119" s="515" t="s">
        <v>783</v>
      </c>
      <c r="AQ119" s="457">
        <v>66.68</v>
      </c>
      <c r="AR119" s="454" t="s">
        <v>783</v>
      </c>
      <c r="AS119" s="457">
        <v>17.0</v>
      </c>
      <c r="AT119" s="454" t="s">
        <v>783</v>
      </c>
      <c r="AU119" s="457">
        <v>25.0</v>
      </c>
      <c r="AV119" s="454" t="s">
        <v>783</v>
      </c>
      <c r="AW119" s="457">
        <v>0.0</v>
      </c>
      <c r="AX119" s="454" t="s">
        <v>783</v>
      </c>
      <c r="AY119" s="456">
        <v>24.0</v>
      </c>
      <c r="AZ119" s="454" t="s">
        <v>783</v>
      </c>
      <c r="BA119" s="456">
        <v>0.0</v>
      </c>
      <c r="BB119" s="454" t="s">
        <v>783</v>
      </c>
      <c r="BC119" s="456">
        <v>0.0</v>
      </c>
      <c r="BD119" s="454" t="s">
        <v>783</v>
      </c>
      <c r="BE119" s="456">
        <v>0.0</v>
      </c>
    </row>
    <row r="120">
      <c r="A120" s="458"/>
      <c r="B120" s="620"/>
      <c r="C120" s="620"/>
      <c r="D120" s="625"/>
      <c r="E120" s="625"/>
      <c r="G120" s="625"/>
      <c r="H120" s="625"/>
      <c r="I120" s="625"/>
      <c r="J120" s="625"/>
      <c r="K120" s="611"/>
      <c r="L120" s="611"/>
      <c r="M120" s="226"/>
      <c r="N120" s="618"/>
      <c r="O120" s="618"/>
      <c r="P120" s="618"/>
      <c r="AN120" s="454" t="s">
        <v>785</v>
      </c>
      <c r="AO120" s="456">
        <v>0.0</v>
      </c>
      <c r="AP120" s="515" t="s">
        <v>785</v>
      </c>
      <c r="AQ120" s="457">
        <v>62.92</v>
      </c>
      <c r="AR120" s="454" t="s">
        <v>785</v>
      </c>
      <c r="AS120" s="457">
        <v>12.0</v>
      </c>
      <c r="AT120" s="454" t="s">
        <v>785</v>
      </c>
      <c r="AU120" s="457">
        <v>0.0</v>
      </c>
      <c r="AV120" s="454" t="s">
        <v>785</v>
      </c>
      <c r="AW120" s="457">
        <v>28.0</v>
      </c>
      <c r="AX120" s="454" t="s">
        <v>785</v>
      </c>
      <c r="AY120" s="456">
        <v>0.0</v>
      </c>
      <c r="AZ120" s="454" t="s">
        <v>785</v>
      </c>
      <c r="BA120" s="456">
        <v>0.0</v>
      </c>
      <c r="BB120" s="454" t="s">
        <v>785</v>
      </c>
      <c r="BC120" s="456">
        <v>0.0</v>
      </c>
      <c r="BD120" s="454" t="s">
        <v>785</v>
      </c>
      <c r="BE120" s="456">
        <v>58.0</v>
      </c>
    </row>
    <row r="121">
      <c r="A121" s="458"/>
      <c r="B121" s="449"/>
      <c r="C121" s="226"/>
      <c r="D121" s="449"/>
      <c r="E121" s="449"/>
      <c r="F121" s="449"/>
      <c r="G121" s="449"/>
      <c r="H121" s="449"/>
      <c r="I121" s="449"/>
      <c r="J121" s="449"/>
      <c r="K121" s="226"/>
      <c r="L121" s="226"/>
      <c r="M121" s="226"/>
      <c r="N121" s="618"/>
      <c r="O121" s="618"/>
      <c r="P121" s="618"/>
      <c r="AN121" s="454" t="s">
        <v>786</v>
      </c>
      <c r="AO121" s="456">
        <v>0.0</v>
      </c>
      <c r="AP121" s="515" t="s">
        <v>786</v>
      </c>
      <c r="AQ121" s="457">
        <v>62.27</v>
      </c>
      <c r="AR121" s="454" t="s">
        <v>786</v>
      </c>
      <c r="AS121" s="457">
        <v>0.0</v>
      </c>
      <c r="AT121" s="454" t="s">
        <v>786</v>
      </c>
      <c r="AU121" s="457">
        <v>35.0</v>
      </c>
      <c r="AV121" s="454" t="s">
        <v>786</v>
      </c>
      <c r="AW121" s="457">
        <v>0.0</v>
      </c>
      <c r="AX121" s="454" t="s">
        <v>786</v>
      </c>
      <c r="AY121" s="456">
        <v>19.0</v>
      </c>
      <c r="AZ121" s="454" t="s">
        <v>786</v>
      </c>
      <c r="BA121" s="456">
        <v>0.0</v>
      </c>
      <c r="BB121" s="454" t="s">
        <v>786</v>
      </c>
      <c r="BC121" s="456">
        <v>0.0</v>
      </c>
      <c r="BD121" s="454" t="s">
        <v>786</v>
      </c>
      <c r="BE121" s="456">
        <v>0.0</v>
      </c>
    </row>
    <row r="122">
      <c r="A122" s="616"/>
      <c r="B122" s="626"/>
      <c r="C122" s="618"/>
      <c r="D122" s="626"/>
      <c r="E122" s="626"/>
      <c r="F122" s="626"/>
      <c r="G122" s="626"/>
      <c r="H122" s="626"/>
      <c r="I122" s="626"/>
      <c r="J122" s="626"/>
      <c r="K122" s="618"/>
      <c r="L122" s="618"/>
      <c r="M122" s="618"/>
      <c r="N122" s="618"/>
      <c r="O122" s="618"/>
      <c r="P122" s="618"/>
      <c r="AN122" s="454" t="s">
        <v>789</v>
      </c>
      <c r="AO122" s="456">
        <v>0.0</v>
      </c>
      <c r="AP122" s="515" t="s">
        <v>789</v>
      </c>
      <c r="AQ122" s="457">
        <v>61.82</v>
      </c>
      <c r="AR122" s="454" t="s">
        <v>789</v>
      </c>
      <c r="AS122" s="457">
        <v>0.0</v>
      </c>
      <c r="AT122" s="454" t="s">
        <v>789</v>
      </c>
      <c r="AU122" s="457">
        <v>20.0</v>
      </c>
      <c r="AV122" s="454" t="s">
        <v>789</v>
      </c>
      <c r="AW122" s="457">
        <v>0.0</v>
      </c>
      <c r="AX122" s="454" t="s">
        <v>789</v>
      </c>
      <c r="AY122" s="456">
        <v>24.0</v>
      </c>
      <c r="AZ122" s="454" t="s">
        <v>789</v>
      </c>
      <c r="BA122" s="456">
        <v>0.0</v>
      </c>
      <c r="BB122" s="454" t="s">
        <v>789</v>
      </c>
      <c r="BC122" s="456">
        <v>0.0</v>
      </c>
      <c r="BD122" s="454" t="s">
        <v>789</v>
      </c>
      <c r="BE122" s="456">
        <v>0.0</v>
      </c>
    </row>
    <row r="123">
      <c r="A123" s="616"/>
      <c r="B123" s="626"/>
      <c r="C123" s="618"/>
      <c r="D123" s="626"/>
      <c r="E123" s="626"/>
      <c r="F123" s="626"/>
      <c r="G123" s="626"/>
      <c r="H123" s="626"/>
      <c r="I123" s="626"/>
      <c r="J123" s="626"/>
      <c r="K123" s="618"/>
      <c r="L123" s="618"/>
      <c r="M123" s="618"/>
      <c r="N123" s="618"/>
      <c r="O123" s="618"/>
      <c r="P123" s="618"/>
    </row>
    <row r="124">
      <c r="A124" s="616"/>
      <c r="B124" s="627"/>
      <c r="C124" s="627"/>
      <c r="D124" s="627"/>
      <c r="E124" s="627"/>
      <c r="F124" s="627"/>
      <c r="G124" s="627"/>
      <c r="H124" s="627"/>
      <c r="I124" s="627"/>
      <c r="J124" s="627"/>
      <c r="K124" s="627"/>
      <c r="L124" s="627"/>
      <c r="M124" s="618"/>
      <c r="N124" s="618"/>
      <c r="O124" s="618"/>
      <c r="P124" s="618"/>
      <c r="AN124" s="449" t="s">
        <v>2130</v>
      </c>
      <c r="AO124" s="449" t="s">
        <v>1920</v>
      </c>
      <c r="AP124" s="450" t="s">
        <v>2131</v>
      </c>
      <c r="AQ124" s="450" t="s">
        <v>1922</v>
      </c>
      <c r="AR124" s="449" t="s">
        <v>2130</v>
      </c>
      <c r="AS124" s="450" t="s">
        <v>344</v>
      </c>
      <c r="AT124" s="449" t="s">
        <v>2130</v>
      </c>
      <c r="AU124" s="450" t="s">
        <v>2132</v>
      </c>
      <c r="AV124" s="449" t="s">
        <v>2130</v>
      </c>
      <c r="AW124" s="450" t="s">
        <v>2133</v>
      </c>
      <c r="AX124" s="449" t="s">
        <v>2130</v>
      </c>
      <c r="AY124" s="449" t="s">
        <v>2134</v>
      </c>
      <c r="AZ124" s="449" t="s">
        <v>2130</v>
      </c>
      <c r="BA124" s="449" t="s">
        <v>2135</v>
      </c>
      <c r="BB124" s="449" t="s">
        <v>2130</v>
      </c>
      <c r="BC124" s="449" t="s">
        <v>2136</v>
      </c>
      <c r="BD124" s="449" t="s">
        <v>2130</v>
      </c>
      <c r="BE124" s="449" t="s">
        <v>2137</v>
      </c>
    </row>
    <row r="125">
      <c r="A125" s="628"/>
      <c r="B125" s="629"/>
      <c r="C125" s="626"/>
      <c r="D125" s="629"/>
      <c r="E125" s="629"/>
      <c r="F125" s="629"/>
      <c r="G125" s="629"/>
      <c r="H125" s="629"/>
      <c r="I125" s="629"/>
      <c r="J125" s="629"/>
      <c r="K125" s="626"/>
      <c r="L125" s="626"/>
      <c r="M125" s="618"/>
      <c r="N125" s="618"/>
      <c r="O125" s="618"/>
      <c r="P125" s="618"/>
      <c r="AN125" s="454" t="s">
        <v>803</v>
      </c>
      <c r="AO125" s="456">
        <v>182.0</v>
      </c>
      <c r="AP125" s="515" t="s">
        <v>803</v>
      </c>
      <c r="AQ125" s="457">
        <v>141.06</v>
      </c>
      <c r="AR125" s="454" t="s">
        <v>803</v>
      </c>
      <c r="AS125" s="457">
        <v>0.0</v>
      </c>
      <c r="AT125" s="454" t="s">
        <v>803</v>
      </c>
      <c r="AU125" s="457">
        <v>0.0</v>
      </c>
      <c r="AV125" s="454" t="s">
        <v>803</v>
      </c>
      <c r="AW125" s="457">
        <v>40.0</v>
      </c>
      <c r="AX125" s="454" t="s">
        <v>803</v>
      </c>
      <c r="AY125" s="456">
        <v>23.0</v>
      </c>
      <c r="AZ125" s="454" t="s">
        <v>803</v>
      </c>
      <c r="BA125" s="456">
        <v>0.0</v>
      </c>
      <c r="BB125" s="454" t="s">
        <v>803</v>
      </c>
      <c r="BC125" s="456">
        <v>0.0</v>
      </c>
      <c r="BD125" s="454" t="s">
        <v>803</v>
      </c>
      <c r="BE125" s="456">
        <v>80.0</v>
      </c>
    </row>
    <row r="126">
      <c r="A126" s="628"/>
      <c r="B126" s="629"/>
      <c r="C126" s="626"/>
      <c r="D126" s="629"/>
      <c r="E126" s="629"/>
      <c r="F126" s="629"/>
      <c r="G126" s="629"/>
      <c r="H126" s="629"/>
      <c r="I126" s="629"/>
      <c r="J126" s="629"/>
      <c r="K126" s="626"/>
      <c r="L126" s="626"/>
      <c r="M126" s="618"/>
      <c r="N126" s="618"/>
      <c r="O126" s="618"/>
      <c r="P126" s="618"/>
      <c r="AN126" s="454" t="s">
        <v>801</v>
      </c>
      <c r="AO126" s="456">
        <v>154.0</v>
      </c>
      <c r="AP126" s="515" t="s">
        <v>801</v>
      </c>
      <c r="AQ126" s="457">
        <v>140.64</v>
      </c>
      <c r="AR126" s="454" t="s">
        <v>801</v>
      </c>
      <c r="AS126" s="457">
        <v>0.0</v>
      </c>
      <c r="AT126" s="454" t="s">
        <v>801</v>
      </c>
      <c r="AU126" s="457">
        <v>0.0</v>
      </c>
      <c r="AV126" s="454" t="s">
        <v>801</v>
      </c>
      <c r="AW126" s="457">
        <v>30.0</v>
      </c>
      <c r="AX126" s="454" t="s">
        <v>801</v>
      </c>
      <c r="AY126" s="456">
        <v>30.0</v>
      </c>
      <c r="AZ126" s="454" t="s">
        <v>801</v>
      </c>
      <c r="BA126" s="456">
        <v>0.0</v>
      </c>
      <c r="BB126" s="454" t="s">
        <v>801</v>
      </c>
      <c r="BC126" s="456">
        <v>0.0</v>
      </c>
      <c r="BD126" s="454" t="s">
        <v>801</v>
      </c>
      <c r="BE126" s="456">
        <v>90.0</v>
      </c>
    </row>
    <row r="127">
      <c r="A127" s="628"/>
      <c r="B127" s="629"/>
      <c r="C127" s="626"/>
      <c r="D127" s="629"/>
      <c r="E127" s="629"/>
      <c r="F127" s="629"/>
      <c r="G127" s="629"/>
      <c r="H127" s="629"/>
      <c r="I127" s="629"/>
      <c r="J127" s="629"/>
      <c r="K127" s="626"/>
      <c r="L127" s="626"/>
      <c r="M127" s="618"/>
      <c r="N127" s="618"/>
      <c r="O127" s="618"/>
      <c r="P127" s="618"/>
      <c r="AN127" s="454" t="s">
        <v>804</v>
      </c>
      <c r="AO127" s="456">
        <v>161.0</v>
      </c>
      <c r="AP127" s="515" t="s">
        <v>804</v>
      </c>
      <c r="AQ127" s="457">
        <v>133.52</v>
      </c>
      <c r="AR127" s="454" t="s">
        <v>804</v>
      </c>
      <c r="AS127" s="457">
        <v>0.0</v>
      </c>
      <c r="AT127" s="454" t="s">
        <v>804</v>
      </c>
      <c r="AU127" s="457">
        <v>47.0</v>
      </c>
      <c r="AV127" s="454" t="s">
        <v>804</v>
      </c>
      <c r="AW127" s="457">
        <v>0.0</v>
      </c>
      <c r="AX127" s="454" t="s">
        <v>804</v>
      </c>
      <c r="AY127" s="456">
        <v>39.0</v>
      </c>
      <c r="AZ127" s="454" t="s">
        <v>804</v>
      </c>
      <c r="BA127" s="456">
        <v>0.0</v>
      </c>
      <c r="BB127" s="454" t="s">
        <v>804</v>
      </c>
      <c r="BC127" s="456">
        <v>0.0</v>
      </c>
      <c r="BD127" s="454" t="s">
        <v>804</v>
      </c>
      <c r="BE127" s="456">
        <v>0.0</v>
      </c>
    </row>
    <row r="128">
      <c r="A128" s="628"/>
      <c r="B128" s="629"/>
      <c r="C128" s="626"/>
      <c r="D128" s="629"/>
      <c r="E128" s="629"/>
      <c r="F128" s="629"/>
      <c r="G128" s="629"/>
      <c r="H128" s="629"/>
      <c r="I128" s="629"/>
      <c r="J128" s="629"/>
      <c r="K128" s="626"/>
      <c r="L128" s="626"/>
      <c r="M128" s="226"/>
      <c r="N128" s="226"/>
      <c r="O128" s="226"/>
      <c r="P128" s="226"/>
      <c r="AN128" s="454" t="s">
        <v>805</v>
      </c>
      <c r="AO128" s="456">
        <v>0.0</v>
      </c>
      <c r="AP128" s="515" t="s">
        <v>805</v>
      </c>
      <c r="AQ128" s="457">
        <v>111.32</v>
      </c>
      <c r="AR128" s="454" t="s">
        <v>805</v>
      </c>
      <c r="AS128" s="457">
        <v>23.0</v>
      </c>
      <c r="AT128" s="454" t="s">
        <v>805</v>
      </c>
      <c r="AU128" s="457">
        <v>45.0</v>
      </c>
      <c r="AV128" s="454" t="s">
        <v>805</v>
      </c>
      <c r="AW128" s="457">
        <v>0.0</v>
      </c>
      <c r="AX128" s="454" t="s">
        <v>805</v>
      </c>
      <c r="AY128" s="456">
        <v>0.0</v>
      </c>
      <c r="AZ128" s="454" t="s">
        <v>805</v>
      </c>
      <c r="BA128" s="456">
        <v>36.0</v>
      </c>
      <c r="BB128" s="454" t="s">
        <v>805</v>
      </c>
      <c r="BC128" s="456">
        <v>0.0</v>
      </c>
      <c r="BD128" s="454" t="s">
        <v>805</v>
      </c>
      <c r="BE128" s="456">
        <v>0.0</v>
      </c>
    </row>
    <row r="129">
      <c r="A129" s="458" t="s">
        <v>2138</v>
      </c>
      <c r="B129" s="226"/>
      <c r="C129" s="226"/>
      <c r="D129" s="618"/>
      <c r="E129" s="618"/>
      <c r="F129" s="618"/>
      <c r="G129" s="618"/>
      <c r="H129" s="618"/>
      <c r="I129" s="618"/>
      <c r="J129" s="618"/>
      <c r="K129" s="618"/>
      <c r="L129" s="618"/>
      <c r="M129" s="226"/>
      <c r="N129" s="226"/>
      <c r="O129" s="226"/>
      <c r="P129" s="226"/>
      <c r="AN129" s="454" t="s">
        <v>811</v>
      </c>
      <c r="AO129" s="456">
        <v>175.0</v>
      </c>
      <c r="AP129" s="515" t="s">
        <v>811</v>
      </c>
      <c r="AQ129" s="457">
        <v>102.48</v>
      </c>
      <c r="AR129" s="454" t="s">
        <v>811</v>
      </c>
      <c r="AS129" s="457">
        <v>15.0</v>
      </c>
      <c r="AT129" s="454" t="s">
        <v>811</v>
      </c>
      <c r="AU129" s="457">
        <v>40.0</v>
      </c>
      <c r="AV129" s="454" t="s">
        <v>811</v>
      </c>
      <c r="AW129" s="457">
        <v>0.0</v>
      </c>
      <c r="AX129" s="454" t="s">
        <v>811</v>
      </c>
      <c r="AY129" s="456">
        <v>0.0</v>
      </c>
      <c r="AZ129" s="454" t="s">
        <v>811</v>
      </c>
      <c r="BA129" s="456">
        <v>0.0</v>
      </c>
      <c r="BB129" s="454" t="s">
        <v>811</v>
      </c>
      <c r="BC129" s="456">
        <v>0.0</v>
      </c>
      <c r="BD129" s="454" t="s">
        <v>811</v>
      </c>
      <c r="BE129" s="456">
        <v>0.0</v>
      </c>
    </row>
    <row r="130">
      <c r="A130" s="25" t="s">
        <v>2139</v>
      </c>
      <c r="B130" s="375">
        <f>VLOOKUP(B17,AS481:AT489,2,FALSE)</f>
        <v>138</v>
      </c>
      <c r="C130" s="465" t="s">
        <v>1003</v>
      </c>
      <c r="D130" s="618"/>
      <c r="E130" s="618"/>
      <c r="F130" s="618"/>
      <c r="G130" s="618"/>
      <c r="H130" s="618"/>
      <c r="I130" s="618"/>
      <c r="J130" s="618"/>
      <c r="K130" s="618"/>
      <c r="L130" s="618"/>
      <c r="M130" s="226"/>
      <c r="N130" s="226"/>
      <c r="O130" s="226"/>
      <c r="P130" s="226"/>
      <c r="AN130" s="454" t="s">
        <v>813</v>
      </c>
      <c r="AO130" s="456">
        <v>91.0</v>
      </c>
      <c r="AP130" s="515" t="s">
        <v>813</v>
      </c>
      <c r="AQ130" s="457">
        <v>90.38</v>
      </c>
      <c r="AR130" s="454" t="s">
        <v>813</v>
      </c>
      <c r="AS130" s="457">
        <v>0.0</v>
      </c>
      <c r="AT130" s="454" t="s">
        <v>813</v>
      </c>
      <c r="AU130" s="457">
        <v>41.0</v>
      </c>
      <c r="AV130" s="454" t="s">
        <v>813</v>
      </c>
      <c r="AW130" s="457">
        <v>30.0</v>
      </c>
      <c r="AX130" s="454" t="s">
        <v>813</v>
      </c>
      <c r="AY130" s="456">
        <v>0.0</v>
      </c>
      <c r="AZ130" s="454" t="s">
        <v>813</v>
      </c>
      <c r="BA130" s="456">
        <v>0.0</v>
      </c>
      <c r="BB130" s="454" t="s">
        <v>813</v>
      </c>
      <c r="BC130" s="456">
        <v>0.0</v>
      </c>
      <c r="BD130" s="454" t="s">
        <v>813</v>
      </c>
      <c r="BE130" s="456">
        <v>0.0</v>
      </c>
    </row>
    <row r="131">
      <c r="A131" s="25" t="s">
        <v>1040</v>
      </c>
      <c r="B131" s="25">
        <v>0.0</v>
      </c>
      <c r="C131" s="226"/>
      <c r="D131" s="618"/>
      <c r="E131" s="618"/>
      <c r="F131" s="618"/>
      <c r="G131" s="618"/>
      <c r="H131" s="618"/>
      <c r="I131" s="618"/>
      <c r="J131" s="618"/>
      <c r="K131" s="618"/>
      <c r="L131" s="618"/>
      <c r="M131" s="226"/>
      <c r="N131" s="226"/>
      <c r="O131" s="226"/>
      <c r="P131" s="226"/>
      <c r="AN131" s="454" t="s">
        <v>820</v>
      </c>
      <c r="AO131" s="456">
        <v>0.0</v>
      </c>
      <c r="AP131" s="515" t="s">
        <v>820</v>
      </c>
      <c r="AQ131" s="457">
        <v>80.51</v>
      </c>
      <c r="AR131" s="454" t="s">
        <v>820</v>
      </c>
      <c r="AS131" s="457">
        <v>18.0</v>
      </c>
      <c r="AT131" s="454" t="s">
        <v>820</v>
      </c>
      <c r="AU131" s="457">
        <v>38.0</v>
      </c>
      <c r="AV131" s="454" t="s">
        <v>820</v>
      </c>
      <c r="AW131" s="457">
        <v>0.0</v>
      </c>
      <c r="AX131" s="454" t="s">
        <v>820</v>
      </c>
      <c r="AY131" s="456">
        <v>0.0</v>
      </c>
      <c r="AZ131" s="454" t="s">
        <v>820</v>
      </c>
      <c r="BA131" s="456">
        <v>38.0</v>
      </c>
      <c r="BB131" s="454" t="s">
        <v>820</v>
      </c>
      <c r="BC131" s="456">
        <v>0.0</v>
      </c>
      <c r="BD131" s="454" t="s">
        <v>820</v>
      </c>
      <c r="BE131" s="456">
        <v>0.0</v>
      </c>
    </row>
    <row r="132">
      <c r="A132" s="25" t="s">
        <v>2140</v>
      </c>
      <c r="B132">
        <f>VLOOKUP(B17,AU481:AV489,2,FALSE)</f>
        <v>3.5</v>
      </c>
      <c r="C132" s="226"/>
      <c r="D132" s="618"/>
      <c r="E132" s="618"/>
      <c r="F132" s="618"/>
      <c r="G132" s="618"/>
      <c r="H132" s="618"/>
      <c r="I132" s="618"/>
      <c r="J132" s="618"/>
      <c r="K132" s="618"/>
      <c r="L132" s="618"/>
      <c r="M132" s="226"/>
      <c r="N132" s="226"/>
      <c r="O132" s="226"/>
      <c r="P132" s="226"/>
      <c r="AN132" s="454" t="s">
        <v>822</v>
      </c>
      <c r="AO132" s="456">
        <v>0.0</v>
      </c>
      <c r="AP132" s="515" t="s">
        <v>822</v>
      </c>
      <c r="AQ132" s="457">
        <v>76.91</v>
      </c>
      <c r="AR132" s="454" t="s">
        <v>822</v>
      </c>
      <c r="AS132" s="457">
        <v>0.0</v>
      </c>
      <c r="AT132" s="454" t="s">
        <v>822</v>
      </c>
      <c r="AU132" s="457">
        <v>36.0</v>
      </c>
      <c r="AV132" s="454" t="s">
        <v>822</v>
      </c>
      <c r="AW132" s="457">
        <v>0.0</v>
      </c>
      <c r="AX132" s="454" t="s">
        <v>822</v>
      </c>
      <c r="AY132" s="456">
        <v>23.0</v>
      </c>
      <c r="AZ132" s="454" t="s">
        <v>822</v>
      </c>
      <c r="BA132" s="456">
        <v>0.0</v>
      </c>
      <c r="BB132" s="454" t="s">
        <v>822</v>
      </c>
      <c r="BC132" s="456">
        <v>0.0</v>
      </c>
      <c r="BD132" s="454" t="s">
        <v>822</v>
      </c>
      <c r="BE132" s="456">
        <v>0.0</v>
      </c>
    </row>
    <row r="133">
      <c r="A133" s="25" t="s">
        <v>2141</v>
      </c>
      <c r="B133" s="25">
        <v>0.0</v>
      </c>
      <c r="C133" s="226"/>
      <c r="D133" s="618"/>
      <c r="E133" s="618"/>
      <c r="F133" s="618"/>
      <c r="G133" s="618"/>
      <c r="H133" s="618"/>
      <c r="I133" s="618"/>
      <c r="J133" s="618"/>
      <c r="K133" s="618"/>
      <c r="L133" s="618"/>
      <c r="M133" s="226"/>
      <c r="N133" s="226"/>
      <c r="O133" s="226"/>
      <c r="P133" s="226"/>
      <c r="AN133" s="454" t="s">
        <v>1094</v>
      </c>
      <c r="AO133" s="456">
        <v>0.0</v>
      </c>
      <c r="AP133" s="515" t="s">
        <v>1094</v>
      </c>
      <c r="AQ133" s="457">
        <v>75.38</v>
      </c>
      <c r="AR133" s="454" t="s">
        <v>1094</v>
      </c>
      <c r="AS133" s="457">
        <v>0.0</v>
      </c>
      <c r="AT133" s="454" t="s">
        <v>1094</v>
      </c>
      <c r="AU133" s="457">
        <v>0.0</v>
      </c>
      <c r="AV133" s="454" t="s">
        <v>1094</v>
      </c>
      <c r="AW133" s="457">
        <v>33.0</v>
      </c>
      <c r="AX133" s="454" t="s">
        <v>1094</v>
      </c>
      <c r="AY133" s="456">
        <v>0.0</v>
      </c>
      <c r="AZ133" s="454" t="s">
        <v>1094</v>
      </c>
      <c r="BA133" s="456">
        <v>0.0</v>
      </c>
      <c r="BB133" s="454" t="s">
        <v>1094</v>
      </c>
      <c r="BC133" s="456">
        <v>18.0</v>
      </c>
      <c r="BD133" s="454" t="s">
        <v>1094</v>
      </c>
      <c r="BE133" s="456">
        <v>66.0</v>
      </c>
    </row>
    <row r="134">
      <c r="A134" s="25" t="s">
        <v>2142</v>
      </c>
      <c r="B134">
        <f>VLOOKUP(B17,AW481:AX489,2,FALSE)</f>
        <v>15</v>
      </c>
      <c r="C134" s="226"/>
      <c r="D134" s="618"/>
      <c r="E134" s="618"/>
      <c r="F134" s="618"/>
      <c r="G134" s="618"/>
      <c r="H134" s="618"/>
      <c r="I134" s="618"/>
      <c r="J134" s="618"/>
      <c r="K134" s="618"/>
      <c r="L134" s="618"/>
      <c r="M134" s="226"/>
      <c r="N134" s="226"/>
      <c r="O134" s="226"/>
      <c r="P134" s="226"/>
      <c r="AN134" s="454" t="s">
        <v>1098</v>
      </c>
      <c r="AO134" s="456">
        <v>0.0</v>
      </c>
      <c r="AP134" s="515" t="s">
        <v>1098</v>
      </c>
      <c r="AQ134" s="457">
        <v>71.27</v>
      </c>
      <c r="AR134" s="454" t="s">
        <v>1098</v>
      </c>
      <c r="AS134" s="457">
        <v>0.0</v>
      </c>
      <c r="AT134" s="454" t="s">
        <v>1098</v>
      </c>
      <c r="AU134" s="457">
        <v>44.0</v>
      </c>
      <c r="AV134" s="454" t="s">
        <v>1098</v>
      </c>
      <c r="AW134" s="457">
        <v>0.0</v>
      </c>
      <c r="AX134" s="454" t="s">
        <v>1098</v>
      </c>
      <c r="AY134" s="456">
        <v>30.0</v>
      </c>
      <c r="AZ134" s="454" t="s">
        <v>1098</v>
      </c>
      <c r="BA134" s="456">
        <v>0.0</v>
      </c>
      <c r="BB134" s="454" t="s">
        <v>1098</v>
      </c>
      <c r="BC134" s="456">
        <v>0.0</v>
      </c>
      <c r="BD134" s="454" t="s">
        <v>1098</v>
      </c>
      <c r="BE134" s="456">
        <v>0.0</v>
      </c>
    </row>
    <row r="135">
      <c r="A135" s="25" t="s">
        <v>2143</v>
      </c>
      <c r="B135">
        <f>VLOOKUP(B17,A197:B206,2,FALSE)</f>
        <v>0</v>
      </c>
      <c r="C135" s="226"/>
      <c r="D135" s="618"/>
      <c r="E135" s="618"/>
      <c r="F135" s="618"/>
      <c r="G135" s="618"/>
      <c r="H135" s="618"/>
      <c r="I135" s="618"/>
      <c r="J135" s="618"/>
      <c r="K135" s="618"/>
      <c r="L135" s="618"/>
      <c r="M135" s="226"/>
      <c r="N135" s="226"/>
      <c r="O135" s="226"/>
      <c r="P135" s="226"/>
      <c r="AN135" s="454" t="s">
        <v>824</v>
      </c>
      <c r="AO135" s="456">
        <v>0.0</v>
      </c>
      <c r="AP135" s="515" t="s">
        <v>824</v>
      </c>
      <c r="AQ135" s="457">
        <v>76.36</v>
      </c>
      <c r="AR135" s="454" t="s">
        <v>824</v>
      </c>
      <c r="AS135" s="457">
        <v>0.0</v>
      </c>
      <c r="AT135" s="454" t="s">
        <v>824</v>
      </c>
      <c r="AU135" s="457">
        <v>0.0</v>
      </c>
      <c r="AV135" s="454" t="s">
        <v>824</v>
      </c>
      <c r="AW135" s="457">
        <v>0.0</v>
      </c>
      <c r="AX135" s="454" t="s">
        <v>824</v>
      </c>
      <c r="AY135" s="456">
        <v>26.0</v>
      </c>
      <c r="AZ135" s="454" t="s">
        <v>824</v>
      </c>
      <c r="BA135" s="456">
        <v>0.0</v>
      </c>
      <c r="BB135" s="454" t="s">
        <v>824</v>
      </c>
      <c r="BC135" s="456">
        <v>0.0</v>
      </c>
      <c r="BD135" s="454" t="s">
        <v>824</v>
      </c>
      <c r="BE135" s="456">
        <v>72.0</v>
      </c>
    </row>
    <row r="136">
      <c r="A136" s="226"/>
      <c r="B136" s="226"/>
      <c r="C136" s="226"/>
      <c r="D136" s="618"/>
      <c r="E136" s="618"/>
      <c r="F136" s="618"/>
      <c r="G136" s="618"/>
      <c r="H136" s="618"/>
      <c r="I136" s="618"/>
      <c r="J136" s="618"/>
      <c r="K136" s="618"/>
      <c r="L136" s="618"/>
      <c r="M136" s="226"/>
      <c r="N136" s="226"/>
      <c r="O136" s="226"/>
      <c r="P136" s="226"/>
    </row>
    <row r="137">
      <c r="A137" s="618"/>
      <c r="B137" s="618"/>
      <c r="C137" s="618"/>
      <c r="D137" s="618"/>
      <c r="E137" s="618"/>
      <c r="F137" s="618"/>
      <c r="G137" s="618"/>
      <c r="H137" s="618"/>
      <c r="I137" s="618"/>
      <c r="J137" s="618"/>
      <c r="K137" s="618"/>
      <c r="L137" s="618"/>
      <c r="M137" s="226"/>
      <c r="N137" s="226"/>
      <c r="O137" s="226"/>
      <c r="P137" s="226"/>
      <c r="AN137" s="449" t="s">
        <v>2144</v>
      </c>
      <c r="AO137" s="449" t="s">
        <v>1920</v>
      </c>
      <c r="AP137" s="450" t="s">
        <v>2145</v>
      </c>
      <c r="AQ137" s="450" t="s">
        <v>1922</v>
      </c>
      <c r="AR137" s="449" t="s">
        <v>2144</v>
      </c>
      <c r="AS137" s="450" t="s">
        <v>344</v>
      </c>
      <c r="AT137" s="449" t="s">
        <v>2144</v>
      </c>
      <c r="AU137" s="450" t="s">
        <v>2146</v>
      </c>
      <c r="AV137" s="449" t="s">
        <v>2144</v>
      </c>
      <c r="AW137" s="450" t="s">
        <v>2147</v>
      </c>
      <c r="AX137" s="449" t="s">
        <v>2144</v>
      </c>
      <c r="AY137" s="449" t="s">
        <v>2148</v>
      </c>
      <c r="AZ137" s="449" t="s">
        <v>2144</v>
      </c>
      <c r="BA137" s="449" t="s">
        <v>2149</v>
      </c>
      <c r="BB137" s="449" t="s">
        <v>2144</v>
      </c>
      <c r="BC137" s="449" t="s">
        <v>2150</v>
      </c>
      <c r="BD137" s="449" t="s">
        <v>2144</v>
      </c>
      <c r="BE137" s="449" t="s">
        <v>2151</v>
      </c>
    </row>
    <row r="138">
      <c r="A138" s="618"/>
      <c r="B138" s="618"/>
      <c r="C138" s="618"/>
      <c r="D138" s="618"/>
      <c r="E138" s="618"/>
      <c r="F138" s="618"/>
      <c r="G138" s="618"/>
      <c r="H138" s="618"/>
      <c r="I138" s="618"/>
      <c r="J138" s="618"/>
      <c r="K138" s="618"/>
      <c r="L138" s="618"/>
      <c r="M138" s="226"/>
      <c r="N138" s="226"/>
      <c r="O138" s="226"/>
      <c r="P138" s="226"/>
      <c r="AN138" s="454" t="s">
        <v>829</v>
      </c>
      <c r="AO138" s="456">
        <v>0.0</v>
      </c>
      <c r="AP138" s="515" t="s">
        <v>829</v>
      </c>
      <c r="AQ138" s="457">
        <v>146.7</v>
      </c>
      <c r="AR138" s="454" t="s">
        <v>829</v>
      </c>
      <c r="AS138" s="457">
        <v>0.0</v>
      </c>
      <c r="AT138" s="454" t="s">
        <v>829</v>
      </c>
      <c r="AU138" s="457">
        <v>43.0</v>
      </c>
      <c r="AV138" s="454" t="s">
        <v>829</v>
      </c>
      <c r="AW138" s="457">
        <v>0.0</v>
      </c>
      <c r="AX138" s="454" t="s">
        <v>829</v>
      </c>
      <c r="AY138" s="456">
        <v>40.0</v>
      </c>
      <c r="AZ138" s="454" t="s">
        <v>829</v>
      </c>
      <c r="BA138" s="456">
        <v>26.0</v>
      </c>
      <c r="BB138" s="454" t="s">
        <v>829</v>
      </c>
      <c r="BC138" s="456">
        <v>26.0</v>
      </c>
      <c r="BD138" s="454" t="s">
        <v>829</v>
      </c>
      <c r="BE138" s="456">
        <v>0.0</v>
      </c>
    </row>
    <row r="139">
      <c r="A139" s="630" t="s">
        <v>2152</v>
      </c>
      <c r="B139" s="458" t="s">
        <v>2153</v>
      </c>
      <c r="C139" s="458" t="s">
        <v>2154</v>
      </c>
      <c r="D139" s="456" t="s">
        <v>2155</v>
      </c>
      <c r="E139" s="226"/>
      <c r="F139" s="618"/>
      <c r="G139" s="618"/>
      <c r="H139" s="618"/>
      <c r="I139" s="618"/>
      <c r="J139" s="618"/>
      <c r="K139" s="618"/>
      <c r="L139" s="618"/>
      <c r="M139" s="226"/>
      <c r="N139" s="226"/>
      <c r="O139" s="226"/>
      <c r="P139" s="226"/>
      <c r="AN139" s="454" t="s">
        <v>830</v>
      </c>
      <c r="AO139" s="456">
        <v>0.0</v>
      </c>
      <c r="AP139" s="515" t="s">
        <v>830</v>
      </c>
      <c r="AQ139" s="457">
        <v>105.45</v>
      </c>
      <c r="AR139" s="454" t="s">
        <v>830</v>
      </c>
      <c r="AS139" s="457">
        <v>0.0</v>
      </c>
      <c r="AT139" s="454" t="s">
        <v>830</v>
      </c>
      <c r="AU139" s="457">
        <v>0.0</v>
      </c>
      <c r="AV139" s="454" t="s">
        <v>830</v>
      </c>
      <c r="AW139" s="457">
        <v>29.0</v>
      </c>
      <c r="AX139" s="454" t="s">
        <v>830</v>
      </c>
      <c r="AY139" s="456">
        <v>0.0</v>
      </c>
      <c r="AZ139" s="454" t="s">
        <v>830</v>
      </c>
      <c r="BA139" s="456">
        <v>0.0</v>
      </c>
      <c r="BB139" s="454" t="s">
        <v>830</v>
      </c>
      <c r="BC139" s="456">
        <v>25.0</v>
      </c>
      <c r="BD139" s="454" t="s">
        <v>830</v>
      </c>
      <c r="BE139" s="456">
        <v>74.0</v>
      </c>
    </row>
    <row r="140">
      <c r="A140" s="631">
        <f>VLOOKUP(B15,A214:B222,2,FALSE)</f>
        <v>0</v>
      </c>
      <c r="B140" s="375">
        <f>VLOOKUP(B15,C214:D222,2,FALSE)</f>
        <v>0</v>
      </c>
      <c r="C140" s="112">
        <f>VLOOKUP(B15,E214:F222,2,FALSE)</f>
        <v>120</v>
      </c>
      <c r="D140" s="375">
        <f>VLOOKUP(B13,A270:B287,2,FALSE)</f>
        <v>0</v>
      </c>
      <c r="E140" s="226"/>
      <c r="F140" s="618"/>
      <c r="G140" s="618"/>
      <c r="H140" s="618"/>
      <c r="I140" s="618"/>
      <c r="J140" s="618"/>
      <c r="K140" s="618"/>
      <c r="L140" s="618"/>
      <c r="M140" s="226"/>
      <c r="N140" s="226"/>
      <c r="O140" s="226"/>
      <c r="P140" s="226"/>
      <c r="AN140" s="454" t="s">
        <v>831</v>
      </c>
      <c r="AO140" s="456">
        <v>154.0</v>
      </c>
      <c r="AP140" s="515" t="s">
        <v>831</v>
      </c>
      <c r="AQ140" s="457">
        <v>91.84</v>
      </c>
      <c r="AR140" s="454" t="s">
        <v>831</v>
      </c>
      <c r="AS140" s="457">
        <v>14.0</v>
      </c>
      <c r="AT140" s="454" t="s">
        <v>831</v>
      </c>
      <c r="AU140" s="457">
        <v>34.0</v>
      </c>
      <c r="AV140" s="454" t="s">
        <v>831</v>
      </c>
      <c r="AW140" s="457">
        <v>0.0</v>
      </c>
      <c r="AX140" s="454" t="s">
        <v>831</v>
      </c>
      <c r="AY140" s="456">
        <v>0.0</v>
      </c>
      <c r="AZ140" s="454" t="s">
        <v>831</v>
      </c>
      <c r="BA140" s="456">
        <v>0.0</v>
      </c>
      <c r="BB140" s="454" t="s">
        <v>831</v>
      </c>
      <c r="BC140" s="456">
        <v>0.0</v>
      </c>
      <c r="BD140" s="454" t="s">
        <v>831</v>
      </c>
      <c r="BE140" s="456">
        <v>0.0</v>
      </c>
    </row>
    <row r="141">
      <c r="A141" s="202">
        <f>VLOOKUP(B16,A214:B222,2,FALSE)</f>
        <v>60</v>
      </c>
      <c r="B141" s="112">
        <f>VLOOKUP(B16,C214:D222,2,FALSE)</f>
        <v>0</v>
      </c>
      <c r="C141" s="112">
        <f>VLOOKUP(B16,E214:F222,2,FALSE)</f>
        <v>0</v>
      </c>
      <c r="D141" s="375">
        <f>VLOOKUP(B14,A270:B287,2,FALSE)</f>
        <v>0</v>
      </c>
      <c r="E141" s="226"/>
      <c r="F141" s="618"/>
      <c r="G141" s="618"/>
      <c r="H141" s="618"/>
      <c r="I141" s="618"/>
      <c r="J141" s="618"/>
      <c r="K141" s="618"/>
      <c r="L141" s="618"/>
      <c r="M141" s="226"/>
      <c r="N141" s="226"/>
      <c r="O141" s="226"/>
      <c r="P141" s="226"/>
      <c r="AN141" s="454" t="s">
        <v>833</v>
      </c>
      <c r="AO141" s="456">
        <v>0.0</v>
      </c>
      <c r="AP141" s="515" t="s">
        <v>833</v>
      </c>
      <c r="AQ141" s="457">
        <v>91.53</v>
      </c>
      <c r="AR141" s="454" t="s">
        <v>833</v>
      </c>
      <c r="AS141" s="457">
        <v>17.0</v>
      </c>
      <c r="AT141" s="454" t="s">
        <v>833</v>
      </c>
      <c r="AU141" s="457">
        <v>0.0</v>
      </c>
      <c r="AV141" s="454" t="s">
        <v>833</v>
      </c>
      <c r="AW141" s="457">
        <v>38.0</v>
      </c>
      <c r="AX141" s="454" t="s">
        <v>833</v>
      </c>
      <c r="AY141" s="456">
        <v>24.0</v>
      </c>
      <c r="AZ141" s="454" t="s">
        <v>833</v>
      </c>
      <c r="BA141" s="456">
        <v>0.0</v>
      </c>
      <c r="BB141" s="454" t="s">
        <v>833</v>
      </c>
      <c r="BC141" s="456">
        <v>0.0</v>
      </c>
      <c r="BD141" s="454" t="s">
        <v>833</v>
      </c>
      <c r="BE141" s="456">
        <v>76.0</v>
      </c>
    </row>
    <row r="142">
      <c r="A142" s="226"/>
      <c r="B142" s="226"/>
      <c r="C142" s="226"/>
      <c r="D142" s="226"/>
      <c r="E142" s="226"/>
      <c r="F142" s="618"/>
      <c r="G142" s="618"/>
      <c r="H142" s="618"/>
      <c r="I142" s="618"/>
      <c r="J142" s="618"/>
      <c r="K142" s="618"/>
      <c r="L142" s="618"/>
      <c r="M142" s="226"/>
      <c r="N142" s="226"/>
      <c r="O142" s="226"/>
      <c r="P142" s="226"/>
      <c r="AN142" s="454" t="s">
        <v>834</v>
      </c>
      <c r="AO142" s="456">
        <v>0.0</v>
      </c>
      <c r="AP142" s="515" t="s">
        <v>834</v>
      </c>
      <c r="AQ142" s="457">
        <v>91.13</v>
      </c>
      <c r="AR142" s="454" t="s">
        <v>834</v>
      </c>
      <c r="AS142" s="457">
        <v>0.0</v>
      </c>
      <c r="AT142" s="454" t="s">
        <v>834</v>
      </c>
      <c r="AU142" s="457">
        <v>0.0</v>
      </c>
      <c r="AV142" s="454" t="s">
        <v>834</v>
      </c>
      <c r="AW142" s="457">
        <v>29.0</v>
      </c>
      <c r="AX142" s="454" t="s">
        <v>834</v>
      </c>
      <c r="AY142" s="456">
        <v>19.0</v>
      </c>
      <c r="AZ142" s="454" t="s">
        <v>834</v>
      </c>
      <c r="BA142" s="456">
        <v>0.0</v>
      </c>
      <c r="BB142" s="454" t="s">
        <v>834</v>
      </c>
      <c r="BC142" s="456">
        <v>0.0</v>
      </c>
      <c r="BD142" s="454" t="s">
        <v>834</v>
      </c>
      <c r="BE142" s="456">
        <v>76.0</v>
      </c>
    </row>
    <row r="143">
      <c r="A143" s="618"/>
      <c r="B143" s="618"/>
      <c r="C143" s="618"/>
      <c r="D143" s="618"/>
      <c r="E143" s="618"/>
      <c r="F143" s="618"/>
      <c r="G143" s="618"/>
      <c r="H143" s="618"/>
      <c r="I143" s="618"/>
      <c r="J143" s="618"/>
      <c r="K143" s="618"/>
      <c r="L143" s="618"/>
      <c r="M143" s="226"/>
      <c r="N143" s="226"/>
      <c r="O143" s="226"/>
      <c r="P143" s="226"/>
      <c r="AN143" s="454" t="s">
        <v>836</v>
      </c>
      <c r="AO143" s="456">
        <v>0.0</v>
      </c>
      <c r="AP143" s="515" t="s">
        <v>836</v>
      </c>
      <c r="AQ143" s="457">
        <v>90.94</v>
      </c>
      <c r="AR143" s="454" t="s">
        <v>836</v>
      </c>
      <c r="AS143" s="457">
        <v>14.0</v>
      </c>
      <c r="AT143" s="454" t="s">
        <v>836</v>
      </c>
      <c r="AU143" s="457">
        <v>41.0</v>
      </c>
      <c r="AV143" s="454" t="s">
        <v>836</v>
      </c>
      <c r="AW143" s="457">
        <v>0.0</v>
      </c>
      <c r="AX143" s="454" t="s">
        <v>836</v>
      </c>
      <c r="AY143" s="456">
        <v>24.0</v>
      </c>
      <c r="AZ143" s="454" t="s">
        <v>836</v>
      </c>
      <c r="BA143" s="456">
        <v>0.0</v>
      </c>
      <c r="BB143" s="454" t="s">
        <v>836</v>
      </c>
      <c r="BC143" s="456">
        <v>0.0</v>
      </c>
      <c r="BD143" s="454" t="s">
        <v>836</v>
      </c>
      <c r="BE143" s="456">
        <v>0.0</v>
      </c>
    </row>
    <row r="144">
      <c r="A144" s="618"/>
      <c r="B144" s="618"/>
      <c r="C144" s="618"/>
      <c r="D144" s="618"/>
      <c r="E144" s="618"/>
      <c r="F144" s="618"/>
      <c r="G144" s="618"/>
      <c r="H144" s="618"/>
      <c r="I144" s="618"/>
      <c r="J144" s="618"/>
      <c r="K144" s="618"/>
      <c r="L144" s="618"/>
      <c r="M144" s="226"/>
      <c r="N144" s="226"/>
      <c r="O144" s="226"/>
      <c r="P144" s="226"/>
      <c r="AN144" s="454" t="s">
        <v>838</v>
      </c>
      <c r="AO144" s="456">
        <v>77.0</v>
      </c>
      <c r="AP144" s="515" t="s">
        <v>838</v>
      </c>
      <c r="AQ144" s="457">
        <v>86.96</v>
      </c>
      <c r="AR144" s="454" t="s">
        <v>838</v>
      </c>
      <c r="AS144" s="457">
        <v>0.0</v>
      </c>
      <c r="AT144" s="454" t="s">
        <v>838</v>
      </c>
      <c r="AU144" s="457">
        <v>0.0</v>
      </c>
      <c r="AV144" s="454" t="s">
        <v>838</v>
      </c>
      <c r="AW144" s="457">
        <v>25.0</v>
      </c>
      <c r="AX144" s="454" t="s">
        <v>838</v>
      </c>
      <c r="AY144" s="456">
        <v>21.0</v>
      </c>
      <c r="AZ144" s="454" t="s">
        <v>838</v>
      </c>
      <c r="BA144" s="456">
        <v>0.0</v>
      </c>
      <c r="BB144" s="454" t="s">
        <v>838</v>
      </c>
      <c r="BC144" s="456">
        <v>0.0</v>
      </c>
      <c r="BD144" s="454" t="s">
        <v>838</v>
      </c>
      <c r="BE144" s="456">
        <v>58.0</v>
      </c>
    </row>
    <row r="145">
      <c r="A145" s="632" t="s">
        <v>2156</v>
      </c>
      <c r="B145" s="632" t="s">
        <v>560</v>
      </c>
      <c r="C145" s="632" t="s">
        <v>2156</v>
      </c>
      <c r="D145" s="632" t="s">
        <v>562</v>
      </c>
      <c r="E145" s="632" t="s">
        <v>2156</v>
      </c>
      <c r="F145" s="632" t="s">
        <v>561</v>
      </c>
      <c r="G145" s="632" t="s">
        <v>2156</v>
      </c>
      <c r="H145" s="632" t="s">
        <v>330</v>
      </c>
      <c r="I145" s="632" t="s">
        <v>2156</v>
      </c>
      <c r="J145" s="632" t="s">
        <v>344</v>
      </c>
      <c r="K145" s="632" t="s">
        <v>2156</v>
      </c>
      <c r="L145" s="632" t="s">
        <v>356</v>
      </c>
      <c r="M145" s="632" t="s">
        <v>2156</v>
      </c>
      <c r="N145" s="632" t="s">
        <v>1005</v>
      </c>
      <c r="O145" s="632" t="s">
        <v>2156</v>
      </c>
      <c r="P145" s="632" t="s">
        <v>1920</v>
      </c>
      <c r="Q145" s="632" t="s">
        <v>2156</v>
      </c>
      <c r="R145" s="633" t="s">
        <v>566</v>
      </c>
      <c r="S145" s="632" t="s">
        <v>2156</v>
      </c>
      <c r="T145" s="633" t="s">
        <v>567</v>
      </c>
      <c r="U145" s="632" t="s">
        <v>2156</v>
      </c>
      <c r="V145" s="633" t="s">
        <v>571</v>
      </c>
      <c r="W145" s="632" t="s">
        <v>2156</v>
      </c>
      <c r="X145" s="633" t="s">
        <v>565</v>
      </c>
      <c r="Y145" s="632" t="s">
        <v>2156</v>
      </c>
      <c r="Z145" s="633" t="s">
        <v>2157</v>
      </c>
      <c r="AA145" s="632" t="s">
        <v>2156</v>
      </c>
      <c r="AB145" s="633" t="s">
        <v>2158</v>
      </c>
      <c r="AC145" s="632" t="s">
        <v>2156</v>
      </c>
      <c r="AD145" s="633" t="s">
        <v>2159</v>
      </c>
      <c r="AE145" s="632" t="s">
        <v>2156</v>
      </c>
      <c r="AF145" s="633" t="s">
        <v>2160</v>
      </c>
      <c r="AG145" s="634"/>
      <c r="AH145" s="634"/>
      <c r="AI145" s="634"/>
      <c r="AJ145" s="634"/>
      <c r="AK145" s="634"/>
      <c r="AN145" s="454" t="s">
        <v>847</v>
      </c>
      <c r="AO145" s="456">
        <v>0.0</v>
      </c>
      <c r="AP145" s="515" t="s">
        <v>847</v>
      </c>
      <c r="AQ145" s="457">
        <v>79.45</v>
      </c>
      <c r="AR145" s="454" t="s">
        <v>847</v>
      </c>
      <c r="AS145" s="457">
        <v>0.0</v>
      </c>
      <c r="AT145" s="454" t="s">
        <v>847</v>
      </c>
      <c r="AU145" s="457">
        <v>34.0</v>
      </c>
      <c r="AV145" s="454" t="s">
        <v>847</v>
      </c>
      <c r="AW145" s="457">
        <v>0.0</v>
      </c>
      <c r="AX145" s="454" t="s">
        <v>847</v>
      </c>
      <c r="AY145" s="456">
        <v>28.0</v>
      </c>
      <c r="AZ145" s="454" t="s">
        <v>847</v>
      </c>
      <c r="BA145" s="456">
        <v>0.0</v>
      </c>
      <c r="BB145" s="454" t="s">
        <v>847</v>
      </c>
      <c r="BC145" s="456">
        <v>0.0</v>
      </c>
      <c r="BD145" s="454" t="s">
        <v>847</v>
      </c>
      <c r="BE145" s="456">
        <v>0.0</v>
      </c>
    </row>
    <row r="146">
      <c r="A146" s="633" t="s">
        <v>2161</v>
      </c>
      <c r="B146" s="635">
        <v>1.0</v>
      </c>
      <c r="C146" s="633" t="s">
        <v>2161</v>
      </c>
      <c r="D146" s="635">
        <v>0.4545</v>
      </c>
      <c r="E146" s="633" t="s">
        <v>2161</v>
      </c>
      <c r="F146" s="635">
        <v>0.677</v>
      </c>
      <c r="G146" s="633" t="s">
        <v>2161</v>
      </c>
      <c r="H146" s="635">
        <v>0.92</v>
      </c>
      <c r="I146" s="633" t="s">
        <v>2161</v>
      </c>
      <c r="J146" s="635">
        <v>0.68</v>
      </c>
      <c r="K146" s="633" t="s">
        <v>2161</v>
      </c>
      <c r="L146" s="636">
        <v>0.53</v>
      </c>
      <c r="M146" s="633" t="s">
        <v>2161</v>
      </c>
      <c r="N146" s="636">
        <v>1.2</v>
      </c>
      <c r="O146" s="633" t="s">
        <v>2161</v>
      </c>
      <c r="P146" s="636">
        <v>0.16</v>
      </c>
      <c r="Q146" s="633" t="s">
        <v>2161</v>
      </c>
      <c r="R146" s="635">
        <v>10.0</v>
      </c>
      <c r="S146" s="633" t="s">
        <v>2161</v>
      </c>
      <c r="T146" s="635">
        <v>9.6</v>
      </c>
      <c r="U146" s="633" t="s">
        <v>2161</v>
      </c>
      <c r="V146" s="635">
        <v>5.0</v>
      </c>
      <c r="W146" s="633" t="s">
        <v>2161</v>
      </c>
      <c r="X146" s="633">
        <v>38.0</v>
      </c>
      <c r="Y146" s="633" t="s">
        <v>2161</v>
      </c>
      <c r="Z146" s="633">
        <v>7.9</v>
      </c>
      <c r="AA146" s="633" t="s">
        <v>2161</v>
      </c>
      <c r="AB146" s="633">
        <v>0.0</v>
      </c>
      <c r="AC146" s="633" t="s">
        <v>2161</v>
      </c>
      <c r="AD146" s="633">
        <v>48.0</v>
      </c>
      <c r="AE146" s="633" t="s">
        <v>2161</v>
      </c>
      <c r="AF146" s="633">
        <v>0.0</v>
      </c>
      <c r="AG146" s="637"/>
      <c r="AH146" s="637"/>
      <c r="AI146" s="637"/>
      <c r="AJ146" s="637"/>
      <c r="AK146" s="637"/>
      <c r="AN146" s="112"/>
      <c r="AO146" s="112"/>
      <c r="AP146" s="112"/>
      <c r="AQ146" s="112"/>
      <c r="AR146" s="112"/>
      <c r="AS146" s="112"/>
      <c r="AT146" s="112"/>
      <c r="AU146" s="112"/>
      <c r="AV146" s="112"/>
      <c r="AW146" s="112"/>
      <c r="AX146" s="112"/>
      <c r="AY146" s="112"/>
      <c r="AZ146" s="112"/>
      <c r="BA146" s="112"/>
      <c r="BB146" s="112"/>
      <c r="BC146" s="112"/>
      <c r="BD146" s="112"/>
      <c r="BE146" s="112"/>
    </row>
    <row r="147">
      <c r="A147" s="633" t="s">
        <v>2162</v>
      </c>
      <c r="B147" s="635">
        <v>1.0</v>
      </c>
      <c r="C147" s="635" t="s">
        <v>2162</v>
      </c>
      <c r="D147" s="635">
        <v>0.4545</v>
      </c>
      <c r="E147" s="635" t="s">
        <v>2162</v>
      </c>
      <c r="F147" s="635">
        <v>0.677</v>
      </c>
      <c r="G147" s="635" t="s">
        <v>2162</v>
      </c>
      <c r="H147" s="635">
        <v>0.92</v>
      </c>
      <c r="I147" s="635" t="s">
        <v>2162</v>
      </c>
      <c r="J147" s="635">
        <v>0.68</v>
      </c>
      <c r="K147" s="635" t="s">
        <v>2162</v>
      </c>
      <c r="L147" s="636">
        <v>0.54</v>
      </c>
      <c r="M147" s="635" t="s">
        <v>2162</v>
      </c>
      <c r="N147" s="636">
        <v>1.27</v>
      </c>
      <c r="O147" s="635" t="s">
        <v>2162</v>
      </c>
      <c r="P147" s="636">
        <v>0.181</v>
      </c>
      <c r="Q147" s="635" t="s">
        <v>2162</v>
      </c>
      <c r="R147" s="635">
        <v>10.0</v>
      </c>
      <c r="S147" s="635" t="s">
        <v>2162</v>
      </c>
      <c r="T147" s="635">
        <v>9.6</v>
      </c>
      <c r="U147" s="635" t="s">
        <v>2162</v>
      </c>
      <c r="V147" s="635">
        <v>5.0</v>
      </c>
      <c r="W147" s="635" t="s">
        <v>2162</v>
      </c>
      <c r="X147" s="635">
        <v>41.0</v>
      </c>
      <c r="Y147" s="635" t="s">
        <v>2162</v>
      </c>
      <c r="Z147" s="635">
        <v>8.0</v>
      </c>
      <c r="AA147" s="635" t="s">
        <v>2162</v>
      </c>
      <c r="AB147" s="635">
        <v>0.0</v>
      </c>
      <c r="AC147" s="635" t="s">
        <v>2162</v>
      </c>
      <c r="AD147" s="635">
        <v>51.0</v>
      </c>
      <c r="AE147" s="635" t="s">
        <v>2162</v>
      </c>
      <c r="AF147" s="635">
        <v>0.0</v>
      </c>
      <c r="AG147" s="638"/>
      <c r="AH147" s="637"/>
      <c r="AI147" s="637"/>
      <c r="AJ147" s="637"/>
      <c r="AK147" s="637"/>
      <c r="AN147" s="449" t="s">
        <v>2163</v>
      </c>
      <c r="AO147" s="449" t="s">
        <v>1920</v>
      </c>
      <c r="AP147" s="450" t="s">
        <v>2164</v>
      </c>
      <c r="AQ147" s="450" t="s">
        <v>1922</v>
      </c>
      <c r="AR147" s="449" t="s">
        <v>2163</v>
      </c>
      <c r="AS147" s="450" t="s">
        <v>344</v>
      </c>
      <c r="AT147" s="449" t="s">
        <v>2163</v>
      </c>
      <c r="AU147" s="450" t="s">
        <v>2165</v>
      </c>
      <c r="AV147" s="449" t="s">
        <v>2163</v>
      </c>
      <c r="AW147" s="449" t="s">
        <v>2166</v>
      </c>
      <c r="AX147" s="449" t="s">
        <v>2163</v>
      </c>
      <c r="AY147" s="449" t="s">
        <v>2167</v>
      </c>
      <c r="AZ147" s="449" t="s">
        <v>2163</v>
      </c>
      <c r="BA147" s="449" t="s">
        <v>2168</v>
      </c>
      <c r="BB147" s="449" t="s">
        <v>2163</v>
      </c>
      <c r="BC147" s="449" t="s">
        <v>2169</v>
      </c>
      <c r="BD147" s="449" t="s">
        <v>2163</v>
      </c>
      <c r="BE147" s="449" t="s">
        <v>2170</v>
      </c>
    </row>
    <row r="148">
      <c r="A148" s="633" t="s">
        <v>2050</v>
      </c>
      <c r="B148" s="635">
        <v>1.0</v>
      </c>
      <c r="C148" s="635" t="s">
        <v>2050</v>
      </c>
      <c r="D148" s="635">
        <v>0.4545</v>
      </c>
      <c r="E148" s="635" t="s">
        <v>2050</v>
      </c>
      <c r="F148" s="635">
        <v>0.667</v>
      </c>
      <c r="G148" s="635" t="s">
        <v>2050</v>
      </c>
      <c r="H148" s="635">
        <v>0.91</v>
      </c>
      <c r="I148" s="635" t="s">
        <v>2050</v>
      </c>
      <c r="J148" s="635">
        <v>0.69</v>
      </c>
      <c r="K148" s="635" t="s">
        <v>2050</v>
      </c>
      <c r="L148" s="636">
        <v>0.56</v>
      </c>
      <c r="M148" s="635" t="s">
        <v>2050</v>
      </c>
      <c r="N148" s="636">
        <v>1.29</v>
      </c>
      <c r="O148" s="635" t="s">
        <v>2050</v>
      </c>
      <c r="P148" s="636">
        <v>0.183</v>
      </c>
      <c r="Q148" s="635" t="s">
        <v>2050</v>
      </c>
      <c r="R148" s="635">
        <v>10.0</v>
      </c>
      <c r="S148" s="635" t="s">
        <v>2050</v>
      </c>
      <c r="T148" s="635">
        <v>9.55</v>
      </c>
      <c r="U148" s="635" t="s">
        <v>2050</v>
      </c>
      <c r="V148" s="635">
        <v>5.0</v>
      </c>
      <c r="W148" s="635" t="s">
        <v>2050</v>
      </c>
      <c r="X148" s="635">
        <v>42.0</v>
      </c>
      <c r="Y148" s="635" t="s">
        <v>2050</v>
      </c>
      <c r="Z148" s="635">
        <v>8.0</v>
      </c>
      <c r="AA148" s="635" t="s">
        <v>2050</v>
      </c>
      <c r="AB148" s="635">
        <v>0.0</v>
      </c>
      <c r="AC148" s="635" t="s">
        <v>2050</v>
      </c>
      <c r="AD148" s="635">
        <v>52.0</v>
      </c>
      <c r="AE148" s="635" t="s">
        <v>2050</v>
      </c>
      <c r="AF148" s="635">
        <v>0.0</v>
      </c>
      <c r="AG148" s="638"/>
      <c r="AH148" s="637"/>
      <c r="AI148" s="637"/>
      <c r="AJ148" s="637"/>
      <c r="AK148" s="637"/>
      <c r="AN148" s="454" t="s">
        <v>853</v>
      </c>
      <c r="AO148" s="456">
        <v>224.0</v>
      </c>
      <c r="AP148" s="515" t="s">
        <v>853</v>
      </c>
      <c r="AQ148" s="457">
        <v>178.16</v>
      </c>
      <c r="AR148" s="454" t="s">
        <v>853</v>
      </c>
      <c r="AS148" s="457">
        <v>32.0</v>
      </c>
      <c r="AT148" s="454" t="s">
        <v>853</v>
      </c>
      <c r="AU148" s="457">
        <v>0.0</v>
      </c>
      <c r="AV148" s="454" t="s">
        <v>853</v>
      </c>
      <c r="AW148" s="456">
        <v>41.0</v>
      </c>
      <c r="AX148" s="454" t="s">
        <v>853</v>
      </c>
      <c r="AY148" s="456">
        <v>0.0</v>
      </c>
      <c r="AZ148" s="454" t="s">
        <v>853</v>
      </c>
      <c r="BA148" s="456">
        <v>0.0</v>
      </c>
      <c r="BB148" s="454" t="s">
        <v>853</v>
      </c>
      <c r="BC148" s="456">
        <v>0.0</v>
      </c>
      <c r="BD148" s="454" t="s">
        <v>853</v>
      </c>
      <c r="BE148" s="456">
        <v>124.0</v>
      </c>
    </row>
    <row r="149">
      <c r="A149" s="633" t="s">
        <v>2171</v>
      </c>
      <c r="B149" s="635">
        <v>1.0</v>
      </c>
      <c r="C149" s="635" t="s">
        <v>2171</v>
      </c>
      <c r="D149" s="635">
        <v>0.4545</v>
      </c>
      <c r="E149" s="635" t="s">
        <v>2171</v>
      </c>
      <c r="F149" s="635">
        <v>0.667</v>
      </c>
      <c r="G149" s="635" t="s">
        <v>2171</v>
      </c>
      <c r="H149" s="635">
        <v>0.91</v>
      </c>
      <c r="I149" s="635" t="s">
        <v>2171</v>
      </c>
      <c r="J149" s="635">
        <v>0.7</v>
      </c>
      <c r="K149" s="635" t="s">
        <v>2171</v>
      </c>
      <c r="L149" s="636">
        <v>0.58</v>
      </c>
      <c r="M149" s="635" t="s">
        <v>2171</v>
      </c>
      <c r="N149" s="636">
        <v>1.35</v>
      </c>
      <c r="O149" s="635" t="s">
        <v>2171</v>
      </c>
      <c r="P149" s="636">
        <v>0.194</v>
      </c>
      <c r="Q149" s="635" t="s">
        <v>2171</v>
      </c>
      <c r="R149" s="635">
        <v>10.0</v>
      </c>
      <c r="S149" s="635" t="s">
        <v>2171</v>
      </c>
      <c r="T149" s="635">
        <v>9.55</v>
      </c>
      <c r="U149" s="635" t="s">
        <v>2171</v>
      </c>
      <c r="V149" s="635">
        <v>5.0</v>
      </c>
      <c r="W149" s="635" t="s">
        <v>2171</v>
      </c>
      <c r="X149" s="635">
        <v>44.0</v>
      </c>
      <c r="Y149" s="635" t="s">
        <v>2171</v>
      </c>
      <c r="Z149" s="635">
        <v>8.1</v>
      </c>
      <c r="AA149" s="635" t="s">
        <v>2171</v>
      </c>
      <c r="AB149" s="635">
        <v>0.0</v>
      </c>
      <c r="AC149" s="635" t="s">
        <v>2171</v>
      </c>
      <c r="AD149" s="635">
        <v>53.0</v>
      </c>
      <c r="AE149" s="635" t="s">
        <v>2171</v>
      </c>
      <c r="AF149" s="635">
        <v>0.0</v>
      </c>
      <c r="AG149" s="638"/>
      <c r="AH149" s="637"/>
      <c r="AI149" s="637"/>
      <c r="AJ149" s="637"/>
      <c r="AK149" s="637"/>
      <c r="AN149" s="454" t="s">
        <v>855</v>
      </c>
      <c r="AO149" s="456">
        <v>0.0</v>
      </c>
      <c r="AP149" s="515" t="s">
        <v>855</v>
      </c>
      <c r="AQ149" s="457">
        <v>164.11</v>
      </c>
      <c r="AR149" s="454" t="s">
        <v>855</v>
      </c>
      <c r="AS149" s="457">
        <v>0.0</v>
      </c>
      <c r="AT149" s="454" t="s">
        <v>855</v>
      </c>
      <c r="AU149" s="457">
        <v>61.0</v>
      </c>
      <c r="AV149" s="454" t="s">
        <v>855</v>
      </c>
      <c r="AW149" s="456">
        <v>0.0</v>
      </c>
      <c r="AX149" s="454" t="s">
        <v>855</v>
      </c>
      <c r="AY149" s="456">
        <v>34.0</v>
      </c>
      <c r="AZ149" s="454" t="s">
        <v>855</v>
      </c>
      <c r="BA149" s="456">
        <v>50.0</v>
      </c>
      <c r="BB149" s="454" t="s">
        <v>855</v>
      </c>
      <c r="BC149" s="456">
        <v>0.0</v>
      </c>
      <c r="BD149" s="454" t="s">
        <v>855</v>
      </c>
      <c r="BE149" s="456">
        <v>0.0</v>
      </c>
    </row>
    <row r="150">
      <c r="A150" s="637"/>
      <c r="B150" s="637"/>
      <c r="C150" s="637"/>
      <c r="D150" s="637"/>
      <c r="E150" s="637"/>
      <c r="F150" s="637"/>
      <c r="G150" s="637"/>
      <c r="H150" s="637"/>
      <c r="I150" s="637"/>
      <c r="J150" s="637"/>
      <c r="K150" s="637"/>
      <c r="L150" s="639"/>
      <c r="M150" s="639"/>
      <c r="N150" s="639"/>
      <c r="O150" s="639"/>
      <c r="P150" s="639"/>
      <c r="Q150" s="639"/>
      <c r="R150" s="637"/>
      <c r="S150" s="637"/>
      <c r="T150" s="637"/>
      <c r="U150" s="637"/>
      <c r="V150" s="637"/>
      <c r="W150" s="637"/>
      <c r="X150" s="637"/>
      <c r="Y150" s="637"/>
      <c r="Z150" s="637"/>
      <c r="AA150" s="637"/>
      <c r="AB150" s="637"/>
      <c r="AC150" s="637"/>
      <c r="AD150" s="637"/>
      <c r="AE150" s="637"/>
      <c r="AF150" s="637"/>
      <c r="AG150" s="637"/>
      <c r="AH150" s="637"/>
      <c r="AI150" s="637"/>
      <c r="AJ150" s="637"/>
      <c r="AK150" s="637"/>
      <c r="AN150" s="454" t="s">
        <v>856</v>
      </c>
      <c r="AO150" s="456">
        <v>350.0</v>
      </c>
      <c r="AP150" s="515" t="s">
        <v>856</v>
      </c>
      <c r="AQ150" s="457">
        <v>150.37</v>
      </c>
      <c r="AR150" s="454" t="s">
        <v>856</v>
      </c>
      <c r="AS150" s="457">
        <v>0.0</v>
      </c>
      <c r="AT150" s="454" t="s">
        <v>856</v>
      </c>
      <c r="AU150" s="457">
        <v>51.0</v>
      </c>
      <c r="AV150" s="454" t="s">
        <v>856</v>
      </c>
      <c r="AW150" s="456">
        <v>0.0</v>
      </c>
      <c r="AX150" s="454" t="s">
        <v>856</v>
      </c>
      <c r="AY150" s="456">
        <v>35.0</v>
      </c>
      <c r="AZ150" s="454" t="s">
        <v>856</v>
      </c>
      <c r="BA150" s="456">
        <v>0.0</v>
      </c>
      <c r="BB150" s="454" t="s">
        <v>856</v>
      </c>
      <c r="BC150" s="456">
        <v>0.0</v>
      </c>
      <c r="BD150" s="454" t="s">
        <v>856</v>
      </c>
      <c r="BE150" s="456">
        <v>0.0</v>
      </c>
    </row>
    <row r="151">
      <c r="M151" s="226"/>
      <c r="N151" s="226"/>
      <c r="O151" s="226"/>
      <c r="P151" s="226"/>
      <c r="AN151" s="454" t="s">
        <v>860</v>
      </c>
      <c r="AO151" s="456">
        <v>84.0</v>
      </c>
      <c r="AP151" s="515" t="s">
        <v>860</v>
      </c>
      <c r="AQ151" s="457">
        <v>131.83</v>
      </c>
      <c r="AR151" s="454" t="s">
        <v>860</v>
      </c>
      <c r="AS151" s="457">
        <v>18.0</v>
      </c>
      <c r="AT151" s="454" t="s">
        <v>860</v>
      </c>
      <c r="AU151" s="457">
        <v>57.0</v>
      </c>
      <c r="AV151" s="454" t="s">
        <v>860</v>
      </c>
      <c r="AW151" s="456">
        <v>0.0</v>
      </c>
      <c r="AX151" s="454" t="s">
        <v>860</v>
      </c>
      <c r="AY151" s="456">
        <v>53.0</v>
      </c>
      <c r="AZ151" s="454" t="s">
        <v>860</v>
      </c>
      <c r="BA151" s="456">
        <v>0.0</v>
      </c>
      <c r="BB151" s="454" t="s">
        <v>860</v>
      </c>
      <c r="BC151" s="456">
        <v>0.0</v>
      </c>
      <c r="BD151" s="454" t="s">
        <v>860</v>
      </c>
      <c r="BE151" s="456">
        <v>0.0</v>
      </c>
    </row>
    <row r="152">
      <c r="M152" s="226"/>
      <c r="N152" s="226"/>
      <c r="O152" s="226"/>
      <c r="P152" s="226"/>
      <c r="AN152" s="454" t="s">
        <v>862</v>
      </c>
      <c r="AO152" s="456">
        <v>105.0</v>
      </c>
      <c r="AP152" s="515" t="s">
        <v>862</v>
      </c>
      <c r="AQ152" s="457">
        <v>127.69</v>
      </c>
      <c r="AR152" s="454" t="s">
        <v>862</v>
      </c>
      <c r="AS152" s="457">
        <v>14.0</v>
      </c>
      <c r="AT152" s="454" t="s">
        <v>862</v>
      </c>
      <c r="AU152" s="457">
        <v>62.0</v>
      </c>
      <c r="AV152" s="454" t="s">
        <v>862</v>
      </c>
      <c r="AW152" s="456">
        <v>41.0</v>
      </c>
      <c r="AX152" s="454" t="s">
        <v>862</v>
      </c>
      <c r="AY152" s="456">
        <v>0.0</v>
      </c>
      <c r="AZ152" s="454" t="s">
        <v>862</v>
      </c>
      <c r="BA152" s="456">
        <v>0.0</v>
      </c>
      <c r="BB152" s="454" t="s">
        <v>862</v>
      </c>
      <c r="BC152" s="456">
        <v>0.0</v>
      </c>
      <c r="BD152" s="454" t="s">
        <v>862</v>
      </c>
      <c r="BE152" s="456">
        <v>0.0</v>
      </c>
    </row>
    <row r="153">
      <c r="M153" s="226"/>
      <c r="N153" s="226"/>
      <c r="O153" s="226"/>
      <c r="P153" s="226"/>
      <c r="AN153" s="454" t="s">
        <v>863</v>
      </c>
      <c r="AO153" s="456">
        <v>0.0</v>
      </c>
      <c r="AP153" s="515" t="s">
        <v>863</v>
      </c>
      <c r="AQ153" s="537">
        <v>122.83</v>
      </c>
      <c r="AR153" s="454" t="s">
        <v>863</v>
      </c>
      <c r="AS153" s="457">
        <v>19.0</v>
      </c>
      <c r="AT153" s="454" t="s">
        <v>863</v>
      </c>
      <c r="AU153" s="457">
        <v>70.0</v>
      </c>
      <c r="AV153" s="454" t="s">
        <v>863</v>
      </c>
      <c r="AW153" s="456">
        <v>0.0</v>
      </c>
      <c r="AX153" s="454" t="s">
        <v>863</v>
      </c>
      <c r="AY153" s="456">
        <v>46.0</v>
      </c>
      <c r="AZ153" s="454" t="s">
        <v>863</v>
      </c>
      <c r="BA153" s="456">
        <v>0.0</v>
      </c>
      <c r="BB153" s="454" t="s">
        <v>863</v>
      </c>
      <c r="BC153" s="456">
        <v>0.0</v>
      </c>
      <c r="BD153" s="454" t="s">
        <v>863</v>
      </c>
      <c r="BE153" s="456">
        <v>0.0</v>
      </c>
    </row>
    <row r="154">
      <c r="M154" s="226"/>
      <c r="N154" s="226"/>
      <c r="O154" s="226"/>
      <c r="P154" s="226"/>
      <c r="AN154" s="454" t="s">
        <v>867</v>
      </c>
      <c r="AO154" s="456">
        <v>84.0</v>
      </c>
      <c r="AP154" s="515" t="s">
        <v>867</v>
      </c>
      <c r="AQ154" s="537">
        <v>116.9</v>
      </c>
      <c r="AR154" s="454" t="s">
        <v>867</v>
      </c>
      <c r="AS154" s="457">
        <v>12.0</v>
      </c>
      <c r="AT154" s="454" t="s">
        <v>867</v>
      </c>
      <c r="AU154" s="457">
        <v>51.0</v>
      </c>
      <c r="AV154" s="454" t="s">
        <v>867</v>
      </c>
      <c r="AW154" s="456">
        <v>0.0</v>
      </c>
      <c r="AX154" s="454" t="s">
        <v>867</v>
      </c>
      <c r="AY154" s="456">
        <v>47.0</v>
      </c>
      <c r="AZ154" s="454" t="s">
        <v>867</v>
      </c>
      <c r="BA154" s="456">
        <v>0.0</v>
      </c>
      <c r="BB154" s="454" t="s">
        <v>867</v>
      </c>
      <c r="BC154" s="456">
        <v>0.0</v>
      </c>
      <c r="BD154" s="454" t="s">
        <v>867</v>
      </c>
      <c r="BE154" s="456">
        <v>0.0</v>
      </c>
    </row>
    <row r="155">
      <c r="M155" s="226"/>
      <c r="N155" s="226"/>
      <c r="O155" s="226"/>
      <c r="P155" s="226"/>
      <c r="AN155" s="454" t="s">
        <v>864</v>
      </c>
      <c r="AO155" s="456">
        <v>0.0</v>
      </c>
      <c r="AP155" s="515" t="s">
        <v>864</v>
      </c>
      <c r="AQ155" s="537">
        <v>122.79</v>
      </c>
      <c r="AR155" s="454" t="s">
        <v>864</v>
      </c>
      <c r="AS155" s="457">
        <v>25.0</v>
      </c>
      <c r="AT155" s="454" t="s">
        <v>864</v>
      </c>
      <c r="AU155" s="457">
        <v>52.0</v>
      </c>
      <c r="AV155" s="454" t="s">
        <v>864</v>
      </c>
      <c r="AW155" s="456">
        <v>0.0</v>
      </c>
      <c r="AX155" s="454" t="s">
        <v>864</v>
      </c>
      <c r="AY155" s="456">
        <v>0.0</v>
      </c>
      <c r="AZ155" s="454" t="s">
        <v>864</v>
      </c>
      <c r="BA155" s="456">
        <v>43.0</v>
      </c>
      <c r="BB155" s="454" t="s">
        <v>864</v>
      </c>
      <c r="BC155" s="456">
        <v>0.0</v>
      </c>
      <c r="BD155" s="454" t="s">
        <v>864</v>
      </c>
      <c r="BE155" s="456">
        <v>0.0</v>
      </c>
    </row>
    <row r="156">
      <c r="M156" s="226"/>
      <c r="N156" s="226"/>
      <c r="O156" s="226"/>
      <c r="P156" s="226"/>
      <c r="AN156" s="454" t="s">
        <v>866</v>
      </c>
      <c r="AO156" s="456">
        <v>0.0</v>
      </c>
      <c r="AP156" s="515" t="s">
        <v>866</v>
      </c>
      <c r="AQ156" s="537">
        <v>121.6</v>
      </c>
      <c r="AR156" s="454" t="s">
        <v>866</v>
      </c>
      <c r="AS156" s="457">
        <v>0.0</v>
      </c>
      <c r="AT156" s="454" t="s">
        <v>866</v>
      </c>
      <c r="AU156" s="457">
        <v>0.0</v>
      </c>
      <c r="AV156" s="454" t="s">
        <v>866</v>
      </c>
      <c r="AW156" s="456">
        <v>42.0</v>
      </c>
      <c r="AX156" s="454" t="s">
        <v>866</v>
      </c>
      <c r="AY156" s="456">
        <v>20.0</v>
      </c>
      <c r="AZ156" s="454" t="s">
        <v>866</v>
      </c>
      <c r="BA156" s="456">
        <v>0.0</v>
      </c>
      <c r="BB156" s="454" t="s">
        <v>866</v>
      </c>
      <c r="BC156" s="456">
        <v>0.0</v>
      </c>
      <c r="BD156" s="454" t="s">
        <v>866</v>
      </c>
      <c r="BE156" s="456">
        <v>100.0</v>
      </c>
    </row>
    <row r="157">
      <c r="M157" s="226"/>
      <c r="N157" s="226"/>
      <c r="O157" s="226"/>
      <c r="P157" s="226"/>
      <c r="AN157" s="454" t="s">
        <v>868</v>
      </c>
      <c r="AO157" s="456">
        <v>175.0</v>
      </c>
      <c r="AP157" s="515" t="s">
        <v>868</v>
      </c>
      <c r="AQ157" s="537">
        <v>113.43</v>
      </c>
      <c r="AR157" s="454" t="s">
        <v>868</v>
      </c>
      <c r="AS157" s="457">
        <v>0.0</v>
      </c>
      <c r="AT157" s="454" t="s">
        <v>868</v>
      </c>
      <c r="AU157" s="457">
        <v>0.0</v>
      </c>
      <c r="AV157" s="454" t="s">
        <v>868</v>
      </c>
      <c r="AW157" s="456">
        <v>50.0</v>
      </c>
      <c r="AX157" s="454" t="s">
        <v>868</v>
      </c>
      <c r="AY157" s="456">
        <v>0.0</v>
      </c>
      <c r="AZ157" s="454" t="s">
        <v>868</v>
      </c>
      <c r="BA157" s="456">
        <v>0.0</v>
      </c>
      <c r="BB157" s="454" t="s">
        <v>868</v>
      </c>
      <c r="BC157" s="456">
        <v>0.0</v>
      </c>
      <c r="BD157" s="454" t="s">
        <v>868</v>
      </c>
      <c r="BE157" s="456">
        <v>102.0</v>
      </c>
    </row>
    <row r="158">
      <c r="M158" s="226"/>
      <c r="N158" s="226"/>
      <c r="O158" s="226"/>
      <c r="P158" s="226"/>
      <c r="AN158" s="454" t="s">
        <v>870</v>
      </c>
      <c r="AO158" s="456">
        <v>0.0</v>
      </c>
      <c r="AP158" s="515" t="s">
        <v>870</v>
      </c>
      <c r="AQ158" s="537">
        <v>107.18</v>
      </c>
      <c r="AR158" s="454" t="s">
        <v>870</v>
      </c>
      <c r="AS158" s="457">
        <v>0.0</v>
      </c>
      <c r="AT158" s="454" t="s">
        <v>870</v>
      </c>
      <c r="AU158" s="457">
        <v>49.0</v>
      </c>
      <c r="AV158" s="454" t="s">
        <v>870</v>
      </c>
      <c r="AW158" s="456">
        <v>0.0</v>
      </c>
      <c r="AX158" s="454" t="s">
        <v>870</v>
      </c>
      <c r="AY158" s="456">
        <v>31.0</v>
      </c>
      <c r="AZ158" s="454" t="s">
        <v>870</v>
      </c>
      <c r="BA158" s="456">
        <v>0.0</v>
      </c>
      <c r="BB158" s="454" t="s">
        <v>870</v>
      </c>
      <c r="BC158" s="456">
        <v>0.0</v>
      </c>
      <c r="BD158" s="454" t="s">
        <v>870</v>
      </c>
      <c r="BE158" s="456">
        <v>0.0</v>
      </c>
    </row>
    <row r="159">
      <c r="M159" s="226"/>
      <c r="N159" s="226"/>
      <c r="O159" s="226"/>
      <c r="P159" s="226"/>
      <c r="AN159" s="454" t="s">
        <v>872</v>
      </c>
      <c r="AO159" s="456">
        <v>0.0</v>
      </c>
      <c r="AP159" s="515" t="s">
        <v>872</v>
      </c>
      <c r="AQ159" s="537">
        <v>105.69</v>
      </c>
      <c r="AR159" s="454" t="s">
        <v>872</v>
      </c>
      <c r="AS159" s="457">
        <v>22.0</v>
      </c>
      <c r="AT159" s="454" t="s">
        <v>872</v>
      </c>
      <c r="AU159" s="457">
        <v>52.0</v>
      </c>
      <c r="AV159" s="454" t="s">
        <v>872</v>
      </c>
      <c r="AW159" s="456">
        <v>0.0</v>
      </c>
      <c r="AX159" s="454" t="s">
        <v>872</v>
      </c>
      <c r="AY159" s="456">
        <v>32.0</v>
      </c>
      <c r="AZ159" s="454" t="s">
        <v>872</v>
      </c>
      <c r="BA159" s="456">
        <v>0.0</v>
      </c>
      <c r="BB159" s="454" t="s">
        <v>872</v>
      </c>
      <c r="BC159" s="456">
        <v>0.0</v>
      </c>
      <c r="BD159" s="454" t="s">
        <v>872</v>
      </c>
      <c r="BE159" s="456">
        <v>0.0</v>
      </c>
    </row>
    <row r="160">
      <c r="M160" s="226"/>
      <c r="N160" s="226"/>
      <c r="O160" s="226"/>
      <c r="P160" s="226"/>
      <c r="AN160" s="454" t="s">
        <v>874</v>
      </c>
      <c r="AO160" s="456">
        <v>0.0</v>
      </c>
      <c r="AP160" s="515" t="s">
        <v>874</v>
      </c>
      <c r="AQ160" s="537">
        <v>105.42</v>
      </c>
      <c r="AR160" s="454" t="s">
        <v>874</v>
      </c>
      <c r="AS160" s="457">
        <v>0.0</v>
      </c>
      <c r="AT160" s="454" t="s">
        <v>874</v>
      </c>
      <c r="AU160" s="457">
        <v>0.0</v>
      </c>
      <c r="AV160" s="454" t="s">
        <v>874</v>
      </c>
      <c r="AW160" s="456">
        <v>45.0</v>
      </c>
      <c r="AX160" s="454" t="s">
        <v>874</v>
      </c>
      <c r="AY160" s="456">
        <v>37.0</v>
      </c>
      <c r="AZ160" s="454" t="s">
        <v>874</v>
      </c>
      <c r="BA160" s="456">
        <v>0.0</v>
      </c>
      <c r="BB160" s="454" t="s">
        <v>874</v>
      </c>
      <c r="BC160" s="456">
        <v>0.0</v>
      </c>
      <c r="BD160" s="454" t="s">
        <v>874</v>
      </c>
      <c r="BE160" s="456">
        <v>92.0</v>
      </c>
    </row>
    <row r="161">
      <c r="M161" s="226"/>
      <c r="N161" s="226"/>
      <c r="O161" s="226"/>
      <c r="P161" s="226"/>
    </row>
    <row r="162">
      <c r="M162" s="226"/>
      <c r="N162" s="226"/>
      <c r="O162" s="226"/>
      <c r="P162" s="226"/>
    </row>
    <row r="163">
      <c r="M163" s="226"/>
      <c r="N163" s="226"/>
      <c r="O163" s="226"/>
      <c r="P163" s="226"/>
      <c r="AN163" s="623" t="s">
        <v>2172</v>
      </c>
      <c r="AO163" s="623" t="s">
        <v>1920</v>
      </c>
      <c r="AP163" s="490" t="s">
        <v>2173</v>
      </c>
      <c r="AQ163" s="490" t="s">
        <v>1922</v>
      </c>
      <c r="AR163" s="623" t="s">
        <v>2172</v>
      </c>
      <c r="AS163" s="450" t="s">
        <v>344</v>
      </c>
      <c r="AT163" s="623" t="s">
        <v>2172</v>
      </c>
      <c r="AU163" s="450" t="s">
        <v>2174</v>
      </c>
      <c r="AV163" s="623" t="s">
        <v>2172</v>
      </c>
      <c r="AW163" s="449" t="s">
        <v>2175</v>
      </c>
      <c r="AX163" s="623" t="s">
        <v>2172</v>
      </c>
      <c r="AY163" s="449" t="s">
        <v>2176</v>
      </c>
      <c r="AZ163" s="623" t="s">
        <v>2172</v>
      </c>
      <c r="BA163" s="449" t="s">
        <v>2177</v>
      </c>
      <c r="BB163" s="623" t="s">
        <v>2172</v>
      </c>
      <c r="BC163" s="449" t="s">
        <v>2178</v>
      </c>
      <c r="BD163" s="623" t="s">
        <v>2172</v>
      </c>
      <c r="BE163" s="449" t="s">
        <v>2179</v>
      </c>
    </row>
    <row r="164">
      <c r="M164" s="226"/>
      <c r="N164" s="226"/>
      <c r="O164" s="226"/>
      <c r="P164" s="226"/>
      <c r="AN164" s="640" t="s">
        <v>884</v>
      </c>
      <c r="AO164" s="641">
        <v>0.0</v>
      </c>
      <c r="AP164" s="642" t="s">
        <v>884</v>
      </c>
      <c r="AQ164" s="490">
        <v>128.14</v>
      </c>
      <c r="AR164" s="640" t="s">
        <v>884</v>
      </c>
      <c r="AS164" s="643">
        <v>25.0</v>
      </c>
      <c r="AT164" s="640" t="s">
        <v>884</v>
      </c>
      <c r="AU164" s="643">
        <v>44.0</v>
      </c>
      <c r="AV164" s="640" t="s">
        <v>884</v>
      </c>
      <c r="AW164" s="641">
        <v>0.0</v>
      </c>
      <c r="AX164" s="640" t="s">
        <v>884</v>
      </c>
      <c r="AY164" s="641">
        <v>36.0</v>
      </c>
      <c r="AZ164" s="640" t="s">
        <v>884</v>
      </c>
      <c r="BA164" s="641">
        <v>30.0</v>
      </c>
      <c r="BB164" s="640" t="s">
        <v>884</v>
      </c>
      <c r="BC164" s="641">
        <v>0.0</v>
      </c>
      <c r="BD164" s="640" t="s">
        <v>884</v>
      </c>
      <c r="BE164" s="641">
        <v>0.0</v>
      </c>
    </row>
    <row r="165">
      <c r="M165" s="226"/>
      <c r="N165" s="226"/>
      <c r="O165" s="226"/>
      <c r="P165" s="226"/>
      <c r="AN165" s="640" t="s">
        <v>885</v>
      </c>
      <c r="AO165" s="641">
        <v>0.0</v>
      </c>
      <c r="AP165" s="642" t="s">
        <v>885</v>
      </c>
      <c r="AQ165" s="490">
        <v>97.91</v>
      </c>
      <c r="AR165" s="640" t="s">
        <v>885</v>
      </c>
      <c r="AS165" s="643">
        <v>18.0</v>
      </c>
      <c r="AT165" s="640" t="s">
        <v>885</v>
      </c>
      <c r="AU165" s="643">
        <v>38.0</v>
      </c>
      <c r="AV165" s="640" t="s">
        <v>885</v>
      </c>
      <c r="AW165" s="641">
        <v>0.0</v>
      </c>
      <c r="AX165" s="640" t="s">
        <v>885</v>
      </c>
      <c r="AY165" s="641">
        <v>30.0</v>
      </c>
      <c r="AZ165" s="640" t="s">
        <v>885</v>
      </c>
      <c r="BA165" s="641">
        <v>0.0</v>
      </c>
      <c r="BB165" s="640" t="s">
        <v>885</v>
      </c>
      <c r="BC165" s="641">
        <v>0.0</v>
      </c>
      <c r="BD165" s="640" t="s">
        <v>885</v>
      </c>
      <c r="BE165" s="641">
        <v>0.0</v>
      </c>
    </row>
    <row r="166">
      <c r="M166" s="226"/>
      <c r="N166" s="226"/>
      <c r="O166" s="226"/>
      <c r="P166" s="226"/>
      <c r="AN166" s="640" t="s">
        <v>2180</v>
      </c>
      <c r="AO166" s="641">
        <v>0.0</v>
      </c>
      <c r="AP166" s="642" t="s">
        <v>2180</v>
      </c>
      <c r="AQ166" s="490">
        <v>92.34</v>
      </c>
      <c r="AR166" s="640" t="s">
        <v>2180</v>
      </c>
      <c r="AS166" s="643">
        <v>0.0</v>
      </c>
      <c r="AT166" s="640" t="s">
        <v>2180</v>
      </c>
      <c r="AU166" s="643">
        <v>0.0</v>
      </c>
      <c r="AV166" s="640" t="s">
        <v>2180</v>
      </c>
      <c r="AW166" s="641">
        <v>30.0</v>
      </c>
      <c r="AX166" s="640" t="s">
        <v>2180</v>
      </c>
      <c r="AY166" s="641">
        <v>17.0</v>
      </c>
      <c r="AZ166" s="640" t="s">
        <v>2180</v>
      </c>
      <c r="BA166" s="641">
        <v>0.0</v>
      </c>
      <c r="BB166" s="640" t="s">
        <v>2180</v>
      </c>
      <c r="BC166" s="641">
        <v>0.0</v>
      </c>
      <c r="BD166" s="640" t="s">
        <v>2180</v>
      </c>
      <c r="BE166" s="641">
        <v>76.0</v>
      </c>
    </row>
    <row r="167">
      <c r="M167" s="226"/>
      <c r="N167" s="226"/>
      <c r="O167" s="226"/>
      <c r="P167" s="226"/>
      <c r="AN167" s="640" t="s">
        <v>887</v>
      </c>
      <c r="AO167" s="641">
        <v>0.0</v>
      </c>
      <c r="AP167" s="642" t="s">
        <v>887</v>
      </c>
      <c r="AQ167" s="490">
        <v>86.02</v>
      </c>
      <c r="AR167" s="640" t="s">
        <v>887</v>
      </c>
      <c r="AS167" s="643">
        <v>17.0</v>
      </c>
      <c r="AT167" s="640" t="s">
        <v>887</v>
      </c>
      <c r="AU167" s="643">
        <v>0.0</v>
      </c>
      <c r="AV167" s="640" t="s">
        <v>887</v>
      </c>
      <c r="AW167" s="641">
        <v>27.0</v>
      </c>
      <c r="AX167" s="640" t="s">
        <v>887</v>
      </c>
      <c r="AY167" s="641">
        <v>26.0</v>
      </c>
      <c r="AZ167" s="640" t="s">
        <v>887</v>
      </c>
      <c r="BA167" s="641">
        <v>0.0</v>
      </c>
      <c r="BB167" s="640" t="s">
        <v>887</v>
      </c>
      <c r="BC167" s="641">
        <v>0.0</v>
      </c>
      <c r="BD167" s="640" t="s">
        <v>887</v>
      </c>
      <c r="BE167" s="641">
        <v>76.0</v>
      </c>
    </row>
    <row r="168">
      <c r="M168" s="226"/>
      <c r="N168" s="226"/>
      <c r="O168" s="226"/>
      <c r="P168" s="226"/>
      <c r="AN168" s="640" t="s">
        <v>2181</v>
      </c>
      <c r="AO168" s="641">
        <v>0.0</v>
      </c>
      <c r="AP168" s="642" t="s">
        <v>2181</v>
      </c>
      <c r="AQ168" s="490">
        <v>79.34</v>
      </c>
      <c r="AR168" s="640" t="s">
        <v>2181</v>
      </c>
      <c r="AS168" s="643">
        <v>22.0</v>
      </c>
      <c r="AT168" s="640" t="s">
        <v>2181</v>
      </c>
      <c r="AU168" s="643">
        <v>0.0</v>
      </c>
      <c r="AV168" s="640" t="s">
        <v>2181</v>
      </c>
      <c r="AW168" s="641">
        <v>29.0</v>
      </c>
      <c r="AX168" s="640" t="s">
        <v>2181</v>
      </c>
      <c r="AY168" s="641">
        <v>0.0</v>
      </c>
      <c r="AZ168" s="640" t="s">
        <v>2181</v>
      </c>
      <c r="BA168" s="641">
        <v>0.0</v>
      </c>
      <c r="BB168" s="640" t="s">
        <v>2181</v>
      </c>
      <c r="BC168" s="641">
        <v>0.0</v>
      </c>
      <c r="BD168" s="640" t="s">
        <v>2181</v>
      </c>
      <c r="BE168" s="641">
        <v>60.0</v>
      </c>
    </row>
    <row r="169">
      <c r="M169" s="226"/>
      <c r="N169" s="226"/>
      <c r="O169" s="226"/>
      <c r="P169" s="226"/>
      <c r="AN169" s="640" t="s">
        <v>891</v>
      </c>
      <c r="AO169" s="641">
        <v>0.0</v>
      </c>
      <c r="AP169" s="642" t="s">
        <v>891</v>
      </c>
      <c r="AQ169" s="490">
        <v>76.36</v>
      </c>
      <c r="AR169" s="640" t="s">
        <v>891</v>
      </c>
      <c r="AS169" s="643">
        <v>0.0</v>
      </c>
      <c r="AT169" s="640" t="s">
        <v>891</v>
      </c>
      <c r="AU169" s="643">
        <v>40.0</v>
      </c>
      <c r="AV169" s="640" t="s">
        <v>891</v>
      </c>
      <c r="AW169" s="641">
        <v>0.0</v>
      </c>
      <c r="AX169" s="640" t="s">
        <v>891</v>
      </c>
      <c r="AY169" s="641">
        <v>40.0</v>
      </c>
      <c r="AZ169" s="640" t="s">
        <v>891</v>
      </c>
      <c r="BA169" s="641">
        <v>0.0</v>
      </c>
      <c r="BB169" s="640" t="s">
        <v>891</v>
      </c>
      <c r="BC169" s="641">
        <v>0.0</v>
      </c>
      <c r="BD169" s="640" t="s">
        <v>891</v>
      </c>
      <c r="BE169" s="641">
        <v>0.0</v>
      </c>
    </row>
    <row r="170">
      <c r="M170" s="226"/>
      <c r="N170" s="226"/>
      <c r="O170" s="226"/>
      <c r="P170" s="226"/>
      <c r="AN170" s="640" t="s">
        <v>893</v>
      </c>
      <c r="AO170" s="641">
        <v>0.0</v>
      </c>
      <c r="AP170" s="642" t="s">
        <v>893</v>
      </c>
      <c r="AQ170" s="490">
        <v>76.36</v>
      </c>
      <c r="AR170" s="640" t="s">
        <v>893</v>
      </c>
      <c r="AS170" s="643">
        <v>0.0</v>
      </c>
      <c r="AT170" s="640" t="s">
        <v>893</v>
      </c>
      <c r="AU170" s="643">
        <v>30.0</v>
      </c>
      <c r="AV170" s="640" t="s">
        <v>893</v>
      </c>
      <c r="AW170" s="641">
        <v>0.0</v>
      </c>
      <c r="AX170" s="640" t="s">
        <v>893</v>
      </c>
      <c r="AY170" s="641">
        <v>29.0</v>
      </c>
      <c r="AZ170" s="640" t="s">
        <v>893</v>
      </c>
      <c r="BA170" s="641">
        <v>0.0</v>
      </c>
      <c r="BB170" s="640" t="s">
        <v>893</v>
      </c>
      <c r="BC170" s="641">
        <v>0.0</v>
      </c>
      <c r="BD170" s="640" t="s">
        <v>893</v>
      </c>
      <c r="BE170" s="641">
        <v>0.0</v>
      </c>
    </row>
    <row r="171">
      <c r="M171" s="226"/>
      <c r="N171" s="226"/>
      <c r="O171" s="226"/>
      <c r="P171" s="226"/>
      <c r="AN171" s="640" t="s">
        <v>896</v>
      </c>
      <c r="AO171" s="641">
        <v>0.0</v>
      </c>
      <c r="AP171" s="642" t="s">
        <v>896</v>
      </c>
      <c r="AQ171" s="490">
        <v>75.33</v>
      </c>
      <c r="AR171" s="640" t="s">
        <v>896</v>
      </c>
      <c r="AS171" s="643">
        <v>15.0</v>
      </c>
      <c r="AT171" s="640" t="s">
        <v>896</v>
      </c>
      <c r="AU171" s="643">
        <v>0.0</v>
      </c>
      <c r="AV171" s="640" t="s">
        <v>896</v>
      </c>
      <c r="AW171" s="641">
        <v>28.0</v>
      </c>
      <c r="AX171" s="640" t="s">
        <v>896</v>
      </c>
      <c r="AY171" s="641">
        <v>0.0</v>
      </c>
      <c r="AZ171" s="640" t="s">
        <v>896</v>
      </c>
      <c r="BA171" s="641">
        <v>0.0</v>
      </c>
      <c r="BB171" s="640" t="s">
        <v>896</v>
      </c>
      <c r="BC171" s="641">
        <v>0.0</v>
      </c>
      <c r="BD171" s="640" t="s">
        <v>896</v>
      </c>
      <c r="BE171" s="641">
        <v>58.0</v>
      </c>
    </row>
    <row r="172">
      <c r="M172" s="226"/>
      <c r="N172" s="226"/>
      <c r="O172" s="226"/>
      <c r="P172" s="226"/>
      <c r="AN172" s="640" t="s">
        <v>897</v>
      </c>
      <c r="AO172" s="641">
        <v>0.0</v>
      </c>
      <c r="AP172" s="642" t="s">
        <v>897</v>
      </c>
      <c r="AQ172" s="490">
        <v>72.43</v>
      </c>
      <c r="AR172" s="640" t="s">
        <v>897</v>
      </c>
      <c r="AS172" s="643">
        <v>23.0</v>
      </c>
      <c r="AT172" s="640" t="s">
        <v>897</v>
      </c>
      <c r="AU172" s="643">
        <v>0.0</v>
      </c>
      <c r="AV172" s="640" t="s">
        <v>897</v>
      </c>
      <c r="AW172" s="641">
        <v>0.0</v>
      </c>
      <c r="AX172" s="640" t="s">
        <v>897</v>
      </c>
      <c r="AY172" s="641">
        <v>32.0</v>
      </c>
      <c r="AZ172" s="640" t="s">
        <v>897</v>
      </c>
      <c r="BA172" s="641">
        <v>0.0</v>
      </c>
      <c r="BB172" s="640" t="s">
        <v>897</v>
      </c>
      <c r="BC172" s="641">
        <v>0.0</v>
      </c>
      <c r="BD172" s="640" t="s">
        <v>897</v>
      </c>
      <c r="BE172" s="641">
        <v>66.0</v>
      </c>
    </row>
    <row r="173">
      <c r="M173" s="226"/>
      <c r="N173" s="226"/>
      <c r="O173" s="226"/>
      <c r="P173" s="226"/>
      <c r="AN173" s="640" t="s">
        <v>899</v>
      </c>
      <c r="AO173" s="641">
        <v>0.0</v>
      </c>
      <c r="AP173" s="642" t="s">
        <v>899</v>
      </c>
      <c r="AQ173" s="490">
        <v>72.18</v>
      </c>
      <c r="AR173" s="640" t="s">
        <v>899</v>
      </c>
      <c r="AS173" s="643">
        <v>0.0</v>
      </c>
      <c r="AT173" s="640" t="s">
        <v>899</v>
      </c>
      <c r="AU173" s="643">
        <v>44.0</v>
      </c>
      <c r="AV173" s="640" t="s">
        <v>899</v>
      </c>
      <c r="AW173" s="641">
        <v>0.0</v>
      </c>
      <c r="AX173" s="640" t="s">
        <v>899</v>
      </c>
      <c r="AY173" s="641">
        <v>31.0</v>
      </c>
      <c r="AZ173" s="640" t="s">
        <v>899</v>
      </c>
      <c r="BA173" s="641">
        <v>0.0</v>
      </c>
      <c r="BB173" s="640" t="s">
        <v>899</v>
      </c>
      <c r="BC173" s="641">
        <v>0.0</v>
      </c>
      <c r="BD173" s="640" t="s">
        <v>899</v>
      </c>
      <c r="BE173" s="641">
        <v>0.0</v>
      </c>
    </row>
    <row r="174">
      <c r="M174" s="226"/>
      <c r="N174" s="226"/>
      <c r="O174" s="226"/>
      <c r="P174" s="226"/>
    </row>
    <row r="175">
      <c r="M175" s="226"/>
      <c r="N175" s="226"/>
      <c r="O175" s="226"/>
      <c r="P175" s="226"/>
    </row>
    <row r="176">
      <c r="M176" s="226"/>
      <c r="N176" s="226"/>
      <c r="O176" s="226"/>
      <c r="P176" s="226"/>
      <c r="AN176" s="449" t="s">
        <v>2182</v>
      </c>
      <c r="AO176" s="449" t="s">
        <v>1920</v>
      </c>
      <c r="AP176" s="450" t="s">
        <v>2183</v>
      </c>
      <c r="AQ176" s="450" t="s">
        <v>1922</v>
      </c>
      <c r="AR176" s="449" t="s">
        <v>2182</v>
      </c>
      <c r="AS176" s="450" t="s">
        <v>344</v>
      </c>
      <c r="AT176" s="449" t="s">
        <v>2182</v>
      </c>
      <c r="AU176" s="450" t="s">
        <v>2184</v>
      </c>
      <c r="AV176" s="449" t="s">
        <v>2182</v>
      </c>
      <c r="AW176" s="449" t="s">
        <v>2185</v>
      </c>
      <c r="AX176" s="449" t="s">
        <v>2182</v>
      </c>
      <c r="AY176" s="449" t="s">
        <v>2186</v>
      </c>
      <c r="AZ176" s="449" t="s">
        <v>2182</v>
      </c>
      <c r="BA176" s="449" t="s">
        <v>2187</v>
      </c>
      <c r="BB176" s="449" t="s">
        <v>2182</v>
      </c>
      <c r="BC176" s="449" t="s">
        <v>2188</v>
      </c>
      <c r="BD176" s="449" t="s">
        <v>2182</v>
      </c>
      <c r="BE176" s="449" t="s">
        <v>2189</v>
      </c>
    </row>
    <row r="177">
      <c r="M177" s="226"/>
      <c r="N177" s="226"/>
      <c r="O177" s="226"/>
      <c r="P177" s="226"/>
      <c r="AN177" s="454" t="s">
        <v>906</v>
      </c>
      <c r="AO177" s="456">
        <v>161.0</v>
      </c>
      <c r="AP177" s="515" t="s">
        <v>906</v>
      </c>
      <c r="AQ177" s="450">
        <v>90.16</v>
      </c>
      <c r="AR177" s="454" t="s">
        <v>906</v>
      </c>
      <c r="AS177" s="457">
        <v>0.0</v>
      </c>
      <c r="AT177" s="454" t="s">
        <v>906</v>
      </c>
      <c r="AU177" s="457">
        <v>0.0</v>
      </c>
      <c r="AV177" s="454" t="s">
        <v>906</v>
      </c>
      <c r="AW177" s="456">
        <v>0.0</v>
      </c>
      <c r="AX177" s="454" t="s">
        <v>906</v>
      </c>
      <c r="AY177" s="456">
        <v>32.0</v>
      </c>
      <c r="AZ177" s="454" t="s">
        <v>906</v>
      </c>
      <c r="BA177" s="456">
        <v>0.0</v>
      </c>
      <c r="BB177" s="454" t="s">
        <v>906</v>
      </c>
      <c r="BC177" s="456">
        <v>0.0</v>
      </c>
      <c r="BD177" s="454" t="s">
        <v>906</v>
      </c>
      <c r="BE177" s="456">
        <v>66.0</v>
      </c>
    </row>
    <row r="178">
      <c r="M178" s="226"/>
      <c r="N178" s="226"/>
      <c r="O178" s="226"/>
      <c r="P178" s="226"/>
      <c r="AN178" s="454" t="s">
        <v>907</v>
      </c>
      <c r="AO178" s="456">
        <v>126.0</v>
      </c>
      <c r="AP178" s="515" t="s">
        <v>907</v>
      </c>
      <c r="AQ178" s="450">
        <v>71.72</v>
      </c>
      <c r="AR178" s="454" t="s">
        <v>907</v>
      </c>
      <c r="AS178" s="457">
        <v>30.0</v>
      </c>
      <c r="AT178" s="454" t="s">
        <v>907</v>
      </c>
      <c r="AU178" s="457">
        <v>0.0</v>
      </c>
      <c r="AV178" s="454" t="s">
        <v>907</v>
      </c>
      <c r="AW178" s="456">
        <v>0.0</v>
      </c>
      <c r="AX178" s="454" t="s">
        <v>907</v>
      </c>
      <c r="AY178" s="456">
        <v>0.0</v>
      </c>
      <c r="AZ178" s="454" t="s">
        <v>907</v>
      </c>
      <c r="BA178" s="456">
        <v>0.0</v>
      </c>
      <c r="BB178" s="454" t="s">
        <v>907</v>
      </c>
      <c r="BC178" s="456">
        <v>0.0</v>
      </c>
      <c r="BD178" s="454" t="s">
        <v>907</v>
      </c>
      <c r="BE178" s="456">
        <v>66.0</v>
      </c>
    </row>
    <row r="179">
      <c r="M179" s="226"/>
      <c r="N179" s="226"/>
      <c r="O179" s="226"/>
      <c r="P179" s="226"/>
      <c r="AN179" s="454" t="s">
        <v>908</v>
      </c>
      <c r="AO179" s="456">
        <v>126.0</v>
      </c>
      <c r="AP179" s="515" t="s">
        <v>908</v>
      </c>
      <c r="AQ179" s="450">
        <v>69.99</v>
      </c>
      <c r="AR179" s="454" t="s">
        <v>908</v>
      </c>
      <c r="AS179" s="457">
        <v>0.0</v>
      </c>
      <c r="AT179" s="454" t="s">
        <v>908</v>
      </c>
      <c r="AU179" s="457">
        <v>0.0</v>
      </c>
      <c r="AV179" s="454" t="s">
        <v>908</v>
      </c>
      <c r="AW179" s="456">
        <v>29.0</v>
      </c>
      <c r="AX179" s="454" t="s">
        <v>908</v>
      </c>
      <c r="AY179" s="456">
        <v>0.0</v>
      </c>
      <c r="AZ179" s="454" t="s">
        <v>908</v>
      </c>
      <c r="BA179" s="456">
        <v>0.0</v>
      </c>
      <c r="BB179" s="454" t="s">
        <v>908</v>
      </c>
      <c r="BC179" s="456">
        <v>0.0</v>
      </c>
      <c r="BD179" s="454" t="s">
        <v>908</v>
      </c>
      <c r="BE179" s="456">
        <v>58.0</v>
      </c>
    </row>
    <row r="180">
      <c r="M180" s="226"/>
      <c r="N180" s="226"/>
      <c r="O180" s="226"/>
      <c r="P180" s="226"/>
      <c r="AN180" s="454" t="s">
        <v>910</v>
      </c>
      <c r="AO180" s="456">
        <v>0.0</v>
      </c>
      <c r="AP180" s="515" t="s">
        <v>910</v>
      </c>
      <c r="AQ180" s="450">
        <v>69.97</v>
      </c>
      <c r="AR180" s="454" t="s">
        <v>910</v>
      </c>
      <c r="AS180" s="457">
        <v>0.0</v>
      </c>
      <c r="AT180" s="454" t="s">
        <v>910</v>
      </c>
      <c r="AU180" s="457">
        <v>0.0</v>
      </c>
      <c r="AV180" s="454" t="s">
        <v>910</v>
      </c>
      <c r="AW180" s="456">
        <v>30.0</v>
      </c>
      <c r="AX180" s="454" t="s">
        <v>910</v>
      </c>
      <c r="AY180" s="456">
        <v>0.0</v>
      </c>
      <c r="AZ180" s="454" t="s">
        <v>910</v>
      </c>
      <c r="BA180" s="456">
        <v>28.0</v>
      </c>
      <c r="BB180" s="454" t="s">
        <v>910</v>
      </c>
      <c r="BC180" s="456">
        <v>0.0</v>
      </c>
      <c r="BD180" s="454" t="s">
        <v>910</v>
      </c>
      <c r="BE180" s="456">
        <v>58.0</v>
      </c>
    </row>
    <row r="181">
      <c r="M181" s="226"/>
      <c r="N181" s="226"/>
      <c r="O181" s="226"/>
      <c r="P181" s="226"/>
      <c r="AN181" s="454" t="s">
        <v>912</v>
      </c>
      <c r="AO181" s="456">
        <v>126.0</v>
      </c>
      <c r="AP181" s="515" t="s">
        <v>912</v>
      </c>
      <c r="AQ181" s="450">
        <v>69.33</v>
      </c>
      <c r="AR181" s="454" t="s">
        <v>912</v>
      </c>
      <c r="AS181" s="457">
        <v>0.0</v>
      </c>
      <c r="AT181" s="454" t="s">
        <v>912</v>
      </c>
      <c r="AU181" s="457">
        <v>0.0</v>
      </c>
      <c r="AV181" s="454" t="s">
        <v>912</v>
      </c>
      <c r="AW181" s="456">
        <v>28.0</v>
      </c>
      <c r="AX181" s="454" t="s">
        <v>912</v>
      </c>
      <c r="AY181" s="456">
        <v>0.0</v>
      </c>
      <c r="AZ181" s="454" t="s">
        <v>912</v>
      </c>
      <c r="BA181" s="456">
        <v>0.0</v>
      </c>
      <c r="BB181" s="454" t="s">
        <v>912</v>
      </c>
      <c r="BC181" s="456">
        <v>0.0</v>
      </c>
      <c r="BD181" s="454" t="s">
        <v>912</v>
      </c>
      <c r="BE181" s="456">
        <v>58.0</v>
      </c>
    </row>
    <row r="182">
      <c r="M182" s="226"/>
      <c r="N182" s="226"/>
      <c r="O182" s="226"/>
      <c r="P182" s="226"/>
      <c r="AN182" s="454" t="s">
        <v>914</v>
      </c>
      <c r="AO182" s="456">
        <v>0.0</v>
      </c>
      <c r="AP182" s="515" t="s">
        <v>914</v>
      </c>
      <c r="AQ182" s="450">
        <v>63.27</v>
      </c>
      <c r="AR182" s="454" t="s">
        <v>914</v>
      </c>
      <c r="AS182" s="457">
        <v>0.0</v>
      </c>
      <c r="AT182" s="454" t="s">
        <v>914</v>
      </c>
      <c r="AU182" s="457">
        <v>36.0</v>
      </c>
      <c r="AV182" s="454" t="s">
        <v>914</v>
      </c>
      <c r="AW182" s="456">
        <v>0.0</v>
      </c>
      <c r="AX182" s="454" t="s">
        <v>914</v>
      </c>
      <c r="AY182" s="456">
        <v>30.0</v>
      </c>
      <c r="AZ182" s="454" t="s">
        <v>914</v>
      </c>
      <c r="BA182" s="456">
        <v>0.0</v>
      </c>
      <c r="BB182" s="454" t="s">
        <v>914</v>
      </c>
      <c r="BC182" s="456">
        <v>0.0</v>
      </c>
      <c r="BD182" s="454" t="s">
        <v>914</v>
      </c>
      <c r="BE182" s="456">
        <v>0.0</v>
      </c>
    </row>
    <row r="183">
      <c r="M183" s="226"/>
      <c r="N183" s="226"/>
      <c r="O183" s="226"/>
      <c r="P183" s="226"/>
      <c r="AN183" s="454" t="s">
        <v>915</v>
      </c>
      <c r="AO183" s="456">
        <v>56.0</v>
      </c>
      <c r="AP183" s="515" t="s">
        <v>915</v>
      </c>
      <c r="AQ183" s="450">
        <v>61.71</v>
      </c>
      <c r="AR183" s="454" t="s">
        <v>915</v>
      </c>
      <c r="AS183" s="457">
        <v>0.0</v>
      </c>
      <c r="AT183" s="454" t="s">
        <v>915</v>
      </c>
      <c r="AU183" s="457">
        <v>0.0</v>
      </c>
      <c r="AV183" s="454" t="s">
        <v>915</v>
      </c>
      <c r="AW183" s="456">
        <v>0.0</v>
      </c>
      <c r="AX183" s="454" t="s">
        <v>915</v>
      </c>
      <c r="AY183" s="456">
        <v>30.0</v>
      </c>
      <c r="AZ183" s="454" t="s">
        <v>915</v>
      </c>
      <c r="BA183" s="456">
        <v>0.0</v>
      </c>
      <c r="BB183" s="454" t="s">
        <v>915</v>
      </c>
      <c r="BC183" s="456">
        <v>0.0</v>
      </c>
      <c r="BD183" s="454" t="s">
        <v>915</v>
      </c>
      <c r="BE183" s="456">
        <v>52.0</v>
      </c>
    </row>
    <row r="184">
      <c r="M184" s="226"/>
      <c r="N184" s="226"/>
      <c r="O184" s="226"/>
      <c r="P184" s="226"/>
      <c r="AN184" s="454" t="s">
        <v>917</v>
      </c>
      <c r="AO184" s="456">
        <v>0.0</v>
      </c>
      <c r="AP184" s="515" t="s">
        <v>917</v>
      </c>
      <c r="AQ184" s="450">
        <v>61.34</v>
      </c>
      <c r="AR184" s="454" t="s">
        <v>917</v>
      </c>
      <c r="AS184" s="457">
        <v>18.0</v>
      </c>
      <c r="AT184" s="454" t="s">
        <v>917</v>
      </c>
      <c r="AU184" s="457">
        <v>0.0</v>
      </c>
      <c r="AV184" s="454" t="s">
        <v>917</v>
      </c>
      <c r="AW184" s="456">
        <v>0.0</v>
      </c>
      <c r="AX184" s="454" t="s">
        <v>917</v>
      </c>
      <c r="AY184" s="456">
        <v>28.0</v>
      </c>
      <c r="AZ184" s="454" t="s">
        <v>917</v>
      </c>
      <c r="BA184" s="456">
        <v>0.0</v>
      </c>
      <c r="BB184" s="454" t="s">
        <v>917</v>
      </c>
      <c r="BC184" s="456">
        <v>0.0</v>
      </c>
      <c r="BD184" s="454" t="s">
        <v>917</v>
      </c>
      <c r="BE184" s="456">
        <v>56.0</v>
      </c>
    </row>
    <row r="185">
      <c r="M185" s="226"/>
      <c r="N185" s="226"/>
      <c r="O185" s="226"/>
      <c r="P185" s="226"/>
      <c r="AN185" s="454" t="s">
        <v>918</v>
      </c>
      <c r="AO185" s="456">
        <v>0.0</v>
      </c>
      <c r="AP185" s="515" t="s">
        <v>918</v>
      </c>
      <c r="AQ185" s="450">
        <v>58.67</v>
      </c>
      <c r="AR185" s="454" t="s">
        <v>918</v>
      </c>
      <c r="AS185" s="457">
        <v>0.0</v>
      </c>
      <c r="AT185" s="454" t="s">
        <v>918</v>
      </c>
      <c r="AU185" s="457">
        <v>0.0</v>
      </c>
      <c r="AV185" s="454" t="s">
        <v>918</v>
      </c>
      <c r="AW185" s="456">
        <v>29.0</v>
      </c>
      <c r="AX185" s="454" t="s">
        <v>918</v>
      </c>
      <c r="AY185" s="456">
        <v>0.0</v>
      </c>
      <c r="AZ185" s="454" t="s">
        <v>918</v>
      </c>
      <c r="BA185" s="456">
        <v>0.0</v>
      </c>
      <c r="BB185" s="454" t="s">
        <v>918</v>
      </c>
      <c r="BC185" s="456">
        <v>0.0</v>
      </c>
      <c r="BD185" s="454" t="s">
        <v>918</v>
      </c>
      <c r="BE185" s="456">
        <v>60.0</v>
      </c>
    </row>
    <row r="186">
      <c r="M186" s="226"/>
      <c r="N186" s="226"/>
      <c r="O186" s="226"/>
      <c r="P186" s="226"/>
      <c r="AN186" s="454" t="s">
        <v>921</v>
      </c>
      <c r="AO186" s="456">
        <v>0.0</v>
      </c>
      <c r="AP186" s="515" t="s">
        <v>921</v>
      </c>
      <c r="AQ186" s="450">
        <v>56.16</v>
      </c>
      <c r="AR186" s="454" t="s">
        <v>921</v>
      </c>
      <c r="AS186" s="457">
        <v>0.0</v>
      </c>
      <c r="AT186" s="454" t="s">
        <v>921</v>
      </c>
      <c r="AU186" s="457">
        <v>0.0</v>
      </c>
      <c r="AV186" s="454" t="s">
        <v>921</v>
      </c>
      <c r="AW186" s="456">
        <v>0.0</v>
      </c>
      <c r="AX186" s="454" t="s">
        <v>921</v>
      </c>
      <c r="AY186" s="456">
        <v>0.0</v>
      </c>
      <c r="AZ186" s="454" t="s">
        <v>921</v>
      </c>
      <c r="BA186" s="456">
        <v>31.0</v>
      </c>
      <c r="BB186" s="454" t="s">
        <v>921</v>
      </c>
      <c r="BC186" s="456">
        <v>0.0</v>
      </c>
      <c r="BD186" s="454" t="s">
        <v>921</v>
      </c>
      <c r="BE186" s="456">
        <v>66.0</v>
      </c>
    </row>
    <row r="187">
      <c r="M187" s="226"/>
      <c r="N187" s="226"/>
      <c r="O187" s="226"/>
      <c r="P187" s="226"/>
      <c r="AN187" s="454" t="s">
        <v>922</v>
      </c>
      <c r="AO187" s="456">
        <v>0.0</v>
      </c>
      <c r="AP187" s="515" t="s">
        <v>922</v>
      </c>
      <c r="AQ187" s="450">
        <v>54.15</v>
      </c>
      <c r="AR187" s="454" t="s">
        <v>922</v>
      </c>
      <c r="AS187" s="457">
        <v>15.0</v>
      </c>
      <c r="AT187" s="454" t="s">
        <v>922</v>
      </c>
      <c r="AU187" s="457">
        <v>0.0</v>
      </c>
      <c r="AV187" s="454" t="s">
        <v>922</v>
      </c>
      <c r="AW187" s="456">
        <v>0.0</v>
      </c>
      <c r="AX187" s="454" t="s">
        <v>922</v>
      </c>
      <c r="AY187" s="456">
        <v>19.0</v>
      </c>
      <c r="AZ187" s="454" t="s">
        <v>922</v>
      </c>
      <c r="BA187" s="456">
        <v>0.0</v>
      </c>
      <c r="BB187" s="454" t="s">
        <v>922</v>
      </c>
      <c r="BC187" s="456">
        <v>0.0</v>
      </c>
      <c r="BD187" s="454" t="s">
        <v>922</v>
      </c>
      <c r="BE187" s="456">
        <v>62.0</v>
      </c>
    </row>
    <row r="188">
      <c r="M188" s="226"/>
      <c r="N188" s="226"/>
      <c r="O188" s="226"/>
      <c r="P188" s="226"/>
      <c r="AN188" s="454" t="s">
        <v>923</v>
      </c>
      <c r="AO188" s="456">
        <v>0.0</v>
      </c>
      <c r="AP188" s="515" t="s">
        <v>923</v>
      </c>
      <c r="AQ188" s="450">
        <v>51.93</v>
      </c>
      <c r="AR188" s="454" t="s">
        <v>923</v>
      </c>
      <c r="AS188" s="457">
        <v>19.0</v>
      </c>
      <c r="AT188" s="454" t="s">
        <v>923</v>
      </c>
      <c r="AU188" s="457">
        <v>0.0</v>
      </c>
      <c r="AV188" s="454" t="s">
        <v>923</v>
      </c>
      <c r="AW188" s="456">
        <v>0.0</v>
      </c>
      <c r="AX188" s="454" t="s">
        <v>923</v>
      </c>
      <c r="AY188" s="456">
        <v>23.0</v>
      </c>
      <c r="AZ188" s="454" t="s">
        <v>923</v>
      </c>
      <c r="BA188" s="456">
        <v>0.0</v>
      </c>
      <c r="BB188" s="454" t="s">
        <v>923</v>
      </c>
      <c r="BC188" s="456">
        <v>0.0</v>
      </c>
      <c r="BD188" s="454" t="s">
        <v>923</v>
      </c>
      <c r="BE188" s="456">
        <v>44.0</v>
      </c>
    </row>
    <row r="189">
      <c r="M189" s="226"/>
      <c r="N189" s="226"/>
      <c r="O189" s="226"/>
      <c r="P189" s="226"/>
      <c r="AN189" s="454" t="s">
        <v>924</v>
      </c>
      <c r="AO189" s="456">
        <v>0.0</v>
      </c>
      <c r="AP189" s="515" t="s">
        <v>924</v>
      </c>
      <c r="AQ189" s="450">
        <v>51.81</v>
      </c>
      <c r="AR189" s="454" t="s">
        <v>924</v>
      </c>
      <c r="AS189" s="457">
        <v>0.0</v>
      </c>
      <c r="AT189" s="454" t="s">
        <v>924</v>
      </c>
      <c r="AU189" s="457">
        <v>0.0</v>
      </c>
      <c r="AV189" s="454" t="s">
        <v>924</v>
      </c>
      <c r="AW189" s="456">
        <v>0.0</v>
      </c>
      <c r="AX189" s="454" t="s">
        <v>924</v>
      </c>
      <c r="AY189" s="456">
        <v>28.0</v>
      </c>
      <c r="AZ189" s="454" t="s">
        <v>924</v>
      </c>
      <c r="BA189" s="456">
        <v>0.0</v>
      </c>
      <c r="BB189" s="454" t="s">
        <v>924</v>
      </c>
      <c r="BC189" s="456">
        <v>0.0</v>
      </c>
      <c r="BD189" s="454" t="s">
        <v>924</v>
      </c>
      <c r="BE189" s="456">
        <v>58.0</v>
      </c>
    </row>
    <row r="190">
      <c r="M190" s="226"/>
      <c r="N190" s="226"/>
      <c r="O190" s="226"/>
      <c r="P190" s="226"/>
      <c r="AN190" s="454" t="s">
        <v>926</v>
      </c>
      <c r="AO190" s="456">
        <v>0.0</v>
      </c>
      <c r="AP190" s="515" t="s">
        <v>926</v>
      </c>
      <c r="AQ190" s="450">
        <v>51.37</v>
      </c>
      <c r="AR190" s="454" t="s">
        <v>926</v>
      </c>
      <c r="AS190" s="457">
        <v>19.0</v>
      </c>
      <c r="AT190" s="454" t="s">
        <v>926</v>
      </c>
      <c r="AU190" s="457">
        <v>0.0</v>
      </c>
      <c r="AV190" s="454" t="s">
        <v>926</v>
      </c>
      <c r="AW190" s="456">
        <v>21.0</v>
      </c>
      <c r="AX190" s="454" t="s">
        <v>926</v>
      </c>
      <c r="AY190" s="456">
        <v>0.0</v>
      </c>
      <c r="AZ190" s="454" t="s">
        <v>926</v>
      </c>
      <c r="BA190" s="456">
        <v>0.0</v>
      </c>
      <c r="BB190" s="454" t="s">
        <v>926</v>
      </c>
      <c r="BC190" s="456">
        <v>0.0</v>
      </c>
      <c r="BD190" s="454" t="s">
        <v>926</v>
      </c>
      <c r="BE190" s="456">
        <v>58.0</v>
      </c>
    </row>
    <row r="191">
      <c r="M191" s="226"/>
      <c r="N191" s="226"/>
      <c r="O191" s="226"/>
      <c r="P191" s="226"/>
      <c r="AN191" s="454" t="s">
        <v>927</v>
      </c>
      <c r="AO191" s="456">
        <v>0.0</v>
      </c>
      <c r="AP191" s="515" t="s">
        <v>927</v>
      </c>
      <c r="AQ191" s="450">
        <v>49.73</v>
      </c>
      <c r="AR191" s="454" t="s">
        <v>927</v>
      </c>
      <c r="AS191" s="457">
        <v>19.0</v>
      </c>
      <c r="AT191" s="454" t="s">
        <v>927</v>
      </c>
      <c r="AU191" s="457">
        <v>0.0</v>
      </c>
      <c r="AV191" s="454" t="s">
        <v>927</v>
      </c>
      <c r="AW191" s="456">
        <v>24.0</v>
      </c>
      <c r="AX191" s="454" t="s">
        <v>927</v>
      </c>
      <c r="AY191" s="456">
        <v>0.0</v>
      </c>
      <c r="AZ191" s="454" t="s">
        <v>927</v>
      </c>
      <c r="BA191" s="456">
        <v>0.0</v>
      </c>
      <c r="BB191" s="454" t="s">
        <v>927</v>
      </c>
      <c r="BC191" s="456">
        <v>0.0</v>
      </c>
      <c r="BD191" s="454" t="s">
        <v>927</v>
      </c>
      <c r="BE191" s="456">
        <v>50.0</v>
      </c>
    </row>
    <row r="192">
      <c r="M192" s="226"/>
      <c r="N192" s="226"/>
      <c r="O192" s="226"/>
      <c r="P192" s="226"/>
      <c r="AN192" s="454" t="s">
        <v>1115</v>
      </c>
      <c r="AO192" s="456">
        <v>0.0</v>
      </c>
      <c r="AP192" s="515" t="s">
        <v>1115</v>
      </c>
      <c r="AQ192" s="450">
        <v>41.94</v>
      </c>
      <c r="AR192" s="454" t="s">
        <v>1115</v>
      </c>
      <c r="AS192" s="457">
        <v>18.0</v>
      </c>
      <c r="AT192" s="454" t="s">
        <v>1115</v>
      </c>
      <c r="AU192" s="457">
        <v>0.0</v>
      </c>
      <c r="AV192" s="454" t="s">
        <v>1115</v>
      </c>
      <c r="AW192" s="456">
        <v>20.0</v>
      </c>
      <c r="AX192" s="454" t="s">
        <v>1115</v>
      </c>
      <c r="AY192" s="456">
        <v>0.0</v>
      </c>
      <c r="AZ192" s="454" t="s">
        <v>1115</v>
      </c>
      <c r="BA192" s="456">
        <v>0.0</v>
      </c>
      <c r="BB192" s="454" t="s">
        <v>1115</v>
      </c>
      <c r="BC192" s="456">
        <v>0.0</v>
      </c>
      <c r="BD192" s="454" t="s">
        <v>1115</v>
      </c>
      <c r="BE192" s="456">
        <v>40.0</v>
      </c>
    </row>
    <row r="193">
      <c r="M193" s="226"/>
      <c r="N193" s="226"/>
      <c r="O193" s="226"/>
      <c r="P193" s="226"/>
      <c r="AN193" s="454" t="s">
        <v>1244</v>
      </c>
      <c r="AO193" s="456">
        <v>0.0</v>
      </c>
      <c r="AP193" s="515" t="s">
        <v>1244</v>
      </c>
      <c r="AQ193" s="450">
        <v>42.65</v>
      </c>
      <c r="AR193" s="454" t="s">
        <v>1244</v>
      </c>
      <c r="AS193" s="457">
        <v>0.0</v>
      </c>
      <c r="AT193" s="454" t="s">
        <v>1244</v>
      </c>
      <c r="AU193" s="457">
        <v>0.0</v>
      </c>
      <c r="AV193" s="454" t="s">
        <v>1244</v>
      </c>
      <c r="AW193" s="456">
        <v>25.0</v>
      </c>
      <c r="AX193" s="454" t="s">
        <v>1244</v>
      </c>
      <c r="AY193" s="456">
        <v>0.0</v>
      </c>
      <c r="AZ193" s="454" t="s">
        <v>1244</v>
      </c>
      <c r="BA193" s="456">
        <v>0.0</v>
      </c>
      <c r="BB193" s="454" t="s">
        <v>1244</v>
      </c>
      <c r="BC193" s="456">
        <v>20.0</v>
      </c>
      <c r="BD193" s="454" t="s">
        <v>1244</v>
      </c>
      <c r="BE193" s="456">
        <v>0.0</v>
      </c>
    </row>
    <row r="194">
      <c r="M194" s="226"/>
      <c r="N194" s="226"/>
      <c r="O194" s="226"/>
      <c r="P194" s="226"/>
      <c r="AN194" s="454" t="s">
        <v>1111</v>
      </c>
      <c r="AO194" s="456">
        <v>0.0</v>
      </c>
      <c r="AP194" s="515" t="s">
        <v>1111</v>
      </c>
      <c r="AQ194" s="450">
        <v>47.38</v>
      </c>
      <c r="AR194" s="454" t="s">
        <v>1111</v>
      </c>
      <c r="AS194" s="457">
        <v>19.0</v>
      </c>
      <c r="AT194" s="454" t="s">
        <v>1111</v>
      </c>
      <c r="AU194" s="457">
        <v>0.0</v>
      </c>
      <c r="AV194" s="454" t="s">
        <v>1111</v>
      </c>
      <c r="AW194" s="456">
        <v>0.0</v>
      </c>
      <c r="AX194" s="454" t="s">
        <v>1111</v>
      </c>
      <c r="AY194" s="456">
        <v>20.0</v>
      </c>
      <c r="AZ194" s="454" t="s">
        <v>1111</v>
      </c>
      <c r="BA194" s="456">
        <v>0.0</v>
      </c>
      <c r="BB194" s="454" t="s">
        <v>1111</v>
      </c>
      <c r="BC194" s="456">
        <v>0.0</v>
      </c>
      <c r="BD194" s="454" t="s">
        <v>1111</v>
      </c>
      <c r="BE194" s="456">
        <v>40.0</v>
      </c>
    </row>
    <row r="195">
      <c r="M195" s="226"/>
      <c r="N195" s="226"/>
      <c r="O195" s="226"/>
      <c r="P195" s="226"/>
    </row>
    <row r="196">
      <c r="M196" s="226"/>
      <c r="N196" s="226"/>
      <c r="O196" s="226"/>
      <c r="P196" s="226"/>
    </row>
    <row r="197">
      <c r="A197" s="449" t="s">
        <v>2110</v>
      </c>
      <c r="B197" s="450" t="s">
        <v>2190</v>
      </c>
      <c r="C197" s="449"/>
      <c r="D197" s="450"/>
      <c r="E197" s="449"/>
      <c r="M197" s="226"/>
      <c r="N197" s="226"/>
      <c r="O197" s="226"/>
      <c r="P197" s="226"/>
      <c r="AN197" s="449" t="s">
        <v>2191</v>
      </c>
      <c r="AO197" s="449" t="s">
        <v>1920</v>
      </c>
      <c r="AP197" s="450" t="s">
        <v>2192</v>
      </c>
      <c r="AQ197" s="450" t="s">
        <v>1922</v>
      </c>
      <c r="AR197" s="449" t="s">
        <v>2191</v>
      </c>
      <c r="AS197" s="450" t="s">
        <v>344</v>
      </c>
      <c r="AT197" s="449" t="s">
        <v>2191</v>
      </c>
      <c r="AU197" s="450" t="s">
        <v>2193</v>
      </c>
      <c r="AV197" s="449" t="s">
        <v>2191</v>
      </c>
      <c r="AW197" s="449" t="s">
        <v>2194</v>
      </c>
      <c r="AX197" s="449" t="s">
        <v>2191</v>
      </c>
      <c r="AY197" s="449" t="s">
        <v>2195</v>
      </c>
      <c r="AZ197" s="449" t="s">
        <v>2191</v>
      </c>
      <c r="BA197" s="449" t="s">
        <v>2196</v>
      </c>
      <c r="BB197" s="449" t="s">
        <v>2191</v>
      </c>
      <c r="BC197" s="449" t="s">
        <v>2197</v>
      </c>
      <c r="BD197" s="449" t="s">
        <v>2191</v>
      </c>
      <c r="BE197" s="449" t="s">
        <v>2198</v>
      </c>
    </row>
    <row r="198">
      <c r="A198" s="454" t="s">
        <v>1126</v>
      </c>
      <c r="B198" s="457">
        <v>0.0</v>
      </c>
      <c r="C198" s="454"/>
      <c r="D198" s="457"/>
      <c r="E198" s="454"/>
      <c r="M198" s="226"/>
      <c r="N198" s="226"/>
      <c r="O198" s="226"/>
      <c r="P198" s="226"/>
      <c r="AN198" s="454" t="s">
        <v>974</v>
      </c>
      <c r="AO198" s="456">
        <v>112.0</v>
      </c>
      <c r="AP198" s="515" t="s">
        <v>974</v>
      </c>
      <c r="AQ198" s="644">
        <v>62.94</v>
      </c>
      <c r="AR198" s="454" t="s">
        <v>974</v>
      </c>
      <c r="AS198" s="457">
        <v>0.0</v>
      </c>
      <c r="AT198" s="454" t="s">
        <v>974</v>
      </c>
      <c r="AU198" s="457">
        <v>0.0</v>
      </c>
      <c r="AV198" s="454" t="s">
        <v>974</v>
      </c>
      <c r="AW198" s="456">
        <v>17.0</v>
      </c>
      <c r="AX198" s="454" t="s">
        <v>974</v>
      </c>
      <c r="AY198" s="456">
        <v>16.0</v>
      </c>
      <c r="AZ198" s="454" t="s">
        <v>974</v>
      </c>
      <c r="BA198" s="456">
        <v>0.0</v>
      </c>
      <c r="BB198" s="454" t="s">
        <v>974</v>
      </c>
      <c r="BC198" s="456">
        <v>0.0</v>
      </c>
      <c r="BD198" s="454" t="s">
        <v>974</v>
      </c>
      <c r="BE198" s="456">
        <v>34.0</v>
      </c>
    </row>
    <row r="199">
      <c r="A199" s="454" t="s">
        <v>1127</v>
      </c>
      <c r="B199" s="457">
        <v>0.0</v>
      </c>
      <c r="C199" s="454"/>
      <c r="D199" s="457"/>
      <c r="E199" s="454"/>
      <c r="M199" s="226"/>
      <c r="N199" s="226"/>
      <c r="O199" s="226"/>
      <c r="P199" s="226"/>
      <c r="AN199" s="454" t="s">
        <v>975</v>
      </c>
      <c r="AO199" s="456">
        <v>175.0</v>
      </c>
      <c r="AP199" s="515" t="s">
        <v>975</v>
      </c>
      <c r="AQ199" s="644">
        <v>61.22</v>
      </c>
      <c r="AR199" s="454" t="s">
        <v>975</v>
      </c>
      <c r="AS199" s="457">
        <v>0.0</v>
      </c>
      <c r="AT199" s="454" t="s">
        <v>975</v>
      </c>
      <c r="AU199" s="457">
        <v>0.0</v>
      </c>
      <c r="AV199" s="454" t="s">
        <v>975</v>
      </c>
      <c r="AW199" s="456">
        <v>18.0</v>
      </c>
      <c r="AX199" s="454" t="s">
        <v>975</v>
      </c>
      <c r="AY199" s="456">
        <v>0.0</v>
      </c>
      <c r="AZ199" s="454" t="s">
        <v>975</v>
      </c>
      <c r="BA199" s="456">
        <v>0.0</v>
      </c>
      <c r="BB199" s="454" t="s">
        <v>975</v>
      </c>
      <c r="BC199" s="456">
        <v>0.0</v>
      </c>
      <c r="BD199" s="454" t="s">
        <v>975</v>
      </c>
      <c r="BE199" s="456">
        <v>34.0</v>
      </c>
    </row>
    <row r="200">
      <c r="A200" s="454" t="s">
        <v>1130</v>
      </c>
      <c r="B200" s="457">
        <v>0.0</v>
      </c>
      <c r="C200" s="454"/>
      <c r="D200" s="457"/>
      <c r="E200" s="454"/>
      <c r="M200" s="226"/>
      <c r="N200" s="226"/>
      <c r="O200" s="226"/>
      <c r="P200" s="226"/>
      <c r="AN200" s="454" t="s">
        <v>976</v>
      </c>
      <c r="AO200" s="456">
        <v>126.0</v>
      </c>
      <c r="AP200" s="515" t="s">
        <v>976</v>
      </c>
      <c r="AQ200" s="537">
        <v>41.59</v>
      </c>
      <c r="AR200" s="454" t="s">
        <v>976</v>
      </c>
      <c r="AS200" s="457">
        <v>0.0</v>
      </c>
      <c r="AT200" s="454" t="s">
        <v>976</v>
      </c>
      <c r="AU200" s="457">
        <v>0.0</v>
      </c>
      <c r="AV200" s="454" t="s">
        <v>976</v>
      </c>
      <c r="AW200" s="456">
        <v>0.0</v>
      </c>
      <c r="AX200" s="454" t="s">
        <v>976</v>
      </c>
      <c r="AY200" s="456">
        <v>0.0</v>
      </c>
      <c r="AZ200" s="454" t="s">
        <v>976</v>
      </c>
      <c r="BA200" s="456">
        <v>0.0</v>
      </c>
      <c r="BB200" s="454" t="s">
        <v>976</v>
      </c>
      <c r="BC200" s="456">
        <v>0.0</v>
      </c>
      <c r="BD200" s="454" t="s">
        <v>976</v>
      </c>
      <c r="BE200" s="456">
        <v>38.0</v>
      </c>
    </row>
    <row r="201">
      <c r="A201" s="454" t="s">
        <v>1128</v>
      </c>
      <c r="B201" s="457">
        <v>0.0</v>
      </c>
      <c r="C201" s="454"/>
      <c r="D201" s="457"/>
      <c r="E201" s="454"/>
      <c r="M201" s="226"/>
      <c r="N201" s="226"/>
      <c r="O201" s="226"/>
      <c r="P201" s="226"/>
      <c r="AN201" s="454" t="s">
        <v>977</v>
      </c>
      <c r="AO201" s="456">
        <v>0.0</v>
      </c>
      <c r="AP201" s="515" t="s">
        <v>977</v>
      </c>
      <c r="AQ201" s="457">
        <v>41.28</v>
      </c>
      <c r="AR201" s="454" t="s">
        <v>977</v>
      </c>
      <c r="AS201" s="457">
        <v>0.0</v>
      </c>
      <c r="AT201" s="454" t="s">
        <v>977</v>
      </c>
      <c r="AU201" s="457">
        <v>0.0</v>
      </c>
      <c r="AV201" s="454" t="s">
        <v>977</v>
      </c>
      <c r="AW201" s="456">
        <v>0.0</v>
      </c>
      <c r="AX201" s="454" t="s">
        <v>977</v>
      </c>
      <c r="AY201" s="456">
        <v>0.0</v>
      </c>
      <c r="AZ201" s="454" t="s">
        <v>977</v>
      </c>
      <c r="BA201" s="456">
        <v>16.0</v>
      </c>
      <c r="BB201" s="454" t="s">
        <v>977</v>
      </c>
      <c r="BC201" s="456">
        <v>0.0</v>
      </c>
      <c r="BD201" s="454" t="s">
        <v>977</v>
      </c>
      <c r="BE201" s="456">
        <v>36.0</v>
      </c>
    </row>
    <row r="202">
      <c r="A202" s="454" t="s">
        <v>1132</v>
      </c>
      <c r="B202" s="457">
        <v>0.0</v>
      </c>
      <c r="C202" s="454"/>
      <c r="D202" s="457"/>
      <c r="E202" s="454"/>
      <c r="M202" s="226"/>
      <c r="N202" s="226"/>
      <c r="O202" s="226"/>
      <c r="P202" s="226"/>
      <c r="AN202" s="454" t="s">
        <v>979</v>
      </c>
      <c r="AO202" s="456">
        <v>0.0</v>
      </c>
      <c r="AP202" s="515" t="s">
        <v>979</v>
      </c>
      <c r="AQ202" s="457">
        <v>39.03</v>
      </c>
      <c r="AR202" s="454" t="s">
        <v>979</v>
      </c>
      <c r="AS202" s="457">
        <v>14.0</v>
      </c>
      <c r="AT202" s="454" t="s">
        <v>979</v>
      </c>
      <c r="AU202" s="457">
        <v>0.0</v>
      </c>
      <c r="AV202" s="454" t="s">
        <v>979</v>
      </c>
      <c r="AW202" s="456">
        <v>0.0</v>
      </c>
      <c r="AX202" s="454" t="s">
        <v>979</v>
      </c>
      <c r="AY202" s="456">
        <v>18.0</v>
      </c>
      <c r="AZ202" s="454" t="s">
        <v>979</v>
      </c>
      <c r="BA202" s="456">
        <v>0.0</v>
      </c>
      <c r="BB202" s="454" t="s">
        <v>979</v>
      </c>
      <c r="BC202" s="456">
        <v>0.0</v>
      </c>
      <c r="BD202" s="454" t="s">
        <v>979</v>
      </c>
      <c r="BE202" s="456">
        <v>32.0</v>
      </c>
    </row>
    <row r="203">
      <c r="A203" s="454" t="s">
        <v>1137</v>
      </c>
      <c r="B203" s="457">
        <v>0.0</v>
      </c>
      <c r="C203" s="454"/>
      <c r="D203" s="457"/>
      <c r="E203" s="454"/>
      <c r="M203" s="226"/>
      <c r="N203" s="226"/>
      <c r="O203" s="226"/>
      <c r="P203" s="226"/>
      <c r="AN203" s="454" t="s">
        <v>981</v>
      </c>
      <c r="AO203" s="456">
        <v>0.0</v>
      </c>
      <c r="AP203" s="515" t="s">
        <v>981</v>
      </c>
      <c r="AQ203" s="457">
        <v>33.42</v>
      </c>
      <c r="AR203" s="454" t="s">
        <v>981</v>
      </c>
      <c r="AS203" s="457">
        <v>0.0</v>
      </c>
      <c r="AT203" s="454" t="s">
        <v>981</v>
      </c>
      <c r="AU203" s="457">
        <v>0.0</v>
      </c>
      <c r="AV203" s="454" t="s">
        <v>981</v>
      </c>
      <c r="AW203" s="456">
        <v>16.0</v>
      </c>
      <c r="AX203" s="454" t="s">
        <v>981</v>
      </c>
      <c r="AY203" s="456">
        <v>0.0</v>
      </c>
      <c r="AZ203" s="454" t="s">
        <v>981</v>
      </c>
      <c r="BA203" s="456">
        <v>0.0</v>
      </c>
      <c r="BB203" s="454" t="s">
        <v>981</v>
      </c>
      <c r="BC203" s="456">
        <v>0.0</v>
      </c>
      <c r="BD203" s="454" t="s">
        <v>981</v>
      </c>
      <c r="BE203" s="456">
        <v>0.0</v>
      </c>
    </row>
    <row r="204">
      <c r="A204" s="454" t="s">
        <v>1139</v>
      </c>
      <c r="B204" s="457">
        <v>43.0</v>
      </c>
      <c r="C204" s="454"/>
      <c r="D204" s="457"/>
      <c r="E204" s="454"/>
      <c r="M204" s="226"/>
      <c r="N204" s="226"/>
      <c r="O204" s="226"/>
      <c r="P204" s="226"/>
      <c r="AN204" s="454" t="s">
        <v>983</v>
      </c>
      <c r="AO204" s="456">
        <v>0.0</v>
      </c>
      <c r="AP204" s="515" t="s">
        <v>983</v>
      </c>
      <c r="AQ204" s="457">
        <v>32.46</v>
      </c>
      <c r="AR204" s="454" t="s">
        <v>983</v>
      </c>
      <c r="AS204" s="457">
        <v>0.0</v>
      </c>
      <c r="AT204" s="454" t="s">
        <v>983</v>
      </c>
      <c r="AU204" s="457">
        <v>0.0</v>
      </c>
      <c r="AV204" s="454" t="s">
        <v>983</v>
      </c>
      <c r="AW204" s="456">
        <v>0.0</v>
      </c>
      <c r="AX204" s="454" t="s">
        <v>983</v>
      </c>
      <c r="AY204" s="456">
        <v>0.0</v>
      </c>
      <c r="AZ204" s="454" t="s">
        <v>983</v>
      </c>
      <c r="BA204" s="456">
        <v>18.0</v>
      </c>
      <c r="BB204" s="454" t="s">
        <v>983</v>
      </c>
      <c r="BC204" s="456">
        <v>0.0</v>
      </c>
      <c r="BD204" s="454" t="s">
        <v>983</v>
      </c>
      <c r="BE204" s="456">
        <v>38.0</v>
      </c>
    </row>
    <row r="205">
      <c r="A205" s="454" t="s">
        <v>1145</v>
      </c>
      <c r="B205" s="457">
        <v>0.0</v>
      </c>
      <c r="C205" s="454"/>
      <c r="D205" s="457"/>
      <c r="E205" s="454"/>
      <c r="M205" s="226"/>
      <c r="N205" s="226"/>
      <c r="O205" s="226"/>
      <c r="P205" s="226"/>
      <c r="AN205" s="454" t="s">
        <v>985</v>
      </c>
      <c r="AO205" s="456">
        <v>0.0</v>
      </c>
      <c r="AP205" s="515" t="s">
        <v>985</v>
      </c>
      <c r="AQ205" s="457">
        <v>31.82</v>
      </c>
      <c r="AR205" s="454" t="s">
        <v>985</v>
      </c>
      <c r="AS205" s="457">
        <v>0.0</v>
      </c>
      <c r="AT205" s="454" t="s">
        <v>985</v>
      </c>
      <c r="AU205" s="457">
        <v>0.0</v>
      </c>
      <c r="AV205" s="454" t="s">
        <v>985</v>
      </c>
      <c r="AW205" s="456">
        <v>0.0</v>
      </c>
      <c r="AX205" s="454" t="s">
        <v>985</v>
      </c>
      <c r="AY205" s="456">
        <v>18.0</v>
      </c>
      <c r="AZ205" s="454" t="s">
        <v>985</v>
      </c>
      <c r="BA205" s="456">
        <v>0.0</v>
      </c>
      <c r="BB205" s="454" t="s">
        <v>985</v>
      </c>
      <c r="BC205" s="456">
        <v>0.0</v>
      </c>
      <c r="BD205" s="454" t="s">
        <v>985</v>
      </c>
      <c r="BE205" s="456">
        <v>34.0</v>
      </c>
    </row>
    <row r="206">
      <c r="A206" s="614" t="s">
        <v>1136</v>
      </c>
      <c r="B206" s="457">
        <v>0.0</v>
      </c>
      <c r="C206" s="614"/>
      <c r="D206" s="457"/>
      <c r="E206" s="614"/>
      <c r="M206" s="226"/>
      <c r="N206" s="226"/>
      <c r="O206" s="226"/>
      <c r="P206" s="226"/>
      <c r="AN206" s="454" t="s">
        <v>987</v>
      </c>
      <c r="AO206" s="456">
        <v>0.0</v>
      </c>
      <c r="AP206" s="515" t="s">
        <v>987</v>
      </c>
      <c r="AQ206" s="457">
        <v>31.82</v>
      </c>
      <c r="AR206" s="454" t="s">
        <v>987</v>
      </c>
      <c r="AS206" s="457">
        <v>0.0</v>
      </c>
      <c r="AT206" s="454" t="s">
        <v>987</v>
      </c>
      <c r="AU206" s="457">
        <v>0.0</v>
      </c>
      <c r="AV206" s="454" t="s">
        <v>987</v>
      </c>
      <c r="AW206" s="456">
        <v>0.0</v>
      </c>
      <c r="AX206" s="454" t="s">
        <v>987</v>
      </c>
      <c r="AY206" s="456">
        <v>16.0</v>
      </c>
      <c r="AZ206" s="454" t="s">
        <v>987</v>
      </c>
      <c r="BA206" s="456">
        <v>0.0</v>
      </c>
      <c r="BB206" s="454" t="s">
        <v>987</v>
      </c>
      <c r="BC206" s="456">
        <v>0.0</v>
      </c>
      <c r="BD206" s="454" t="s">
        <v>987</v>
      </c>
      <c r="BE206" s="456">
        <v>38.0</v>
      </c>
    </row>
    <row r="207">
      <c r="M207" s="226"/>
      <c r="N207" s="226"/>
      <c r="O207" s="226"/>
      <c r="P207" s="226"/>
      <c r="AN207" s="454" t="s">
        <v>988</v>
      </c>
      <c r="AO207" s="456">
        <v>0.0</v>
      </c>
      <c r="AP207" s="515" t="s">
        <v>988</v>
      </c>
      <c r="AQ207" s="457">
        <v>29.86</v>
      </c>
      <c r="AR207" s="454" t="s">
        <v>988</v>
      </c>
      <c r="AS207" s="457">
        <v>0.0</v>
      </c>
      <c r="AT207" s="454" t="s">
        <v>988</v>
      </c>
      <c r="AU207" s="457">
        <v>0.0</v>
      </c>
      <c r="AV207" s="454" t="s">
        <v>988</v>
      </c>
      <c r="AW207" s="456">
        <v>23.0</v>
      </c>
      <c r="AX207" s="454" t="s">
        <v>988</v>
      </c>
      <c r="AY207" s="456">
        <v>16.0</v>
      </c>
      <c r="AZ207" s="454" t="s">
        <v>988</v>
      </c>
      <c r="BA207" s="456">
        <v>0.0</v>
      </c>
      <c r="BB207" s="454" t="s">
        <v>988</v>
      </c>
      <c r="BC207" s="456">
        <v>0.0</v>
      </c>
      <c r="BD207" s="454" t="s">
        <v>988</v>
      </c>
      <c r="BE207" s="456">
        <v>0.0</v>
      </c>
    </row>
    <row r="208">
      <c r="M208" s="226"/>
      <c r="N208" s="226"/>
      <c r="O208" s="226"/>
      <c r="P208" s="226"/>
      <c r="AN208" s="454" t="s">
        <v>989</v>
      </c>
      <c r="AO208" s="456">
        <v>0.0</v>
      </c>
      <c r="AP208" s="515" t="s">
        <v>989</v>
      </c>
      <c r="AQ208" s="457">
        <v>29.58</v>
      </c>
      <c r="AR208" s="454" t="s">
        <v>989</v>
      </c>
      <c r="AS208" s="457">
        <v>0.0</v>
      </c>
      <c r="AT208" s="454" t="s">
        <v>989</v>
      </c>
      <c r="AU208" s="457">
        <v>0.0</v>
      </c>
      <c r="AV208" s="454" t="s">
        <v>989</v>
      </c>
      <c r="AW208" s="456">
        <v>14.0</v>
      </c>
      <c r="AX208" s="454" t="s">
        <v>989</v>
      </c>
      <c r="AY208" s="456">
        <v>0.0</v>
      </c>
      <c r="AZ208" s="454" t="s">
        <v>989</v>
      </c>
      <c r="BA208" s="456">
        <v>10.0</v>
      </c>
      <c r="BB208" s="454" t="s">
        <v>989</v>
      </c>
      <c r="BC208" s="456">
        <v>0.0</v>
      </c>
      <c r="BD208" s="454" t="s">
        <v>989</v>
      </c>
      <c r="BE208" s="456">
        <v>26.0</v>
      </c>
    </row>
    <row r="209">
      <c r="M209" s="226"/>
      <c r="N209" s="226"/>
      <c r="O209" s="226"/>
      <c r="P209" s="226"/>
      <c r="AN209" s="454" t="s">
        <v>992</v>
      </c>
      <c r="AO209" s="456">
        <v>0.0</v>
      </c>
      <c r="AP209" s="515" t="s">
        <v>992</v>
      </c>
      <c r="AQ209" s="457">
        <v>29.09</v>
      </c>
      <c r="AR209" s="454" t="s">
        <v>992</v>
      </c>
      <c r="AS209" s="457">
        <v>0.0</v>
      </c>
      <c r="AT209" s="454" t="s">
        <v>992</v>
      </c>
      <c r="AU209" s="457">
        <v>0.0</v>
      </c>
      <c r="AV209" s="454" t="s">
        <v>992</v>
      </c>
      <c r="AW209" s="456">
        <v>0.0</v>
      </c>
      <c r="AX209" s="454" t="s">
        <v>992</v>
      </c>
      <c r="AY209" s="456">
        <v>17.0</v>
      </c>
      <c r="AZ209" s="454" t="s">
        <v>992</v>
      </c>
      <c r="BA209" s="456">
        <v>0.0</v>
      </c>
      <c r="BB209" s="454" t="s">
        <v>992</v>
      </c>
      <c r="BC209" s="456">
        <v>0.0</v>
      </c>
      <c r="BD209" s="454" t="s">
        <v>992</v>
      </c>
      <c r="BE209" s="456">
        <v>30.0</v>
      </c>
    </row>
    <row r="210">
      <c r="M210" s="226"/>
      <c r="N210" s="226"/>
      <c r="O210" s="226"/>
      <c r="P210" s="226"/>
      <c r="AN210" s="454" t="s">
        <v>994</v>
      </c>
      <c r="AO210" s="456">
        <v>0.0</v>
      </c>
      <c r="AP210" s="515" t="s">
        <v>994</v>
      </c>
      <c r="AQ210" s="457">
        <v>28.11</v>
      </c>
      <c r="AR210" s="454" t="s">
        <v>994</v>
      </c>
      <c r="AS210" s="457">
        <v>0.0</v>
      </c>
      <c r="AT210" s="454" t="s">
        <v>994</v>
      </c>
      <c r="AU210" s="457">
        <v>0.0</v>
      </c>
      <c r="AV210" s="454" t="s">
        <v>994</v>
      </c>
      <c r="AW210" s="456">
        <v>19.0</v>
      </c>
      <c r="AX210" s="454" t="s">
        <v>994</v>
      </c>
      <c r="AY210" s="456">
        <v>0.0</v>
      </c>
      <c r="AZ210" s="454" t="s">
        <v>994</v>
      </c>
      <c r="BA210" s="456">
        <v>0.0</v>
      </c>
      <c r="BB210" s="454" t="s">
        <v>994</v>
      </c>
      <c r="BC210" s="456">
        <v>0.0</v>
      </c>
      <c r="BD210" s="454" t="s">
        <v>994</v>
      </c>
      <c r="BE210" s="456">
        <v>34.0</v>
      </c>
    </row>
    <row r="211">
      <c r="M211" s="226"/>
      <c r="N211" s="226"/>
      <c r="O211" s="226"/>
      <c r="P211" s="226"/>
      <c r="AN211" s="455"/>
      <c r="AO211" s="632"/>
      <c r="AP211" s="455"/>
      <c r="AQ211" s="632"/>
      <c r="AR211" s="455"/>
      <c r="AS211" s="632"/>
      <c r="AT211" s="455"/>
      <c r="AU211" s="632"/>
      <c r="AV211" s="455"/>
      <c r="AW211" s="632"/>
      <c r="AX211" s="455"/>
      <c r="AY211" s="632"/>
      <c r="AZ211" s="455"/>
      <c r="BA211" s="632"/>
      <c r="BB211" s="455"/>
      <c r="BC211" s="632"/>
      <c r="BD211" s="455"/>
      <c r="BE211" s="632"/>
    </row>
    <row r="212">
      <c r="A212" s="645"/>
      <c r="B212" s="645"/>
      <c r="C212" s="645"/>
      <c r="D212" s="645"/>
      <c r="E212" s="645"/>
      <c r="F212" s="645"/>
      <c r="G212" s="645"/>
      <c r="H212" s="645"/>
      <c r="I212" s="645"/>
      <c r="M212" s="226"/>
      <c r="N212" s="226"/>
      <c r="O212" s="226"/>
      <c r="P212" s="226"/>
    </row>
    <row r="213">
      <c r="A213" s="449" t="s">
        <v>2199</v>
      </c>
      <c r="B213" s="449" t="s">
        <v>327</v>
      </c>
      <c r="C213" s="450"/>
      <c r="D213" s="450" t="s">
        <v>356</v>
      </c>
      <c r="E213" s="449"/>
      <c r="F213" s="450" t="s">
        <v>1920</v>
      </c>
      <c r="G213" s="449"/>
      <c r="H213" s="450"/>
      <c r="I213" s="646"/>
      <c r="J213" s="574"/>
      <c r="K213" s="574"/>
      <c r="L213" s="574"/>
      <c r="M213" s="574"/>
      <c r="N213" s="574"/>
      <c r="O213" s="574"/>
      <c r="P213" s="574"/>
      <c r="Q213" s="574"/>
      <c r="R213" s="574"/>
      <c r="AN213" s="449" t="s">
        <v>2200</v>
      </c>
      <c r="AO213" s="449" t="s">
        <v>1920</v>
      </c>
      <c r="AP213" s="450" t="s">
        <v>2201</v>
      </c>
      <c r="AQ213" s="450" t="s">
        <v>1922</v>
      </c>
      <c r="AR213" s="449" t="s">
        <v>2200</v>
      </c>
      <c r="AS213" s="450" t="s">
        <v>344</v>
      </c>
      <c r="AT213" s="449" t="s">
        <v>2200</v>
      </c>
      <c r="AU213" s="450" t="s">
        <v>2202</v>
      </c>
      <c r="AV213" s="449" t="s">
        <v>2200</v>
      </c>
      <c r="AW213" s="449" t="s">
        <v>2203</v>
      </c>
      <c r="AX213" s="449" t="s">
        <v>2200</v>
      </c>
      <c r="AY213" s="449" t="s">
        <v>2204</v>
      </c>
      <c r="AZ213" s="449" t="s">
        <v>2200</v>
      </c>
      <c r="BA213" s="449" t="s">
        <v>2205</v>
      </c>
      <c r="BB213" s="449" t="s">
        <v>2200</v>
      </c>
      <c r="BC213" s="449" t="s">
        <v>2206</v>
      </c>
      <c r="BD213" s="449" t="s">
        <v>2200</v>
      </c>
      <c r="BE213" s="449" t="s">
        <v>2207</v>
      </c>
    </row>
    <row r="214">
      <c r="A214" s="454" t="s">
        <v>934</v>
      </c>
      <c r="B214" s="456">
        <v>132.0</v>
      </c>
      <c r="C214" s="515" t="s">
        <v>934</v>
      </c>
      <c r="D214" s="644">
        <v>0.0</v>
      </c>
      <c r="E214" s="454" t="s">
        <v>934</v>
      </c>
      <c r="F214" s="457">
        <v>0.0</v>
      </c>
      <c r="G214" s="454" t="s">
        <v>934</v>
      </c>
      <c r="H214" s="457">
        <v>0.0</v>
      </c>
      <c r="I214" s="647"/>
      <c r="J214" s="632"/>
      <c r="K214" s="455"/>
      <c r="L214" s="632"/>
      <c r="M214" s="455"/>
      <c r="N214" s="632"/>
      <c r="O214" s="455"/>
      <c r="P214" s="632"/>
      <c r="Q214" s="455"/>
      <c r="R214" s="632"/>
      <c r="AN214" s="454" t="s">
        <v>934</v>
      </c>
      <c r="AO214" s="456">
        <v>0.0</v>
      </c>
      <c r="AP214" s="515" t="s">
        <v>934</v>
      </c>
      <c r="AQ214" s="644">
        <v>105.57</v>
      </c>
      <c r="AR214" s="454" t="s">
        <v>934</v>
      </c>
      <c r="AS214" s="457">
        <v>0.0</v>
      </c>
      <c r="AT214" s="454" t="s">
        <v>934</v>
      </c>
      <c r="AU214" s="457">
        <v>0.0</v>
      </c>
      <c r="AV214" s="454" t="s">
        <v>934</v>
      </c>
      <c r="AW214" s="456">
        <v>0.0</v>
      </c>
      <c r="AX214" s="454" t="s">
        <v>934</v>
      </c>
      <c r="AY214" s="456">
        <v>0.0</v>
      </c>
      <c r="AZ214" s="454" t="s">
        <v>934</v>
      </c>
      <c r="BA214" s="456">
        <v>54.0</v>
      </c>
      <c r="BB214" s="454" t="s">
        <v>934</v>
      </c>
      <c r="BC214" s="456">
        <v>0.0</v>
      </c>
      <c r="BD214" s="454" t="s">
        <v>934</v>
      </c>
      <c r="BE214" s="456">
        <v>0.0</v>
      </c>
    </row>
    <row r="215">
      <c r="A215" s="454" t="s">
        <v>938</v>
      </c>
      <c r="B215" s="456">
        <v>92.0</v>
      </c>
      <c r="C215" s="515" t="s">
        <v>938</v>
      </c>
      <c r="D215" s="644">
        <v>0.0</v>
      </c>
      <c r="E215" s="454" t="s">
        <v>938</v>
      </c>
      <c r="F215" s="457">
        <v>0.0</v>
      </c>
      <c r="G215" s="454" t="s">
        <v>938</v>
      </c>
      <c r="H215" s="457">
        <v>0.0</v>
      </c>
      <c r="I215" s="647"/>
      <c r="J215" s="632"/>
      <c r="K215" s="455"/>
      <c r="L215" s="632"/>
      <c r="M215" s="455"/>
      <c r="N215" s="632"/>
      <c r="O215" s="455"/>
      <c r="P215" s="632"/>
      <c r="Q215" s="455"/>
      <c r="R215" s="632"/>
      <c r="AN215" s="454" t="s">
        <v>938</v>
      </c>
      <c r="AO215" s="456">
        <v>0.0</v>
      </c>
      <c r="AP215" s="515" t="s">
        <v>938</v>
      </c>
      <c r="AQ215" s="644">
        <v>99.01</v>
      </c>
      <c r="AR215" s="454" t="s">
        <v>938</v>
      </c>
      <c r="AS215" s="457">
        <v>0.0</v>
      </c>
      <c r="AT215" s="454" t="s">
        <v>938</v>
      </c>
      <c r="AU215" s="457">
        <v>0.0</v>
      </c>
      <c r="AV215" s="454" t="s">
        <v>938</v>
      </c>
      <c r="AW215" s="456">
        <v>0.0</v>
      </c>
      <c r="AX215" s="454" t="s">
        <v>938</v>
      </c>
      <c r="AY215" s="456">
        <v>0.0</v>
      </c>
      <c r="AZ215" s="454" t="s">
        <v>938</v>
      </c>
      <c r="BA215" s="456">
        <v>0.0</v>
      </c>
      <c r="BB215" s="454" t="s">
        <v>938</v>
      </c>
      <c r="BC215" s="456">
        <v>44.0</v>
      </c>
      <c r="BD215" s="454" t="s">
        <v>938</v>
      </c>
      <c r="BE215" s="456">
        <v>0.0</v>
      </c>
    </row>
    <row r="216">
      <c r="A216" s="454" t="s">
        <v>936</v>
      </c>
      <c r="B216" s="456">
        <v>0.0</v>
      </c>
      <c r="C216" s="515" t="s">
        <v>936</v>
      </c>
      <c r="D216" s="537">
        <v>94.25</v>
      </c>
      <c r="E216" s="454" t="s">
        <v>936</v>
      </c>
      <c r="F216" s="457">
        <v>0.0</v>
      </c>
      <c r="G216" s="454" t="s">
        <v>936</v>
      </c>
      <c r="H216" s="457">
        <v>0.0</v>
      </c>
      <c r="I216" s="647"/>
      <c r="J216" s="632"/>
      <c r="K216" s="455"/>
      <c r="L216" s="632"/>
      <c r="M216" s="455"/>
      <c r="N216" s="632"/>
      <c r="O216" s="455"/>
      <c r="P216" s="632"/>
      <c r="Q216" s="455"/>
      <c r="R216" s="632"/>
      <c r="AN216" s="454" t="s">
        <v>936</v>
      </c>
      <c r="AO216" s="456">
        <v>0.0</v>
      </c>
      <c r="AP216" s="515" t="s">
        <v>936</v>
      </c>
      <c r="AQ216" s="537">
        <v>97.73</v>
      </c>
      <c r="AR216" s="454" t="s">
        <v>936</v>
      </c>
      <c r="AS216" s="457">
        <v>0.0</v>
      </c>
      <c r="AT216" s="454" t="s">
        <v>936</v>
      </c>
      <c r="AU216" s="457">
        <v>0.0</v>
      </c>
      <c r="AV216" s="454" t="s">
        <v>936</v>
      </c>
      <c r="AW216" s="456">
        <v>0.0</v>
      </c>
      <c r="AX216" s="454" t="s">
        <v>936</v>
      </c>
      <c r="AY216" s="456">
        <v>0.0</v>
      </c>
      <c r="AZ216" s="454" t="s">
        <v>936</v>
      </c>
      <c r="BA216" s="456">
        <v>0.0</v>
      </c>
      <c r="BB216" s="454" t="s">
        <v>936</v>
      </c>
      <c r="BC216" s="456">
        <v>0.0</v>
      </c>
      <c r="BD216" s="454" t="s">
        <v>936</v>
      </c>
      <c r="BE216" s="456">
        <v>40.0</v>
      </c>
    </row>
    <row r="217">
      <c r="A217" s="454" t="s">
        <v>941</v>
      </c>
      <c r="B217" s="456">
        <v>0.0</v>
      </c>
      <c r="C217" s="515" t="s">
        <v>941</v>
      </c>
      <c r="D217" s="457">
        <v>0.0</v>
      </c>
      <c r="E217" s="454" t="s">
        <v>941</v>
      </c>
      <c r="F217" s="457">
        <v>120.0</v>
      </c>
      <c r="G217" s="454" t="s">
        <v>941</v>
      </c>
      <c r="H217" s="457">
        <v>0.0</v>
      </c>
      <c r="I217" s="647"/>
      <c r="J217" s="632"/>
      <c r="K217" s="455"/>
      <c r="L217" s="632"/>
      <c r="M217" s="455"/>
      <c r="N217" s="632"/>
      <c r="O217" s="455"/>
      <c r="P217" s="632"/>
      <c r="Q217" s="455"/>
      <c r="R217" s="632"/>
      <c r="AN217" s="454" t="s">
        <v>941</v>
      </c>
      <c r="AO217" s="456">
        <v>0.0</v>
      </c>
      <c r="AP217" s="515" t="s">
        <v>941</v>
      </c>
      <c r="AQ217" s="457">
        <v>72.94</v>
      </c>
      <c r="AR217" s="454" t="s">
        <v>941</v>
      </c>
      <c r="AS217" s="457">
        <v>20.0</v>
      </c>
      <c r="AT217" s="454" t="s">
        <v>941</v>
      </c>
      <c r="AU217" s="457">
        <v>0.0</v>
      </c>
      <c r="AV217" s="454" t="s">
        <v>941</v>
      </c>
      <c r="AW217" s="456">
        <v>0.0</v>
      </c>
      <c r="AX217" s="454" t="s">
        <v>941</v>
      </c>
      <c r="AY217" s="456">
        <v>0.0</v>
      </c>
      <c r="AZ217" s="454" t="s">
        <v>941</v>
      </c>
      <c r="BA217" s="456">
        <v>0.0</v>
      </c>
      <c r="BB217" s="454" t="s">
        <v>941</v>
      </c>
      <c r="BC217" s="456">
        <v>0.0</v>
      </c>
      <c r="BD217" s="454" t="s">
        <v>941</v>
      </c>
      <c r="BE217" s="456">
        <v>84.0</v>
      </c>
    </row>
    <row r="218">
      <c r="A218" s="454" t="s">
        <v>946</v>
      </c>
      <c r="B218" s="456">
        <v>60.0</v>
      </c>
      <c r="C218" s="515" t="s">
        <v>946</v>
      </c>
      <c r="D218" s="457">
        <v>0.0</v>
      </c>
      <c r="E218" s="454" t="s">
        <v>946</v>
      </c>
      <c r="F218" s="457">
        <v>0.0</v>
      </c>
      <c r="G218" s="454" t="s">
        <v>946</v>
      </c>
      <c r="H218" s="457">
        <v>0.0</v>
      </c>
      <c r="I218" s="647"/>
      <c r="J218" s="632"/>
      <c r="K218" s="455"/>
      <c r="L218" s="632"/>
      <c r="M218" s="455"/>
      <c r="N218" s="632"/>
      <c r="O218" s="455"/>
      <c r="P218" s="632"/>
      <c r="Q218" s="455"/>
      <c r="R218" s="632"/>
      <c r="AN218" s="454" t="s">
        <v>946</v>
      </c>
      <c r="AO218" s="456">
        <v>0.0</v>
      </c>
      <c r="AP218" s="515" t="s">
        <v>946</v>
      </c>
      <c r="AQ218" s="457">
        <v>68.18</v>
      </c>
      <c r="AR218" s="454" t="s">
        <v>946</v>
      </c>
      <c r="AS218" s="457">
        <v>0.0</v>
      </c>
      <c r="AT218" s="454" t="s">
        <v>946</v>
      </c>
      <c r="AU218" s="457">
        <v>0.0</v>
      </c>
      <c r="AV218" s="454" t="s">
        <v>946</v>
      </c>
      <c r="AW218" s="456">
        <v>0.0</v>
      </c>
      <c r="AX218" s="454" t="s">
        <v>946</v>
      </c>
      <c r="AY218" s="456">
        <v>0.0</v>
      </c>
      <c r="AZ218" s="454" t="s">
        <v>946</v>
      </c>
      <c r="BA218" s="456">
        <v>0.0</v>
      </c>
      <c r="BB218" s="454" t="s">
        <v>946</v>
      </c>
      <c r="BC218" s="456">
        <v>0.0</v>
      </c>
      <c r="BD218" s="454" t="s">
        <v>946</v>
      </c>
      <c r="BE218" s="456">
        <v>90.0</v>
      </c>
    </row>
    <row r="219">
      <c r="A219" s="454" t="s">
        <v>956</v>
      </c>
      <c r="B219" s="456">
        <v>44.0</v>
      </c>
      <c r="C219" s="515" t="s">
        <v>956</v>
      </c>
      <c r="D219" s="457">
        <v>0.0</v>
      </c>
      <c r="E219" s="454" t="s">
        <v>956</v>
      </c>
      <c r="F219" s="457">
        <v>0.0</v>
      </c>
      <c r="G219" s="454" t="s">
        <v>956</v>
      </c>
      <c r="H219" s="457">
        <v>0.0</v>
      </c>
      <c r="I219" s="647"/>
      <c r="J219" s="632"/>
      <c r="K219" s="455"/>
      <c r="L219" s="632"/>
      <c r="M219" s="455"/>
      <c r="N219" s="632"/>
      <c r="O219" s="455"/>
      <c r="P219" s="632"/>
      <c r="Q219" s="455"/>
      <c r="R219" s="632"/>
      <c r="AN219" s="454" t="s">
        <v>956</v>
      </c>
      <c r="AO219" s="456">
        <v>0.0</v>
      </c>
      <c r="AP219" s="515" t="s">
        <v>956</v>
      </c>
      <c r="AQ219" s="457">
        <v>60.34</v>
      </c>
      <c r="AR219" s="454" t="s">
        <v>956</v>
      </c>
      <c r="AS219" s="457">
        <v>10.0</v>
      </c>
      <c r="AT219" s="454" t="s">
        <v>956</v>
      </c>
      <c r="AU219" s="457">
        <v>0.0</v>
      </c>
      <c r="AV219" s="454" t="s">
        <v>956</v>
      </c>
      <c r="AW219" s="456">
        <v>0.0</v>
      </c>
      <c r="AX219" s="454" t="s">
        <v>956</v>
      </c>
      <c r="AY219" s="456">
        <v>38.0</v>
      </c>
      <c r="AZ219" s="454" t="s">
        <v>956</v>
      </c>
      <c r="BA219" s="456">
        <v>0.0</v>
      </c>
      <c r="BB219" s="454" t="s">
        <v>956</v>
      </c>
      <c r="BC219" s="456">
        <v>0.0</v>
      </c>
      <c r="BD219" s="454" t="s">
        <v>956</v>
      </c>
      <c r="BE219" s="456">
        <v>0.0</v>
      </c>
    </row>
    <row r="220">
      <c r="A220" s="454" t="s">
        <v>962</v>
      </c>
      <c r="B220" s="456">
        <v>46.0</v>
      </c>
      <c r="C220" s="515" t="s">
        <v>962</v>
      </c>
      <c r="D220" s="457">
        <v>0.0</v>
      </c>
      <c r="E220" s="454" t="s">
        <v>962</v>
      </c>
      <c r="F220" s="457">
        <v>0.0</v>
      </c>
      <c r="G220" s="454" t="s">
        <v>962</v>
      </c>
      <c r="H220" s="457">
        <v>0.0</v>
      </c>
      <c r="I220" s="647"/>
      <c r="J220" s="632"/>
      <c r="K220" s="455"/>
      <c r="L220" s="632"/>
      <c r="M220" s="455"/>
      <c r="N220" s="632"/>
      <c r="O220" s="455"/>
      <c r="P220" s="632"/>
      <c r="Q220" s="455"/>
      <c r="R220" s="632"/>
      <c r="AN220" s="454" t="s">
        <v>962</v>
      </c>
      <c r="AO220" s="456">
        <v>0.0</v>
      </c>
      <c r="AP220" s="515" t="s">
        <v>962</v>
      </c>
      <c r="AQ220" s="457">
        <v>53.63</v>
      </c>
      <c r="AR220" s="454" t="s">
        <v>962</v>
      </c>
      <c r="AS220" s="457">
        <v>0.0</v>
      </c>
      <c r="AT220" s="454" t="s">
        <v>962</v>
      </c>
      <c r="AU220" s="457">
        <v>0.0</v>
      </c>
      <c r="AV220" s="454" t="s">
        <v>962</v>
      </c>
      <c r="AW220" s="456">
        <v>0.0</v>
      </c>
      <c r="AX220" s="454" t="s">
        <v>962</v>
      </c>
      <c r="AY220" s="456">
        <v>0.0</v>
      </c>
      <c r="AZ220" s="454" t="s">
        <v>962</v>
      </c>
      <c r="BA220" s="456">
        <v>0.0</v>
      </c>
      <c r="BB220" s="454" t="s">
        <v>962</v>
      </c>
      <c r="BC220" s="456">
        <v>0.0</v>
      </c>
      <c r="BD220" s="454" t="s">
        <v>962</v>
      </c>
      <c r="BE220" s="456">
        <v>72.0</v>
      </c>
    </row>
    <row r="221">
      <c r="A221" s="454" t="s">
        <v>2208</v>
      </c>
      <c r="B221" s="456">
        <v>120.0</v>
      </c>
      <c r="C221" s="515" t="s">
        <v>2208</v>
      </c>
      <c r="D221" s="457">
        <v>0.0</v>
      </c>
      <c r="E221" s="454" t="s">
        <v>2208</v>
      </c>
      <c r="F221" s="457">
        <v>0.0</v>
      </c>
      <c r="G221" s="454" t="s">
        <v>2208</v>
      </c>
      <c r="H221" s="457">
        <v>0.0</v>
      </c>
      <c r="I221" s="647"/>
      <c r="J221" s="632"/>
      <c r="K221" s="455"/>
      <c r="L221" s="632"/>
      <c r="M221" s="455"/>
      <c r="N221" s="632"/>
      <c r="O221" s="455"/>
      <c r="P221" s="632"/>
      <c r="Q221" s="455"/>
      <c r="R221" s="632"/>
      <c r="AN221" s="454" t="s">
        <v>2208</v>
      </c>
      <c r="AO221" s="456">
        <v>0.0</v>
      </c>
      <c r="AP221" s="515" t="s">
        <v>2208</v>
      </c>
      <c r="AQ221" s="457">
        <v>54.54</v>
      </c>
      <c r="AR221" s="454" t="s">
        <v>2208</v>
      </c>
      <c r="AS221" s="457">
        <v>0.0</v>
      </c>
      <c r="AT221" s="454" t="s">
        <v>2208</v>
      </c>
      <c r="AU221" s="457">
        <v>0.0</v>
      </c>
      <c r="AV221" s="454" t="s">
        <v>2208</v>
      </c>
      <c r="AW221" s="456">
        <v>0.0</v>
      </c>
      <c r="AX221" s="454" t="s">
        <v>2208</v>
      </c>
      <c r="AY221" s="456">
        <v>0.0</v>
      </c>
      <c r="AZ221" s="454" t="s">
        <v>2208</v>
      </c>
      <c r="BA221" s="456">
        <v>0.0</v>
      </c>
      <c r="BB221" s="454" t="s">
        <v>2208</v>
      </c>
      <c r="BC221" s="456">
        <v>0.0</v>
      </c>
      <c r="BD221" s="454" t="s">
        <v>2208</v>
      </c>
      <c r="BE221" s="456">
        <v>0.0</v>
      </c>
    </row>
    <row r="222">
      <c r="A222" s="454" t="s">
        <v>969</v>
      </c>
      <c r="B222" s="456">
        <v>39.0</v>
      </c>
      <c r="C222" s="515" t="s">
        <v>969</v>
      </c>
      <c r="D222" s="457">
        <v>0.0</v>
      </c>
      <c r="E222" s="454" t="s">
        <v>969</v>
      </c>
      <c r="F222" s="457">
        <v>0.0</v>
      </c>
      <c r="G222" s="454" t="s">
        <v>969</v>
      </c>
      <c r="H222" s="457">
        <v>0.0</v>
      </c>
      <c r="I222" s="647"/>
      <c r="J222" s="632"/>
      <c r="K222" s="455"/>
      <c r="L222" s="632"/>
      <c r="M222" s="455"/>
      <c r="N222" s="632"/>
      <c r="O222" s="455"/>
      <c r="P222" s="632"/>
      <c r="Q222" s="455"/>
      <c r="R222" s="632"/>
      <c r="AN222" s="454" t="s">
        <v>969</v>
      </c>
      <c r="AO222" s="456">
        <v>0.0</v>
      </c>
      <c r="AP222" s="515" t="s">
        <v>969</v>
      </c>
      <c r="AQ222" s="457">
        <v>46.81</v>
      </c>
      <c r="AR222" s="454" t="s">
        <v>969</v>
      </c>
      <c r="AS222" s="457">
        <v>0.0</v>
      </c>
      <c r="AT222" s="454" t="s">
        <v>969</v>
      </c>
      <c r="AU222" s="457">
        <v>0.0</v>
      </c>
      <c r="AV222" s="454" t="s">
        <v>969</v>
      </c>
      <c r="AW222" s="456">
        <v>0.0</v>
      </c>
      <c r="AX222" s="454" t="s">
        <v>969</v>
      </c>
      <c r="AY222" s="456">
        <v>32.0</v>
      </c>
      <c r="AZ222" s="454" t="s">
        <v>969</v>
      </c>
      <c r="BA222" s="456">
        <v>0.0</v>
      </c>
      <c r="BB222" s="454" t="s">
        <v>969</v>
      </c>
      <c r="BC222" s="456">
        <v>0.0</v>
      </c>
      <c r="BD222" s="454" t="s">
        <v>969</v>
      </c>
      <c r="BE222" s="456">
        <v>0.0</v>
      </c>
    </row>
    <row r="223">
      <c r="A223" s="648"/>
      <c r="B223" s="648"/>
      <c r="C223" s="648"/>
      <c r="D223" s="648"/>
      <c r="E223" s="648"/>
      <c r="F223" s="648"/>
      <c r="G223" s="648"/>
      <c r="H223" s="648"/>
      <c r="I223" s="648"/>
      <c r="M223" s="226"/>
      <c r="N223" s="226"/>
      <c r="O223" s="226"/>
      <c r="P223" s="226"/>
      <c r="AS223" s="112"/>
      <c r="AT223" s="112"/>
      <c r="AU223" s="112"/>
    </row>
    <row r="224">
      <c r="A224" s="649"/>
      <c r="B224" s="649"/>
      <c r="C224" s="649"/>
      <c r="D224" s="649"/>
      <c r="E224" s="649"/>
      <c r="F224" s="649"/>
      <c r="G224" s="649"/>
      <c r="H224" s="649"/>
      <c r="I224" s="649"/>
      <c r="M224" s="226"/>
      <c r="N224" s="226"/>
      <c r="O224" s="226"/>
      <c r="P224" s="226"/>
      <c r="AN224" s="449" t="s">
        <v>2209</v>
      </c>
      <c r="AO224" s="450" t="s">
        <v>2210</v>
      </c>
      <c r="AP224" s="449" t="s">
        <v>2211</v>
      </c>
      <c r="AQ224" s="450" t="s">
        <v>2212</v>
      </c>
      <c r="AR224" s="449" t="s">
        <v>2213</v>
      </c>
      <c r="AS224" s="450" t="s">
        <v>2214</v>
      </c>
      <c r="AT224" s="449" t="s">
        <v>2215</v>
      </c>
      <c r="AU224" s="450" t="s">
        <v>2216</v>
      </c>
      <c r="AV224" s="449" t="s">
        <v>2215</v>
      </c>
      <c r="AW224" s="450" t="s">
        <v>2217</v>
      </c>
      <c r="AX224" s="449" t="s">
        <v>2215</v>
      </c>
      <c r="AY224" s="450" t="s">
        <v>2218</v>
      </c>
      <c r="AZ224" s="449" t="s">
        <v>2215</v>
      </c>
      <c r="BA224" s="450" t="s">
        <v>2219</v>
      </c>
      <c r="BB224" s="449" t="s">
        <v>2215</v>
      </c>
      <c r="BC224" s="450" t="s">
        <v>2220</v>
      </c>
      <c r="BD224" s="449" t="s">
        <v>2215</v>
      </c>
      <c r="BE224" s="450" t="s">
        <v>2221</v>
      </c>
    </row>
    <row r="225">
      <c r="A225" s="649"/>
      <c r="B225" s="649"/>
      <c r="C225" s="649"/>
      <c r="D225" s="649"/>
      <c r="E225" s="649"/>
      <c r="F225" s="649"/>
      <c r="G225" s="649"/>
      <c r="H225" s="649"/>
      <c r="I225" s="649"/>
      <c r="M225" s="226"/>
      <c r="N225" s="226"/>
      <c r="O225" s="226"/>
      <c r="P225" s="226"/>
      <c r="AN225" s="456" t="s">
        <v>658</v>
      </c>
      <c r="AO225" s="457">
        <v>0.0</v>
      </c>
      <c r="AP225" s="456" t="s">
        <v>658</v>
      </c>
      <c r="AQ225" s="457">
        <v>1.0</v>
      </c>
      <c r="AR225" s="456" t="s">
        <v>658</v>
      </c>
      <c r="AS225" s="457">
        <v>0.0</v>
      </c>
      <c r="AT225" s="456" t="s">
        <v>658</v>
      </c>
      <c r="AU225" s="537" t="s">
        <v>2222</v>
      </c>
      <c r="AV225" s="456" t="s">
        <v>658</v>
      </c>
      <c r="AW225" s="457">
        <v>0.0</v>
      </c>
      <c r="AX225" s="456" t="s">
        <v>658</v>
      </c>
      <c r="AY225" s="457">
        <v>0.0</v>
      </c>
      <c r="AZ225" s="456" t="s">
        <v>658</v>
      </c>
      <c r="BA225" s="457">
        <v>0.0</v>
      </c>
      <c r="BB225" s="456" t="s">
        <v>658</v>
      </c>
      <c r="BC225" s="457">
        <v>4.0</v>
      </c>
      <c r="BD225" s="456" t="s">
        <v>658</v>
      </c>
      <c r="BE225" s="457">
        <v>0.0</v>
      </c>
    </row>
    <row r="226">
      <c r="A226" s="449" t="s">
        <v>2223</v>
      </c>
      <c r="B226" s="450" t="s">
        <v>2224</v>
      </c>
      <c r="C226" s="449" t="s">
        <v>2062</v>
      </c>
      <c r="D226" s="450" t="s">
        <v>562</v>
      </c>
      <c r="E226" s="449"/>
      <c r="F226" s="450" t="s">
        <v>1920</v>
      </c>
      <c r="G226" s="618"/>
      <c r="H226" s="618"/>
      <c r="I226" s="618"/>
      <c r="M226" s="226"/>
      <c r="N226" s="226"/>
      <c r="O226" s="226"/>
      <c r="P226" s="226"/>
      <c r="AN226" s="456" t="s">
        <v>662</v>
      </c>
      <c r="AO226" s="457">
        <v>0.0</v>
      </c>
      <c r="AP226" s="456" t="s">
        <v>662</v>
      </c>
      <c r="AQ226" s="457">
        <v>0.0</v>
      </c>
      <c r="AR226" s="456" t="s">
        <v>662</v>
      </c>
      <c r="AS226" s="457">
        <v>0.0</v>
      </c>
      <c r="AT226" s="456" t="s">
        <v>662</v>
      </c>
      <c r="AU226" s="457"/>
      <c r="AV226" s="456" t="s">
        <v>662</v>
      </c>
      <c r="AW226" s="457">
        <v>0.0</v>
      </c>
      <c r="AX226" s="456" t="s">
        <v>662</v>
      </c>
      <c r="AY226" s="457">
        <v>0.0</v>
      </c>
      <c r="AZ226" s="456" t="s">
        <v>662</v>
      </c>
      <c r="BA226" s="457">
        <v>0.0</v>
      </c>
      <c r="BB226" s="456" t="s">
        <v>662</v>
      </c>
      <c r="BC226" s="457">
        <v>0.0</v>
      </c>
      <c r="BD226" s="456" t="s">
        <v>662</v>
      </c>
      <c r="BE226" s="457">
        <v>0.0</v>
      </c>
    </row>
    <row r="227">
      <c r="A227" s="454" t="s">
        <v>1008</v>
      </c>
      <c r="B227" s="457">
        <v>0.0</v>
      </c>
      <c r="C227" s="454" t="s">
        <v>1008</v>
      </c>
      <c r="D227" s="457">
        <v>0.0</v>
      </c>
      <c r="E227" s="454" t="s">
        <v>1008</v>
      </c>
      <c r="F227" s="457">
        <v>0.0</v>
      </c>
      <c r="G227" s="618"/>
      <c r="H227" s="618"/>
      <c r="I227" s="618"/>
      <c r="M227" s="226"/>
      <c r="N227" s="226"/>
      <c r="O227" s="226"/>
      <c r="P227" s="226"/>
      <c r="AN227" s="456" t="s">
        <v>664</v>
      </c>
      <c r="AO227" s="457">
        <v>0.0</v>
      </c>
      <c r="AP227" s="456" t="s">
        <v>664</v>
      </c>
      <c r="AQ227" s="457">
        <v>0.0</v>
      </c>
      <c r="AR227" s="456" t="s">
        <v>664</v>
      </c>
      <c r="AS227" s="457">
        <v>0.0</v>
      </c>
      <c r="AT227" s="456" t="s">
        <v>664</v>
      </c>
      <c r="AU227" s="457"/>
      <c r="AV227" s="456" t="s">
        <v>664</v>
      </c>
      <c r="AW227" s="457">
        <v>0.0</v>
      </c>
      <c r="AX227" s="456" t="s">
        <v>664</v>
      </c>
      <c r="AY227" s="457">
        <v>0.0</v>
      </c>
      <c r="AZ227" s="456" t="s">
        <v>664</v>
      </c>
      <c r="BA227" s="457">
        <v>0.0</v>
      </c>
      <c r="BB227" s="456" t="s">
        <v>664</v>
      </c>
      <c r="BC227" s="457">
        <v>0.0</v>
      </c>
      <c r="BD227" s="456" t="s">
        <v>664</v>
      </c>
      <c r="BE227" s="457">
        <v>0.0</v>
      </c>
    </row>
    <row r="228">
      <c r="A228" s="454" t="s">
        <v>1009</v>
      </c>
      <c r="B228" s="457">
        <v>0.0</v>
      </c>
      <c r="C228" s="454" t="s">
        <v>1009</v>
      </c>
      <c r="D228" s="457">
        <v>0.0</v>
      </c>
      <c r="E228" s="454" t="s">
        <v>1009</v>
      </c>
      <c r="F228" s="457">
        <v>0.0</v>
      </c>
      <c r="G228" s="618"/>
      <c r="H228" s="618"/>
      <c r="I228" s="618"/>
      <c r="M228" s="226"/>
      <c r="N228" s="226"/>
      <c r="O228" s="226"/>
      <c r="P228" s="226"/>
      <c r="AN228" s="456" t="s">
        <v>666</v>
      </c>
      <c r="AO228" s="457">
        <v>0.0</v>
      </c>
      <c r="AP228" s="456" t="s">
        <v>666</v>
      </c>
      <c r="AQ228" s="457">
        <v>0.0</v>
      </c>
      <c r="AR228" s="456" t="s">
        <v>666</v>
      </c>
      <c r="AS228" s="457">
        <v>0.0</v>
      </c>
      <c r="AT228" s="456" t="s">
        <v>666</v>
      </c>
      <c r="AU228" s="457"/>
      <c r="AV228" s="456" t="s">
        <v>666</v>
      </c>
      <c r="AW228" s="457">
        <v>0.0</v>
      </c>
      <c r="AX228" s="456" t="s">
        <v>666</v>
      </c>
      <c r="AY228" s="457">
        <v>0.0</v>
      </c>
      <c r="AZ228" s="456" t="s">
        <v>666</v>
      </c>
      <c r="BA228" s="457">
        <v>0.0</v>
      </c>
      <c r="BB228" s="456" t="s">
        <v>666</v>
      </c>
      <c r="BC228" s="457">
        <v>0.0</v>
      </c>
      <c r="BD228" s="456" t="s">
        <v>666</v>
      </c>
      <c r="BE228" s="457">
        <v>0.0</v>
      </c>
    </row>
    <row r="229">
      <c r="A229" s="454" t="s">
        <v>1011</v>
      </c>
      <c r="B229" s="457">
        <v>0.0</v>
      </c>
      <c r="C229" s="454" t="s">
        <v>1011</v>
      </c>
      <c r="D229" s="457">
        <v>0.0</v>
      </c>
      <c r="E229" s="454" t="s">
        <v>1011</v>
      </c>
      <c r="F229" s="457">
        <v>0.0</v>
      </c>
      <c r="G229" s="618"/>
      <c r="H229" s="618"/>
      <c r="I229" s="618"/>
      <c r="M229" s="226"/>
      <c r="N229" s="226"/>
      <c r="O229" s="226"/>
      <c r="P229" s="226"/>
      <c r="AN229" s="456" t="s">
        <v>668</v>
      </c>
      <c r="AO229" s="457">
        <v>0.0</v>
      </c>
      <c r="AP229" s="456" t="s">
        <v>668</v>
      </c>
      <c r="AQ229" s="457">
        <v>0.0</v>
      </c>
      <c r="AR229" s="456" t="s">
        <v>668</v>
      </c>
      <c r="AS229" s="457">
        <v>1.0</v>
      </c>
      <c r="AT229" s="456" t="s">
        <v>668</v>
      </c>
      <c r="AU229" s="537" t="s">
        <v>2225</v>
      </c>
      <c r="AV229" s="456" t="s">
        <v>668</v>
      </c>
      <c r="AW229" s="457">
        <v>0.0</v>
      </c>
      <c r="AX229" s="456" t="s">
        <v>668</v>
      </c>
      <c r="AY229" s="457">
        <v>0.0</v>
      </c>
      <c r="AZ229" s="456" t="s">
        <v>668</v>
      </c>
      <c r="BA229" s="457">
        <v>0.0</v>
      </c>
      <c r="BB229" s="456" t="s">
        <v>668</v>
      </c>
      <c r="BC229" s="457">
        <v>0.0</v>
      </c>
      <c r="BD229" s="456" t="s">
        <v>668</v>
      </c>
      <c r="BE229" s="457">
        <v>0.0</v>
      </c>
    </row>
    <row r="230">
      <c r="A230" s="454" t="s">
        <v>1012</v>
      </c>
      <c r="B230" s="457">
        <v>0.0</v>
      </c>
      <c r="C230" s="454" t="s">
        <v>1012</v>
      </c>
      <c r="D230" s="457">
        <v>0.0</v>
      </c>
      <c r="E230" s="454" t="s">
        <v>1012</v>
      </c>
      <c r="F230" s="457">
        <v>0.0</v>
      </c>
      <c r="G230" s="618"/>
      <c r="H230" s="618"/>
      <c r="I230" s="618"/>
      <c r="M230" s="226"/>
      <c r="N230" s="226"/>
      <c r="O230" s="226"/>
      <c r="P230" s="226"/>
      <c r="AN230" s="456" t="s">
        <v>672</v>
      </c>
      <c r="AO230" s="457">
        <v>0.0</v>
      </c>
      <c r="AP230" s="456" t="s">
        <v>672</v>
      </c>
      <c r="AQ230" s="457">
        <v>1.0</v>
      </c>
      <c r="AR230" s="456" t="s">
        <v>672</v>
      </c>
      <c r="AS230" s="457">
        <v>0.0</v>
      </c>
      <c r="AT230" s="456" t="s">
        <v>672</v>
      </c>
      <c r="AU230" s="537" t="s">
        <v>674</v>
      </c>
      <c r="AV230" s="456" t="s">
        <v>672</v>
      </c>
      <c r="AW230" s="457">
        <v>0.0</v>
      </c>
      <c r="AX230" s="456" t="s">
        <v>672</v>
      </c>
      <c r="AY230" s="457">
        <v>0.0</v>
      </c>
      <c r="AZ230" s="456" t="s">
        <v>672</v>
      </c>
      <c r="BA230" s="457">
        <v>0.0</v>
      </c>
      <c r="BB230" s="456" t="s">
        <v>672</v>
      </c>
      <c r="BC230" s="457">
        <v>0.0</v>
      </c>
      <c r="BD230" s="456" t="s">
        <v>672</v>
      </c>
      <c r="BE230" s="457">
        <v>0.0</v>
      </c>
    </row>
    <row r="231">
      <c r="A231" s="454" t="s">
        <v>1013</v>
      </c>
      <c r="B231" s="457">
        <v>0.0</v>
      </c>
      <c r="C231" s="454" t="s">
        <v>1013</v>
      </c>
      <c r="D231" s="457">
        <v>0.0</v>
      </c>
      <c r="E231" s="454" t="s">
        <v>1013</v>
      </c>
      <c r="F231" s="457">
        <v>0.0</v>
      </c>
      <c r="G231" s="618"/>
      <c r="H231" s="618"/>
      <c r="I231" s="618"/>
      <c r="M231" s="226"/>
      <c r="N231" s="226"/>
      <c r="O231" s="226"/>
      <c r="P231" s="226"/>
      <c r="AN231" s="456" t="s">
        <v>680</v>
      </c>
      <c r="AO231" s="457">
        <v>0.0</v>
      </c>
      <c r="AP231" s="456" t="s">
        <v>680</v>
      </c>
      <c r="AQ231" s="457">
        <v>0.0</v>
      </c>
      <c r="AR231" s="456" t="s">
        <v>680</v>
      </c>
      <c r="AS231" s="457">
        <v>0.0</v>
      </c>
      <c r="AT231" s="469" t="s">
        <v>680</v>
      </c>
      <c r="AU231" s="457"/>
      <c r="AV231" s="456" t="s">
        <v>680</v>
      </c>
      <c r="AW231" s="457">
        <v>0.0</v>
      </c>
      <c r="AX231" s="458" t="s">
        <v>680</v>
      </c>
      <c r="AY231" s="457">
        <v>0.0</v>
      </c>
      <c r="AZ231" s="456" t="s">
        <v>680</v>
      </c>
      <c r="BA231" s="457">
        <v>0.0</v>
      </c>
      <c r="BB231" s="456" t="s">
        <v>680</v>
      </c>
      <c r="BC231" s="457">
        <v>0.0</v>
      </c>
      <c r="BD231" s="456" t="s">
        <v>680</v>
      </c>
      <c r="BE231" s="457">
        <v>0.0</v>
      </c>
    </row>
    <row r="232">
      <c r="A232" s="454" t="s">
        <v>1018</v>
      </c>
      <c r="B232" s="457">
        <v>0.0</v>
      </c>
      <c r="C232" s="454" t="s">
        <v>1018</v>
      </c>
      <c r="D232" s="457">
        <v>0.0</v>
      </c>
      <c r="E232" s="454" t="s">
        <v>1018</v>
      </c>
      <c r="F232" s="457">
        <v>0.0</v>
      </c>
      <c r="G232" s="618"/>
      <c r="H232" s="618"/>
      <c r="I232" s="618"/>
      <c r="M232" s="226"/>
      <c r="N232" s="226"/>
      <c r="O232" s="226"/>
      <c r="P232" s="226"/>
      <c r="AN232" s="456" t="s">
        <v>686</v>
      </c>
      <c r="AO232" s="457">
        <v>0.0</v>
      </c>
      <c r="AP232" s="456" t="s">
        <v>686</v>
      </c>
      <c r="AQ232" s="457">
        <v>0.0</v>
      </c>
      <c r="AR232" s="456" t="s">
        <v>686</v>
      </c>
      <c r="AS232" s="457">
        <v>0.0</v>
      </c>
      <c r="AT232" s="469" t="s">
        <v>686</v>
      </c>
      <c r="AU232" s="457"/>
      <c r="AV232" s="456" t="s">
        <v>686</v>
      </c>
      <c r="AW232" s="457">
        <v>0.0</v>
      </c>
      <c r="AX232" s="458" t="s">
        <v>686</v>
      </c>
      <c r="AY232" s="457">
        <v>0.0</v>
      </c>
      <c r="AZ232" s="456" t="s">
        <v>686</v>
      </c>
      <c r="BA232" s="457">
        <v>0.0</v>
      </c>
      <c r="BB232" s="456" t="s">
        <v>686</v>
      </c>
      <c r="BC232" s="457">
        <v>0.0</v>
      </c>
      <c r="BD232" s="456" t="s">
        <v>686</v>
      </c>
      <c r="BE232" s="457">
        <v>0.0</v>
      </c>
    </row>
    <row r="233">
      <c r="A233" s="454" t="s">
        <v>1055</v>
      </c>
      <c r="B233" s="457">
        <v>80.56</v>
      </c>
      <c r="C233" s="454" t="s">
        <v>1055</v>
      </c>
      <c r="D233" s="457">
        <v>0.0</v>
      </c>
      <c r="E233" s="454" t="s">
        <v>1055</v>
      </c>
      <c r="F233" s="457">
        <v>0.0</v>
      </c>
      <c r="G233" s="618"/>
      <c r="H233" s="618"/>
      <c r="I233" s="618"/>
      <c r="M233" s="226"/>
      <c r="N233" s="226"/>
      <c r="O233" s="226"/>
      <c r="P233" s="226"/>
    </row>
    <row r="234">
      <c r="A234" s="454" t="s">
        <v>1019</v>
      </c>
      <c r="B234" s="457">
        <v>0.0</v>
      </c>
      <c r="C234" s="454" t="s">
        <v>1019</v>
      </c>
      <c r="D234" s="457">
        <v>0.0</v>
      </c>
      <c r="E234" s="454" t="s">
        <v>1019</v>
      </c>
      <c r="F234" s="457">
        <v>0.0</v>
      </c>
      <c r="G234" s="618"/>
      <c r="H234" s="618"/>
      <c r="I234" s="618"/>
      <c r="M234" s="226"/>
      <c r="N234" s="226"/>
      <c r="O234" s="226"/>
      <c r="P234" s="226"/>
    </row>
    <row r="235">
      <c r="A235" s="454" t="s">
        <v>1026</v>
      </c>
      <c r="B235" s="457">
        <v>0.0</v>
      </c>
      <c r="C235" s="454" t="s">
        <v>1026</v>
      </c>
      <c r="D235" s="457">
        <v>0.0</v>
      </c>
      <c r="E235" s="454" t="s">
        <v>1026</v>
      </c>
      <c r="F235" s="457">
        <v>0.0</v>
      </c>
      <c r="G235" s="618"/>
      <c r="H235" s="618"/>
      <c r="I235" s="618"/>
      <c r="M235" s="226"/>
      <c r="N235" s="226"/>
      <c r="O235" s="226"/>
      <c r="P235" s="226"/>
      <c r="AN235" s="449" t="s">
        <v>2226</v>
      </c>
      <c r="AO235" s="450" t="s">
        <v>2226</v>
      </c>
      <c r="AP235" s="449" t="s">
        <v>2227</v>
      </c>
      <c r="AQ235" s="450" t="s">
        <v>2228</v>
      </c>
      <c r="AR235" s="449" t="s">
        <v>2229</v>
      </c>
      <c r="AS235" s="450" t="s">
        <v>2229</v>
      </c>
      <c r="AT235" s="449" t="s">
        <v>2230</v>
      </c>
      <c r="AU235" s="450" t="s">
        <v>2230</v>
      </c>
      <c r="AV235" s="449" t="s">
        <v>2230</v>
      </c>
      <c r="AW235" s="450" t="s">
        <v>2231</v>
      </c>
      <c r="AX235" s="449" t="s">
        <v>2230</v>
      </c>
      <c r="AY235" s="450" t="s">
        <v>2232</v>
      </c>
      <c r="AZ235" s="449" t="s">
        <v>2230</v>
      </c>
      <c r="BA235" s="450" t="s">
        <v>2233</v>
      </c>
      <c r="BB235" s="449" t="s">
        <v>2230</v>
      </c>
      <c r="BC235" s="450" t="s">
        <v>2234</v>
      </c>
      <c r="BD235" s="449" t="s">
        <v>2230</v>
      </c>
      <c r="BE235" s="450" t="s">
        <v>2235</v>
      </c>
    </row>
    <row r="236">
      <c r="A236" s="454" t="s">
        <v>1024</v>
      </c>
      <c r="B236" s="457">
        <v>0.0</v>
      </c>
      <c r="C236" s="454" t="s">
        <v>1024</v>
      </c>
      <c r="D236" s="457">
        <v>0.0</v>
      </c>
      <c r="E236" s="454" t="s">
        <v>1024</v>
      </c>
      <c r="F236" s="457">
        <v>0.0</v>
      </c>
      <c r="G236" s="618"/>
      <c r="H236" s="618"/>
      <c r="I236" s="618"/>
      <c r="M236" s="226"/>
      <c r="N236" s="226"/>
      <c r="O236" s="226"/>
      <c r="P236" s="226"/>
      <c r="AN236" s="456" t="s">
        <v>694</v>
      </c>
      <c r="AO236" s="457">
        <v>1.0</v>
      </c>
      <c r="AP236" s="456" t="s">
        <v>694</v>
      </c>
      <c r="AQ236" s="457">
        <v>0.0</v>
      </c>
      <c r="AR236" s="456" t="s">
        <v>694</v>
      </c>
      <c r="AS236" s="457">
        <v>1.0</v>
      </c>
      <c r="AT236" s="456" t="s">
        <v>694</v>
      </c>
      <c r="AU236" s="537" t="s">
        <v>2236</v>
      </c>
      <c r="AV236" s="456" t="s">
        <v>694</v>
      </c>
      <c r="AW236" s="457">
        <v>0.0</v>
      </c>
      <c r="AX236" s="456" t="s">
        <v>694</v>
      </c>
      <c r="AY236" s="457">
        <v>0.0</v>
      </c>
      <c r="AZ236" s="456" t="s">
        <v>694</v>
      </c>
      <c r="BA236" s="457">
        <v>0.0</v>
      </c>
      <c r="BB236" s="456" t="s">
        <v>694</v>
      </c>
      <c r="BC236" s="457">
        <v>0.0</v>
      </c>
      <c r="BD236" s="456" t="s">
        <v>694</v>
      </c>
      <c r="BE236" s="457">
        <v>0.0</v>
      </c>
    </row>
    <row r="237">
      <c r="A237" s="454" t="s">
        <v>1020</v>
      </c>
      <c r="B237" s="457">
        <v>0.0</v>
      </c>
      <c r="C237" s="454" t="s">
        <v>1020</v>
      </c>
      <c r="D237" s="457">
        <v>0.0</v>
      </c>
      <c r="E237" s="454" t="s">
        <v>1020</v>
      </c>
      <c r="F237" s="457">
        <v>0.0</v>
      </c>
      <c r="G237" s="618"/>
      <c r="H237" s="618"/>
      <c r="I237" s="618"/>
      <c r="M237" s="226"/>
      <c r="N237" s="226"/>
      <c r="O237" s="226"/>
      <c r="P237" s="226"/>
      <c r="AN237" s="456" t="s">
        <v>696</v>
      </c>
      <c r="AO237" s="457">
        <v>2.0</v>
      </c>
      <c r="AP237" s="456" t="s">
        <v>696</v>
      </c>
      <c r="AQ237" s="457">
        <v>0.0</v>
      </c>
      <c r="AR237" s="456" t="s">
        <v>696</v>
      </c>
      <c r="AS237" s="457">
        <v>0.0</v>
      </c>
      <c r="AT237" s="456" t="s">
        <v>696</v>
      </c>
      <c r="AU237" s="537" t="s">
        <v>2236</v>
      </c>
      <c r="AV237" s="456" t="s">
        <v>696</v>
      </c>
      <c r="AW237" s="457">
        <v>0.0</v>
      </c>
      <c r="AX237" s="456" t="s">
        <v>696</v>
      </c>
      <c r="AY237" s="457">
        <v>3.0</v>
      </c>
      <c r="AZ237" s="456" t="s">
        <v>696</v>
      </c>
      <c r="BA237" s="457">
        <v>0.0</v>
      </c>
      <c r="BB237" s="456" t="s">
        <v>696</v>
      </c>
      <c r="BC237" s="457">
        <v>0.0</v>
      </c>
      <c r="BD237" s="456" t="s">
        <v>696</v>
      </c>
      <c r="BE237" s="457">
        <v>0.0</v>
      </c>
    </row>
    <row r="238">
      <c r="A238" s="454" t="s">
        <v>1022</v>
      </c>
      <c r="B238" s="457">
        <v>0.0</v>
      </c>
      <c r="C238" s="454" t="s">
        <v>1022</v>
      </c>
      <c r="D238" s="457">
        <v>0.0</v>
      </c>
      <c r="E238" s="454" t="s">
        <v>1022</v>
      </c>
      <c r="F238" s="457">
        <v>0.0</v>
      </c>
      <c r="G238" s="618"/>
      <c r="H238" s="618"/>
      <c r="I238" s="618"/>
      <c r="M238" s="226"/>
      <c r="N238" s="226"/>
      <c r="O238" s="226"/>
      <c r="P238" s="226"/>
      <c r="AN238" s="456" t="s">
        <v>697</v>
      </c>
      <c r="AO238" s="457">
        <v>1.0</v>
      </c>
      <c r="AP238" s="456" t="s">
        <v>697</v>
      </c>
      <c r="AQ238" s="457">
        <v>1.0</v>
      </c>
      <c r="AR238" s="456" t="s">
        <v>697</v>
      </c>
      <c r="AS238" s="457">
        <v>0.0</v>
      </c>
      <c r="AT238" s="456" t="s">
        <v>697</v>
      </c>
      <c r="AU238" s="537" t="s">
        <v>2237</v>
      </c>
      <c r="AV238" s="456" t="s">
        <v>697</v>
      </c>
      <c r="AW238" s="457">
        <v>3.0</v>
      </c>
      <c r="AX238" s="456" t="s">
        <v>697</v>
      </c>
      <c r="AY238" s="457">
        <v>0.0</v>
      </c>
      <c r="AZ238" s="456" t="s">
        <v>697</v>
      </c>
      <c r="BA238" s="457">
        <v>0.0</v>
      </c>
      <c r="BB238" s="456" t="s">
        <v>697</v>
      </c>
      <c r="BC238" s="457">
        <v>0.0</v>
      </c>
      <c r="BD238" s="456" t="s">
        <v>697</v>
      </c>
      <c r="BE238" s="457">
        <v>0.0</v>
      </c>
    </row>
    <row r="239">
      <c r="A239" s="454" t="s">
        <v>1028</v>
      </c>
      <c r="B239" s="536">
        <v>0.0</v>
      </c>
      <c r="C239" s="515" t="s">
        <v>1028</v>
      </c>
      <c r="D239" s="457">
        <v>0.0</v>
      </c>
      <c r="E239" s="454" t="s">
        <v>1028</v>
      </c>
      <c r="F239" s="457">
        <v>0.0</v>
      </c>
      <c r="G239" s="618"/>
      <c r="H239" s="618"/>
      <c r="I239" s="618"/>
      <c r="M239" s="226"/>
      <c r="N239" s="226"/>
      <c r="O239" s="226"/>
      <c r="P239" s="226"/>
      <c r="AN239" s="456" t="s">
        <v>700</v>
      </c>
      <c r="AO239" s="457">
        <v>0.0</v>
      </c>
      <c r="AP239" s="456" t="s">
        <v>700</v>
      </c>
      <c r="AQ239" s="457">
        <v>1.0</v>
      </c>
      <c r="AR239" s="456" t="s">
        <v>700</v>
      </c>
      <c r="AS239" s="457">
        <v>1.0</v>
      </c>
      <c r="AT239" s="456" t="s">
        <v>700</v>
      </c>
      <c r="AU239" s="537" t="s">
        <v>2238</v>
      </c>
      <c r="AV239" s="456" t="s">
        <v>700</v>
      </c>
      <c r="AW239" s="457">
        <v>0.0</v>
      </c>
      <c r="AX239" s="456" t="s">
        <v>700</v>
      </c>
      <c r="AY239" s="457">
        <v>0.0</v>
      </c>
      <c r="AZ239" s="456" t="s">
        <v>700</v>
      </c>
      <c r="BA239" s="457">
        <v>3.0</v>
      </c>
      <c r="BB239" s="456" t="s">
        <v>700</v>
      </c>
      <c r="BC239" s="457">
        <v>0.0</v>
      </c>
      <c r="BD239" s="456" t="s">
        <v>700</v>
      </c>
      <c r="BE239" s="457">
        <v>0.0</v>
      </c>
    </row>
    <row r="240">
      <c r="A240" s="454" t="s">
        <v>1031</v>
      </c>
      <c r="B240" s="536">
        <v>0.0</v>
      </c>
      <c r="C240" s="515" t="s">
        <v>1031</v>
      </c>
      <c r="D240" s="457">
        <v>0.0</v>
      </c>
      <c r="E240" s="454" t="s">
        <v>1031</v>
      </c>
      <c r="F240" s="457">
        <v>0.0</v>
      </c>
      <c r="G240" s="618"/>
      <c r="H240" s="618"/>
      <c r="I240" s="618"/>
      <c r="M240" s="226"/>
      <c r="N240" s="226"/>
      <c r="O240" s="226"/>
      <c r="P240" s="226"/>
      <c r="AN240" s="456" t="s">
        <v>1969</v>
      </c>
      <c r="AO240" s="457">
        <v>0.0</v>
      </c>
      <c r="AP240" s="456" t="s">
        <v>1969</v>
      </c>
      <c r="AQ240" s="457">
        <v>0.0</v>
      </c>
      <c r="AR240" s="456" t="s">
        <v>1969</v>
      </c>
      <c r="AS240" s="457">
        <v>0.0</v>
      </c>
      <c r="AT240" s="456" t="s">
        <v>1969</v>
      </c>
      <c r="AU240" s="537"/>
      <c r="AV240" s="456" t="s">
        <v>1969</v>
      </c>
      <c r="AW240" s="457">
        <v>0.0</v>
      </c>
      <c r="AX240" s="456" t="s">
        <v>1969</v>
      </c>
      <c r="AY240" s="457">
        <v>0.0</v>
      </c>
      <c r="AZ240" s="456" t="s">
        <v>1969</v>
      </c>
      <c r="BA240" s="457">
        <v>0.0</v>
      </c>
      <c r="BB240" s="456" t="s">
        <v>1969</v>
      </c>
      <c r="BC240" s="457">
        <v>0.0</v>
      </c>
      <c r="BD240" s="456" t="s">
        <v>1969</v>
      </c>
      <c r="BE240" s="457">
        <v>0.0</v>
      </c>
    </row>
    <row r="241">
      <c r="A241" s="454" t="s">
        <v>1033</v>
      </c>
      <c r="B241" s="536">
        <v>0.0</v>
      </c>
      <c r="C241" s="515" t="s">
        <v>1033</v>
      </c>
      <c r="D241" s="457">
        <v>0.0</v>
      </c>
      <c r="E241" s="454" t="s">
        <v>1033</v>
      </c>
      <c r="F241" s="457">
        <v>0.0</v>
      </c>
      <c r="G241" s="618"/>
      <c r="H241" s="618"/>
      <c r="I241" s="618"/>
      <c r="M241" s="226"/>
      <c r="N241" s="226"/>
      <c r="O241" s="226"/>
      <c r="P241" s="226"/>
      <c r="AN241" s="456" t="s">
        <v>703</v>
      </c>
      <c r="AO241" s="457">
        <v>1.0</v>
      </c>
      <c r="AP241" s="456" t="s">
        <v>703</v>
      </c>
      <c r="AQ241" s="457">
        <v>1.0</v>
      </c>
      <c r="AR241" s="456" t="s">
        <v>703</v>
      </c>
      <c r="AS241" s="457">
        <v>0.0</v>
      </c>
      <c r="AT241" s="456" t="s">
        <v>703</v>
      </c>
      <c r="AU241" s="537" t="s">
        <v>2238</v>
      </c>
      <c r="AV241" s="456" t="s">
        <v>703</v>
      </c>
      <c r="AW241" s="457">
        <v>0.0</v>
      </c>
      <c r="AX241" s="456" t="s">
        <v>703</v>
      </c>
      <c r="AY241" s="457">
        <v>0.0</v>
      </c>
      <c r="AZ241" s="456" t="s">
        <v>703</v>
      </c>
      <c r="BA241" s="457">
        <v>3.0</v>
      </c>
      <c r="BB241" s="456" t="s">
        <v>703</v>
      </c>
      <c r="BC241" s="457">
        <v>0.0</v>
      </c>
      <c r="BD241" s="456" t="s">
        <v>703</v>
      </c>
      <c r="BE241" s="457">
        <v>0.0</v>
      </c>
    </row>
    <row r="242">
      <c r="A242" s="454" t="s">
        <v>1035</v>
      </c>
      <c r="B242" s="536">
        <v>0.0</v>
      </c>
      <c r="C242" s="515" t="s">
        <v>1035</v>
      </c>
      <c r="D242" s="457">
        <v>0.0</v>
      </c>
      <c r="E242" s="454" t="s">
        <v>1035</v>
      </c>
      <c r="F242" s="457">
        <v>0.0</v>
      </c>
      <c r="G242" s="618"/>
      <c r="H242" s="618"/>
      <c r="I242" s="618"/>
      <c r="M242" s="226"/>
      <c r="N242" s="226"/>
      <c r="O242" s="226"/>
      <c r="P242" s="226"/>
      <c r="AN242" s="456" t="s">
        <v>707</v>
      </c>
      <c r="AO242" s="457">
        <v>0.0</v>
      </c>
      <c r="AP242" s="456" t="s">
        <v>707</v>
      </c>
      <c r="AQ242" s="457">
        <v>2.0</v>
      </c>
      <c r="AR242" s="456" t="s">
        <v>707</v>
      </c>
      <c r="AS242" s="457">
        <v>0.0</v>
      </c>
      <c r="AT242" s="456" t="s">
        <v>707</v>
      </c>
      <c r="AU242" s="537" t="s">
        <v>2237</v>
      </c>
      <c r="AV242" s="456" t="s">
        <v>707</v>
      </c>
      <c r="AW242" s="457">
        <v>3.0</v>
      </c>
      <c r="AX242" s="456" t="s">
        <v>707</v>
      </c>
      <c r="AY242" s="457">
        <v>0.0</v>
      </c>
      <c r="AZ242" s="456" t="s">
        <v>707</v>
      </c>
      <c r="BA242" s="457">
        <v>0.0</v>
      </c>
      <c r="BB242" s="456" t="s">
        <v>707</v>
      </c>
      <c r="BC242" s="457">
        <v>0.0</v>
      </c>
      <c r="BD242" s="456" t="s">
        <v>707</v>
      </c>
      <c r="BE242" s="457">
        <v>0.0</v>
      </c>
    </row>
    <row r="243">
      <c r="A243" s="618"/>
      <c r="B243" s="618"/>
      <c r="C243" s="618"/>
      <c r="D243" s="618"/>
      <c r="E243" s="618"/>
      <c r="F243" s="618"/>
      <c r="G243" s="618"/>
      <c r="H243" s="618"/>
      <c r="I243" s="618"/>
      <c r="M243" s="226"/>
      <c r="N243" s="226"/>
      <c r="O243" s="226"/>
      <c r="P243" s="226"/>
      <c r="AN243" s="456" t="s">
        <v>709</v>
      </c>
      <c r="AO243" s="457">
        <v>1.0</v>
      </c>
      <c r="AP243" s="456" t="s">
        <v>709</v>
      </c>
      <c r="AQ243" s="457">
        <v>0.0</v>
      </c>
      <c r="AR243" s="456" t="s">
        <v>709</v>
      </c>
      <c r="AS243" s="457">
        <v>0.0</v>
      </c>
      <c r="AT243" s="456" t="s">
        <v>709</v>
      </c>
      <c r="AU243" s="537" t="s">
        <v>2239</v>
      </c>
      <c r="AV243" s="456" t="s">
        <v>709</v>
      </c>
      <c r="AW243" s="457">
        <v>0.0</v>
      </c>
      <c r="AX243" s="456" t="s">
        <v>709</v>
      </c>
      <c r="AY243" s="457">
        <v>2.0</v>
      </c>
      <c r="AZ243" s="456" t="s">
        <v>709</v>
      </c>
      <c r="BA243" s="457">
        <v>0.0</v>
      </c>
      <c r="BB243" s="456" t="s">
        <v>709</v>
      </c>
      <c r="BC243" s="457">
        <v>0.0</v>
      </c>
      <c r="BD243" s="456" t="s">
        <v>709</v>
      </c>
      <c r="BE243" s="457">
        <v>0.0</v>
      </c>
    </row>
    <row r="244">
      <c r="A244" s="618"/>
      <c r="B244" s="618"/>
      <c r="C244" s="618"/>
      <c r="D244" s="618"/>
      <c r="E244" s="618"/>
      <c r="F244" s="618"/>
      <c r="G244" s="618"/>
      <c r="H244" s="618"/>
      <c r="I244" s="618"/>
      <c r="M244" s="226"/>
      <c r="N244" s="226"/>
      <c r="O244" s="226"/>
      <c r="P244" s="226"/>
      <c r="AN244" s="456" t="s">
        <v>713</v>
      </c>
      <c r="AO244" s="457">
        <v>0.0</v>
      </c>
      <c r="AP244" s="456" t="s">
        <v>713</v>
      </c>
      <c r="AQ244" s="457">
        <v>0.0</v>
      </c>
      <c r="AR244" s="456" t="s">
        <v>713</v>
      </c>
      <c r="AS244" s="457">
        <v>0.0</v>
      </c>
      <c r="AT244" s="456" t="s">
        <v>713</v>
      </c>
      <c r="AU244" s="537"/>
      <c r="AV244" s="456" t="s">
        <v>713</v>
      </c>
      <c r="AW244" s="457">
        <v>0.0</v>
      </c>
      <c r="AX244" s="456" t="s">
        <v>713</v>
      </c>
      <c r="AY244" s="457">
        <v>0.0</v>
      </c>
      <c r="AZ244" s="456" t="s">
        <v>713</v>
      </c>
      <c r="BA244" s="457">
        <v>0.0</v>
      </c>
      <c r="BB244" s="456" t="s">
        <v>713</v>
      </c>
      <c r="BC244" s="457">
        <v>0.0</v>
      </c>
      <c r="BD244" s="456" t="s">
        <v>713</v>
      </c>
      <c r="BE244" s="457">
        <v>0.0</v>
      </c>
    </row>
    <row r="245">
      <c r="A245" s="449" t="s">
        <v>2240</v>
      </c>
      <c r="B245" s="450" t="s">
        <v>2241</v>
      </c>
      <c r="C245" s="449" t="s">
        <v>2084</v>
      </c>
      <c r="D245" s="450" t="s">
        <v>562</v>
      </c>
      <c r="E245" s="449"/>
      <c r="F245" s="450" t="s">
        <v>1920</v>
      </c>
      <c r="G245" s="618"/>
      <c r="H245" s="618"/>
      <c r="I245" s="618"/>
      <c r="M245" s="226"/>
      <c r="N245" s="226"/>
      <c r="O245" s="226"/>
      <c r="P245" s="226"/>
      <c r="AN245" s="456" t="s">
        <v>719</v>
      </c>
      <c r="AO245" s="457">
        <v>0.0</v>
      </c>
      <c r="AP245" s="456" t="s">
        <v>719</v>
      </c>
      <c r="AQ245" s="457">
        <v>1.0</v>
      </c>
      <c r="AR245" s="456" t="s">
        <v>719</v>
      </c>
      <c r="AS245" s="457">
        <v>1.0</v>
      </c>
      <c r="AT245" s="456" t="s">
        <v>719</v>
      </c>
      <c r="AU245" s="537" t="s">
        <v>2237</v>
      </c>
      <c r="AV245" s="456" t="s">
        <v>719</v>
      </c>
      <c r="AW245" s="457">
        <v>0.0</v>
      </c>
      <c r="AX245" s="456" t="s">
        <v>719</v>
      </c>
      <c r="AY245" s="457">
        <v>0.0</v>
      </c>
      <c r="AZ245" s="456" t="s">
        <v>719</v>
      </c>
      <c r="BA245" s="457">
        <v>0.0</v>
      </c>
      <c r="BB245" s="456" t="s">
        <v>719</v>
      </c>
      <c r="BC245" s="457">
        <v>0.0</v>
      </c>
      <c r="BD245" s="456" t="s">
        <v>719</v>
      </c>
      <c r="BE245" s="457">
        <v>0.0</v>
      </c>
    </row>
    <row r="246">
      <c r="A246" s="454" t="s">
        <v>1041</v>
      </c>
      <c r="B246" s="457">
        <v>0.0</v>
      </c>
      <c r="C246" s="454" t="s">
        <v>1041</v>
      </c>
      <c r="D246" s="457">
        <v>0.0</v>
      </c>
      <c r="E246" s="454" t="s">
        <v>1041</v>
      </c>
      <c r="F246" s="457">
        <v>0.0</v>
      </c>
      <c r="G246" s="618"/>
      <c r="H246" s="618"/>
      <c r="I246" s="618"/>
      <c r="M246" s="226"/>
      <c r="N246" s="226"/>
      <c r="O246" s="226"/>
      <c r="P246" s="226"/>
      <c r="AN246" s="456" t="s">
        <v>721</v>
      </c>
      <c r="AO246" s="457">
        <v>1.0</v>
      </c>
      <c r="AP246" s="456" t="s">
        <v>721</v>
      </c>
      <c r="AQ246" s="457">
        <v>0.0</v>
      </c>
      <c r="AR246" s="456" t="s">
        <v>721</v>
      </c>
      <c r="AS246" s="457">
        <v>1.0</v>
      </c>
      <c r="AT246" s="456" t="s">
        <v>721</v>
      </c>
      <c r="AU246" s="537" t="s">
        <v>2238</v>
      </c>
      <c r="AV246" s="456" t="s">
        <v>721</v>
      </c>
      <c r="AW246" s="457">
        <v>0.0</v>
      </c>
      <c r="AX246" s="456" t="s">
        <v>721</v>
      </c>
      <c r="AY246" s="457">
        <v>0.0</v>
      </c>
      <c r="AZ246" s="456" t="s">
        <v>721</v>
      </c>
      <c r="BA246" s="457">
        <v>0.0</v>
      </c>
      <c r="BB246" s="456" t="s">
        <v>721</v>
      </c>
      <c r="BC246" s="457">
        <v>0.0</v>
      </c>
      <c r="BD246" s="456" t="s">
        <v>721</v>
      </c>
      <c r="BE246" s="457">
        <v>0.0</v>
      </c>
    </row>
    <row r="247">
      <c r="A247" s="454" t="s">
        <v>1009</v>
      </c>
      <c r="B247" s="457">
        <v>0.0</v>
      </c>
      <c r="C247" s="454" t="s">
        <v>1009</v>
      </c>
      <c r="D247" s="457">
        <v>0.0</v>
      </c>
      <c r="E247" s="454" t="s">
        <v>1009</v>
      </c>
      <c r="F247" s="457">
        <v>0.0</v>
      </c>
      <c r="G247" s="618"/>
      <c r="H247" s="618"/>
      <c r="I247" s="618"/>
      <c r="M247" s="226"/>
      <c r="N247" s="226"/>
      <c r="O247" s="226"/>
      <c r="P247" s="226"/>
      <c r="AN247" s="456" t="s">
        <v>1525</v>
      </c>
      <c r="AO247" s="457">
        <v>0.0</v>
      </c>
      <c r="AP247" s="456" t="s">
        <v>1525</v>
      </c>
      <c r="AQ247" s="457">
        <v>1.0</v>
      </c>
      <c r="AR247" s="456" t="s">
        <v>1525</v>
      </c>
      <c r="AS247" s="457">
        <v>1.0</v>
      </c>
      <c r="AT247" s="456" t="s">
        <v>1525</v>
      </c>
      <c r="AU247" s="537" t="s">
        <v>2237</v>
      </c>
      <c r="AV247" s="456" t="s">
        <v>1525</v>
      </c>
      <c r="AW247" s="457">
        <v>0.0</v>
      </c>
      <c r="AX247" s="456" t="s">
        <v>1525</v>
      </c>
      <c r="AY247" s="457">
        <v>0.0</v>
      </c>
      <c r="AZ247" s="456" t="s">
        <v>1525</v>
      </c>
      <c r="BA247" s="457">
        <v>0.0</v>
      </c>
      <c r="BB247" s="456" t="s">
        <v>1525</v>
      </c>
      <c r="BC247" s="457">
        <v>0.0</v>
      </c>
      <c r="BD247" s="456" t="s">
        <v>1525</v>
      </c>
      <c r="BE247" s="457">
        <v>0.0</v>
      </c>
    </row>
    <row r="248">
      <c r="A248" s="454" t="s">
        <v>1042</v>
      </c>
      <c r="B248" s="457">
        <v>0.0</v>
      </c>
      <c r="C248" s="454" t="s">
        <v>1042</v>
      </c>
      <c r="D248" s="457">
        <v>0.0</v>
      </c>
      <c r="E248" s="454" t="s">
        <v>1042</v>
      </c>
      <c r="F248" s="457">
        <v>0.0</v>
      </c>
      <c r="G248" s="618"/>
      <c r="H248" s="618"/>
      <c r="I248" s="618"/>
      <c r="M248" s="226"/>
      <c r="N248" s="226"/>
      <c r="O248" s="226"/>
      <c r="P248" s="226"/>
      <c r="AN248" s="456" t="s">
        <v>1522</v>
      </c>
      <c r="AO248" s="457">
        <v>0.0</v>
      </c>
      <c r="AP248" s="456" t="s">
        <v>1522</v>
      </c>
      <c r="AQ248" s="457">
        <v>2.0</v>
      </c>
      <c r="AR248" s="456" t="s">
        <v>1522</v>
      </c>
      <c r="AS248" s="457">
        <v>0.0</v>
      </c>
      <c r="AT248" s="456" t="s">
        <v>1522</v>
      </c>
      <c r="AU248" s="537" t="s">
        <v>2238</v>
      </c>
      <c r="AV248" s="456" t="s">
        <v>1522</v>
      </c>
      <c r="AW248" s="457">
        <v>0.0</v>
      </c>
      <c r="AX248" s="456" t="s">
        <v>1522</v>
      </c>
      <c r="AY248" s="457">
        <v>0.0</v>
      </c>
      <c r="AZ248" s="456" t="s">
        <v>1522</v>
      </c>
      <c r="BA248" s="457">
        <v>3.0</v>
      </c>
      <c r="BB248" s="456" t="s">
        <v>1522</v>
      </c>
      <c r="BC248" s="457">
        <v>0.0</v>
      </c>
      <c r="BD248" s="456" t="s">
        <v>1522</v>
      </c>
      <c r="BE248" s="457">
        <v>0.0</v>
      </c>
    </row>
    <row r="249">
      <c r="A249" s="454" t="s">
        <v>1011</v>
      </c>
      <c r="B249" s="457">
        <v>0.0</v>
      </c>
      <c r="C249" s="454" t="s">
        <v>1011</v>
      </c>
      <c r="D249" s="457">
        <v>0.0</v>
      </c>
      <c r="E249" s="454" t="s">
        <v>1011</v>
      </c>
      <c r="F249" s="457">
        <v>0.0</v>
      </c>
      <c r="G249" s="618"/>
      <c r="H249" s="618"/>
      <c r="I249" s="618"/>
      <c r="M249" s="226"/>
      <c r="N249" s="226"/>
      <c r="O249" s="226"/>
      <c r="P249" s="226"/>
      <c r="AN249" s="449" t="s">
        <v>2242</v>
      </c>
      <c r="AO249" s="450" t="s">
        <v>2243</v>
      </c>
      <c r="AP249" s="449" t="s">
        <v>2244</v>
      </c>
      <c r="AQ249" s="450" t="s">
        <v>2245</v>
      </c>
      <c r="AR249" s="449" t="s">
        <v>2246</v>
      </c>
      <c r="AS249" s="450" t="s">
        <v>2246</v>
      </c>
      <c r="AT249" s="449" t="s">
        <v>2247</v>
      </c>
      <c r="AU249" s="450" t="s">
        <v>2248</v>
      </c>
      <c r="AV249" s="449" t="s">
        <v>2247</v>
      </c>
      <c r="AW249" s="450" t="s">
        <v>2249</v>
      </c>
      <c r="AX249" s="449" t="s">
        <v>2247</v>
      </c>
      <c r="AY249" s="450" t="s">
        <v>2250</v>
      </c>
      <c r="AZ249" s="449" t="s">
        <v>2247</v>
      </c>
      <c r="BA249" s="450" t="s">
        <v>2251</v>
      </c>
      <c r="BB249" s="449" t="s">
        <v>2247</v>
      </c>
      <c r="BC249" s="450" t="s">
        <v>2252</v>
      </c>
      <c r="BD249" s="449" t="s">
        <v>2247</v>
      </c>
      <c r="BE249" s="450" t="s">
        <v>2253</v>
      </c>
    </row>
    <row r="250">
      <c r="A250" s="454" t="s">
        <v>1043</v>
      </c>
      <c r="B250" s="457">
        <v>0.0</v>
      </c>
      <c r="C250" s="454" t="s">
        <v>1043</v>
      </c>
      <c r="D250" s="457">
        <v>0.0</v>
      </c>
      <c r="E250" s="454" t="s">
        <v>1043</v>
      </c>
      <c r="F250" s="457">
        <v>0.0</v>
      </c>
      <c r="G250" s="618"/>
      <c r="H250" s="618"/>
      <c r="I250" s="618"/>
      <c r="M250" s="226"/>
      <c r="N250" s="226"/>
      <c r="O250" s="226"/>
      <c r="P250" s="226"/>
      <c r="AN250" s="456" t="s">
        <v>620</v>
      </c>
      <c r="AO250" s="457">
        <v>1.0</v>
      </c>
      <c r="AP250" s="456" t="s">
        <v>620</v>
      </c>
      <c r="AQ250" s="457">
        <v>0.0</v>
      </c>
      <c r="AR250" s="456" t="s">
        <v>620</v>
      </c>
      <c r="AS250" s="457">
        <v>0.0</v>
      </c>
      <c r="AT250" s="456" t="s">
        <v>620</v>
      </c>
      <c r="AU250" s="537" t="s">
        <v>2254</v>
      </c>
      <c r="AV250" s="456" t="s">
        <v>620</v>
      </c>
      <c r="AW250" s="457">
        <v>0.0</v>
      </c>
      <c r="AX250" s="456" t="s">
        <v>620</v>
      </c>
      <c r="AY250" s="457">
        <v>4.0</v>
      </c>
      <c r="AZ250" s="456" t="s">
        <v>620</v>
      </c>
      <c r="BA250" s="457">
        <v>0.0</v>
      </c>
      <c r="BB250" s="456" t="s">
        <v>620</v>
      </c>
      <c r="BC250" s="457">
        <v>0.0</v>
      </c>
      <c r="BD250" s="456" t="s">
        <v>620</v>
      </c>
      <c r="BE250" s="457">
        <v>0.0</v>
      </c>
    </row>
    <row r="251">
      <c r="A251" s="454" t="s">
        <v>1012</v>
      </c>
      <c r="B251" s="457">
        <v>0.0</v>
      </c>
      <c r="C251" s="454" t="s">
        <v>1012</v>
      </c>
      <c r="D251" s="457">
        <v>0.0</v>
      </c>
      <c r="E251" s="454" t="s">
        <v>1012</v>
      </c>
      <c r="F251" s="457">
        <v>0.0</v>
      </c>
      <c r="G251" s="618"/>
      <c r="H251" s="618"/>
      <c r="I251" s="618"/>
      <c r="M251" s="226"/>
      <c r="N251" s="226"/>
      <c r="O251" s="226"/>
      <c r="P251" s="226"/>
      <c r="AN251" s="456" t="s">
        <v>623</v>
      </c>
      <c r="AO251" s="457">
        <v>1.0</v>
      </c>
      <c r="AP251" s="456" t="s">
        <v>623</v>
      </c>
      <c r="AQ251" s="457">
        <v>0.0</v>
      </c>
      <c r="AR251" s="456" t="s">
        <v>623</v>
      </c>
      <c r="AS251" s="457">
        <v>0.0</v>
      </c>
      <c r="AT251" s="456" t="s">
        <v>623</v>
      </c>
      <c r="AU251" s="537" t="s">
        <v>2255</v>
      </c>
      <c r="AV251" s="456" t="s">
        <v>623</v>
      </c>
      <c r="AW251" s="457">
        <v>0.0</v>
      </c>
      <c r="AX251" s="456" t="s">
        <v>623</v>
      </c>
      <c r="AY251" s="457">
        <v>0.0</v>
      </c>
      <c r="AZ251" s="456" t="s">
        <v>623</v>
      </c>
      <c r="BA251" s="457">
        <v>4.0</v>
      </c>
      <c r="BB251" s="456" t="s">
        <v>623</v>
      </c>
      <c r="BC251" s="457">
        <v>0.0</v>
      </c>
      <c r="BD251" s="456" t="s">
        <v>623</v>
      </c>
      <c r="BE251" s="457">
        <v>0.0</v>
      </c>
    </row>
    <row r="252">
      <c r="A252" s="454" t="s">
        <v>1046</v>
      </c>
      <c r="B252" s="457">
        <v>0.0</v>
      </c>
      <c r="C252" s="454" t="s">
        <v>1046</v>
      </c>
      <c r="D252" s="457">
        <v>0.0</v>
      </c>
      <c r="E252" s="454" t="s">
        <v>1046</v>
      </c>
      <c r="F252" s="457">
        <v>0.0</v>
      </c>
      <c r="G252" s="618"/>
      <c r="H252" s="618"/>
      <c r="I252" s="618"/>
      <c r="M252" s="226"/>
      <c r="N252" s="226"/>
      <c r="O252" s="226"/>
      <c r="P252" s="226"/>
      <c r="AN252" s="456" t="s">
        <v>631</v>
      </c>
      <c r="AO252" s="457">
        <v>0.0</v>
      </c>
      <c r="AP252" s="456" t="s">
        <v>631</v>
      </c>
      <c r="AQ252" s="457">
        <v>1.0</v>
      </c>
      <c r="AR252" s="456" t="s">
        <v>631</v>
      </c>
      <c r="AS252" s="457">
        <v>0.0</v>
      </c>
      <c r="AT252" s="456" t="s">
        <v>631</v>
      </c>
      <c r="AU252" s="537" t="s">
        <v>633</v>
      </c>
      <c r="AV252" s="456" t="s">
        <v>631</v>
      </c>
      <c r="AW252" s="457">
        <v>0.0</v>
      </c>
      <c r="AX252" s="456" t="s">
        <v>631</v>
      </c>
      <c r="AY252" s="457">
        <v>0.0</v>
      </c>
      <c r="AZ252" s="456" t="s">
        <v>631</v>
      </c>
      <c r="BA252" s="457">
        <v>0.0</v>
      </c>
      <c r="BB252" s="456" t="s">
        <v>631</v>
      </c>
      <c r="BC252" s="457">
        <v>0.0</v>
      </c>
      <c r="BD252" s="456" t="s">
        <v>631</v>
      </c>
      <c r="BE252" s="457">
        <v>0.0</v>
      </c>
    </row>
    <row r="253">
      <c r="A253" s="454" t="s">
        <v>1018</v>
      </c>
      <c r="B253" s="457">
        <v>0.0</v>
      </c>
      <c r="C253" s="454" t="s">
        <v>1018</v>
      </c>
      <c r="D253" s="457">
        <v>0.0</v>
      </c>
      <c r="E253" s="454" t="s">
        <v>1018</v>
      </c>
      <c r="F253" s="457">
        <v>0.0</v>
      </c>
      <c r="G253" s="618"/>
      <c r="H253" s="618"/>
      <c r="I253" s="618"/>
      <c r="M253" s="226"/>
      <c r="N253" s="226"/>
      <c r="O253" s="226"/>
      <c r="P253" s="226"/>
      <c r="AN253" s="456" t="s">
        <v>628</v>
      </c>
      <c r="AO253" s="457">
        <v>0.0</v>
      </c>
      <c r="AP253" s="456" t="s">
        <v>628</v>
      </c>
      <c r="AQ253" s="457">
        <v>0.0</v>
      </c>
      <c r="AR253" s="456" t="s">
        <v>628</v>
      </c>
      <c r="AS253" s="457">
        <v>1.0</v>
      </c>
      <c r="AT253" s="456" t="s">
        <v>628</v>
      </c>
      <c r="AU253" s="537" t="s">
        <v>2255</v>
      </c>
      <c r="AV253" s="456" t="s">
        <v>628</v>
      </c>
      <c r="AW253" s="457">
        <v>0.0</v>
      </c>
      <c r="AX253" s="456" t="s">
        <v>628</v>
      </c>
      <c r="AY253" s="457">
        <v>0.0</v>
      </c>
      <c r="AZ253" s="456" t="s">
        <v>628</v>
      </c>
      <c r="BA253" s="457">
        <v>0.0</v>
      </c>
      <c r="BB253" s="456" t="s">
        <v>628</v>
      </c>
      <c r="BC253" s="457">
        <v>0.0</v>
      </c>
      <c r="BD253" s="456" t="s">
        <v>628</v>
      </c>
      <c r="BE253" s="457">
        <v>0.0</v>
      </c>
    </row>
    <row r="254">
      <c r="A254" s="454" t="s">
        <v>1019</v>
      </c>
      <c r="B254" s="457">
        <v>0.0</v>
      </c>
      <c r="C254" s="454" t="s">
        <v>1019</v>
      </c>
      <c r="D254" s="457">
        <v>0.0</v>
      </c>
      <c r="E254" s="454" t="s">
        <v>1019</v>
      </c>
      <c r="F254" s="457">
        <v>0.0</v>
      </c>
      <c r="G254" s="618"/>
      <c r="H254" s="618"/>
      <c r="I254" s="618"/>
      <c r="M254" s="226"/>
      <c r="N254" s="226"/>
      <c r="O254" s="226"/>
      <c r="P254" s="226"/>
      <c r="AN254" s="497" t="s">
        <v>636</v>
      </c>
      <c r="AO254" s="457">
        <v>0.0</v>
      </c>
      <c r="AP254" s="497" t="s">
        <v>636</v>
      </c>
      <c r="AQ254" s="457">
        <v>1.0</v>
      </c>
      <c r="AR254" s="497" t="s">
        <v>636</v>
      </c>
      <c r="AS254" s="457">
        <v>0.0</v>
      </c>
      <c r="AT254" s="497" t="s">
        <v>636</v>
      </c>
      <c r="AU254" s="537" t="s">
        <v>2255</v>
      </c>
      <c r="AV254" s="497" t="s">
        <v>636</v>
      </c>
      <c r="AW254" s="457">
        <v>0.0</v>
      </c>
      <c r="AX254" s="497" t="s">
        <v>636</v>
      </c>
      <c r="AY254" s="457">
        <v>0.0</v>
      </c>
      <c r="AZ254" s="497" t="s">
        <v>636</v>
      </c>
      <c r="BA254" s="457">
        <v>4.0</v>
      </c>
      <c r="BB254" s="497" t="s">
        <v>636</v>
      </c>
      <c r="BC254" s="457">
        <v>0.0</v>
      </c>
      <c r="BD254" s="497" t="s">
        <v>636</v>
      </c>
      <c r="BE254" s="457">
        <v>0.0</v>
      </c>
    </row>
    <row r="255">
      <c r="A255" s="454" t="s">
        <v>1026</v>
      </c>
      <c r="B255" s="457">
        <v>0.0</v>
      </c>
      <c r="C255" s="454" t="s">
        <v>1026</v>
      </c>
      <c r="D255" s="457">
        <v>0.0</v>
      </c>
      <c r="E255" s="454" t="s">
        <v>1026</v>
      </c>
      <c r="F255" s="457">
        <v>0.0</v>
      </c>
      <c r="G255" s="618"/>
      <c r="H255" s="618"/>
      <c r="I255" s="618"/>
      <c r="M255" s="226"/>
      <c r="N255" s="226"/>
      <c r="O255" s="226"/>
      <c r="P255" s="226"/>
      <c r="AN255" s="456" t="s">
        <v>641</v>
      </c>
      <c r="AO255" s="457">
        <v>1.0</v>
      </c>
      <c r="AP255" s="456" t="s">
        <v>641</v>
      </c>
      <c r="AQ255" s="457">
        <v>0.0</v>
      </c>
      <c r="AR255" s="456" t="s">
        <v>641</v>
      </c>
      <c r="AS255" s="457">
        <v>0.0</v>
      </c>
      <c r="AT255" s="456" t="s">
        <v>641</v>
      </c>
      <c r="AU255" s="537" t="s">
        <v>2256</v>
      </c>
      <c r="AV255" s="456" t="s">
        <v>641</v>
      </c>
      <c r="AW255" s="457">
        <v>4.0</v>
      </c>
      <c r="AX255" s="456" t="s">
        <v>641</v>
      </c>
      <c r="AY255" s="457">
        <v>4.0</v>
      </c>
      <c r="AZ255" s="456" t="s">
        <v>641</v>
      </c>
      <c r="BA255" s="457">
        <v>0.0</v>
      </c>
      <c r="BB255" s="456" t="s">
        <v>641</v>
      </c>
      <c r="BC255" s="457">
        <v>0.0</v>
      </c>
      <c r="BD255" s="456" t="s">
        <v>641</v>
      </c>
      <c r="BE255" s="457">
        <v>0.0</v>
      </c>
    </row>
    <row r="256">
      <c r="A256" s="614" t="s">
        <v>1048</v>
      </c>
      <c r="B256" s="457">
        <v>0.0</v>
      </c>
      <c r="C256" s="614" t="s">
        <v>1048</v>
      </c>
      <c r="D256" s="457">
        <v>0.0</v>
      </c>
      <c r="E256" s="614" t="s">
        <v>1048</v>
      </c>
      <c r="F256" s="457">
        <v>0.0</v>
      </c>
      <c r="G256" s="618"/>
      <c r="H256" s="618"/>
      <c r="I256" s="618"/>
      <c r="M256" s="226"/>
      <c r="N256" s="226"/>
      <c r="O256" s="226"/>
      <c r="P256" s="226"/>
      <c r="AN256" s="456" t="s">
        <v>645</v>
      </c>
      <c r="AO256" s="457">
        <v>0.0</v>
      </c>
      <c r="AP256" s="456" t="s">
        <v>645</v>
      </c>
      <c r="AQ256" s="457">
        <v>1.0</v>
      </c>
      <c r="AR256" s="456" t="s">
        <v>645</v>
      </c>
      <c r="AS256" s="457">
        <v>0.0</v>
      </c>
      <c r="AT256" s="456" t="s">
        <v>645</v>
      </c>
      <c r="AU256" s="537" t="s">
        <v>2255</v>
      </c>
      <c r="AV256" s="456" t="s">
        <v>645</v>
      </c>
      <c r="AW256" s="457">
        <v>0.0</v>
      </c>
      <c r="AX256" s="456" t="s">
        <v>645</v>
      </c>
      <c r="AY256" s="457">
        <v>0.0</v>
      </c>
      <c r="AZ256" s="456" t="s">
        <v>645</v>
      </c>
      <c r="BA256" s="457">
        <v>4.0</v>
      </c>
      <c r="BB256" s="456" t="s">
        <v>645</v>
      </c>
      <c r="BC256" s="457">
        <v>0.0</v>
      </c>
      <c r="BD256" s="456" t="s">
        <v>645</v>
      </c>
      <c r="BE256" s="457">
        <v>0.0</v>
      </c>
    </row>
    <row r="257">
      <c r="A257" s="614" t="s">
        <v>1052</v>
      </c>
      <c r="B257" s="457">
        <v>0.0</v>
      </c>
      <c r="C257" s="614" t="s">
        <v>1052</v>
      </c>
      <c r="D257" s="457">
        <v>0.0</v>
      </c>
      <c r="E257" s="614" t="s">
        <v>1052</v>
      </c>
      <c r="F257" s="457">
        <v>0.0</v>
      </c>
      <c r="G257" s="618"/>
      <c r="H257" s="618"/>
      <c r="I257" s="618"/>
      <c r="M257" s="226"/>
      <c r="N257" s="226"/>
      <c r="O257" s="226"/>
      <c r="P257" s="226"/>
      <c r="AN257" s="505" t="s">
        <v>638</v>
      </c>
      <c r="AO257" s="508">
        <v>0.0</v>
      </c>
      <c r="AP257" s="505" t="s">
        <v>638</v>
      </c>
      <c r="AQ257" s="508">
        <v>1.0</v>
      </c>
      <c r="AR257" s="505" t="s">
        <v>638</v>
      </c>
      <c r="AS257" s="508">
        <v>0.0</v>
      </c>
      <c r="AT257" s="505" t="s">
        <v>638</v>
      </c>
      <c r="AU257" s="508" t="s">
        <v>633</v>
      </c>
      <c r="AV257" s="505" t="s">
        <v>638</v>
      </c>
      <c r="AW257" s="508">
        <v>0.0</v>
      </c>
      <c r="AX257" s="505" t="s">
        <v>638</v>
      </c>
      <c r="AY257" s="508">
        <v>0.0</v>
      </c>
      <c r="AZ257" s="505" t="s">
        <v>638</v>
      </c>
      <c r="BA257" s="508">
        <v>0.0</v>
      </c>
      <c r="BB257" s="505" t="s">
        <v>638</v>
      </c>
      <c r="BC257" s="508">
        <v>0.0</v>
      </c>
      <c r="BD257" s="505" t="s">
        <v>638</v>
      </c>
      <c r="BE257" s="508">
        <v>0.0</v>
      </c>
    </row>
    <row r="258">
      <c r="A258" s="614" t="s">
        <v>1053</v>
      </c>
      <c r="B258" s="457">
        <v>0.0</v>
      </c>
      <c r="C258" s="614" t="s">
        <v>1053</v>
      </c>
      <c r="D258" s="457">
        <v>0.0</v>
      </c>
      <c r="E258" s="614" t="s">
        <v>1053</v>
      </c>
      <c r="F258" s="457">
        <v>0.0</v>
      </c>
      <c r="G258" s="618"/>
      <c r="H258" s="618"/>
      <c r="I258" s="618"/>
      <c r="M258" s="226"/>
      <c r="N258" s="226"/>
      <c r="O258" s="226"/>
      <c r="P258" s="226"/>
      <c r="AN258" s="510" t="s">
        <v>648</v>
      </c>
      <c r="AO258" s="650">
        <v>0.0</v>
      </c>
      <c r="AP258" s="510" t="s">
        <v>648</v>
      </c>
      <c r="AQ258" s="508">
        <v>0.0</v>
      </c>
      <c r="AR258" s="510" t="s">
        <v>648</v>
      </c>
      <c r="AS258" s="508">
        <v>1.0</v>
      </c>
      <c r="AT258" s="510" t="s">
        <v>648</v>
      </c>
      <c r="AU258" s="508" t="s">
        <v>2256</v>
      </c>
      <c r="AV258" s="510" t="s">
        <v>648</v>
      </c>
      <c r="AW258" s="508">
        <v>0.0</v>
      </c>
      <c r="AX258" s="510" t="s">
        <v>648</v>
      </c>
      <c r="AY258" s="508">
        <v>0.0</v>
      </c>
      <c r="AZ258" s="510" t="s">
        <v>648</v>
      </c>
      <c r="BA258" s="508">
        <v>0.0</v>
      </c>
      <c r="BB258" s="510" t="s">
        <v>648</v>
      </c>
      <c r="BC258" s="508">
        <v>0.0</v>
      </c>
      <c r="BD258" s="510" t="s">
        <v>648</v>
      </c>
      <c r="BE258" s="508">
        <v>0.0</v>
      </c>
    </row>
    <row r="259">
      <c r="A259" s="454" t="s">
        <v>1020</v>
      </c>
      <c r="B259" s="457">
        <v>0.0</v>
      </c>
      <c r="C259" s="454" t="s">
        <v>1020</v>
      </c>
      <c r="D259" s="457">
        <v>0.0</v>
      </c>
      <c r="E259" s="454" t="s">
        <v>1020</v>
      </c>
      <c r="F259" s="457">
        <v>0.0</v>
      </c>
      <c r="G259" s="618"/>
      <c r="H259" s="618"/>
      <c r="I259" s="618"/>
      <c r="M259" s="226"/>
      <c r="N259" s="226"/>
      <c r="O259" s="226"/>
      <c r="P259" s="226"/>
      <c r="AN259" s="510" t="s">
        <v>652</v>
      </c>
      <c r="AO259" s="650">
        <v>0.0</v>
      </c>
      <c r="AP259" s="510" t="s">
        <v>652</v>
      </c>
      <c r="AQ259" s="508">
        <v>0.0</v>
      </c>
      <c r="AR259" s="510" t="s">
        <v>652</v>
      </c>
      <c r="AS259" s="508">
        <v>1.0</v>
      </c>
      <c r="AT259" s="510" t="s">
        <v>652</v>
      </c>
      <c r="AU259" s="508" t="s">
        <v>2255</v>
      </c>
      <c r="AV259" s="510" t="s">
        <v>652</v>
      </c>
      <c r="AW259" s="508">
        <v>0.0</v>
      </c>
      <c r="AX259" s="510" t="s">
        <v>652</v>
      </c>
      <c r="AY259" s="508">
        <v>0.0</v>
      </c>
      <c r="AZ259" s="510" t="s">
        <v>652</v>
      </c>
      <c r="BA259" s="508">
        <v>0.0</v>
      </c>
      <c r="BB259" s="510" t="s">
        <v>652</v>
      </c>
      <c r="BC259" s="508">
        <v>0.0</v>
      </c>
      <c r="BD259" s="510" t="s">
        <v>652</v>
      </c>
      <c r="BE259" s="508">
        <v>0.0</v>
      </c>
    </row>
    <row r="260">
      <c r="A260" s="454" t="s">
        <v>1022</v>
      </c>
      <c r="B260" s="457">
        <v>0.0</v>
      </c>
      <c r="C260" s="454" t="s">
        <v>1022</v>
      </c>
      <c r="D260" s="457">
        <v>0.0</v>
      </c>
      <c r="E260" s="454" t="s">
        <v>1022</v>
      </c>
      <c r="F260" s="457">
        <v>0.0</v>
      </c>
      <c r="G260" s="618"/>
      <c r="H260" s="618"/>
      <c r="I260" s="618"/>
      <c r="M260" s="226"/>
      <c r="N260" s="226"/>
      <c r="O260" s="226"/>
      <c r="P260" s="226"/>
      <c r="AN260" s="510" t="s">
        <v>655</v>
      </c>
      <c r="AO260" s="650">
        <v>0.0</v>
      </c>
      <c r="AP260" s="510" t="s">
        <v>655</v>
      </c>
      <c r="AQ260" s="508">
        <v>1.0</v>
      </c>
      <c r="AR260" s="510" t="s">
        <v>655</v>
      </c>
      <c r="AS260" s="508">
        <v>0.0</v>
      </c>
      <c r="AT260" s="510" t="s">
        <v>655</v>
      </c>
      <c r="AU260" s="508" t="s">
        <v>2257</v>
      </c>
      <c r="AV260" s="510" t="s">
        <v>655</v>
      </c>
      <c r="AW260" s="508">
        <v>0.0</v>
      </c>
      <c r="AX260" s="510" t="s">
        <v>655</v>
      </c>
      <c r="AY260" s="508">
        <v>0.0</v>
      </c>
      <c r="AZ260" s="510" t="s">
        <v>655</v>
      </c>
      <c r="BA260" s="508">
        <v>0.0</v>
      </c>
      <c r="BB260" s="510" t="s">
        <v>655</v>
      </c>
      <c r="BC260" s="508">
        <v>0.0</v>
      </c>
      <c r="BD260" s="510" t="s">
        <v>655</v>
      </c>
      <c r="BE260" s="508">
        <v>4.0</v>
      </c>
    </row>
    <row r="261">
      <c r="A261" s="454" t="s">
        <v>1031</v>
      </c>
      <c r="B261" s="537">
        <v>0.0</v>
      </c>
      <c r="C261" s="454" t="s">
        <v>1031</v>
      </c>
      <c r="D261" s="457">
        <v>0.0</v>
      </c>
      <c r="E261" s="454" t="s">
        <v>1031</v>
      </c>
      <c r="F261" s="457">
        <v>0.0</v>
      </c>
      <c r="G261" s="618"/>
      <c r="H261" s="618"/>
      <c r="I261" s="618"/>
      <c r="M261" s="226"/>
      <c r="N261" s="226"/>
      <c r="O261" s="226"/>
      <c r="P261" s="226"/>
    </row>
    <row r="262">
      <c r="A262" s="454" t="s">
        <v>1033</v>
      </c>
      <c r="B262" s="537">
        <v>0.0</v>
      </c>
      <c r="C262" s="454" t="s">
        <v>1033</v>
      </c>
      <c r="D262" s="457">
        <v>0.0</v>
      </c>
      <c r="E262" s="454" t="s">
        <v>1033</v>
      </c>
      <c r="F262" s="457">
        <v>0.0</v>
      </c>
      <c r="G262" s="618"/>
      <c r="H262" s="618"/>
      <c r="I262" s="618"/>
      <c r="M262" s="226"/>
      <c r="N262" s="226"/>
      <c r="O262" s="226"/>
      <c r="P262" s="226"/>
      <c r="AN262" s="449" t="s">
        <v>2020</v>
      </c>
      <c r="AO262" s="450" t="s">
        <v>2258</v>
      </c>
      <c r="AP262" s="449" t="s">
        <v>2020</v>
      </c>
      <c r="AQ262" s="450" t="s">
        <v>2259</v>
      </c>
      <c r="AR262" s="449" t="s">
        <v>2020</v>
      </c>
      <c r="AS262" s="450" t="s">
        <v>2260</v>
      </c>
      <c r="AT262" s="449" t="s">
        <v>2020</v>
      </c>
      <c r="AU262" s="450" t="s">
        <v>2261</v>
      </c>
      <c r="AV262" s="449" t="s">
        <v>2020</v>
      </c>
      <c r="AW262" s="450" t="s">
        <v>2262</v>
      </c>
      <c r="AX262" s="449" t="s">
        <v>2020</v>
      </c>
      <c r="AY262" s="450" t="s">
        <v>2263</v>
      </c>
      <c r="AZ262" s="449" t="s">
        <v>2020</v>
      </c>
      <c r="BA262" s="450" t="s">
        <v>2264</v>
      </c>
      <c r="BB262" s="449" t="s">
        <v>2020</v>
      </c>
      <c r="BC262" s="450" t="s">
        <v>2265</v>
      </c>
      <c r="BD262" s="449" t="s">
        <v>2020</v>
      </c>
      <c r="BE262" s="450" t="s">
        <v>2266</v>
      </c>
    </row>
    <row r="263">
      <c r="A263" s="454" t="s">
        <v>1035</v>
      </c>
      <c r="B263" s="537">
        <v>0.0</v>
      </c>
      <c r="C263" s="454" t="s">
        <v>1035</v>
      </c>
      <c r="D263" s="457">
        <v>0.0</v>
      </c>
      <c r="E263" s="454" t="s">
        <v>1035</v>
      </c>
      <c r="F263" s="457">
        <v>0.0</v>
      </c>
      <c r="G263" s="618"/>
      <c r="H263" s="618"/>
      <c r="I263" s="618"/>
      <c r="M263" s="226"/>
      <c r="N263" s="226"/>
      <c r="O263" s="226"/>
      <c r="P263" s="226"/>
      <c r="AN263" s="454" t="s">
        <v>725</v>
      </c>
      <c r="AO263" s="457">
        <v>0.0</v>
      </c>
      <c r="AP263" s="454" t="s">
        <v>725</v>
      </c>
      <c r="AQ263" s="457">
        <v>1.0</v>
      </c>
      <c r="AR263" s="454" t="s">
        <v>725</v>
      </c>
      <c r="AS263" s="457">
        <v>0.0</v>
      </c>
      <c r="AT263" s="454" t="s">
        <v>725</v>
      </c>
      <c r="AU263" s="537" t="s">
        <v>2222</v>
      </c>
      <c r="AV263" s="454" t="s">
        <v>725</v>
      </c>
      <c r="AW263" s="457">
        <v>0.0</v>
      </c>
      <c r="AX263" s="454" t="s">
        <v>725</v>
      </c>
      <c r="AY263" s="457">
        <v>0.0</v>
      </c>
      <c r="AZ263" s="454" t="s">
        <v>725</v>
      </c>
      <c r="BA263" s="457">
        <v>0.0</v>
      </c>
      <c r="BB263" s="454" t="s">
        <v>725</v>
      </c>
      <c r="BC263" s="457">
        <v>4.0</v>
      </c>
      <c r="BD263" s="454" t="s">
        <v>725</v>
      </c>
      <c r="BE263" s="457">
        <v>0.0</v>
      </c>
    </row>
    <row r="264">
      <c r="A264" s="454" t="s">
        <v>1055</v>
      </c>
      <c r="B264" s="457">
        <v>44.52</v>
      </c>
      <c r="C264" s="454" t="s">
        <v>1055</v>
      </c>
      <c r="D264" s="457">
        <v>0.0</v>
      </c>
      <c r="E264" s="454" t="s">
        <v>1055</v>
      </c>
      <c r="F264" s="457">
        <v>0.0</v>
      </c>
      <c r="G264" s="618"/>
      <c r="H264" s="618"/>
      <c r="I264" s="618"/>
      <c r="M264" s="226"/>
      <c r="N264" s="226"/>
      <c r="O264" s="226"/>
      <c r="P264" s="226"/>
      <c r="AN264" s="454" t="s">
        <v>726</v>
      </c>
      <c r="AO264" s="457">
        <v>0.0</v>
      </c>
      <c r="AP264" s="454" t="s">
        <v>726</v>
      </c>
      <c r="AQ264" s="457">
        <v>0.0</v>
      </c>
      <c r="AR264" s="454" t="s">
        <v>726</v>
      </c>
      <c r="AS264" s="457">
        <v>0.0</v>
      </c>
      <c r="AT264" s="454" t="s">
        <v>726</v>
      </c>
      <c r="AU264" s="537"/>
      <c r="AV264" s="454" t="s">
        <v>726</v>
      </c>
      <c r="AW264" s="457">
        <v>0.0</v>
      </c>
      <c r="AX264" s="454" t="s">
        <v>726</v>
      </c>
      <c r="AY264" s="457">
        <v>0.0</v>
      </c>
      <c r="AZ264" s="454" t="s">
        <v>726</v>
      </c>
      <c r="BA264" s="457">
        <v>0.0</v>
      </c>
      <c r="BB264" s="454" t="s">
        <v>726</v>
      </c>
      <c r="BC264" s="457">
        <v>0.0</v>
      </c>
      <c r="BD264" s="454" t="s">
        <v>726</v>
      </c>
      <c r="BE264" s="457">
        <v>0.0</v>
      </c>
    </row>
    <row r="265">
      <c r="A265" s="618"/>
      <c r="B265" s="618"/>
      <c r="C265" s="618"/>
      <c r="D265" s="618"/>
      <c r="E265" s="618"/>
      <c r="F265" s="618"/>
      <c r="G265" s="618"/>
      <c r="H265" s="618"/>
      <c r="I265" s="618"/>
      <c r="M265" s="226"/>
      <c r="N265" s="226"/>
      <c r="O265" s="226"/>
      <c r="P265" s="226"/>
      <c r="AN265" s="454" t="s">
        <v>728</v>
      </c>
      <c r="AO265" s="457">
        <v>0.0</v>
      </c>
      <c r="AP265" s="454" t="s">
        <v>728</v>
      </c>
      <c r="AQ265" s="457">
        <v>0.0</v>
      </c>
      <c r="AR265" s="454" t="s">
        <v>728</v>
      </c>
      <c r="AS265" s="457">
        <v>0.0</v>
      </c>
      <c r="AT265" s="454" t="s">
        <v>728</v>
      </c>
      <c r="AU265" s="537"/>
      <c r="AV265" s="454" t="s">
        <v>728</v>
      </c>
      <c r="AW265" s="457">
        <v>0.0</v>
      </c>
      <c r="AX265" s="454" t="s">
        <v>728</v>
      </c>
      <c r="AY265" s="457">
        <v>0.0</v>
      </c>
      <c r="AZ265" s="454" t="s">
        <v>728</v>
      </c>
      <c r="BA265" s="457">
        <v>0.0</v>
      </c>
      <c r="BB265" s="454" t="s">
        <v>728</v>
      </c>
      <c r="BC265" s="457">
        <v>0.0</v>
      </c>
      <c r="BD265" s="454" t="s">
        <v>728</v>
      </c>
      <c r="BE265" s="457">
        <v>0.0</v>
      </c>
    </row>
    <row r="266">
      <c r="A266" s="618"/>
      <c r="B266" s="618"/>
      <c r="C266" s="618"/>
      <c r="D266" s="618"/>
      <c r="E266" s="618"/>
      <c r="F266" s="618"/>
      <c r="G266" s="618"/>
      <c r="H266" s="618"/>
      <c r="I266" s="618"/>
      <c r="M266" s="226"/>
      <c r="N266" s="226"/>
      <c r="O266" s="226"/>
      <c r="P266" s="226"/>
      <c r="AN266" s="454" t="s">
        <v>729</v>
      </c>
      <c r="AO266" s="457">
        <v>1.0</v>
      </c>
      <c r="AP266" s="454" t="s">
        <v>729</v>
      </c>
      <c r="AQ266" s="457">
        <v>0.0</v>
      </c>
      <c r="AR266" s="454" t="s">
        <v>729</v>
      </c>
      <c r="AS266" s="457">
        <v>0.0</v>
      </c>
      <c r="AT266" s="454" t="s">
        <v>729</v>
      </c>
      <c r="AU266" s="537" t="s">
        <v>2267</v>
      </c>
      <c r="AV266" s="454" t="s">
        <v>729</v>
      </c>
      <c r="AW266" s="457">
        <v>0.0</v>
      </c>
      <c r="AX266" s="454" t="s">
        <v>729</v>
      </c>
      <c r="AY266" s="457">
        <v>0.0</v>
      </c>
      <c r="AZ266" s="454" t="s">
        <v>729</v>
      </c>
      <c r="BA266" s="457">
        <v>0.0</v>
      </c>
      <c r="BB266" s="454" t="s">
        <v>729</v>
      </c>
      <c r="BC266" s="457">
        <v>0.0</v>
      </c>
      <c r="BD266" s="454" t="s">
        <v>729</v>
      </c>
      <c r="BE266" s="457">
        <v>2.0</v>
      </c>
    </row>
    <row r="267">
      <c r="A267" s="618"/>
      <c r="B267" s="618"/>
      <c r="C267" s="618"/>
      <c r="D267" s="618"/>
      <c r="E267" s="618"/>
      <c r="F267" s="618"/>
      <c r="G267" s="618"/>
      <c r="H267" s="618"/>
      <c r="I267" s="618"/>
      <c r="M267" s="226"/>
      <c r="N267" s="226"/>
      <c r="O267" s="226"/>
      <c r="P267" s="226"/>
      <c r="AN267" s="454" t="s">
        <v>732</v>
      </c>
      <c r="AO267" s="537">
        <v>0.0</v>
      </c>
      <c r="AP267" s="454" t="s">
        <v>732</v>
      </c>
      <c r="AQ267" s="457">
        <v>0.0</v>
      </c>
      <c r="AR267" s="454" t="s">
        <v>732</v>
      </c>
      <c r="AS267" s="457">
        <v>0.0</v>
      </c>
      <c r="AT267" s="454" t="s">
        <v>732</v>
      </c>
      <c r="AU267" s="457">
        <v>0.0</v>
      </c>
      <c r="AV267" s="454" t="s">
        <v>732</v>
      </c>
      <c r="AW267" s="457">
        <v>0.0</v>
      </c>
      <c r="AX267" s="454" t="s">
        <v>732</v>
      </c>
      <c r="AY267" s="457">
        <v>0.0</v>
      </c>
      <c r="AZ267" s="454" t="s">
        <v>732</v>
      </c>
      <c r="BA267" s="457">
        <v>0.0</v>
      </c>
      <c r="BB267" s="454" t="s">
        <v>732</v>
      </c>
      <c r="BC267" s="457">
        <v>0.0</v>
      </c>
      <c r="BD267" s="454" t="s">
        <v>732</v>
      </c>
      <c r="BE267" s="457">
        <v>0.0</v>
      </c>
    </row>
    <row r="268">
      <c r="M268" s="226"/>
      <c r="N268" s="226"/>
      <c r="O268" s="226"/>
      <c r="P268" s="226"/>
      <c r="AN268" s="454" t="s">
        <v>734</v>
      </c>
      <c r="AO268" s="537">
        <v>0.0</v>
      </c>
      <c r="AP268" s="454" t="s">
        <v>734</v>
      </c>
      <c r="AQ268" s="457">
        <v>0.0</v>
      </c>
      <c r="AR268" s="454" t="s">
        <v>734</v>
      </c>
      <c r="AS268" s="457">
        <v>1.0</v>
      </c>
      <c r="AT268" s="454" t="s">
        <v>734</v>
      </c>
      <c r="AU268" s="537" t="s">
        <v>2268</v>
      </c>
      <c r="AV268" s="454" t="s">
        <v>734</v>
      </c>
      <c r="AW268" s="457">
        <v>0.0</v>
      </c>
      <c r="AX268" s="454" t="s">
        <v>734</v>
      </c>
      <c r="AY268" s="457">
        <v>0.0</v>
      </c>
      <c r="AZ268" s="454" t="s">
        <v>734</v>
      </c>
      <c r="BA268" s="457">
        <v>0.0</v>
      </c>
      <c r="BB268" s="454" t="s">
        <v>734</v>
      </c>
      <c r="BC268" s="457">
        <v>0.0</v>
      </c>
      <c r="BD268" s="454" t="s">
        <v>734</v>
      </c>
      <c r="BE268" s="457">
        <v>0.0</v>
      </c>
    </row>
    <row r="269">
      <c r="A269" s="449" t="s">
        <v>2269</v>
      </c>
      <c r="B269" s="449" t="s">
        <v>2270</v>
      </c>
      <c r="M269" s="226"/>
      <c r="N269" s="226"/>
      <c r="O269" s="226"/>
      <c r="P269" s="226"/>
    </row>
    <row r="270">
      <c r="A270" s="454" t="s">
        <v>906</v>
      </c>
      <c r="B270" s="456">
        <v>0.0</v>
      </c>
      <c r="M270" s="226"/>
      <c r="N270" s="226"/>
      <c r="O270" s="226"/>
      <c r="P270" s="226"/>
      <c r="AN270" s="449" t="s">
        <v>2036</v>
      </c>
      <c r="AO270" s="450" t="s">
        <v>2271</v>
      </c>
      <c r="AP270" s="449" t="s">
        <v>2036</v>
      </c>
      <c r="AQ270" s="450" t="s">
        <v>2272</v>
      </c>
      <c r="AR270" s="449" t="s">
        <v>2036</v>
      </c>
      <c r="AS270" s="450" t="s">
        <v>2273</v>
      </c>
      <c r="AT270" s="449" t="s">
        <v>2036</v>
      </c>
      <c r="AU270" s="450" t="s">
        <v>2274</v>
      </c>
      <c r="AV270" s="449" t="s">
        <v>2036</v>
      </c>
      <c r="AW270" s="450" t="s">
        <v>2275</v>
      </c>
      <c r="AX270" s="449" t="s">
        <v>2036</v>
      </c>
      <c r="AY270" s="450" t="s">
        <v>2276</v>
      </c>
      <c r="AZ270" s="449" t="s">
        <v>2036</v>
      </c>
      <c r="BA270" s="450" t="s">
        <v>2277</v>
      </c>
      <c r="BB270" s="449" t="s">
        <v>2036</v>
      </c>
      <c r="BC270" s="450" t="s">
        <v>2278</v>
      </c>
      <c r="BD270" s="449" t="s">
        <v>2036</v>
      </c>
      <c r="BE270" s="450" t="s">
        <v>2279</v>
      </c>
    </row>
    <row r="271">
      <c r="A271" s="454" t="s">
        <v>907</v>
      </c>
      <c r="B271" s="456">
        <v>0.0</v>
      </c>
      <c r="M271" s="226"/>
      <c r="N271" s="226"/>
      <c r="O271" s="226"/>
      <c r="P271" s="226"/>
      <c r="AN271" s="454" t="s">
        <v>743</v>
      </c>
      <c r="AO271" s="537">
        <v>1.0</v>
      </c>
      <c r="AP271" s="454" t="s">
        <v>743</v>
      </c>
      <c r="AQ271" s="537">
        <v>1.0</v>
      </c>
      <c r="AR271" s="454" t="s">
        <v>743</v>
      </c>
      <c r="AS271" s="537">
        <v>1.0</v>
      </c>
      <c r="AT271" s="454" t="s">
        <v>743</v>
      </c>
      <c r="AU271" s="537" t="s">
        <v>2280</v>
      </c>
      <c r="AV271" s="454" t="s">
        <v>743</v>
      </c>
      <c r="AW271" s="537">
        <v>0.0</v>
      </c>
      <c r="AX271" s="454" t="s">
        <v>743</v>
      </c>
      <c r="AY271" s="537">
        <v>0.0</v>
      </c>
      <c r="AZ271" s="454" t="s">
        <v>743</v>
      </c>
      <c r="BA271" s="537">
        <v>0.0</v>
      </c>
      <c r="BB271" s="454" t="s">
        <v>743</v>
      </c>
      <c r="BC271" s="537">
        <v>0.0</v>
      </c>
      <c r="BD271" s="454" t="s">
        <v>743</v>
      </c>
      <c r="BE271" s="537">
        <v>0.0</v>
      </c>
    </row>
    <row r="272">
      <c r="A272" s="454" t="s">
        <v>908</v>
      </c>
      <c r="B272" s="456">
        <v>0.0</v>
      </c>
      <c r="M272" s="226"/>
      <c r="N272" s="226"/>
      <c r="O272" s="226"/>
      <c r="P272" s="226"/>
      <c r="AN272" s="454" t="s">
        <v>746</v>
      </c>
      <c r="AO272" s="537">
        <v>3.0</v>
      </c>
      <c r="AP272" s="454" t="s">
        <v>746</v>
      </c>
      <c r="AQ272" s="537">
        <v>0.0</v>
      </c>
      <c r="AR272" s="454" t="s">
        <v>746</v>
      </c>
      <c r="AS272" s="537">
        <v>0.0</v>
      </c>
      <c r="AT272" s="454" t="s">
        <v>746</v>
      </c>
      <c r="AU272" s="537" t="s">
        <v>2255</v>
      </c>
      <c r="AV272" s="454" t="s">
        <v>746</v>
      </c>
      <c r="AW272" s="537">
        <v>0.0</v>
      </c>
      <c r="AX272" s="454" t="s">
        <v>746</v>
      </c>
      <c r="AY272" s="537">
        <v>0.0</v>
      </c>
      <c r="AZ272" s="454" t="s">
        <v>746</v>
      </c>
      <c r="BA272" s="537">
        <v>4.0</v>
      </c>
      <c r="BB272" s="454" t="s">
        <v>746</v>
      </c>
      <c r="BC272" s="537">
        <v>0.0</v>
      </c>
      <c r="BD272" s="454" t="s">
        <v>746</v>
      </c>
      <c r="BE272" s="537">
        <v>0.0</v>
      </c>
    </row>
    <row r="273">
      <c r="A273" s="454" t="s">
        <v>910</v>
      </c>
      <c r="B273" s="456">
        <v>0.0</v>
      </c>
      <c r="M273" s="226"/>
      <c r="N273" s="226"/>
      <c r="O273" s="226"/>
      <c r="P273" s="226"/>
      <c r="AN273" s="454" t="s">
        <v>749</v>
      </c>
      <c r="AO273" s="537">
        <v>2.0</v>
      </c>
      <c r="AP273" s="454" t="s">
        <v>749</v>
      </c>
      <c r="AQ273" s="537">
        <v>1.0</v>
      </c>
      <c r="AR273" s="454" t="s">
        <v>749</v>
      </c>
      <c r="AS273" s="537">
        <v>0.0</v>
      </c>
      <c r="AT273" s="454" t="s">
        <v>749</v>
      </c>
      <c r="AU273" s="537" t="s">
        <v>2280</v>
      </c>
      <c r="AV273" s="454" t="s">
        <v>749</v>
      </c>
      <c r="AW273" s="537">
        <v>0.0</v>
      </c>
      <c r="AX273" s="454" t="s">
        <v>749</v>
      </c>
      <c r="AY273" s="537">
        <v>0.0</v>
      </c>
      <c r="AZ273" s="454" t="s">
        <v>749</v>
      </c>
      <c r="BA273" s="537">
        <v>0.0</v>
      </c>
      <c r="BB273" s="454" t="s">
        <v>749</v>
      </c>
      <c r="BC273" s="537">
        <v>8.0</v>
      </c>
      <c r="BD273" s="454" t="s">
        <v>749</v>
      </c>
      <c r="BE273" s="537">
        <v>0.0</v>
      </c>
    </row>
    <row r="274">
      <c r="A274" s="454" t="s">
        <v>912</v>
      </c>
      <c r="B274" s="456">
        <v>0.0</v>
      </c>
      <c r="M274" s="226"/>
      <c r="N274" s="226"/>
      <c r="O274" s="226"/>
      <c r="P274" s="226"/>
      <c r="AN274" s="454" t="s">
        <v>751</v>
      </c>
      <c r="AO274" s="537">
        <v>1.0</v>
      </c>
      <c r="AP274" s="454" t="s">
        <v>751</v>
      </c>
      <c r="AQ274" s="537">
        <v>2.0</v>
      </c>
      <c r="AR274" s="454" t="s">
        <v>751</v>
      </c>
      <c r="AS274" s="537">
        <v>0.0</v>
      </c>
      <c r="AT274" s="454" t="s">
        <v>751</v>
      </c>
      <c r="AU274" s="537" t="s">
        <v>2256</v>
      </c>
      <c r="AV274" s="454" t="s">
        <v>751</v>
      </c>
      <c r="AW274" s="537">
        <v>4.0</v>
      </c>
      <c r="AX274" s="454" t="s">
        <v>751</v>
      </c>
      <c r="AY274" s="537">
        <v>0.0</v>
      </c>
      <c r="AZ274" s="454" t="s">
        <v>751</v>
      </c>
      <c r="BA274" s="537">
        <v>0.0</v>
      </c>
      <c r="BB274" s="454" t="s">
        <v>751</v>
      </c>
      <c r="BC274" s="537">
        <v>0.0</v>
      </c>
      <c r="BD274" s="454" t="s">
        <v>751</v>
      </c>
      <c r="BE274" s="537">
        <v>0.0</v>
      </c>
    </row>
    <row r="275">
      <c r="A275" s="454" t="s">
        <v>914</v>
      </c>
      <c r="B275" s="456">
        <v>0.0</v>
      </c>
      <c r="M275" s="226"/>
      <c r="N275" s="226"/>
      <c r="O275" s="226"/>
      <c r="P275" s="226"/>
      <c r="AN275" s="454" t="s">
        <v>754</v>
      </c>
      <c r="AO275" s="537">
        <v>2.0</v>
      </c>
      <c r="AP275" s="454" t="s">
        <v>754</v>
      </c>
      <c r="AQ275" s="537">
        <v>1.0</v>
      </c>
      <c r="AR275" s="454" t="s">
        <v>754</v>
      </c>
      <c r="AS275" s="537">
        <v>0.0</v>
      </c>
      <c r="AT275" s="454" t="s">
        <v>754</v>
      </c>
      <c r="AU275" s="537" t="s">
        <v>2255</v>
      </c>
      <c r="AV275" s="454" t="s">
        <v>754</v>
      </c>
      <c r="AW275" s="537">
        <v>0.0</v>
      </c>
      <c r="AX275" s="454" t="s">
        <v>754</v>
      </c>
      <c r="AY275" s="537">
        <v>0.0</v>
      </c>
      <c r="AZ275" s="454" t="s">
        <v>754</v>
      </c>
      <c r="BA275" s="537">
        <v>4.0</v>
      </c>
      <c r="BB275" s="454" t="s">
        <v>754</v>
      </c>
      <c r="BC275" s="537">
        <v>0.0</v>
      </c>
      <c r="BD275" s="454" t="s">
        <v>754</v>
      </c>
      <c r="BE275" s="537">
        <v>0.0</v>
      </c>
    </row>
    <row r="276">
      <c r="A276" s="454" t="s">
        <v>915</v>
      </c>
      <c r="B276" s="456">
        <v>0.0</v>
      </c>
      <c r="M276" s="226"/>
      <c r="N276" s="226"/>
      <c r="O276" s="226"/>
      <c r="P276" s="226"/>
      <c r="AN276" s="454" t="s">
        <v>757</v>
      </c>
      <c r="AO276" s="537">
        <v>1.0</v>
      </c>
      <c r="AP276" s="454" t="s">
        <v>757</v>
      </c>
      <c r="AQ276" s="537">
        <v>0.0</v>
      </c>
      <c r="AR276" s="454" t="s">
        <v>757</v>
      </c>
      <c r="AS276" s="537">
        <v>2.0</v>
      </c>
      <c r="AT276" s="454" t="s">
        <v>757</v>
      </c>
      <c r="AU276" s="537" t="s">
        <v>2255</v>
      </c>
      <c r="AV276" s="454" t="s">
        <v>757</v>
      </c>
      <c r="AW276" s="537">
        <v>0.0</v>
      </c>
      <c r="AX276" s="454" t="s">
        <v>757</v>
      </c>
      <c r="AY276" s="537">
        <v>0.0</v>
      </c>
      <c r="AZ276" s="454" t="s">
        <v>757</v>
      </c>
      <c r="BA276" s="537">
        <v>0.0</v>
      </c>
      <c r="BB276" s="454" t="s">
        <v>757</v>
      </c>
      <c r="BC276" s="537">
        <v>0.0</v>
      </c>
      <c r="BD276" s="454" t="s">
        <v>757</v>
      </c>
      <c r="BE276" s="537">
        <v>0.0</v>
      </c>
    </row>
    <row r="277">
      <c r="A277" s="454" t="s">
        <v>917</v>
      </c>
      <c r="B277" s="456">
        <v>0.0</v>
      </c>
      <c r="M277" s="226"/>
      <c r="N277" s="226"/>
      <c r="O277" s="226"/>
      <c r="P277" s="226"/>
      <c r="AN277" s="454" t="s">
        <v>758</v>
      </c>
      <c r="AO277" s="537">
        <v>1.0</v>
      </c>
      <c r="AP277" s="454" t="s">
        <v>758</v>
      </c>
      <c r="AQ277" s="537">
        <v>1.0</v>
      </c>
      <c r="AR277" s="454" t="s">
        <v>758</v>
      </c>
      <c r="AS277" s="537">
        <v>1.0</v>
      </c>
      <c r="AT277" s="454" t="s">
        <v>758</v>
      </c>
      <c r="AU277" s="537" t="s">
        <v>2280</v>
      </c>
      <c r="AV277" s="454" t="s">
        <v>758</v>
      </c>
      <c r="AW277" s="537">
        <v>0.0</v>
      </c>
      <c r="AX277" s="454" t="s">
        <v>758</v>
      </c>
      <c r="AY277" s="537">
        <v>0.0</v>
      </c>
      <c r="AZ277" s="454" t="s">
        <v>758</v>
      </c>
      <c r="BA277" s="537">
        <v>0.0</v>
      </c>
      <c r="BB277" s="454" t="s">
        <v>758</v>
      </c>
      <c r="BC277" s="537">
        <v>0.0</v>
      </c>
      <c r="BD277" s="454" t="s">
        <v>758</v>
      </c>
      <c r="BE277" s="537">
        <v>0.0</v>
      </c>
    </row>
    <row r="278">
      <c r="A278" s="454" t="s">
        <v>918</v>
      </c>
      <c r="B278" s="456">
        <v>26.6</v>
      </c>
      <c r="M278" s="226"/>
      <c r="N278" s="226"/>
      <c r="O278" s="226"/>
      <c r="P278" s="226"/>
      <c r="AN278" s="454" t="s">
        <v>759</v>
      </c>
      <c r="AO278" s="537">
        <v>2.0</v>
      </c>
      <c r="AP278" s="454" t="s">
        <v>759</v>
      </c>
      <c r="AQ278" s="537">
        <v>1.0</v>
      </c>
      <c r="AR278" s="454" t="s">
        <v>759</v>
      </c>
      <c r="AS278" s="537">
        <v>0.0</v>
      </c>
      <c r="AT278" s="454" t="s">
        <v>759</v>
      </c>
      <c r="AU278" s="537" t="s">
        <v>2255</v>
      </c>
      <c r="AV278" s="454" t="s">
        <v>759</v>
      </c>
      <c r="AW278" s="537">
        <v>0.0</v>
      </c>
      <c r="AX278" s="454" t="s">
        <v>759</v>
      </c>
      <c r="AY278" s="537">
        <v>0.0</v>
      </c>
      <c r="AZ278" s="454" t="s">
        <v>759</v>
      </c>
      <c r="BA278" s="537">
        <v>4.0</v>
      </c>
      <c r="BB278" s="454" t="s">
        <v>759</v>
      </c>
      <c r="BC278" s="537">
        <v>0.0</v>
      </c>
      <c r="BD278" s="454" t="s">
        <v>759</v>
      </c>
      <c r="BE278" s="537">
        <v>0.0</v>
      </c>
    </row>
    <row r="279">
      <c r="A279" s="454" t="s">
        <v>921</v>
      </c>
      <c r="B279" s="456">
        <v>0.0</v>
      </c>
      <c r="M279" s="226"/>
      <c r="N279" s="226"/>
      <c r="O279" s="226"/>
      <c r="P279" s="226"/>
      <c r="AN279" s="454" t="s">
        <v>760</v>
      </c>
      <c r="AO279" s="537">
        <v>0.0</v>
      </c>
      <c r="AP279" s="454" t="s">
        <v>760</v>
      </c>
      <c r="AQ279" s="537">
        <v>2.0</v>
      </c>
      <c r="AR279" s="454" t="s">
        <v>760</v>
      </c>
      <c r="AS279" s="537">
        <v>1.0</v>
      </c>
      <c r="AT279" s="454" t="s">
        <v>760</v>
      </c>
      <c r="AU279" s="537" t="s">
        <v>2255</v>
      </c>
      <c r="AV279" s="454" t="s">
        <v>760</v>
      </c>
      <c r="AW279" s="537">
        <v>0.0</v>
      </c>
      <c r="AX279" s="454" t="s">
        <v>760</v>
      </c>
      <c r="AY279" s="537">
        <v>0.0</v>
      </c>
      <c r="AZ279" s="454" t="s">
        <v>760</v>
      </c>
      <c r="BA279" s="537">
        <v>0.0</v>
      </c>
      <c r="BB279" s="454" t="s">
        <v>760</v>
      </c>
      <c r="BC279" s="537">
        <v>0.0</v>
      </c>
      <c r="BD279" s="454" t="s">
        <v>760</v>
      </c>
      <c r="BE279" s="537">
        <v>0.0</v>
      </c>
    </row>
    <row r="280">
      <c r="A280" s="454" t="s">
        <v>922</v>
      </c>
      <c r="B280" s="456">
        <v>0.0</v>
      </c>
      <c r="M280" s="226"/>
      <c r="N280" s="226"/>
      <c r="O280" s="226"/>
      <c r="P280" s="226"/>
      <c r="AN280" s="454" t="s">
        <v>763</v>
      </c>
      <c r="AO280" s="537">
        <v>0.0</v>
      </c>
      <c r="AP280" s="454" t="s">
        <v>763</v>
      </c>
      <c r="AQ280" s="537">
        <v>0.0</v>
      </c>
      <c r="AR280" s="454" t="s">
        <v>763</v>
      </c>
      <c r="AS280" s="537">
        <v>0.0</v>
      </c>
      <c r="AT280" s="454" t="s">
        <v>763</v>
      </c>
      <c r="AU280" s="537"/>
      <c r="AV280" s="454" t="s">
        <v>763</v>
      </c>
      <c r="AW280" s="537">
        <v>0.0</v>
      </c>
      <c r="AX280" s="454" t="s">
        <v>763</v>
      </c>
      <c r="AY280" s="537">
        <v>0.0</v>
      </c>
      <c r="AZ280" s="454" t="s">
        <v>763</v>
      </c>
      <c r="BA280" s="537">
        <v>0.0</v>
      </c>
      <c r="BB280" s="454" t="s">
        <v>763</v>
      </c>
      <c r="BC280" s="537">
        <v>0.0</v>
      </c>
      <c r="BD280" s="454" t="s">
        <v>763</v>
      </c>
      <c r="BE280" s="537">
        <v>0.0</v>
      </c>
    </row>
    <row r="281">
      <c r="A281" s="454" t="s">
        <v>923</v>
      </c>
      <c r="B281" s="456">
        <v>0.0</v>
      </c>
      <c r="M281" s="226"/>
      <c r="N281" s="226"/>
      <c r="O281" s="226"/>
      <c r="P281" s="226"/>
      <c r="AN281" s="454" t="s">
        <v>764</v>
      </c>
      <c r="AO281" s="537">
        <v>0.0</v>
      </c>
      <c r="AP281" s="454" t="s">
        <v>764</v>
      </c>
      <c r="AQ281" s="537">
        <v>2.0</v>
      </c>
      <c r="AR281" s="454" t="s">
        <v>764</v>
      </c>
      <c r="AS281" s="537">
        <v>1.0</v>
      </c>
      <c r="AT281" s="454" t="s">
        <v>764</v>
      </c>
      <c r="AU281" s="537" t="s">
        <v>2280</v>
      </c>
      <c r="AV281" s="454" t="s">
        <v>764</v>
      </c>
      <c r="AW281" s="537">
        <v>0.0</v>
      </c>
      <c r="AX281" s="454" t="s">
        <v>764</v>
      </c>
      <c r="AY281" s="537">
        <v>0.0</v>
      </c>
      <c r="AZ281" s="454" t="s">
        <v>764</v>
      </c>
      <c r="BA281" s="537">
        <v>0.0</v>
      </c>
      <c r="BB281" s="454" t="s">
        <v>764</v>
      </c>
      <c r="BC281" s="537">
        <v>0.0</v>
      </c>
      <c r="BD281" s="454" t="s">
        <v>764</v>
      </c>
      <c r="BE281" s="537">
        <v>0.0</v>
      </c>
    </row>
    <row r="282">
      <c r="A282" s="454" t="s">
        <v>924</v>
      </c>
      <c r="B282" s="456">
        <v>0.0</v>
      </c>
      <c r="M282" s="226"/>
      <c r="N282" s="226"/>
      <c r="O282" s="226"/>
      <c r="P282" s="226"/>
      <c r="AN282" s="454" t="s">
        <v>2059</v>
      </c>
      <c r="AO282" s="537">
        <v>1.0</v>
      </c>
      <c r="AP282" s="454" t="s">
        <v>2059</v>
      </c>
      <c r="AQ282" s="537">
        <v>1.0</v>
      </c>
      <c r="AR282" s="454" t="s">
        <v>2059</v>
      </c>
      <c r="AS282" s="537">
        <v>1.0</v>
      </c>
      <c r="AT282" s="454" t="s">
        <v>2059</v>
      </c>
      <c r="AU282" s="537" t="s">
        <v>2256</v>
      </c>
      <c r="AV282" s="454" t="s">
        <v>2059</v>
      </c>
      <c r="AW282" s="537">
        <v>0.0</v>
      </c>
      <c r="AX282" s="454" t="s">
        <v>2059</v>
      </c>
      <c r="AY282" s="537">
        <v>0.0</v>
      </c>
      <c r="AZ282" s="454" t="s">
        <v>2059</v>
      </c>
      <c r="BA282" s="537">
        <v>0.0</v>
      </c>
      <c r="BB282" s="454" t="s">
        <v>2059</v>
      </c>
      <c r="BC282" s="537">
        <v>0.0</v>
      </c>
      <c r="BD282" s="454" t="s">
        <v>2059</v>
      </c>
      <c r="BE282" s="537">
        <v>0.0</v>
      </c>
    </row>
    <row r="283">
      <c r="A283" s="454" t="s">
        <v>926</v>
      </c>
      <c r="B283" s="456">
        <v>0.0</v>
      </c>
      <c r="M283" s="226"/>
      <c r="N283" s="226"/>
      <c r="O283" s="226"/>
      <c r="P283" s="226"/>
      <c r="AN283" s="454" t="s">
        <v>1420</v>
      </c>
      <c r="AO283" s="537">
        <v>0.0</v>
      </c>
      <c r="AP283" s="454" t="s">
        <v>1420</v>
      </c>
      <c r="AQ283" s="537">
        <v>1.0</v>
      </c>
      <c r="AR283" s="454" t="s">
        <v>1420</v>
      </c>
      <c r="AS283" s="537">
        <v>2.0</v>
      </c>
      <c r="AT283" s="454" t="s">
        <v>1420</v>
      </c>
      <c r="AU283" s="537" t="s">
        <v>2255</v>
      </c>
      <c r="AV283" s="454" t="s">
        <v>1420</v>
      </c>
      <c r="AW283" s="537">
        <v>0.0</v>
      </c>
      <c r="AX283" s="454" t="s">
        <v>1420</v>
      </c>
      <c r="AY283" s="537">
        <v>0.0</v>
      </c>
      <c r="AZ283" s="454" t="s">
        <v>1420</v>
      </c>
      <c r="BA283" s="537">
        <v>0.0</v>
      </c>
      <c r="BB283" s="454" t="s">
        <v>1420</v>
      </c>
      <c r="BC283" s="537">
        <v>0.0</v>
      </c>
      <c r="BD283" s="454" t="s">
        <v>1420</v>
      </c>
      <c r="BE283" s="537">
        <v>0.0</v>
      </c>
    </row>
    <row r="284">
      <c r="A284" s="454" t="s">
        <v>927</v>
      </c>
      <c r="B284" s="456">
        <v>0.0</v>
      </c>
      <c r="M284" s="226"/>
      <c r="N284" s="226"/>
      <c r="O284" s="226"/>
      <c r="P284" s="226"/>
    </row>
    <row r="285">
      <c r="A285" s="454" t="s">
        <v>1115</v>
      </c>
      <c r="B285" s="456">
        <v>0.0</v>
      </c>
      <c r="M285" s="226"/>
      <c r="N285" s="226"/>
      <c r="O285" s="226"/>
      <c r="P285" s="226"/>
      <c r="AN285" s="449" t="s">
        <v>2062</v>
      </c>
      <c r="AO285" s="450" t="s">
        <v>2281</v>
      </c>
      <c r="AP285" s="449" t="s">
        <v>2062</v>
      </c>
      <c r="AQ285" s="450" t="s">
        <v>2282</v>
      </c>
      <c r="AR285" s="449" t="s">
        <v>2062</v>
      </c>
      <c r="AS285" s="450" t="s">
        <v>2283</v>
      </c>
      <c r="AT285" s="449" t="s">
        <v>2062</v>
      </c>
      <c r="AU285" s="450" t="s">
        <v>2284</v>
      </c>
      <c r="AV285" s="449" t="s">
        <v>2062</v>
      </c>
      <c r="AW285" s="450" t="s">
        <v>2285</v>
      </c>
      <c r="AX285" s="449" t="s">
        <v>2062</v>
      </c>
      <c r="AY285" s="450" t="s">
        <v>2286</v>
      </c>
      <c r="AZ285" s="449" t="s">
        <v>2062</v>
      </c>
      <c r="BA285" s="450" t="s">
        <v>2287</v>
      </c>
      <c r="BB285" s="449" t="s">
        <v>2062</v>
      </c>
      <c r="BC285" s="450" t="s">
        <v>2288</v>
      </c>
      <c r="BD285" s="449" t="s">
        <v>2062</v>
      </c>
      <c r="BE285" s="450" t="s">
        <v>2289</v>
      </c>
    </row>
    <row r="286">
      <c r="A286" s="454" t="s">
        <v>1244</v>
      </c>
      <c r="B286" s="456">
        <v>0.0</v>
      </c>
      <c r="M286" s="226"/>
      <c r="N286" s="226"/>
      <c r="O286" s="226"/>
      <c r="P286" s="226"/>
      <c r="AN286" s="454" t="s">
        <v>1008</v>
      </c>
      <c r="AO286" s="457">
        <v>0.0</v>
      </c>
      <c r="AP286" s="454" t="s">
        <v>1008</v>
      </c>
      <c r="AQ286" s="457">
        <v>2.0</v>
      </c>
      <c r="AR286" s="454" t="s">
        <v>1008</v>
      </c>
      <c r="AS286" s="457">
        <v>0.0</v>
      </c>
      <c r="AT286" s="454" t="s">
        <v>1008</v>
      </c>
      <c r="AU286" s="457" t="s">
        <v>2290</v>
      </c>
      <c r="AV286" s="454" t="s">
        <v>1008</v>
      </c>
      <c r="AW286" s="457">
        <v>0.0</v>
      </c>
      <c r="AX286" s="454" t="s">
        <v>1008</v>
      </c>
      <c r="AY286" s="457">
        <v>0.0</v>
      </c>
      <c r="AZ286" s="454" t="s">
        <v>1008</v>
      </c>
      <c r="BA286" s="457">
        <v>0.0</v>
      </c>
      <c r="BB286" s="454" t="s">
        <v>1008</v>
      </c>
      <c r="BC286" s="457">
        <v>6.0</v>
      </c>
      <c r="BD286" s="454" t="s">
        <v>1008</v>
      </c>
      <c r="BE286" s="457">
        <v>0.0</v>
      </c>
    </row>
    <row r="287">
      <c r="A287" s="454" t="s">
        <v>1111</v>
      </c>
      <c r="B287" s="456">
        <v>0.0</v>
      </c>
      <c r="M287" s="226"/>
      <c r="N287" s="226"/>
      <c r="O287" s="226"/>
      <c r="P287" s="226"/>
      <c r="AN287" s="454" t="s">
        <v>1009</v>
      </c>
      <c r="AO287" s="457">
        <v>0.0</v>
      </c>
      <c r="AP287" s="454" t="s">
        <v>1009</v>
      </c>
      <c r="AQ287" s="457">
        <v>0.0</v>
      </c>
      <c r="AR287" s="454" t="s">
        <v>1009</v>
      </c>
      <c r="AS287" s="457">
        <v>0.0</v>
      </c>
      <c r="AT287" s="454" t="s">
        <v>1009</v>
      </c>
      <c r="AU287" s="457"/>
      <c r="AV287" s="454" t="s">
        <v>1009</v>
      </c>
      <c r="AW287" s="457">
        <v>0.0</v>
      </c>
      <c r="AX287" s="454" t="s">
        <v>1009</v>
      </c>
      <c r="AY287" s="457">
        <v>0.0</v>
      </c>
      <c r="AZ287" s="454" t="s">
        <v>1009</v>
      </c>
      <c r="BA287" s="457">
        <v>0.0</v>
      </c>
      <c r="BB287" s="454" t="s">
        <v>1009</v>
      </c>
      <c r="BC287" s="457">
        <v>0.0</v>
      </c>
      <c r="BD287" s="454" t="s">
        <v>1009</v>
      </c>
      <c r="BE287" s="457">
        <v>0.0</v>
      </c>
    </row>
    <row r="288">
      <c r="M288" s="226"/>
      <c r="N288" s="226"/>
      <c r="O288" s="226"/>
      <c r="P288" s="226"/>
      <c r="AN288" s="454" t="s">
        <v>1011</v>
      </c>
      <c r="AO288" s="457">
        <v>0.0</v>
      </c>
      <c r="AP288" s="454" t="s">
        <v>1011</v>
      </c>
      <c r="AQ288" s="457">
        <v>0.0</v>
      </c>
      <c r="AR288" s="454" t="s">
        <v>1011</v>
      </c>
      <c r="AS288" s="457">
        <v>0.0</v>
      </c>
      <c r="AT288" s="454" t="s">
        <v>1011</v>
      </c>
      <c r="AU288" s="457"/>
      <c r="AV288" s="454" t="s">
        <v>1011</v>
      </c>
      <c r="AW288" s="457">
        <v>0.0</v>
      </c>
      <c r="AX288" s="454" t="s">
        <v>1011</v>
      </c>
      <c r="AY288" s="457">
        <v>0.0</v>
      </c>
      <c r="AZ288" s="454" t="s">
        <v>1011</v>
      </c>
      <c r="BA288" s="457">
        <v>0.0</v>
      </c>
      <c r="BB288" s="454" t="s">
        <v>1011</v>
      </c>
      <c r="BC288" s="457">
        <v>0.0</v>
      </c>
      <c r="BD288" s="454" t="s">
        <v>1011</v>
      </c>
      <c r="BE288" s="457">
        <v>0.0</v>
      </c>
    </row>
    <row r="289">
      <c r="M289" s="226"/>
      <c r="N289" s="226"/>
      <c r="O289" s="226"/>
      <c r="P289" s="226"/>
      <c r="AN289" s="454" t="s">
        <v>1012</v>
      </c>
      <c r="AO289" s="457">
        <v>0.0</v>
      </c>
      <c r="AP289" s="454" t="s">
        <v>1012</v>
      </c>
      <c r="AQ289" s="457">
        <v>0.0</v>
      </c>
      <c r="AR289" s="454" t="s">
        <v>1012</v>
      </c>
      <c r="AS289" s="457">
        <v>0.0</v>
      </c>
      <c r="AT289" s="454" t="s">
        <v>1012</v>
      </c>
      <c r="AU289" s="457"/>
      <c r="AV289" s="454" t="s">
        <v>1012</v>
      </c>
      <c r="AW289" s="457">
        <v>0.0</v>
      </c>
      <c r="AX289" s="454" t="s">
        <v>1012</v>
      </c>
      <c r="AY289" s="457">
        <v>0.0</v>
      </c>
      <c r="AZ289" s="454" t="s">
        <v>1012</v>
      </c>
      <c r="BA289" s="457">
        <v>0.0</v>
      </c>
      <c r="BB289" s="454" t="s">
        <v>1012</v>
      </c>
      <c r="BC289" s="457">
        <v>0.0</v>
      </c>
      <c r="BD289" s="454" t="s">
        <v>1012</v>
      </c>
      <c r="BE289" s="457">
        <v>0.0</v>
      </c>
    </row>
    <row r="290">
      <c r="M290" s="226"/>
      <c r="N290" s="226"/>
      <c r="O290" s="226"/>
      <c r="P290" s="226"/>
      <c r="AN290" s="454" t="s">
        <v>1013</v>
      </c>
      <c r="AO290" s="457">
        <v>0.0</v>
      </c>
      <c r="AP290" s="454" t="s">
        <v>1013</v>
      </c>
      <c r="AQ290" s="457">
        <v>0.0</v>
      </c>
      <c r="AR290" s="454" t="s">
        <v>1013</v>
      </c>
      <c r="AS290" s="457">
        <v>0.0</v>
      </c>
      <c r="AT290" s="454" t="s">
        <v>1013</v>
      </c>
      <c r="AU290" s="457"/>
      <c r="AV290" s="454" t="s">
        <v>1013</v>
      </c>
      <c r="AW290" s="457">
        <v>0.0</v>
      </c>
      <c r="AX290" s="454" t="s">
        <v>1013</v>
      </c>
      <c r="AY290" s="457">
        <v>0.0</v>
      </c>
      <c r="AZ290" s="454" t="s">
        <v>1013</v>
      </c>
      <c r="BA290" s="457">
        <v>0.0</v>
      </c>
      <c r="BB290" s="454" t="s">
        <v>1013</v>
      </c>
      <c r="BC290" s="457">
        <v>0.0</v>
      </c>
      <c r="BD290" s="454" t="s">
        <v>1013</v>
      </c>
      <c r="BE290" s="457">
        <v>0.0</v>
      </c>
    </row>
    <row r="291">
      <c r="M291" s="226"/>
      <c r="N291" s="226"/>
      <c r="O291" s="226"/>
      <c r="P291" s="226"/>
      <c r="AN291" s="454" t="s">
        <v>1018</v>
      </c>
      <c r="AO291" s="457">
        <v>0.0</v>
      </c>
      <c r="AP291" s="454" t="s">
        <v>1018</v>
      </c>
      <c r="AQ291" s="457">
        <v>0.0</v>
      </c>
      <c r="AR291" s="454" t="s">
        <v>1018</v>
      </c>
      <c r="AS291" s="457">
        <v>0.0</v>
      </c>
      <c r="AT291" s="454" t="s">
        <v>1018</v>
      </c>
      <c r="AU291" s="457"/>
      <c r="AV291" s="454" t="s">
        <v>1018</v>
      </c>
      <c r="AW291" s="457">
        <v>0.0</v>
      </c>
      <c r="AX291" s="454" t="s">
        <v>1018</v>
      </c>
      <c r="AY291" s="457">
        <v>0.0</v>
      </c>
      <c r="AZ291" s="454" t="s">
        <v>1018</v>
      </c>
      <c r="BA291" s="457">
        <v>0.0</v>
      </c>
      <c r="BB291" s="454" t="s">
        <v>1018</v>
      </c>
      <c r="BC291" s="457">
        <v>0.0</v>
      </c>
      <c r="BD291" s="454" t="s">
        <v>1018</v>
      </c>
      <c r="BE291" s="457">
        <v>0.0</v>
      </c>
    </row>
    <row r="292">
      <c r="M292" s="226"/>
      <c r="N292" s="226"/>
      <c r="O292" s="226"/>
      <c r="P292" s="226"/>
      <c r="AN292" s="454" t="s">
        <v>1055</v>
      </c>
      <c r="AO292" s="457">
        <v>0.0</v>
      </c>
      <c r="AP292" s="454" t="s">
        <v>1055</v>
      </c>
      <c r="AQ292" s="457">
        <v>0.0</v>
      </c>
      <c r="AR292" s="454" t="s">
        <v>1055</v>
      </c>
      <c r="AS292" s="457">
        <v>0.0</v>
      </c>
      <c r="AT292" s="454" t="s">
        <v>1055</v>
      </c>
      <c r="AU292" s="457"/>
      <c r="AV292" s="454" t="s">
        <v>1055</v>
      </c>
      <c r="AW292" s="457">
        <v>0.0</v>
      </c>
      <c r="AX292" s="454" t="s">
        <v>1055</v>
      </c>
      <c r="AY292" s="457">
        <v>0.0</v>
      </c>
      <c r="AZ292" s="454" t="s">
        <v>1055</v>
      </c>
      <c r="BA292" s="457">
        <v>0.0</v>
      </c>
      <c r="BB292" s="454" t="s">
        <v>1055</v>
      </c>
      <c r="BC292" s="457">
        <v>0.0</v>
      </c>
      <c r="BD292" s="454" t="s">
        <v>1055</v>
      </c>
      <c r="BE292" s="457">
        <v>0.0</v>
      </c>
    </row>
    <row r="293">
      <c r="M293" s="226"/>
      <c r="N293" s="226"/>
      <c r="O293" s="226"/>
      <c r="P293" s="226"/>
      <c r="AN293" s="454" t="s">
        <v>1019</v>
      </c>
      <c r="AO293" s="457">
        <v>0.0</v>
      </c>
      <c r="AP293" s="454" t="s">
        <v>1019</v>
      </c>
      <c r="AQ293" s="457">
        <v>0.0</v>
      </c>
      <c r="AR293" s="454" t="s">
        <v>1019</v>
      </c>
      <c r="AS293" s="457">
        <v>0.0</v>
      </c>
      <c r="AT293" s="454" t="s">
        <v>1019</v>
      </c>
      <c r="AU293" s="457"/>
      <c r="AV293" s="454" t="s">
        <v>1019</v>
      </c>
      <c r="AW293" s="457">
        <v>0.0</v>
      </c>
      <c r="AX293" s="454" t="s">
        <v>1019</v>
      </c>
      <c r="AY293" s="457">
        <v>0.0</v>
      </c>
      <c r="AZ293" s="454" t="s">
        <v>1019</v>
      </c>
      <c r="BA293" s="457">
        <v>0.0</v>
      </c>
      <c r="BB293" s="454" t="s">
        <v>1019</v>
      </c>
      <c r="BC293" s="457">
        <v>0.0</v>
      </c>
      <c r="BD293" s="454" t="s">
        <v>1019</v>
      </c>
      <c r="BE293" s="457">
        <v>0.0</v>
      </c>
    </row>
    <row r="294">
      <c r="M294" s="226"/>
      <c r="N294" s="226"/>
      <c r="O294" s="226"/>
      <c r="P294" s="226"/>
      <c r="AN294" s="454" t="s">
        <v>1026</v>
      </c>
      <c r="AO294" s="457">
        <v>0.0</v>
      </c>
      <c r="AP294" s="454" t="s">
        <v>1026</v>
      </c>
      <c r="AQ294" s="457">
        <v>0.0</v>
      </c>
      <c r="AR294" s="454" t="s">
        <v>1026</v>
      </c>
      <c r="AS294" s="457">
        <v>0.0</v>
      </c>
      <c r="AT294" s="454" t="s">
        <v>1026</v>
      </c>
      <c r="AU294" s="457"/>
      <c r="AV294" s="454" t="s">
        <v>1026</v>
      </c>
      <c r="AW294" s="457">
        <v>0.0</v>
      </c>
      <c r="AX294" s="454" t="s">
        <v>1026</v>
      </c>
      <c r="AY294" s="457">
        <v>0.0</v>
      </c>
      <c r="AZ294" s="454" t="s">
        <v>1026</v>
      </c>
      <c r="BA294" s="457">
        <v>0.0</v>
      </c>
      <c r="BB294" s="454" t="s">
        <v>1026</v>
      </c>
      <c r="BC294" s="457">
        <v>0.0</v>
      </c>
      <c r="BD294" s="454" t="s">
        <v>1026</v>
      </c>
      <c r="BE294" s="457">
        <v>0.0</v>
      </c>
    </row>
    <row r="295">
      <c r="M295" s="226"/>
      <c r="N295" s="226"/>
      <c r="O295" s="226"/>
      <c r="P295" s="226"/>
      <c r="AN295" s="454" t="s">
        <v>1024</v>
      </c>
      <c r="AO295" s="457">
        <v>0.0</v>
      </c>
      <c r="AP295" s="454" t="s">
        <v>1024</v>
      </c>
      <c r="AQ295" s="457">
        <v>0.0</v>
      </c>
      <c r="AR295" s="454" t="s">
        <v>1024</v>
      </c>
      <c r="AS295" s="457">
        <v>0.0</v>
      </c>
      <c r="AT295" s="454" t="s">
        <v>1024</v>
      </c>
      <c r="AU295" s="457"/>
      <c r="AV295" s="454" t="s">
        <v>1024</v>
      </c>
      <c r="AW295" s="457">
        <v>0.0</v>
      </c>
      <c r="AX295" s="454" t="s">
        <v>1024</v>
      </c>
      <c r="AY295" s="457">
        <v>0.0</v>
      </c>
      <c r="AZ295" s="454" t="s">
        <v>1024</v>
      </c>
      <c r="BA295" s="457">
        <v>0.0</v>
      </c>
      <c r="BB295" s="454" t="s">
        <v>1024</v>
      </c>
      <c r="BC295" s="457">
        <v>0.0</v>
      </c>
      <c r="BD295" s="454" t="s">
        <v>1024</v>
      </c>
      <c r="BE295" s="457">
        <v>0.0</v>
      </c>
    </row>
    <row r="296">
      <c r="M296" s="226"/>
      <c r="N296" s="226"/>
      <c r="O296" s="226"/>
      <c r="P296" s="226"/>
      <c r="AN296" s="454" t="s">
        <v>1020</v>
      </c>
      <c r="AO296" s="457">
        <v>0.0</v>
      </c>
      <c r="AP296" s="454" t="s">
        <v>1020</v>
      </c>
      <c r="AQ296" s="457">
        <v>0.0</v>
      </c>
      <c r="AR296" s="454" t="s">
        <v>1020</v>
      </c>
      <c r="AS296" s="457">
        <v>0.0</v>
      </c>
      <c r="AT296" s="454" t="s">
        <v>1020</v>
      </c>
      <c r="AU296" s="457"/>
      <c r="AV296" s="454" t="s">
        <v>1020</v>
      </c>
      <c r="AW296" s="457">
        <v>0.0</v>
      </c>
      <c r="AX296" s="454" t="s">
        <v>1020</v>
      </c>
      <c r="AY296" s="457">
        <v>0.0</v>
      </c>
      <c r="AZ296" s="454" t="s">
        <v>1020</v>
      </c>
      <c r="BA296" s="457">
        <v>0.0</v>
      </c>
      <c r="BB296" s="454" t="s">
        <v>1020</v>
      </c>
      <c r="BC296" s="457">
        <v>0.0</v>
      </c>
      <c r="BD296" s="454" t="s">
        <v>1020</v>
      </c>
      <c r="BE296" s="457">
        <v>0.0</v>
      </c>
    </row>
    <row r="297">
      <c r="M297" s="226"/>
      <c r="N297" s="226"/>
      <c r="O297" s="226"/>
      <c r="P297" s="226"/>
      <c r="AN297" s="454" t="s">
        <v>1022</v>
      </c>
      <c r="AO297" s="457">
        <v>0.0</v>
      </c>
      <c r="AP297" s="454" t="s">
        <v>1022</v>
      </c>
      <c r="AQ297" s="457">
        <v>0.0</v>
      </c>
      <c r="AR297" s="454" t="s">
        <v>1022</v>
      </c>
      <c r="AS297" s="457">
        <v>0.0</v>
      </c>
      <c r="AT297" s="454" t="s">
        <v>1022</v>
      </c>
      <c r="AU297" s="457"/>
      <c r="AV297" s="454" t="s">
        <v>1022</v>
      </c>
      <c r="AW297" s="457">
        <v>0.0</v>
      </c>
      <c r="AX297" s="454" t="s">
        <v>1022</v>
      </c>
      <c r="AY297" s="457">
        <v>0.0</v>
      </c>
      <c r="AZ297" s="454" t="s">
        <v>1022</v>
      </c>
      <c r="BA297" s="457">
        <v>0.0</v>
      </c>
      <c r="BB297" s="454" t="s">
        <v>1022</v>
      </c>
      <c r="BC297" s="457">
        <v>0.0</v>
      </c>
      <c r="BD297" s="454" t="s">
        <v>1022</v>
      </c>
      <c r="BE297" s="457">
        <v>0.0</v>
      </c>
    </row>
    <row r="298">
      <c r="M298" s="226"/>
      <c r="N298" s="226"/>
      <c r="O298" s="226"/>
      <c r="P298" s="226"/>
      <c r="AN298" s="454" t="s">
        <v>1028</v>
      </c>
      <c r="AO298" s="536">
        <v>0.0</v>
      </c>
      <c r="AP298" s="515" t="s">
        <v>1028</v>
      </c>
      <c r="AQ298" s="457">
        <v>0.0</v>
      </c>
      <c r="AR298" s="454" t="s">
        <v>1028</v>
      </c>
      <c r="AS298" s="457">
        <v>0.0</v>
      </c>
      <c r="AT298" s="454" t="s">
        <v>1028</v>
      </c>
      <c r="AU298" s="457"/>
      <c r="AV298" s="454" t="s">
        <v>1028</v>
      </c>
      <c r="AW298" s="457">
        <v>0.0</v>
      </c>
      <c r="AX298" s="454" t="s">
        <v>1028</v>
      </c>
      <c r="AY298" s="457">
        <v>0.0</v>
      </c>
      <c r="AZ298" s="454" t="s">
        <v>1028</v>
      </c>
      <c r="BA298" s="457">
        <v>0.0</v>
      </c>
      <c r="BB298" s="454" t="s">
        <v>1028</v>
      </c>
      <c r="BC298" s="457">
        <v>0.0</v>
      </c>
      <c r="BD298" s="454" t="s">
        <v>1028</v>
      </c>
      <c r="BE298" s="457">
        <v>0.0</v>
      </c>
    </row>
    <row r="299">
      <c r="M299" s="226"/>
      <c r="N299" s="226"/>
      <c r="O299" s="226"/>
      <c r="P299" s="226"/>
      <c r="AN299" s="454" t="s">
        <v>1031</v>
      </c>
      <c r="AO299" s="536">
        <v>0.0</v>
      </c>
      <c r="AP299" s="515" t="s">
        <v>1031</v>
      </c>
      <c r="AQ299" s="457">
        <v>0.0</v>
      </c>
      <c r="AR299" s="454" t="s">
        <v>1031</v>
      </c>
      <c r="AS299" s="457">
        <v>0.0</v>
      </c>
      <c r="AT299" s="454" t="s">
        <v>1031</v>
      </c>
      <c r="AU299" s="457"/>
      <c r="AV299" s="454" t="s">
        <v>1031</v>
      </c>
      <c r="AW299" s="457">
        <v>0.0</v>
      </c>
      <c r="AX299" s="454" t="s">
        <v>1031</v>
      </c>
      <c r="AY299" s="457">
        <v>0.0</v>
      </c>
      <c r="AZ299" s="454" t="s">
        <v>1031</v>
      </c>
      <c r="BA299" s="457">
        <v>0.0</v>
      </c>
      <c r="BB299" s="454" t="s">
        <v>1031</v>
      </c>
      <c r="BC299" s="457">
        <v>0.0</v>
      </c>
      <c r="BD299" s="454" t="s">
        <v>1031</v>
      </c>
      <c r="BE299" s="457">
        <v>0.0</v>
      </c>
    </row>
    <row r="300">
      <c r="M300" s="226"/>
      <c r="N300" s="226"/>
      <c r="O300" s="226"/>
      <c r="P300" s="226"/>
      <c r="AN300" s="454" t="s">
        <v>1033</v>
      </c>
      <c r="AO300" s="536">
        <v>0.0</v>
      </c>
      <c r="AP300" s="515" t="s">
        <v>1033</v>
      </c>
      <c r="AQ300" s="457">
        <v>0.0</v>
      </c>
      <c r="AR300" s="454" t="s">
        <v>1033</v>
      </c>
      <c r="AS300" s="457">
        <v>0.0</v>
      </c>
      <c r="AT300" s="454" t="s">
        <v>1033</v>
      </c>
      <c r="AU300" s="457"/>
      <c r="AV300" s="454" t="s">
        <v>1033</v>
      </c>
      <c r="AW300" s="457">
        <v>0.0</v>
      </c>
      <c r="AX300" s="454" t="s">
        <v>1033</v>
      </c>
      <c r="AY300" s="457">
        <v>0.0</v>
      </c>
      <c r="AZ300" s="454" t="s">
        <v>1033</v>
      </c>
      <c r="BA300" s="457">
        <v>0.0</v>
      </c>
      <c r="BB300" s="454" t="s">
        <v>1033</v>
      </c>
      <c r="BC300" s="457">
        <v>0.0</v>
      </c>
      <c r="BD300" s="454" t="s">
        <v>1033</v>
      </c>
      <c r="BE300" s="457">
        <v>0.0</v>
      </c>
    </row>
    <row r="301">
      <c r="M301" s="226"/>
      <c r="N301" s="226"/>
      <c r="O301" s="226"/>
      <c r="P301" s="226"/>
      <c r="AN301" s="454" t="s">
        <v>1035</v>
      </c>
      <c r="AO301" s="536">
        <v>0.0</v>
      </c>
      <c r="AP301" s="515" t="s">
        <v>1035</v>
      </c>
      <c r="AQ301" s="457">
        <v>0.0</v>
      </c>
      <c r="AR301" s="454" t="s">
        <v>1035</v>
      </c>
      <c r="AS301" s="457">
        <v>0.0</v>
      </c>
      <c r="AT301" s="454" t="s">
        <v>1035</v>
      </c>
      <c r="AU301" s="457"/>
      <c r="AV301" s="454" t="s">
        <v>1035</v>
      </c>
      <c r="AW301" s="457">
        <v>0.0</v>
      </c>
      <c r="AX301" s="454" t="s">
        <v>1035</v>
      </c>
      <c r="AY301" s="457">
        <v>0.0</v>
      </c>
      <c r="AZ301" s="454" t="s">
        <v>1035</v>
      </c>
      <c r="BA301" s="457">
        <v>0.0</v>
      </c>
      <c r="BB301" s="454" t="s">
        <v>1035</v>
      </c>
      <c r="BC301" s="457">
        <v>0.0</v>
      </c>
      <c r="BD301" s="454" t="s">
        <v>1035</v>
      </c>
      <c r="BE301" s="457">
        <v>0.0</v>
      </c>
    </row>
    <row r="302">
      <c r="M302" s="226"/>
      <c r="N302" s="226"/>
      <c r="O302" s="226"/>
      <c r="P302" s="226"/>
    </row>
    <row r="303">
      <c r="M303" s="226"/>
      <c r="N303" s="226"/>
      <c r="O303" s="226"/>
      <c r="P303" s="226"/>
    </row>
    <row r="304">
      <c r="M304" s="226"/>
      <c r="N304" s="226"/>
      <c r="O304" s="226"/>
      <c r="P304" s="226"/>
      <c r="AN304" s="449" t="s">
        <v>2084</v>
      </c>
      <c r="AO304" s="450" t="s">
        <v>2291</v>
      </c>
      <c r="AP304" s="449" t="s">
        <v>2084</v>
      </c>
      <c r="AQ304" s="450" t="s">
        <v>2292</v>
      </c>
      <c r="AR304" s="449" t="s">
        <v>2084</v>
      </c>
      <c r="AS304" s="450" t="s">
        <v>2293</v>
      </c>
      <c r="AT304" s="449" t="s">
        <v>2084</v>
      </c>
      <c r="AU304" s="450" t="s">
        <v>2294</v>
      </c>
      <c r="AV304" s="449" t="s">
        <v>2084</v>
      </c>
      <c r="AW304" s="450" t="s">
        <v>2295</v>
      </c>
      <c r="AX304" s="449" t="s">
        <v>2084</v>
      </c>
      <c r="AY304" s="450" t="s">
        <v>2296</v>
      </c>
      <c r="AZ304" s="449" t="s">
        <v>2084</v>
      </c>
      <c r="BA304" s="450" t="s">
        <v>2297</v>
      </c>
      <c r="BB304" s="449" t="s">
        <v>2084</v>
      </c>
      <c r="BC304" s="450" t="s">
        <v>2298</v>
      </c>
      <c r="BD304" s="449" t="s">
        <v>2084</v>
      </c>
      <c r="BE304" s="450" t="s">
        <v>2299</v>
      </c>
    </row>
    <row r="305">
      <c r="M305" s="226"/>
      <c r="N305" s="226"/>
      <c r="O305" s="226"/>
      <c r="P305" s="226"/>
      <c r="AN305" s="454" t="s">
        <v>1041</v>
      </c>
      <c r="AO305" s="457">
        <v>0.0</v>
      </c>
      <c r="AP305" s="454" t="s">
        <v>1041</v>
      </c>
      <c r="AQ305" s="457">
        <v>1.0</v>
      </c>
      <c r="AR305" s="454" t="s">
        <v>1041</v>
      </c>
      <c r="AS305" s="457">
        <v>1.0</v>
      </c>
      <c r="AT305" s="454" t="s">
        <v>1041</v>
      </c>
      <c r="AU305" s="457" t="s">
        <v>2300</v>
      </c>
      <c r="AV305" s="454" t="s">
        <v>1041</v>
      </c>
      <c r="AW305" s="457">
        <v>0.0</v>
      </c>
      <c r="AX305" s="454" t="s">
        <v>1041</v>
      </c>
      <c r="AY305" s="457">
        <v>0.0</v>
      </c>
      <c r="AZ305" s="454" t="s">
        <v>1041</v>
      </c>
      <c r="BA305" s="457">
        <v>0.0</v>
      </c>
      <c r="BB305" s="454" t="s">
        <v>1041</v>
      </c>
      <c r="BC305" s="457">
        <v>0.0</v>
      </c>
      <c r="BD305" s="454" t="s">
        <v>1041</v>
      </c>
      <c r="BE305" s="457">
        <v>0.0</v>
      </c>
    </row>
    <row r="306">
      <c r="M306" s="226"/>
      <c r="N306" s="226"/>
      <c r="O306" s="226"/>
      <c r="P306" s="226"/>
      <c r="AN306" s="454" t="s">
        <v>1009</v>
      </c>
      <c r="AO306" s="457">
        <v>0.0</v>
      </c>
      <c r="AP306" s="454" t="s">
        <v>1009</v>
      </c>
      <c r="AQ306" s="457">
        <v>0.0</v>
      </c>
      <c r="AR306" s="454" t="s">
        <v>1009</v>
      </c>
      <c r="AS306" s="457">
        <v>0.0</v>
      </c>
      <c r="AT306" s="454" t="s">
        <v>1009</v>
      </c>
      <c r="AU306" s="457"/>
      <c r="AV306" s="454" t="s">
        <v>1009</v>
      </c>
      <c r="AW306" s="457">
        <v>0.0</v>
      </c>
      <c r="AX306" s="454" t="s">
        <v>1009</v>
      </c>
      <c r="AY306" s="457">
        <v>0.0</v>
      </c>
      <c r="AZ306" s="454" t="s">
        <v>1009</v>
      </c>
      <c r="BA306" s="457">
        <v>0.0</v>
      </c>
      <c r="BB306" s="454" t="s">
        <v>1009</v>
      </c>
      <c r="BC306" s="457">
        <v>0.0</v>
      </c>
      <c r="BD306" s="454" t="s">
        <v>1009</v>
      </c>
      <c r="BE306" s="457">
        <v>0.0</v>
      </c>
    </row>
    <row r="307">
      <c r="M307" s="226"/>
      <c r="N307" s="226"/>
      <c r="O307" s="226"/>
      <c r="P307" s="226"/>
      <c r="AN307" s="454" t="s">
        <v>1042</v>
      </c>
      <c r="AO307" s="457">
        <v>0.0</v>
      </c>
      <c r="AP307" s="454" t="s">
        <v>1042</v>
      </c>
      <c r="AQ307" s="457">
        <v>0.0</v>
      </c>
      <c r="AR307" s="454" t="s">
        <v>1042</v>
      </c>
      <c r="AS307" s="457">
        <v>0.0</v>
      </c>
      <c r="AT307" s="454" t="s">
        <v>1042</v>
      </c>
      <c r="AU307" s="457"/>
      <c r="AV307" s="454" t="s">
        <v>1042</v>
      </c>
      <c r="AW307" s="457">
        <v>0.0</v>
      </c>
      <c r="AX307" s="454" t="s">
        <v>1042</v>
      </c>
      <c r="AY307" s="457">
        <v>0.0</v>
      </c>
      <c r="AZ307" s="454" t="s">
        <v>1042</v>
      </c>
      <c r="BA307" s="457">
        <v>0.0</v>
      </c>
      <c r="BB307" s="454" t="s">
        <v>1042</v>
      </c>
      <c r="BC307" s="457">
        <v>0.0</v>
      </c>
      <c r="BD307" s="454" t="s">
        <v>1042</v>
      </c>
      <c r="BE307" s="457">
        <v>0.0</v>
      </c>
    </row>
    <row r="308">
      <c r="M308" s="226"/>
      <c r="N308" s="226"/>
      <c r="O308" s="226"/>
      <c r="P308" s="226"/>
      <c r="AN308" s="454" t="s">
        <v>1011</v>
      </c>
      <c r="AO308" s="457">
        <v>0.0</v>
      </c>
      <c r="AP308" s="454" t="s">
        <v>1011</v>
      </c>
      <c r="AQ308" s="457">
        <v>0.0</v>
      </c>
      <c r="AR308" s="454" t="s">
        <v>1011</v>
      </c>
      <c r="AS308" s="457">
        <v>0.0</v>
      </c>
      <c r="AT308" s="454" t="s">
        <v>1011</v>
      </c>
      <c r="AU308" s="457"/>
      <c r="AV308" s="454" t="s">
        <v>1011</v>
      </c>
      <c r="AW308" s="457">
        <v>0.0</v>
      </c>
      <c r="AX308" s="454" t="s">
        <v>1011</v>
      </c>
      <c r="AY308" s="457">
        <v>0.0</v>
      </c>
      <c r="AZ308" s="454" t="s">
        <v>1011</v>
      </c>
      <c r="BA308" s="457">
        <v>0.0</v>
      </c>
      <c r="BB308" s="454" t="s">
        <v>1011</v>
      </c>
      <c r="BC308" s="457">
        <v>0.0</v>
      </c>
      <c r="BD308" s="454" t="s">
        <v>1011</v>
      </c>
      <c r="BE308" s="457">
        <v>0.0</v>
      </c>
    </row>
    <row r="309">
      <c r="M309" s="226"/>
      <c r="N309" s="226"/>
      <c r="O309" s="226"/>
      <c r="P309" s="226"/>
      <c r="AN309" s="454" t="s">
        <v>1043</v>
      </c>
      <c r="AO309" s="457">
        <v>0.0</v>
      </c>
      <c r="AP309" s="454" t="s">
        <v>1043</v>
      </c>
      <c r="AQ309" s="457">
        <v>0.0</v>
      </c>
      <c r="AR309" s="454" t="s">
        <v>1043</v>
      </c>
      <c r="AS309" s="457">
        <v>0.0</v>
      </c>
      <c r="AT309" s="454" t="s">
        <v>1043</v>
      </c>
      <c r="AU309" s="457"/>
      <c r="AV309" s="454" t="s">
        <v>1043</v>
      </c>
      <c r="AW309" s="457">
        <v>0.0</v>
      </c>
      <c r="AX309" s="454" t="s">
        <v>1043</v>
      </c>
      <c r="AY309" s="457">
        <v>0.0</v>
      </c>
      <c r="AZ309" s="454" t="s">
        <v>1043</v>
      </c>
      <c r="BA309" s="457">
        <v>0.0</v>
      </c>
      <c r="BB309" s="454" t="s">
        <v>1043</v>
      </c>
      <c r="BC309" s="457">
        <v>0.0</v>
      </c>
      <c r="BD309" s="454" t="s">
        <v>1043</v>
      </c>
      <c r="BE309" s="457">
        <v>0.0</v>
      </c>
    </row>
    <row r="310">
      <c r="M310" s="226"/>
      <c r="N310" s="226"/>
      <c r="O310" s="226"/>
      <c r="P310" s="226"/>
      <c r="AN310" s="454" t="s">
        <v>1012</v>
      </c>
      <c r="AO310" s="457">
        <v>0.0</v>
      </c>
      <c r="AP310" s="454" t="s">
        <v>1012</v>
      </c>
      <c r="AQ310" s="457">
        <v>0.0</v>
      </c>
      <c r="AR310" s="454" t="s">
        <v>1012</v>
      </c>
      <c r="AS310" s="457">
        <v>0.0</v>
      </c>
      <c r="AT310" s="454" t="s">
        <v>1012</v>
      </c>
      <c r="AU310" s="457"/>
      <c r="AV310" s="454" t="s">
        <v>1012</v>
      </c>
      <c r="AW310" s="457">
        <v>0.0</v>
      </c>
      <c r="AX310" s="454" t="s">
        <v>1012</v>
      </c>
      <c r="AY310" s="457">
        <v>0.0</v>
      </c>
      <c r="AZ310" s="454" t="s">
        <v>1012</v>
      </c>
      <c r="BA310" s="457">
        <v>0.0</v>
      </c>
      <c r="BB310" s="454" t="s">
        <v>1012</v>
      </c>
      <c r="BC310" s="457">
        <v>0.0</v>
      </c>
      <c r="BD310" s="454" t="s">
        <v>1012</v>
      </c>
      <c r="BE310" s="457">
        <v>0.0</v>
      </c>
    </row>
    <row r="311">
      <c r="M311" s="226"/>
      <c r="N311" s="226"/>
      <c r="O311" s="226"/>
      <c r="P311" s="226"/>
      <c r="AN311" s="454" t="s">
        <v>1046</v>
      </c>
      <c r="AO311" s="457">
        <v>0.0</v>
      </c>
      <c r="AP311" s="454" t="s">
        <v>1046</v>
      </c>
      <c r="AQ311" s="457">
        <v>0.0</v>
      </c>
      <c r="AR311" s="454" t="s">
        <v>1046</v>
      </c>
      <c r="AS311" s="457">
        <v>0.0</v>
      </c>
      <c r="AT311" s="454" t="s">
        <v>1046</v>
      </c>
      <c r="AU311" s="457"/>
      <c r="AV311" s="454" t="s">
        <v>1046</v>
      </c>
      <c r="AW311" s="457">
        <v>0.0</v>
      </c>
      <c r="AX311" s="454" t="s">
        <v>1046</v>
      </c>
      <c r="AY311" s="457">
        <v>0.0</v>
      </c>
      <c r="AZ311" s="454" t="s">
        <v>1046</v>
      </c>
      <c r="BA311" s="457">
        <v>0.0</v>
      </c>
      <c r="BB311" s="454" t="s">
        <v>1046</v>
      </c>
      <c r="BC311" s="457">
        <v>0.0</v>
      </c>
      <c r="BD311" s="454" t="s">
        <v>1046</v>
      </c>
      <c r="BE311" s="457">
        <v>0.0</v>
      </c>
    </row>
    <row r="312">
      <c r="M312" s="226"/>
      <c r="N312" s="226"/>
      <c r="O312" s="226"/>
      <c r="P312" s="226"/>
      <c r="AN312" s="454" t="s">
        <v>1018</v>
      </c>
      <c r="AO312" s="457">
        <v>0.0</v>
      </c>
      <c r="AP312" s="454" t="s">
        <v>1018</v>
      </c>
      <c r="AQ312" s="457">
        <v>0.0</v>
      </c>
      <c r="AR312" s="454" t="s">
        <v>1018</v>
      </c>
      <c r="AS312" s="457">
        <v>0.0</v>
      </c>
      <c r="AT312" s="454" t="s">
        <v>1018</v>
      </c>
      <c r="AU312" s="457"/>
      <c r="AV312" s="454" t="s">
        <v>1018</v>
      </c>
      <c r="AW312" s="457">
        <v>0.0</v>
      </c>
      <c r="AX312" s="454" t="s">
        <v>1018</v>
      </c>
      <c r="AY312" s="457">
        <v>0.0</v>
      </c>
      <c r="AZ312" s="454" t="s">
        <v>1018</v>
      </c>
      <c r="BA312" s="457">
        <v>0.0</v>
      </c>
      <c r="BB312" s="454" t="s">
        <v>1018</v>
      </c>
      <c r="BC312" s="457">
        <v>0.0</v>
      </c>
      <c r="BD312" s="454" t="s">
        <v>1018</v>
      </c>
      <c r="BE312" s="457">
        <v>0.0</v>
      </c>
    </row>
    <row r="313">
      <c r="M313" s="226"/>
      <c r="N313" s="226"/>
      <c r="O313" s="226"/>
      <c r="P313" s="226"/>
      <c r="AN313" s="454" t="s">
        <v>1019</v>
      </c>
      <c r="AO313" s="457">
        <v>0.0</v>
      </c>
      <c r="AP313" s="454" t="s">
        <v>1019</v>
      </c>
      <c r="AQ313" s="457">
        <v>0.0</v>
      </c>
      <c r="AR313" s="454" t="s">
        <v>1019</v>
      </c>
      <c r="AS313" s="457">
        <v>0.0</v>
      </c>
      <c r="AT313" s="454" t="s">
        <v>1019</v>
      </c>
      <c r="AU313" s="457"/>
      <c r="AV313" s="454" t="s">
        <v>1019</v>
      </c>
      <c r="AW313" s="457">
        <v>0.0</v>
      </c>
      <c r="AX313" s="454" t="s">
        <v>1019</v>
      </c>
      <c r="AY313" s="457">
        <v>0.0</v>
      </c>
      <c r="AZ313" s="454" t="s">
        <v>1019</v>
      </c>
      <c r="BA313" s="457">
        <v>0.0</v>
      </c>
      <c r="BB313" s="454" t="s">
        <v>1019</v>
      </c>
      <c r="BC313" s="457">
        <v>0.0</v>
      </c>
      <c r="BD313" s="454" t="s">
        <v>1019</v>
      </c>
      <c r="BE313" s="457">
        <v>0.0</v>
      </c>
    </row>
    <row r="314">
      <c r="M314" s="226"/>
      <c r="N314" s="226"/>
      <c r="O314" s="226"/>
      <c r="P314" s="226"/>
      <c r="AN314" s="454" t="s">
        <v>1026</v>
      </c>
      <c r="AO314" s="457">
        <v>0.0</v>
      </c>
      <c r="AP314" s="454" t="s">
        <v>1026</v>
      </c>
      <c r="AQ314" s="457">
        <v>0.0</v>
      </c>
      <c r="AR314" s="454" t="s">
        <v>1026</v>
      </c>
      <c r="AS314" s="457">
        <v>0.0</v>
      </c>
      <c r="AT314" s="454" t="s">
        <v>1026</v>
      </c>
      <c r="AU314" s="457"/>
      <c r="AV314" s="454" t="s">
        <v>1026</v>
      </c>
      <c r="AW314" s="457">
        <v>0.0</v>
      </c>
      <c r="AX314" s="454" t="s">
        <v>1026</v>
      </c>
      <c r="AY314" s="457">
        <v>0.0</v>
      </c>
      <c r="AZ314" s="454" t="s">
        <v>1026</v>
      </c>
      <c r="BA314" s="457">
        <v>0.0</v>
      </c>
      <c r="BB314" s="454" t="s">
        <v>1026</v>
      </c>
      <c r="BC314" s="457">
        <v>0.0</v>
      </c>
      <c r="BD314" s="454" t="s">
        <v>1026</v>
      </c>
      <c r="BE314" s="457">
        <v>0.0</v>
      </c>
    </row>
    <row r="315">
      <c r="M315" s="226"/>
      <c r="N315" s="226"/>
      <c r="O315" s="226"/>
      <c r="P315" s="226"/>
      <c r="AN315" s="614" t="s">
        <v>1048</v>
      </c>
      <c r="AO315" s="457">
        <v>0.0</v>
      </c>
      <c r="AP315" s="614" t="s">
        <v>1048</v>
      </c>
      <c r="AQ315" s="457">
        <v>0.0</v>
      </c>
      <c r="AR315" s="614" t="s">
        <v>1048</v>
      </c>
      <c r="AS315" s="457">
        <v>0.0</v>
      </c>
      <c r="AT315" s="614" t="s">
        <v>1048</v>
      </c>
      <c r="AU315" s="457"/>
      <c r="AV315" s="614" t="s">
        <v>1048</v>
      </c>
      <c r="AW315" s="457">
        <v>0.0</v>
      </c>
      <c r="AX315" s="614" t="s">
        <v>1048</v>
      </c>
      <c r="AY315" s="457">
        <v>0.0</v>
      </c>
      <c r="AZ315" s="614" t="s">
        <v>1048</v>
      </c>
      <c r="BA315" s="457">
        <v>0.0</v>
      </c>
      <c r="BB315" s="614" t="s">
        <v>1048</v>
      </c>
      <c r="BC315" s="457">
        <v>0.0</v>
      </c>
      <c r="BD315" s="614" t="s">
        <v>1048</v>
      </c>
      <c r="BE315" s="457">
        <v>0.0</v>
      </c>
    </row>
    <row r="316">
      <c r="M316" s="226"/>
      <c r="N316" s="226"/>
      <c r="O316" s="226"/>
      <c r="P316" s="226"/>
      <c r="AN316" s="614" t="s">
        <v>1052</v>
      </c>
      <c r="AO316" s="457">
        <v>0.0</v>
      </c>
      <c r="AP316" s="614" t="s">
        <v>1052</v>
      </c>
      <c r="AQ316" s="457">
        <v>0.0</v>
      </c>
      <c r="AR316" s="614" t="s">
        <v>1052</v>
      </c>
      <c r="AS316" s="457">
        <v>0.0</v>
      </c>
      <c r="AT316" s="614" t="s">
        <v>1052</v>
      </c>
      <c r="AU316" s="457"/>
      <c r="AV316" s="614" t="s">
        <v>1052</v>
      </c>
      <c r="AW316" s="457">
        <v>0.0</v>
      </c>
      <c r="AX316" s="614" t="s">
        <v>1052</v>
      </c>
      <c r="AY316" s="457">
        <v>0.0</v>
      </c>
      <c r="AZ316" s="614" t="s">
        <v>1052</v>
      </c>
      <c r="BA316" s="457">
        <v>0.0</v>
      </c>
      <c r="BB316" s="614" t="s">
        <v>1052</v>
      </c>
      <c r="BC316" s="457">
        <v>0.0</v>
      </c>
      <c r="BD316" s="614" t="s">
        <v>1052</v>
      </c>
      <c r="BE316" s="457">
        <v>0.0</v>
      </c>
    </row>
    <row r="317">
      <c r="M317" s="226"/>
      <c r="N317" s="226"/>
      <c r="O317" s="226"/>
      <c r="P317" s="226"/>
      <c r="AN317" s="614" t="s">
        <v>1053</v>
      </c>
      <c r="AO317" s="457">
        <v>0.0</v>
      </c>
      <c r="AP317" s="614" t="s">
        <v>1053</v>
      </c>
      <c r="AQ317" s="457">
        <v>0.0</v>
      </c>
      <c r="AR317" s="614" t="s">
        <v>1053</v>
      </c>
      <c r="AS317" s="457">
        <v>0.0</v>
      </c>
      <c r="AT317" s="614" t="s">
        <v>1053</v>
      </c>
      <c r="AU317" s="457"/>
      <c r="AV317" s="614" t="s">
        <v>1053</v>
      </c>
      <c r="AW317" s="457">
        <v>0.0</v>
      </c>
      <c r="AX317" s="614" t="s">
        <v>1053</v>
      </c>
      <c r="AY317" s="457">
        <v>0.0</v>
      </c>
      <c r="AZ317" s="614" t="s">
        <v>1053</v>
      </c>
      <c r="BA317" s="457">
        <v>0.0</v>
      </c>
      <c r="BB317" s="614" t="s">
        <v>1053</v>
      </c>
      <c r="BC317" s="457">
        <v>0.0</v>
      </c>
      <c r="BD317" s="614" t="s">
        <v>1053</v>
      </c>
      <c r="BE317" s="457">
        <v>0.0</v>
      </c>
    </row>
    <row r="318">
      <c r="M318" s="226"/>
      <c r="N318" s="226"/>
      <c r="O318" s="226"/>
      <c r="P318" s="226"/>
      <c r="AN318" s="454" t="s">
        <v>1020</v>
      </c>
      <c r="AO318" s="457">
        <v>0.0</v>
      </c>
      <c r="AP318" s="454" t="s">
        <v>1020</v>
      </c>
      <c r="AQ318" s="457">
        <v>0.0</v>
      </c>
      <c r="AR318" s="454" t="s">
        <v>1020</v>
      </c>
      <c r="AS318" s="457">
        <v>0.0</v>
      </c>
      <c r="AT318" s="454" t="s">
        <v>1020</v>
      </c>
      <c r="AU318" s="457"/>
      <c r="AV318" s="454" t="s">
        <v>1020</v>
      </c>
      <c r="AW318" s="457">
        <v>0.0</v>
      </c>
      <c r="AX318" s="454" t="s">
        <v>1020</v>
      </c>
      <c r="AY318" s="457">
        <v>0.0</v>
      </c>
      <c r="AZ318" s="454" t="s">
        <v>1020</v>
      </c>
      <c r="BA318" s="457">
        <v>0.0</v>
      </c>
      <c r="BB318" s="454" t="s">
        <v>1020</v>
      </c>
      <c r="BC318" s="457">
        <v>0.0</v>
      </c>
      <c r="BD318" s="454" t="s">
        <v>1020</v>
      </c>
      <c r="BE318" s="457">
        <v>0.0</v>
      </c>
    </row>
    <row r="319">
      <c r="M319" s="226"/>
      <c r="N319" s="226"/>
      <c r="O319" s="226"/>
      <c r="P319" s="226"/>
      <c r="AN319" s="454" t="s">
        <v>1022</v>
      </c>
      <c r="AO319" s="457">
        <v>0.0</v>
      </c>
      <c r="AP319" s="454" t="s">
        <v>1022</v>
      </c>
      <c r="AQ319" s="457">
        <v>0.0</v>
      </c>
      <c r="AR319" s="454" t="s">
        <v>1022</v>
      </c>
      <c r="AS319" s="457">
        <v>0.0</v>
      </c>
      <c r="AT319" s="454" t="s">
        <v>1022</v>
      </c>
      <c r="AU319" s="457"/>
      <c r="AV319" s="454" t="s">
        <v>1022</v>
      </c>
      <c r="AW319" s="457">
        <v>0.0</v>
      </c>
      <c r="AX319" s="454" t="s">
        <v>1022</v>
      </c>
      <c r="AY319" s="457">
        <v>0.0</v>
      </c>
      <c r="AZ319" s="454" t="s">
        <v>1022</v>
      </c>
      <c r="BA319" s="457">
        <v>0.0</v>
      </c>
      <c r="BB319" s="454" t="s">
        <v>1022</v>
      </c>
      <c r="BC319" s="457">
        <v>0.0</v>
      </c>
      <c r="BD319" s="454" t="s">
        <v>1022</v>
      </c>
      <c r="BE319" s="457">
        <v>0.0</v>
      </c>
    </row>
    <row r="320">
      <c r="M320" s="226"/>
      <c r="N320" s="226"/>
      <c r="O320" s="226"/>
      <c r="P320" s="226"/>
      <c r="AN320" s="454" t="s">
        <v>1031</v>
      </c>
      <c r="AO320" s="536">
        <v>0.0</v>
      </c>
      <c r="AP320" s="515" t="s">
        <v>1031</v>
      </c>
      <c r="AQ320" s="457">
        <v>0.0</v>
      </c>
      <c r="AR320" s="454" t="s">
        <v>1031</v>
      </c>
      <c r="AS320" s="457">
        <v>0.0</v>
      </c>
      <c r="AT320" s="454" t="s">
        <v>1031</v>
      </c>
      <c r="AU320" s="457">
        <v>0.0</v>
      </c>
      <c r="AV320" s="454" t="s">
        <v>1031</v>
      </c>
      <c r="AW320" s="457">
        <v>0.0</v>
      </c>
      <c r="AX320" s="454" t="s">
        <v>1031</v>
      </c>
      <c r="AY320" s="457">
        <v>0.0</v>
      </c>
      <c r="AZ320" s="454" t="s">
        <v>1031</v>
      </c>
      <c r="BA320" s="457">
        <v>0.0</v>
      </c>
      <c r="BB320" s="454" t="s">
        <v>1031</v>
      </c>
      <c r="BC320" s="457">
        <v>0.0</v>
      </c>
      <c r="BD320" s="454" t="s">
        <v>1031</v>
      </c>
      <c r="BE320" s="457">
        <v>0.0</v>
      </c>
    </row>
    <row r="321">
      <c r="M321" s="226"/>
      <c r="N321" s="226"/>
      <c r="O321" s="226"/>
      <c r="P321" s="226"/>
      <c r="AN321" s="454" t="s">
        <v>1033</v>
      </c>
      <c r="AO321" s="536">
        <v>0.0</v>
      </c>
      <c r="AP321" s="515" t="s">
        <v>1033</v>
      </c>
      <c r="AQ321" s="457">
        <v>0.0</v>
      </c>
      <c r="AR321" s="454" t="s">
        <v>1033</v>
      </c>
      <c r="AS321" s="457">
        <v>0.0</v>
      </c>
      <c r="AT321" s="454" t="s">
        <v>1033</v>
      </c>
      <c r="AU321" s="457">
        <v>0.0</v>
      </c>
      <c r="AV321" s="454" t="s">
        <v>1033</v>
      </c>
      <c r="AW321" s="457">
        <v>0.0</v>
      </c>
      <c r="AX321" s="454" t="s">
        <v>1033</v>
      </c>
      <c r="AY321" s="457">
        <v>0.0</v>
      </c>
      <c r="AZ321" s="454" t="s">
        <v>1033</v>
      </c>
      <c r="BA321" s="457">
        <v>0.0</v>
      </c>
      <c r="BB321" s="454" t="s">
        <v>1033</v>
      </c>
      <c r="BC321" s="457">
        <v>0.0</v>
      </c>
      <c r="BD321" s="454" t="s">
        <v>1033</v>
      </c>
      <c r="BE321" s="457">
        <v>0.0</v>
      </c>
    </row>
    <row r="322">
      <c r="M322" s="226"/>
      <c r="N322" s="226"/>
      <c r="O322" s="226"/>
      <c r="P322" s="226"/>
      <c r="AN322" s="454" t="s">
        <v>1035</v>
      </c>
      <c r="AO322" s="536">
        <v>0.0</v>
      </c>
      <c r="AP322" s="515" t="s">
        <v>1035</v>
      </c>
      <c r="AQ322" s="457">
        <v>0.0</v>
      </c>
      <c r="AR322" s="454" t="s">
        <v>1035</v>
      </c>
      <c r="AS322" s="457">
        <v>0.0</v>
      </c>
      <c r="AT322" s="454" t="s">
        <v>1035</v>
      </c>
      <c r="AU322" s="457">
        <v>0.0</v>
      </c>
      <c r="AV322" s="454" t="s">
        <v>1035</v>
      </c>
      <c r="AW322" s="457">
        <v>0.0</v>
      </c>
      <c r="AX322" s="454" t="s">
        <v>1035</v>
      </c>
      <c r="AY322" s="457">
        <v>0.0</v>
      </c>
      <c r="AZ322" s="454" t="s">
        <v>1035</v>
      </c>
      <c r="BA322" s="457">
        <v>0.0</v>
      </c>
      <c r="BB322" s="454" t="s">
        <v>1035</v>
      </c>
      <c r="BC322" s="457">
        <v>0.0</v>
      </c>
      <c r="BD322" s="454" t="s">
        <v>1035</v>
      </c>
      <c r="BE322" s="457">
        <v>0.0</v>
      </c>
    </row>
    <row r="323">
      <c r="M323" s="226"/>
      <c r="N323" s="226"/>
      <c r="O323" s="226"/>
      <c r="P323" s="226"/>
      <c r="AN323" s="454" t="s">
        <v>1055</v>
      </c>
      <c r="AO323" s="456">
        <v>0.0</v>
      </c>
      <c r="AP323" s="515" t="s">
        <v>1055</v>
      </c>
      <c r="AQ323" s="457">
        <v>0.0</v>
      </c>
      <c r="AR323" s="454" t="s">
        <v>1055</v>
      </c>
      <c r="AS323" s="457">
        <v>0.0</v>
      </c>
      <c r="AT323" s="454" t="s">
        <v>1055</v>
      </c>
      <c r="AU323" s="457">
        <v>0.0</v>
      </c>
      <c r="AV323" s="454" t="s">
        <v>1055</v>
      </c>
      <c r="AW323" s="457">
        <v>0.0</v>
      </c>
      <c r="AX323" s="454" t="s">
        <v>1055</v>
      </c>
      <c r="AY323" s="457">
        <v>0.0</v>
      </c>
      <c r="AZ323" s="454" t="s">
        <v>1055</v>
      </c>
      <c r="BA323" s="457">
        <v>0.0</v>
      </c>
      <c r="BB323" s="454" t="s">
        <v>1055</v>
      </c>
      <c r="BC323" s="457">
        <v>0.0</v>
      </c>
      <c r="BD323" s="454" t="s">
        <v>1055</v>
      </c>
      <c r="BE323" s="457">
        <v>0.0</v>
      </c>
    </row>
    <row r="324">
      <c r="M324" s="226"/>
      <c r="N324" s="226"/>
      <c r="O324" s="226"/>
      <c r="P324" s="226"/>
    </row>
    <row r="325">
      <c r="M325" s="226"/>
      <c r="N325" s="226"/>
      <c r="O325" s="226"/>
      <c r="P325" s="226"/>
    </row>
    <row r="326">
      <c r="M326" s="226"/>
      <c r="N326" s="226"/>
      <c r="O326" s="226"/>
      <c r="P326" s="226"/>
      <c r="AN326" s="449" t="s">
        <v>2110</v>
      </c>
      <c r="AO326" s="450" t="s">
        <v>2301</v>
      </c>
      <c r="AP326" s="449" t="s">
        <v>2110</v>
      </c>
      <c r="AQ326" s="450" t="s">
        <v>2302</v>
      </c>
      <c r="AR326" s="449" t="s">
        <v>2110</v>
      </c>
      <c r="AS326" s="450" t="s">
        <v>2303</v>
      </c>
      <c r="AT326" s="449" t="s">
        <v>2110</v>
      </c>
      <c r="AU326" s="450" t="s">
        <v>2304</v>
      </c>
      <c r="AV326" s="449" t="s">
        <v>2110</v>
      </c>
      <c r="AW326" s="450" t="s">
        <v>2305</v>
      </c>
      <c r="AX326" s="449" t="s">
        <v>2110</v>
      </c>
      <c r="AY326" s="450" t="s">
        <v>2306</v>
      </c>
      <c r="AZ326" s="449" t="s">
        <v>2110</v>
      </c>
      <c r="BA326" s="450" t="s">
        <v>2307</v>
      </c>
      <c r="BB326" s="449" t="s">
        <v>2110</v>
      </c>
      <c r="BC326" s="450" t="s">
        <v>2308</v>
      </c>
      <c r="BD326" s="449" t="s">
        <v>2110</v>
      </c>
      <c r="BE326" s="450" t="s">
        <v>2309</v>
      </c>
    </row>
    <row r="327">
      <c r="M327" s="226"/>
      <c r="N327" s="226"/>
      <c r="O327" s="226"/>
      <c r="P327" s="226"/>
      <c r="AN327" s="454" t="s">
        <v>1126</v>
      </c>
      <c r="AO327" s="457">
        <v>3.0</v>
      </c>
      <c r="AP327" s="454" t="s">
        <v>1126</v>
      </c>
      <c r="AQ327" s="457">
        <v>0.0</v>
      </c>
      <c r="AR327" s="454" t="s">
        <v>1126</v>
      </c>
      <c r="AS327" s="457">
        <v>0.0</v>
      </c>
      <c r="AT327" s="454" t="s">
        <v>1126</v>
      </c>
      <c r="AU327" s="457" t="s">
        <v>633</v>
      </c>
      <c r="AV327" s="454" t="s">
        <v>1126</v>
      </c>
      <c r="AW327" s="457">
        <v>0.0</v>
      </c>
      <c r="AX327" s="454" t="s">
        <v>1126</v>
      </c>
      <c r="AY327" s="457">
        <v>0.0</v>
      </c>
      <c r="AZ327" s="454" t="s">
        <v>1126</v>
      </c>
      <c r="BA327" s="457">
        <v>0.0</v>
      </c>
      <c r="BB327" s="454" t="s">
        <v>1126</v>
      </c>
      <c r="BC327" s="457">
        <v>0.0</v>
      </c>
      <c r="BD327" s="454" t="s">
        <v>1126</v>
      </c>
      <c r="BE327" s="457">
        <v>0.0</v>
      </c>
    </row>
    <row r="328">
      <c r="M328" s="226"/>
      <c r="N328" s="226"/>
      <c r="O328" s="226"/>
      <c r="P328" s="226"/>
      <c r="AN328" s="454" t="s">
        <v>1127</v>
      </c>
      <c r="AO328" s="457">
        <v>0.0</v>
      </c>
      <c r="AP328" s="454" t="s">
        <v>1127</v>
      </c>
      <c r="AQ328" s="457">
        <v>0.0</v>
      </c>
      <c r="AR328" s="454" t="s">
        <v>1127</v>
      </c>
      <c r="AS328" s="457">
        <v>0.0</v>
      </c>
      <c r="AT328" s="454" t="s">
        <v>1127</v>
      </c>
      <c r="AU328" s="457"/>
      <c r="AV328" s="454" t="s">
        <v>1127</v>
      </c>
      <c r="AW328" s="457">
        <v>0.0</v>
      </c>
      <c r="AX328" s="454" t="s">
        <v>1127</v>
      </c>
      <c r="AY328" s="457">
        <v>0.0</v>
      </c>
      <c r="AZ328" s="454" t="s">
        <v>1127</v>
      </c>
      <c r="BA328" s="457">
        <v>0.0</v>
      </c>
      <c r="BB328" s="454" t="s">
        <v>1127</v>
      </c>
      <c r="BC328" s="457">
        <v>0.0</v>
      </c>
      <c r="BD328" s="454" t="s">
        <v>1127</v>
      </c>
      <c r="BE328" s="457">
        <v>0.0</v>
      </c>
    </row>
    <row r="329">
      <c r="M329" s="226"/>
      <c r="N329" s="226"/>
      <c r="O329" s="226"/>
      <c r="P329" s="226"/>
      <c r="AN329" s="454" t="s">
        <v>1130</v>
      </c>
      <c r="AO329" s="457">
        <v>0.0</v>
      </c>
      <c r="AP329" s="454" t="s">
        <v>1130</v>
      </c>
      <c r="AQ329" s="457">
        <v>1.0</v>
      </c>
      <c r="AR329" s="454" t="s">
        <v>1130</v>
      </c>
      <c r="AS329" s="457">
        <v>0.0</v>
      </c>
      <c r="AT329" s="454" t="s">
        <v>1130</v>
      </c>
      <c r="AU329" s="457" t="s">
        <v>2222</v>
      </c>
      <c r="AV329" s="454" t="s">
        <v>1130</v>
      </c>
      <c r="AW329" s="457">
        <v>0.0</v>
      </c>
      <c r="AX329" s="454" t="s">
        <v>1130</v>
      </c>
      <c r="AY329" s="457">
        <v>0.0</v>
      </c>
      <c r="AZ329" s="454" t="s">
        <v>1130</v>
      </c>
      <c r="BA329" s="457">
        <v>0.0</v>
      </c>
      <c r="BB329" s="454" t="s">
        <v>1130</v>
      </c>
      <c r="BC329" s="457">
        <v>4.0</v>
      </c>
      <c r="BD329" s="454" t="s">
        <v>1130</v>
      </c>
      <c r="BE329" s="457">
        <v>0.0</v>
      </c>
    </row>
    <row r="330">
      <c r="M330" s="226"/>
      <c r="N330" s="226"/>
      <c r="O330" s="226"/>
      <c r="P330" s="226"/>
      <c r="AN330" s="454" t="s">
        <v>1128</v>
      </c>
      <c r="AO330" s="457">
        <v>0.0</v>
      </c>
      <c r="AP330" s="454" t="s">
        <v>1128</v>
      </c>
      <c r="AQ330" s="457">
        <v>0.0</v>
      </c>
      <c r="AR330" s="454" t="s">
        <v>1128</v>
      </c>
      <c r="AS330" s="457">
        <v>0.0</v>
      </c>
      <c r="AT330" s="454" t="s">
        <v>1128</v>
      </c>
      <c r="AU330" s="457"/>
      <c r="AV330" s="454" t="s">
        <v>1128</v>
      </c>
      <c r="AW330" s="457">
        <v>0.0</v>
      </c>
      <c r="AX330" s="454" t="s">
        <v>1128</v>
      </c>
      <c r="AY330" s="457">
        <v>0.0</v>
      </c>
      <c r="AZ330" s="454" t="s">
        <v>1128</v>
      </c>
      <c r="BA330" s="457">
        <v>0.0</v>
      </c>
      <c r="BB330" s="454" t="s">
        <v>1128</v>
      </c>
      <c r="BC330" s="457">
        <v>0.0</v>
      </c>
      <c r="BD330" s="454" t="s">
        <v>1128</v>
      </c>
      <c r="BE330" s="457">
        <v>0.0</v>
      </c>
    </row>
    <row r="331">
      <c r="M331" s="226"/>
      <c r="N331" s="226"/>
      <c r="O331" s="226"/>
      <c r="P331" s="226"/>
      <c r="AN331" s="454" t="s">
        <v>1132</v>
      </c>
      <c r="AO331" s="457">
        <v>0.0</v>
      </c>
      <c r="AP331" s="454" t="s">
        <v>1132</v>
      </c>
      <c r="AQ331" s="457">
        <v>0.0</v>
      </c>
      <c r="AR331" s="454" t="s">
        <v>1132</v>
      </c>
      <c r="AS331" s="457">
        <v>0.0</v>
      </c>
      <c r="AT331" s="454" t="s">
        <v>1132</v>
      </c>
      <c r="AU331" s="457"/>
      <c r="AV331" s="454" t="s">
        <v>1132</v>
      </c>
      <c r="AW331" s="457">
        <v>0.0</v>
      </c>
      <c r="AX331" s="454" t="s">
        <v>1132</v>
      </c>
      <c r="AY331" s="457">
        <v>0.0</v>
      </c>
      <c r="AZ331" s="454" t="s">
        <v>1132</v>
      </c>
      <c r="BA331" s="457">
        <v>0.0</v>
      </c>
      <c r="BB331" s="454" t="s">
        <v>1132</v>
      </c>
      <c r="BC331" s="457">
        <v>0.0</v>
      </c>
      <c r="BD331" s="454" t="s">
        <v>1132</v>
      </c>
      <c r="BE331" s="457">
        <v>0.0</v>
      </c>
    </row>
    <row r="332">
      <c r="M332" s="226"/>
      <c r="N332" s="226"/>
      <c r="O332" s="226"/>
      <c r="P332" s="226"/>
      <c r="AN332" s="454" t="s">
        <v>1137</v>
      </c>
      <c r="AO332" s="457">
        <v>1.0</v>
      </c>
      <c r="AP332" s="454" t="s">
        <v>1137</v>
      </c>
      <c r="AQ332" s="457">
        <v>1.0</v>
      </c>
      <c r="AR332" s="454" t="s">
        <v>1137</v>
      </c>
      <c r="AS332" s="457">
        <v>1.0</v>
      </c>
      <c r="AT332" s="454" t="s">
        <v>1137</v>
      </c>
      <c r="AU332" s="457" t="s">
        <v>2280</v>
      </c>
      <c r="AV332" s="454" t="s">
        <v>1137</v>
      </c>
      <c r="AW332" s="457">
        <v>0.0</v>
      </c>
      <c r="AX332" s="454" t="s">
        <v>1137</v>
      </c>
      <c r="AY332" s="457">
        <v>0.0</v>
      </c>
      <c r="AZ332" s="454" t="s">
        <v>1137</v>
      </c>
      <c r="BA332" s="457">
        <v>0.0</v>
      </c>
      <c r="BB332" s="454" t="s">
        <v>1137</v>
      </c>
      <c r="BC332" s="457">
        <v>0.0</v>
      </c>
      <c r="BD332" s="454" t="s">
        <v>1137</v>
      </c>
      <c r="BE332" s="457">
        <v>0.0</v>
      </c>
    </row>
    <row r="333">
      <c r="M333" s="226"/>
      <c r="N333" s="226"/>
      <c r="O333" s="226"/>
      <c r="P333" s="226"/>
      <c r="AN333" s="454" t="s">
        <v>1139</v>
      </c>
      <c r="AO333" s="457">
        <v>0.0</v>
      </c>
      <c r="AP333" s="454" t="s">
        <v>1139</v>
      </c>
      <c r="AQ333" s="457">
        <v>0.0</v>
      </c>
      <c r="AR333" s="454" t="s">
        <v>1139</v>
      </c>
      <c r="AS333" s="457">
        <v>0.0</v>
      </c>
      <c r="AT333" s="454" t="s">
        <v>1139</v>
      </c>
      <c r="AU333" s="457"/>
      <c r="AV333" s="454" t="s">
        <v>1139</v>
      </c>
      <c r="AW333" s="457">
        <v>0.0</v>
      </c>
      <c r="AX333" s="454" t="s">
        <v>1139</v>
      </c>
      <c r="AY333" s="457">
        <v>0.0</v>
      </c>
      <c r="AZ333" s="454" t="s">
        <v>1139</v>
      </c>
      <c r="BA333" s="457">
        <v>0.0</v>
      </c>
      <c r="BB333" s="454" t="s">
        <v>1139</v>
      </c>
      <c r="BC333" s="457">
        <v>0.0</v>
      </c>
      <c r="BD333" s="454" t="s">
        <v>1139</v>
      </c>
      <c r="BE333" s="457">
        <v>0.0</v>
      </c>
    </row>
    <row r="334">
      <c r="M334" s="226"/>
      <c r="N334" s="226"/>
      <c r="O334" s="226"/>
      <c r="P334" s="226"/>
      <c r="AN334" s="454" t="s">
        <v>1145</v>
      </c>
      <c r="AO334" s="457">
        <v>0.0</v>
      </c>
      <c r="AP334" s="454" t="s">
        <v>1145</v>
      </c>
      <c r="AQ334" s="457">
        <v>0.0</v>
      </c>
      <c r="AR334" s="454" t="s">
        <v>1145</v>
      </c>
      <c r="AS334" s="457">
        <v>0.0</v>
      </c>
      <c r="AT334" s="454" t="s">
        <v>1145</v>
      </c>
      <c r="AU334" s="457"/>
      <c r="AV334" s="454" t="s">
        <v>1145</v>
      </c>
      <c r="AW334" s="457">
        <v>0.0</v>
      </c>
      <c r="AX334" s="454" t="s">
        <v>1145</v>
      </c>
      <c r="AY334" s="457">
        <v>0.0</v>
      </c>
      <c r="AZ334" s="454" t="s">
        <v>1145</v>
      </c>
      <c r="BA334" s="457">
        <v>0.0</v>
      </c>
      <c r="BB334" s="454" t="s">
        <v>1145</v>
      </c>
      <c r="BC334" s="457">
        <v>0.0</v>
      </c>
      <c r="BD334" s="454" t="s">
        <v>1145</v>
      </c>
      <c r="BE334" s="457">
        <v>0.0</v>
      </c>
    </row>
    <row r="335">
      <c r="M335" s="226"/>
      <c r="N335" s="226"/>
      <c r="O335" s="226"/>
      <c r="P335" s="226"/>
      <c r="AN335" s="614" t="s">
        <v>1136</v>
      </c>
      <c r="AO335" s="457">
        <v>0.0</v>
      </c>
      <c r="AP335" s="614" t="s">
        <v>1136</v>
      </c>
      <c r="AQ335" s="457">
        <v>0.0</v>
      </c>
      <c r="AR335" s="614" t="s">
        <v>1136</v>
      </c>
      <c r="AS335" s="457">
        <v>0.0</v>
      </c>
      <c r="AT335" s="614" t="s">
        <v>1136</v>
      </c>
      <c r="AU335" s="457"/>
      <c r="AV335" s="614" t="s">
        <v>1136</v>
      </c>
      <c r="AW335" s="457">
        <v>0.0</v>
      </c>
      <c r="AX335" s="614" t="s">
        <v>1136</v>
      </c>
      <c r="AY335" s="457">
        <v>0.0</v>
      </c>
      <c r="AZ335" s="614" t="s">
        <v>1136</v>
      </c>
      <c r="BA335" s="457">
        <v>0.0</v>
      </c>
      <c r="BB335" s="614" t="s">
        <v>1136</v>
      </c>
      <c r="BC335" s="457">
        <v>0.0</v>
      </c>
      <c r="BD335" s="614" t="s">
        <v>1136</v>
      </c>
      <c r="BE335" s="457">
        <v>0.0</v>
      </c>
    </row>
    <row r="336">
      <c r="M336" s="226"/>
      <c r="N336" s="226"/>
      <c r="O336" s="226"/>
      <c r="P336" s="226"/>
    </row>
    <row r="337">
      <c r="M337" s="226"/>
      <c r="N337" s="226"/>
      <c r="O337" s="226"/>
      <c r="P337" s="226"/>
    </row>
    <row r="338">
      <c r="M338" s="226"/>
      <c r="N338" s="226"/>
      <c r="O338" s="226"/>
      <c r="P338" s="226"/>
    </row>
    <row r="339">
      <c r="M339" s="226"/>
      <c r="N339" s="226"/>
      <c r="O339" s="226"/>
      <c r="P339" s="226"/>
    </row>
    <row r="340">
      <c r="M340" s="226"/>
      <c r="N340" s="226"/>
      <c r="O340" s="226"/>
      <c r="P340" s="226"/>
    </row>
    <row r="341">
      <c r="M341" s="226"/>
      <c r="N341" s="226"/>
      <c r="O341" s="226"/>
      <c r="P341" s="226"/>
      <c r="AN341" s="623" t="s">
        <v>2122</v>
      </c>
      <c r="AO341" s="623" t="s">
        <v>2310</v>
      </c>
      <c r="AP341" s="623" t="s">
        <v>2122</v>
      </c>
      <c r="AQ341" s="623" t="s">
        <v>2311</v>
      </c>
      <c r="AR341" s="623" t="s">
        <v>2122</v>
      </c>
      <c r="AS341" s="623" t="s">
        <v>2312</v>
      </c>
      <c r="AT341" s="623" t="s">
        <v>2122</v>
      </c>
      <c r="AU341" s="623" t="s">
        <v>2313</v>
      </c>
      <c r="AV341" s="623" t="s">
        <v>2122</v>
      </c>
      <c r="AW341" s="623" t="s">
        <v>2314</v>
      </c>
      <c r="AX341" s="623" t="s">
        <v>2122</v>
      </c>
      <c r="AY341" s="623" t="s">
        <v>2315</v>
      </c>
      <c r="AZ341" s="623" t="s">
        <v>2122</v>
      </c>
      <c r="BA341" s="623" t="s">
        <v>2316</v>
      </c>
      <c r="BB341" s="623" t="s">
        <v>2122</v>
      </c>
      <c r="BC341" s="623" t="s">
        <v>2317</v>
      </c>
      <c r="BD341" s="623" t="s">
        <v>2122</v>
      </c>
      <c r="BE341" s="623" t="s">
        <v>2318</v>
      </c>
    </row>
    <row r="342">
      <c r="M342" s="226"/>
      <c r="N342" s="226"/>
      <c r="O342" s="226"/>
      <c r="P342" s="226"/>
      <c r="AN342" s="454" t="s">
        <v>780</v>
      </c>
      <c r="AO342" s="456">
        <v>1.0</v>
      </c>
      <c r="AP342" s="454" t="s">
        <v>780</v>
      </c>
      <c r="AQ342" s="456">
        <v>0.0</v>
      </c>
      <c r="AR342" s="454" t="s">
        <v>780</v>
      </c>
      <c r="AS342" s="456">
        <v>0.0</v>
      </c>
      <c r="AT342" s="454" t="s">
        <v>780</v>
      </c>
      <c r="AU342" s="536" t="s">
        <v>674</v>
      </c>
      <c r="AV342" s="454" t="s">
        <v>780</v>
      </c>
      <c r="AW342" s="456">
        <v>0.0</v>
      </c>
      <c r="AX342" s="454" t="s">
        <v>780</v>
      </c>
      <c r="AY342" s="456">
        <v>0.0</v>
      </c>
      <c r="AZ342" s="454" t="s">
        <v>780</v>
      </c>
      <c r="BA342" s="456">
        <v>0.0</v>
      </c>
      <c r="BB342" s="454" t="s">
        <v>780</v>
      </c>
      <c r="BC342" s="456">
        <v>0.0</v>
      </c>
      <c r="BD342" s="454" t="s">
        <v>780</v>
      </c>
      <c r="BE342" s="456">
        <v>0.0</v>
      </c>
    </row>
    <row r="343">
      <c r="M343" s="226"/>
      <c r="N343" s="226"/>
      <c r="O343" s="226"/>
      <c r="P343" s="226"/>
      <c r="AN343" s="454" t="s">
        <v>782</v>
      </c>
      <c r="AO343" s="456">
        <v>0.0</v>
      </c>
      <c r="AP343" s="454" t="s">
        <v>782</v>
      </c>
      <c r="AQ343" s="456">
        <v>1.0</v>
      </c>
      <c r="AR343" s="454" t="s">
        <v>782</v>
      </c>
      <c r="AS343" s="456">
        <v>0.0</v>
      </c>
      <c r="AT343" s="454" t="s">
        <v>782</v>
      </c>
      <c r="AU343" s="536" t="s">
        <v>674</v>
      </c>
      <c r="AV343" s="454" t="s">
        <v>782</v>
      </c>
      <c r="AW343" s="456">
        <v>0.0</v>
      </c>
      <c r="AX343" s="454" t="s">
        <v>782</v>
      </c>
      <c r="AY343" s="456">
        <v>0.0</v>
      </c>
      <c r="AZ343" s="454" t="s">
        <v>782</v>
      </c>
      <c r="BA343" s="456">
        <v>0.0</v>
      </c>
      <c r="BB343" s="454" t="s">
        <v>782</v>
      </c>
      <c r="BC343" s="456">
        <v>0.0</v>
      </c>
      <c r="BD343" s="454" t="s">
        <v>782</v>
      </c>
      <c r="BE343" s="456">
        <v>0.0</v>
      </c>
    </row>
    <row r="344">
      <c r="M344" s="226"/>
      <c r="N344" s="226"/>
      <c r="O344" s="226"/>
      <c r="P344" s="226"/>
      <c r="AN344" s="454" t="s">
        <v>783</v>
      </c>
      <c r="AO344" s="456">
        <v>0.0</v>
      </c>
      <c r="AP344" s="454" t="s">
        <v>783</v>
      </c>
      <c r="AQ344" s="456">
        <v>0.0</v>
      </c>
      <c r="AR344" s="454" t="s">
        <v>783</v>
      </c>
      <c r="AS344" s="456">
        <v>1.0</v>
      </c>
      <c r="AT344" s="454" t="s">
        <v>783</v>
      </c>
      <c r="AU344" s="536" t="s">
        <v>2319</v>
      </c>
      <c r="AV344" s="454" t="s">
        <v>783</v>
      </c>
      <c r="AW344" s="456">
        <v>0.0</v>
      </c>
      <c r="AX344" s="454" t="s">
        <v>783</v>
      </c>
      <c r="AY344" s="456">
        <v>0.0</v>
      </c>
      <c r="AZ344" s="454" t="s">
        <v>783</v>
      </c>
      <c r="BA344" s="456">
        <v>0.0</v>
      </c>
      <c r="BB344" s="454" t="s">
        <v>783</v>
      </c>
      <c r="BC344" s="456">
        <v>0.0</v>
      </c>
      <c r="BD344" s="454" t="s">
        <v>783</v>
      </c>
      <c r="BE344" s="456">
        <v>0.0</v>
      </c>
    </row>
    <row r="345">
      <c r="M345" s="226"/>
      <c r="N345" s="226"/>
      <c r="O345" s="226"/>
      <c r="P345" s="226"/>
      <c r="AN345" s="454" t="s">
        <v>785</v>
      </c>
      <c r="AO345" s="456">
        <v>0.0</v>
      </c>
      <c r="AP345" s="454" t="s">
        <v>785</v>
      </c>
      <c r="AQ345" s="457">
        <v>1.0</v>
      </c>
      <c r="AR345" s="454" t="s">
        <v>785</v>
      </c>
      <c r="AS345" s="457">
        <v>0.0</v>
      </c>
      <c r="AT345" s="454" t="s">
        <v>785</v>
      </c>
      <c r="AU345" s="537" t="s">
        <v>2239</v>
      </c>
      <c r="AV345" s="454" t="s">
        <v>785</v>
      </c>
      <c r="AW345" s="457">
        <v>0.0</v>
      </c>
      <c r="AX345" s="454" t="s">
        <v>785</v>
      </c>
      <c r="AY345" s="456">
        <v>2.0</v>
      </c>
      <c r="AZ345" s="454" t="s">
        <v>785</v>
      </c>
      <c r="BA345" s="456">
        <v>0.0</v>
      </c>
      <c r="BB345" s="454" t="s">
        <v>785</v>
      </c>
      <c r="BC345" s="456">
        <v>0.0</v>
      </c>
      <c r="BD345" s="454" t="s">
        <v>785</v>
      </c>
      <c r="BE345" s="456">
        <v>0.0</v>
      </c>
    </row>
    <row r="346">
      <c r="M346" s="226"/>
      <c r="N346" s="226"/>
      <c r="O346" s="226"/>
      <c r="P346" s="226"/>
      <c r="AN346" s="454" t="s">
        <v>786</v>
      </c>
      <c r="AO346" s="456">
        <v>0.0</v>
      </c>
      <c r="AP346" s="454" t="s">
        <v>786</v>
      </c>
      <c r="AQ346" s="457">
        <v>1.0</v>
      </c>
      <c r="AR346" s="454" t="s">
        <v>786</v>
      </c>
      <c r="AS346" s="457">
        <v>0.0</v>
      </c>
      <c r="AT346" s="454" t="s">
        <v>786</v>
      </c>
      <c r="AU346" s="537" t="s">
        <v>674</v>
      </c>
      <c r="AV346" s="454" t="s">
        <v>786</v>
      </c>
      <c r="AW346" s="457">
        <v>0.0</v>
      </c>
      <c r="AX346" s="454" t="s">
        <v>786</v>
      </c>
      <c r="AY346" s="456">
        <v>0.0</v>
      </c>
      <c r="AZ346" s="454" t="s">
        <v>786</v>
      </c>
      <c r="BA346" s="456">
        <v>0.0</v>
      </c>
      <c r="BB346" s="454" t="s">
        <v>786</v>
      </c>
      <c r="BC346" s="456">
        <v>0.0</v>
      </c>
      <c r="BD346" s="454" t="s">
        <v>786</v>
      </c>
      <c r="BE346" s="456">
        <v>0.0</v>
      </c>
    </row>
    <row r="347">
      <c r="M347" s="226"/>
      <c r="N347" s="226"/>
      <c r="O347" s="226"/>
      <c r="P347" s="226"/>
      <c r="AN347" s="454" t="s">
        <v>789</v>
      </c>
      <c r="AO347" s="456">
        <v>1.0</v>
      </c>
      <c r="AP347" s="454" t="s">
        <v>789</v>
      </c>
      <c r="AQ347" s="457">
        <v>0.0</v>
      </c>
      <c r="AR347" s="454" t="s">
        <v>789</v>
      </c>
      <c r="AS347" s="457">
        <v>1.0</v>
      </c>
      <c r="AT347" s="454" t="s">
        <v>789</v>
      </c>
      <c r="AU347" s="537" t="s">
        <v>2237</v>
      </c>
      <c r="AV347" s="454" t="s">
        <v>789</v>
      </c>
      <c r="AW347" s="457">
        <v>0.0</v>
      </c>
      <c r="AX347" s="454" t="s">
        <v>789</v>
      </c>
      <c r="AY347" s="456">
        <v>0.0</v>
      </c>
      <c r="AZ347" s="454" t="s">
        <v>789</v>
      </c>
      <c r="BA347" s="456">
        <v>0.0</v>
      </c>
      <c r="BB347" s="454" t="s">
        <v>789</v>
      </c>
      <c r="BC347" s="456">
        <v>0.0</v>
      </c>
      <c r="BD347" s="454" t="s">
        <v>789</v>
      </c>
      <c r="BE347" s="456">
        <v>0.0</v>
      </c>
    </row>
    <row r="348">
      <c r="M348" s="226"/>
      <c r="N348" s="226"/>
      <c r="O348" s="226"/>
      <c r="P348" s="226"/>
    </row>
    <row r="349">
      <c r="M349" s="226"/>
      <c r="N349" s="226"/>
      <c r="O349" s="226"/>
      <c r="P349" s="226"/>
      <c r="AN349" s="449" t="s">
        <v>2130</v>
      </c>
      <c r="AO349" s="449" t="s">
        <v>2320</v>
      </c>
      <c r="AP349" s="449" t="s">
        <v>2130</v>
      </c>
      <c r="AQ349" s="449" t="s">
        <v>2321</v>
      </c>
      <c r="AR349" s="449" t="s">
        <v>2130</v>
      </c>
      <c r="AS349" s="449" t="s">
        <v>2322</v>
      </c>
      <c r="AT349" s="449" t="s">
        <v>2130</v>
      </c>
      <c r="AU349" s="449" t="s">
        <v>2323</v>
      </c>
      <c r="AV349" s="449" t="s">
        <v>2130</v>
      </c>
      <c r="AW349" s="449" t="s">
        <v>2324</v>
      </c>
      <c r="AX349" s="449" t="s">
        <v>2130</v>
      </c>
      <c r="AY349" s="449" t="s">
        <v>2325</v>
      </c>
      <c r="AZ349" s="449" t="s">
        <v>2130</v>
      </c>
      <c r="BA349" s="449" t="s">
        <v>2326</v>
      </c>
      <c r="BB349" s="449" t="s">
        <v>2130</v>
      </c>
      <c r="BC349" s="449" t="s">
        <v>2327</v>
      </c>
      <c r="BD349" s="449" t="s">
        <v>2130</v>
      </c>
      <c r="BE349" s="449" t="s">
        <v>2328</v>
      </c>
    </row>
    <row r="350">
      <c r="M350" s="226"/>
      <c r="N350" s="226"/>
      <c r="O350" s="226"/>
      <c r="P350" s="226"/>
      <c r="AN350" s="454" t="s">
        <v>803</v>
      </c>
      <c r="AO350" s="456">
        <v>1.0</v>
      </c>
      <c r="AP350" s="454" t="s">
        <v>803</v>
      </c>
      <c r="AQ350" s="456">
        <v>1.0</v>
      </c>
      <c r="AR350" s="454" t="s">
        <v>803</v>
      </c>
      <c r="AS350" s="456">
        <v>0.0</v>
      </c>
      <c r="AT350" s="454" t="s">
        <v>803</v>
      </c>
      <c r="AU350" s="536" t="s">
        <v>2236</v>
      </c>
      <c r="AV350" s="454" t="s">
        <v>803</v>
      </c>
      <c r="AW350" s="456">
        <v>0.0</v>
      </c>
      <c r="AX350" s="454" t="s">
        <v>803</v>
      </c>
      <c r="AY350" s="456">
        <v>3.0</v>
      </c>
      <c r="AZ350" s="454" t="s">
        <v>803</v>
      </c>
      <c r="BA350" s="456">
        <v>0.0</v>
      </c>
      <c r="BB350" s="454" t="s">
        <v>803</v>
      </c>
      <c r="BC350" s="456">
        <v>0.0</v>
      </c>
      <c r="BD350" s="454" t="s">
        <v>803</v>
      </c>
      <c r="BE350" s="456">
        <v>0.0</v>
      </c>
    </row>
    <row r="351">
      <c r="M351" s="226"/>
      <c r="N351" s="226"/>
      <c r="O351" s="226"/>
      <c r="P351" s="226"/>
      <c r="AN351" s="454" t="s">
        <v>801</v>
      </c>
      <c r="AO351" s="456">
        <v>2.0</v>
      </c>
      <c r="AP351" s="454" t="s">
        <v>801</v>
      </c>
      <c r="AQ351" s="456">
        <v>0.0</v>
      </c>
      <c r="AR351" s="454" t="s">
        <v>801</v>
      </c>
      <c r="AS351" s="456">
        <v>0.0</v>
      </c>
      <c r="AT351" s="454" t="s">
        <v>801</v>
      </c>
      <c r="AU351" s="536" t="s">
        <v>2238</v>
      </c>
      <c r="AV351" s="454" t="s">
        <v>801</v>
      </c>
      <c r="AW351" s="456">
        <v>0.0</v>
      </c>
      <c r="AX351" s="454" t="s">
        <v>801</v>
      </c>
      <c r="AY351" s="456">
        <v>0.0</v>
      </c>
      <c r="AZ351" s="454" t="s">
        <v>801</v>
      </c>
      <c r="BA351" s="456">
        <v>3.0</v>
      </c>
      <c r="BB351" s="454" t="s">
        <v>801</v>
      </c>
      <c r="BC351" s="456">
        <v>0.0</v>
      </c>
      <c r="BD351" s="454" t="s">
        <v>801</v>
      </c>
      <c r="BE351" s="456">
        <v>0.0</v>
      </c>
    </row>
    <row r="352">
      <c r="M352" s="226"/>
      <c r="N352" s="226"/>
      <c r="O352" s="226"/>
      <c r="P352" s="226"/>
      <c r="AN352" s="454" t="s">
        <v>804</v>
      </c>
      <c r="AO352" s="456">
        <v>1.0</v>
      </c>
      <c r="AP352" s="454" t="s">
        <v>804</v>
      </c>
      <c r="AQ352" s="456">
        <v>0.0</v>
      </c>
      <c r="AR352" s="454" t="s">
        <v>804</v>
      </c>
      <c r="AS352" s="456">
        <v>1.0</v>
      </c>
      <c r="AT352" s="454" t="s">
        <v>804</v>
      </c>
      <c r="AU352" s="536" t="s">
        <v>2237</v>
      </c>
      <c r="AV352" s="454" t="s">
        <v>804</v>
      </c>
      <c r="AW352" s="456">
        <v>0.0</v>
      </c>
      <c r="AX352" s="454" t="s">
        <v>804</v>
      </c>
      <c r="AY352" s="456">
        <v>0.0</v>
      </c>
      <c r="AZ352" s="454" t="s">
        <v>804</v>
      </c>
      <c r="BA352" s="456">
        <v>0.0</v>
      </c>
      <c r="BB352" s="454" t="s">
        <v>804</v>
      </c>
      <c r="BC352" s="456">
        <v>0.0</v>
      </c>
      <c r="BD352" s="454" t="s">
        <v>804</v>
      </c>
      <c r="BE352" s="456">
        <v>0.0</v>
      </c>
    </row>
    <row r="353">
      <c r="M353" s="226"/>
      <c r="N353" s="226"/>
      <c r="O353" s="226"/>
      <c r="P353" s="226"/>
      <c r="AN353" s="454" t="s">
        <v>805</v>
      </c>
      <c r="AO353" s="456">
        <v>1.0</v>
      </c>
      <c r="AP353" s="454" t="s">
        <v>805</v>
      </c>
      <c r="AQ353" s="456">
        <v>1.0</v>
      </c>
      <c r="AR353" s="454" t="s">
        <v>805</v>
      </c>
      <c r="AS353" s="456">
        <v>0.0</v>
      </c>
      <c r="AT353" s="454" t="s">
        <v>805</v>
      </c>
      <c r="AU353" s="536" t="s">
        <v>2237</v>
      </c>
      <c r="AV353" s="454" t="s">
        <v>805</v>
      </c>
      <c r="AW353" s="456">
        <v>3.0</v>
      </c>
      <c r="AX353" s="454" t="s">
        <v>805</v>
      </c>
      <c r="AY353" s="456">
        <v>0.0</v>
      </c>
      <c r="AZ353" s="454" t="s">
        <v>805</v>
      </c>
      <c r="BA353" s="456">
        <v>0.0</v>
      </c>
      <c r="BB353" s="454" t="s">
        <v>805</v>
      </c>
      <c r="BC353" s="456">
        <v>0.0</v>
      </c>
      <c r="BD353" s="454" t="s">
        <v>805</v>
      </c>
      <c r="BE353" s="456">
        <v>0.0</v>
      </c>
    </row>
    <row r="354">
      <c r="M354" s="226"/>
      <c r="N354" s="226"/>
      <c r="O354" s="226"/>
      <c r="P354" s="226"/>
      <c r="AN354" s="454" t="s">
        <v>811</v>
      </c>
      <c r="AO354" s="456">
        <v>2.0</v>
      </c>
      <c r="AP354" s="454" t="s">
        <v>811</v>
      </c>
      <c r="AQ354" s="456">
        <v>0.0</v>
      </c>
      <c r="AR354" s="454" t="s">
        <v>811</v>
      </c>
      <c r="AS354" s="456">
        <v>0.0</v>
      </c>
      <c r="AT354" s="454" t="s">
        <v>811</v>
      </c>
      <c r="AU354" s="536" t="s">
        <v>812</v>
      </c>
      <c r="AV354" s="454" t="s">
        <v>811</v>
      </c>
      <c r="AW354" s="456">
        <v>0.0</v>
      </c>
      <c r="AX354" s="454" t="s">
        <v>811</v>
      </c>
      <c r="AY354" s="456">
        <v>0.0</v>
      </c>
      <c r="AZ354" s="454" t="s">
        <v>811</v>
      </c>
      <c r="BA354" s="456">
        <v>0.0</v>
      </c>
      <c r="BB354" s="454" t="s">
        <v>811</v>
      </c>
      <c r="BC354" s="456">
        <v>0.0</v>
      </c>
      <c r="BD354" s="454" t="s">
        <v>811</v>
      </c>
      <c r="BE354" s="456">
        <v>0.0</v>
      </c>
    </row>
    <row r="355">
      <c r="M355" s="226"/>
      <c r="N355" s="226"/>
      <c r="O355" s="226"/>
      <c r="P355" s="226"/>
      <c r="AN355" s="454" t="s">
        <v>813</v>
      </c>
      <c r="AO355" s="456">
        <v>1.0</v>
      </c>
      <c r="AP355" s="454" t="s">
        <v>813</v>
      </c>
      <c r="AQ355" s="456">
        <v>0.0</v>
      </c>
      <c r="AR355" s="454" t="s">
        <v>813</v>
      </c>
      <c r="AS355" s="456">
        <v>0.0</v>
      </c>
      <c r="AT355" s="454" t="s">
        <v>813</v>
      </c>
      <c r="AU355" s="536" t="s">
        <v>2268</v>
      </c>
      <c r="AV355" s="454" t="s">
        <v>813</v>
      </c>
      <c r="AW355" s="456">
        <v>0.0</v>
      </c>
      <c r="AX355" s="454" t="s">
        <v>813</v>
      </c>
      <c r="AY355" s="456">
        <v>0.0</v>
      </c>
      <c r="AZ355" s="454" t="s">
        <v>813</v>
      </c>
      <c r="BA355" s="456">
        <v>2.0</v>
      </c>
      <c r="BB355" s="454" t="s">
        <v>813</v>
      </c>
      <c r="BC355" s="456">
        <v>0.0</v>
      </c>
      <c r="BD355" s="454" t="s">
        <v>813</v>
      </c>
      <c r="BE355" s="456">
        <v>0.0</v>
      </c>
    </row>
    <row r="356">
      <c r="M356" s="226"/>
      <c r="N356" s="226"/>
      <c r="O356" s="226"/>
      <c r="P356" s="226"/>
      <c r="AN356" s="454" t="s">
        <v>820</v>
      </c>
      <c r="AO356" s="456">
        <v>0.0</v>
      </c>
      <c r="AP356" s="454" t="s">
        <v>820</v>
      </c>
      <c r="AQ356" s="457">
        <v>0.0</v>
      </c>
      <c r="AR356" s="454" t="s">
        <v>820</v>
      </c>
      <c r="AS356" s="457">
        <v>0.0</v>
      </c>
      <c r="AT356" s="454" t="s">
        <v>820</v>
      </c>
      <c r="AU356" s="537"/>
      <c r="AV356" s="454" t="s">
        <v>820</v>
      </c>
      <c r="AW356" s="457">
        <v>0.0</v>
      </c>
      <c r="AX356" s="454" t="s">
        <v>820</v>
      </c>
      <c r="AY356" s="456">
        <v>0.0</v>
      </c>
      <c r="AZ356" s="454" t="s">
        <v>820</v>
      </c>
      <c r="BA356" s="456">
        <v>0.0</v>
      </c>
      <c r="BB356" s="454" t="s">
        <v>820</v>
      </c>
      <c r="BC356" s="456">
        <v>0.0</v>
      </c>
      <c r="BD356" s="454" t="s">
        <v>820</v>
      </c>
      <c r="BE356" s="456">
        <v>0.0</v>
      </c>
    </row>
    <row r="357">
      <c r="M357" s="226"/>
      <c r="N357" s="226"/>
      <c r="O357" s="226"/>
      <c r="P357" s="226"/>
      <c r="AN357" s="454" t="s">
        <v>822</v>
      </c>
      <c r="AO357" s="456">
        <v>0.0</v>
      </c>
      <c r="AP357" s="454" t="s">
        <v>822</v>
      </c>
      <c r="AQ357" s="457">
        <v>1.0</v>
      </c>
      <c r="AR357" s="454" t="s">
        <v>822</v>
      </c>
      <c r="AS357" s="457">
        <v>1.0</v>
      </c>
      <c r="AT357" s="454" t="s">
        <v>822</v>
      </c>
      <c r="AU357" s="537" t="s">
        <v>2237</v>
      </c>
      <c r="AV357" s="454" t="s">
        <v>822</v>
      </c>
      <c r="AW357" s="457">
        <v>0.0</v>
      </c>
      <c r="AX357" s="454" t="s">
        <v>822</v>
      </c>
      <c r="AY357" s="456">
        <v>0.0</v>
      </c>
      <c r="AZ357" s="454" t="s">
        <v>822</v>
      </c>
      <c r="BA357" s="456">
        <v>0.0</v>
      </c>
      <c r="BB357" s="454" t="s">
        <v>822</v>
      </c>
      <c r="BC357" s="456">
        <v>0.0</v>
      </c>
      <c r="BD357" s="454" t="s">
        <v>822</v>
      </c>
      <c r="BE357" s="456">
        <v>0.0</v>
      </c>
    </row>
    <row r="358">
      <c r="M358" s="226"/>
      <c r="N358" s="226"/>
      <c r="O358" s="226"/>
      <c r="P358" s="226"/>
      <c r="AN358" s="454" t="s">
        <v>1094</v>
      </c>
      <c r="AO358" s="456">
        <v>0.0</v>
      </c>
      <c r="AP358" s="454" t="s">
        <v>1094</v>
      </c>
      <c r="AQ358" s="457">
        <v>0.0</v>
      </c>
      <c r="AR358" s="454" t="s">
        <v>1094</v>
      </c>
      <c r="AS358" s="457">
        <v>0.0</v>
      </c>
      <c r="AT358" s="454" t="s">
        <v>1094</v>
      </c>
      <c r="AU358" s="537"/>
      <c r="AV358" s="454" t="s">
        <v>1094</v>
      </c>
      <c r="AW358" s="457">
        <v>0.0</v>
      </c>
      <c r="AX358" s="454" t="s">
        <v>1094</v>
      </c>
      <c r="AY358" s="456">
        <v>0.0</v>
      </c>
      <c r="AZ358" s="454" t="s">
        <v>1094</v>
      </c>
      <c r="BA358" s="456">
        <v>0.0</v>
      </c>
      <c r="BB358" s="454" t="s">
        <v>1094</v>
      </c>
      <c r="BC358" s="456">
        <v>0.0</v>
      </c>
      <c r="BD358" s="454" t="s">
        <v>1094</v>
      </c>
      <c r="BE358" s="456">
        <v>0.0</v>
      </c>
    </row>
    <row r="359">
      <c r="M359" s="226"/>
      <c r="N359" s="226"/>
      <c r="O359" s="226"/>
      <c r="P359" s="226"/>
      <c r="AN359" s="454" t="s">
        <v>1098</v>
      </c>
      <c r="AO359" s="456">
        <v>0.0</v>
      </c>
      <c r="AP359" s="454" t="s">
        <v>1098</v>
      </c>
      <c r="AQ359" s="457">
        <v>0.0</v>
      </c>
      <c r="AR359" s="454" t="s">
        <v>1098</v>
      </c>
      <c r="AS359" s="457">
        <v>0.0</v>
      </c>
      <c r="AT359" s="454" t="s">
        <v>1098</v>
      </c>
      <c r="AU359" s="537"/>
      <c r="AV359" s="454" t="s">
        <v>1098</v>
      </c>
      <c r="AW359" s="457">
        <v>0.0</v>
      </c>
      <c r="AX359" s="454" t="s">
        <v>1098</v>
      </c>
      <c r="AY359" s="456">
        <v>0.0</v>
      </c>
      <c r="AZ359" s="454" t="s">
        <v>1098</v>
      </c>
      <c r="BA359" s="456">
        <v>0.0</v>
      </c>
      <c r="BB359" s="454" t="s">
        <v>1098</v>
      </c>
      <c r="BC359" s="456">
        <v>0.0</v>
      </c>
      <c r="BD359" s="454" t="s">
        <v>1098</v>
      </c>
      <c r="BE359" s="456">
        <v>0.0</v>
      </c>
    </row>
    <row r="360">
      <c r="M360" s="226"/>
      <c r="N360" s="226"/>
      <c r="O360" s="226"/>
      <c r="P360" s="226"/>
      <c r="AN360" s="454" t="s">
        <v>824</v>
      </c>
      <c r="AO360" s="456">
        <v>0.0</v>
      </c>
      <c r="AP360" s="454" t="s">
        <v>824</v>
      </c>
      <c r="AQ360" s="457">
        <v>0.0</v>
      </c>
      <c r="AR360" s="454" t="s">
        <v>824</v>
      </c>
      <c r="AS360" s="457">
        <v>3.0</v>
      </c>
      <c r="AT360" s="454" t="s">
        <v>824</v>
      </c>
      <c r="AU360" s="537" t="s">
        <v>2238</v>
      </c>
      <c r="AV360" s="454" t="s">
        <v>824</v>
      </c>
      <c r="AW360" s="457">
        <v>0.0</v>
      </c>
      <c r="AX360" s="454" t="s">
        <v>824</v>
      </c>
      <c r="AY360" s="456">
        <v>0.0</v>
      </c>
      <c r="AZ360" s="454" t="s">
        <v>824</v>
      </c>
      <c r="BA360" s="456">
        <v>0.0</v>
      </c>
      <c r="BB360" s="454" t="s">
        <v>824</v>
      </c>
      <c r="BC360" s="456">
        <v>0.0</v>
      </c>
      <c r="BD360" s="454" t="s">
        <v>824</v>
      </c>
      <c r="BE360" s="456">
        <v>0.0</v>
      </c>
    </row>
    <row r="361">
      <c r="M361" s="226"/>
      <c r="N361" s="226"/>
      <c r="O361" s="226"/>
      <c r="P361" s="226"/>
    </row>
    <row r="362">
      <c r="M362" s="226"/>
      <c r="N362" s="226"/>
      <c r="O362" s="226"/>
      <c r="P362" s="226"/>
      <c r="AN362" s="449" t="s">
        <v>2144</v>
      </c>
      <c r="AO362" s="449" t="s">
        <v>2258</v>
      </c>
      <c r="AP362" s="449" t="s">
        <v>2144</v>
      </c>
      <c r="AQ362" s="449" t="s">
        <v>2259</v>
      </c>
      <c r="AR362" s="449" t="s">
        <v>2144</v>
      </c>
      <c r="AS362" s="449" t="s">
        <v>2260</v>
      </c>
      <c r="AT362" s="449" t="s">
        <v>2144</v>
      </c>
      <c r="AU362" s="449" t="s">
        <v>2329</v>
      </c>
      <c r="AV362" s="449" t="s">
        <v>2144</v>
      </c>
      <c r="AW362" s="449" t="s">
        <v>2330</v>
      </c>
      <c r="AX362" s="449" t="s">
        <v>2144</v>
      </c>
      <c r="AY362" s="449" t="s">
        <v>2331</v>
      </c>
      <c r="AZ362" s="449" t="s">
        <v>2144</v>
      </c>
      <c r="BA362" s="449" t="s">
        <v>2332</v>
      </c>
      <c r="BB362" s="449" t="s">
        <v>2144</v>
      </c>
      <c r="BC362" s="449" t="s">
        <v>2333</v>
      </c>
      <c r="BD362" s="449" t="s">
        <v>2144</v>
      </c>
      <c r="BE362" s="449" t="s">
        <v>2334</v>
      </c>
    </row>
    <row r="363">
      <c r="M363" s="226"/>
      <c r="N363" s="226"/>
      <c r="O363" s="226"/>
      <c r="P363" s="226"/>
      <c r="AN363" s="454" t="s">
        <v>829</v>
      </c>
      <c r="AO363" s="456">
        <v>0.0</v>
      </c>
      <c r="AP363" s="454" t="s">
        <v>829</v>
      </c>
      <c r="AQ363" s="456">
        <v>1.0</v>
      </c>
      <c r="AR363" s="454" t="s">
        <v>829</v>
      </c>
      <c r="AS363" s="456">
        <v>0.0</v>
      </c>
      <c r="AT363" s="454" t="s">
        <v>829</v>
      </c>
      <c r="AU363" s="456" t="s">
        <v>2335</v>
      </c>
      <c r="AV363" s="454" t="s">
        <v>829</v>
      </c>
      <c r="AW363" s="456">
        <v>2.0</v>
      </c>
      <c r="AX363" s="454" t="s">
        <v>829</v>
      </c>
      <c r="AY363" s="456">
        <v>0.0</v>
      </c>
      <c r="AZ363" s="454" t="s">
        <v>829</v>
      </c>
      <c r="BA363" s="456">
        <v>0.0</v>
      </c>
      <c r="BB363" s="454" t="s">
        <v>829</v>
      </c>
      <c r="BC363" s="456">
        <v>0.0</v>
      </c>
      <c r="BD363" s="454" t="s">
        <v>829</v>
      </c>
      <c r="BE363" s="456">
        <v>0.0</v>
      </c>
    </row>
    <row r="364">
      <c r="M364" s="226"/>
      <c r="N364" s="226"/>
      <c r="O364" s="226"/>
      <c r="P364" s="226"/>
      <c r="AN364" s="454" t="s">
        <v>830</v>
      </c>
      <c r="AO364" s="456">
        <v>1.0</v>
      </c>
      <c r="AP364" s="454" t="s">
        <v>830</v>
      </c>
      <c r="AQ364" s="456">
        <v>0.0</v>
      </c>
      <c r="AR364" s="454" t="s">
        <v>830</v>
      </c>
      <c r="AS364" s="456">
        <v>1.0</v>
      </c>
      <c r="AT364" s="454" t="s">
        <v>830</v>
      </c>
      <c r="AU364" s="456" t="s">
        <v>2236</v>
      </c>
      <c r="AV364" s="454" t="s">
        <v>830</v>
      </c>
      <c r="AW364" s="456">
        <v>0.0</v>
      </c>
      <c r="AX364" s="454" t="s">
        <v>830</v>
      </c>
      <c r="AY364" s="456">
        <v>0.0</v>
      </c>
      <c r="AZ364" s="454" t="s">
        <v>830</v>
      </c>
      <c r="BA364" s="456">
        <v>0.0</v>
      </c>
      <c r="BB364" s="454" t="s">
        <v>830</v>
      </c>
      <c r="BC364" s="456">
        <v>0.0</v>
      </c>
      <c r="BD364" s="454" t="s">
        <v>830</v>
      </c>
      <c r="BE364" s="456">
        <v>0.0</v>
      </c>
    </row>
    <row r="365">
      <c r="M365" s="226"/>
      <c r="N365" s="226"/>
      <c r="O365" s="226"/>
      <c r="P365" s="226"/>
      <c r="AN365" s="454" t="s">
        <v>831</v>
      </c>
      <c r="AO365" s="456">
        <v>1.0</v>
      </c>
      <c r="AP365" s="454" t="s">
        <v>831</v>
      </c>
      <c r="AQ365" s="456">
        <v>0.0</v>
      </c>
      <c r="AR365" s="454" t="s">
        <v>831</v>
      </c>
      <c r="AS365" s="456">
        <v>1.0</v>
      </c>
      <c r="AT365" s="454" t="s">
        <v>831</v>
      </c>
      <c r="AU365" s="456" t="s">
        <v>2336</v>
      </c>
      <c r="AV365" s="454" t="s">
        <v>831</v>
      </c>
      <c r="AW365" s="456">
        <v>0.0</v>
      </c>
      <c r="AX365" s="454" t="s">
        <v>831</v>
      </c>
      <c r="AY365" s="456">
        <v>0.0</v>
      </c>
      <c r="AZ365" s="454" t="s">
        <v>831</v>
      </c>
      <c r="BA365" s="456">
        <v>0.0</v>
      </c>
      <c r="BB365" s="454" t="s">
        <v>831</v>
      </c>
      <c r="BC365" s="456">
        <v>0.0</v>
      </c>
      <c r="BD365" s="454" t="s">
        <v>831</v>
      </c>
      <c r="BE365" s="456">
        <v>0.0</v>
      </c>
    </row>
    <row r="366">
      <c r="M366" s="226"/>
      <c r="N366" s="226"/>
      <c r="O366" s="226"/>
      <c r="P366" s="226"/>
      <c r="AN366" s="454" t="s">
        <v>833</v>
      </c>
      <c r="AO366" s="456">
        <v>0.0</v>
      </c>
      <c r="AP366" s="454" t="s">
        <v>833</v>
      </c>
      <c r="AQ366" s="456">
        <v>0.0</v>
      </c>
      <c r="AR366" s="454" t="s">
        <v>833</v>
      </c>
      <c r="AS366" s="456">
        <v>0.0</v>
      </c>
      <c r="AT366" s="454" t="s">
        <v>833</v>
      </c>
      <c r="AU366" s="456"/>
      <c r="AV366" s="454" t="s">
        <v>833</v>
      </c>
      <c r="AW366" s="456">
        <v>0.0</v>
      </c>
      <c r="AX366" s="454" t="s">
        <v>833</v>
      </c>
      <c r="AY366" s="456">
        <v>0.0</v>
      </c>
      <c r="AZ366" s="454" t="s">
        <v>833</v>
      </c>
      <c r="BA366" s="456">
        <v>0.0</v>
      </c>
      <c r="BB366" s="454" t="s">
        <v>833</v>
      </c>
      <c r="BC366" s="456">
        <v>0.0</v>
      </c>
      <c r="BD366" s="454" t="s">
        <v>833</v>
      </c>
      <c r="BE366" s="456">
        <v>0.0</v>
      </c>
    </row>
    <row r="367">
      <c r="M367" s="226"/>
      <c r="N367" s="226"/>
      <c r="O367" s="226"/>
      <c r="P367" s="226"/>
      <c r="AN367" s="454" t="s">
        <v>834</v>
      </c>
      <c r="AO367" s="456">
        <v>1.0</v>
      </c>
      <c r="AP367" s="454" t="s">
        <v>834</v>
      </c>
      <c r="AQ367" s="456">
        <v>1.0</v>
      </c>
      <c r="AR367" s="454" t="s">
        <v>834</v>
      </c>
      <c r="AS367" s="456">
        <v>0.0</v>
      </c>
      <c r="AT367" s="454" t="s">
        <v>834</v>
      </c>
      <c r="AU367" s="456" t="s">
        <v>812</v>
      </c>
      <c r="AV367" s="454" t="s">
        <v>834</v>
      </c>
      <c r="AW367" s="456">
        <v>0.0</v>
      </c>
      <c r="AX367" s="454" t="s">
        <v>834</v>
      </c>
      <c r="AY367" s="456">
        <v>0.0</v>
      </c>
      <c r="AZ367" s="454" t="s">
        <v>834</v>
      </c>
      <c r="BA367" s="456">
        <v>0.0</v>
      </c>
      <c r="BB367" s="454" t="s">
        <v>834</v>
      </c>
      <c r="BC367" s="456">
        <v>0.0</v>
      </c>
      <c r="BD367" s="454" t="s">
        <v>834</v>
      </c>
      <c r="BE367" s="456">
        <v>0.0</v>
      </c>
    </row>
    <row r="368">
      <c r="M368" s="226"/>
      <c r="N368" s="226"/>
      <c r="O368" s="226"/>
      <c r="P368" s="226"/>
      <c r="AN368" s="454" t="s">
        <v>836</v>
      </c>
      <c r="AO368" s="456">
        <v>0.0</v>
      </c>
      <c r="AP368" s="454" t="s">
        <v>836</v>
      </c>
      <c r="AQ368" s="456">
        <v>1.0</v>
      </c>
      <c r="AR368" s="454" t="s">
        <v>836</v>
      </c>
      <c r="AS368" s="456">
        <v>1.0</v>
      </c>
      <c r="AT368" s="454" t="s">
        <v>836</v>
      </c>
      <c r="AU368" s="456" t="s">
        <v>2238</v>
      </c>
      <c r="AV368" s="454" t="s">
        <v>836</v>
      </c>
      <c r="AW368" s="456">
        <v>0.0</v>
      </c>
      <c r="AX368" s="454" t="s">
        <v>836</v>
      </c>
      <c r="AY368" s="456">
        <v>0.0</v>
      </c>
      <c r="AZ368" s="454" t="s">
        <v>836</v>
      </c>
      <c r="BA368" s="456">
        <v>0.0</v>
      </c>
      <c r="BB368" s="454" t="s">
        <v>836</v>
      </c>
      <c r="BC368" s="456">
        <v>0.0</v>
      </c>
      <c r="BD368" s="454" t="s">
        <v>836</v>
      </c>
      <c r="BE368" s="456">
        <v>0.0</v>
      </c>
    </row>
    <row r="369">
      <c r="M369" s="226"/>
      <c r="N369" s="226"/>
      <c r="O369" s="226"/>
      <c r="P369" s="226"/>
      <c r="AN369" s="454" t="s">
        <v>838</v>
      </c>
      <c r="AO369" s="456">
        <v>0.0</v>
      </c>
      <c r="AP369" s="454" t="s">
        <v>838</v>
      </c>
      <c r="AQ369" s="456">
        <v>0.0</v>
      </c>
      <c r="AR369" s="454" t="s">
        <v>838</v>
      </c>
      <c r="AS369" s="456">
        <v>1.0</v>
      </c>
      <c r="AT369" s="454" t="s">
        <v>838</v>
      </c>
      <c r="AU369" s="456" t="s">
        <v>2222</v>
      </c>
      <c r="AV369" s="454" t="s">
        <v>838</v>
      </c>
      <c r="AW369" s="456">
        <v>0.0</v>
      </c>
      <c r="AX369" s="454" t="s">
        <v>838</v>
      </c>
      <c r="AY369" s="456">
        <v>0.0</v>
      </c>
      <c r="AZ369" s="454" t="s">
        <v>838</v>
      </c>
      <c r="BA369" s="456">
        <v>0.0</v>
      </c>
      <c r="BB369" s="454" t="s">
        <v>838</v>
      </c>
      <c r="BC369" s="456">
        <v>0.0</v>
      </c>
      <c r="BD369" s="454" t="s">
        <v>838</v>
      </c>
      <c r="BE369" s="456">
        <v>0.0</v>
      </c>
    </row>
    <row r="370">
      <c r="M370" s="226"/>
      <c r="N370" s="226"/>
      <c r="O370" s="226"/>
      <c r="P370" s="226"/>
      <c r="AN370" s="454" t="s">
        <v>847</v>
      </c>
      <c r="AO370" s="456">
        <v>1.0</v>
      </c>
      <c r="AP370" s="454" t="s">
        <v>847</v>
      </c>
      <c r="AQ370" s="457">
        <v>0.0</v>
      </c>
      <c r="AR370" s="454" t="s">
        <v>847</v>
      </c>
      <c r="AS370" s="457">
        <v>1.0</v>
      </c>
      <c r="AT370" s="454" t="s">
        <v>847</v>
      </c>
      <c r="AU370" s="457" t="s">
        <v>2238</v>
      </c>
      <c r="AV370" s="454" t="s">
        <v>847</v>
      </c>
      <c r="AW370" s="457">
        <v>0.0</v>
      </c>
      <c r="AX370" s="454" t="s">
        <v>847</v>
      </c>
      <c r="AY370" s="456">
        <v>0.0</v>
      </c>
      <c r="AZ370" s="454" t="s">
        <v>847</v>
      </c>
      <c r="BA370" s="456">
        <v>0.0</v>
      </c>
      <c r="BB370" s="454" t="s">
        <v>847</v>
      </c>
      <c r="BC370" s="456">
        <v>0.0</v>
      </c>
      <c r="BD370" s="454" t="s">
        <v>847</v>
      </c>
      <c r="BE370" s="456">
        <v>0.0</v>
      </c>
    </row>
    <row r="371">
      <c r="M371" s="226"/>
      <c r="N371" s="226"/>
      <c r="O371" s="226"/>
      <c r="P371" s="226"/>
    </row>
    <row r="372">
      <c r="M372" s="226"/>
      <c r="N372" s="226"/>
      <c r="O372" s="226"/>
      <c r="P372" s="226"/>
      <c r="AN372" s="449" t="s">
        <v>2163</v>
      </c>
      <c r="AO372" s="449" t="s">
        <v>2337</v>
      </c>
      <c r="AP372" s="449" t="s">
        <v>2163</v>
      </c>
      <c r="AQ372" s="449" t="s">
        <v>2338</v>
      </c>
      <c r="AR372" s="449" t="s">
        <v>2163</v>
      </c>
      <c r="AS372" s="449" t="s">
        <v>2339</v>
      </c>
      <c r="AT372" s="449" t="s">
        <v>2163</v>
      </c>
      <c r="AU372" s="449" t="s">
        <v>2340</v>
      </c>
      <c r="AV372" s="449" t="s">
        <v>2163</v>
      </c>
      <c r="AW372" s="449" t="s">
        <v>2341</v>
      </c>
      <c r="AX372" s="449" t="s">
        <v>2163</v>
      </c>
      <c r="AY372" s="449" t="s">
        <v>2342</v>
      </c>
      <c r="AZ372" s="449" t="s">
        <v>2163</v>
      </c>
      <c r="BA372" s="449" t="s">
        <v>2343</v>
      </c>
      <c r="BB372" s="449" t="s">
        <v>2163</v>
      </c>
      <c r="BC372" s="449" t="s">
        <v>2344</v>
      </c>
      <c r="BD372" s="449" t="s">
        <v>2163</v>
      </c>
      <c r="BE372" s="449" t="s">
        <v>2345</v>
      </c>
    </row>
    <row r="373">
      <c r="M373" s="226"/>
      <c r="N373" s="226"/>
      <c r="O373" s="226"/>
      <c r="P373" s="226"/>
      <c r="AN373" s="454" t="s">
        <v>853</v>
      </c>
      <c r="AO373" s="456">
        <v>3.0</v>
      </c>
      <c r="AP373" s="454" t="s">
        <v>853</v>
      </c>
      <c r="AQ373" s="456">
        <v>0.0</v>
      </c>
      <c r="AR373" s="454" t="s">
        <v>853</v>
      </c>
      <c r="AS373" s="456">
        <v>0.0</v>
      </c>
      <c r="AT373" s="454" t="s">
        <v>853</v>
      </c>
      <c r="AU373" s="456" t="s">
        <v>2254</v>
      </c>
      <c r="AV373" s="454" t="s">
        <v>853</v>
      </c>
      <c r="AW373" s="456">
        <v>0.0</v>
      </c>
      <c r="AX373" s="454" t="s">
        <v>853</v>
      </c>
      <c r="AY373" s="456">
        <v>4.0</v>
      </c>
      <c r="AZ373" s="454" t="s">
        <v>853</v>
      </c>
      <c r="BA373" s="456">
        <v>0.0</v>
      </c>
      <c r="BB373" s="454" t="s">
        <v>853</v>
      </c>
      <c r="BC373" s="456">
        <v>0.0</v>
      </c>
      <c r="BD373" s="454" t="s">
        <v>853</v>
      </c>
      <c r="BE373" s="456">
        <v>0.0</v>
      </c>
    </row>
    <row r="374">
      <c r="M374" s="226"/>
      <c r="N374" s="226"/>
      <c r="O374" s="226"/>
      <c r="P374" s="226"/>
      <c r="AN374" s="454" t="s">
        <v>855</v>
      </c>
      <c r="AO374" s="456">
        <v>1.0</v>
      </c>
      <c r="AP374" s="454" t="s">
        <v>855</v>
      </c>
      <c r="AQ374" s="456">
        <v>1.0</v>
      </c>
      <c r="AR374" s="454" t="s">
        <v>855</v>
      </c>
      <c r="AS374" s="456">
        <v>1.0</v>
      </c>
      <c r="AT374" s="454" t="s">
        <v>855</v>
      </c>
      <c r="AU374" s="456" t="s">
        <v>2256</v>
      </c>
      <c r="AV374" s="454" t="s">
        <v>855</v>
      </c>
      <c r="AW374" s="456">
        <v>0.0</v>
      </c>
      <c r="AX374" s="454" t="s">
        <v>855</v>
      </c>
      <c r="AY374" s="456">
        <v>0.0</v>
      </c>
      <c r="AZ374" s="454" t="s">
        <v>855</v>
      </c>
      <c r="BA374" s="456">
        <v>0.0</v>
      </c>
      <c r="BB374" s="454" t="s">
        <v>855</v>
      </c>
      <c r="BC374" s="456">
        <v>0.0</v>
      </c>
      <c r="BD374" s="454" t="s">
        <v>855</v>
      </c>
      <c r="BE374" s="456">
        <v>0.0</v>
      </c>
    </row>
    <row r="375">
      <c r="M375" s="226"/>
      <c r="N375" s="226"/>
      <c r="O375" s="226"/>
      <c r="P375" s="226"/>
      <c r="AN375" s="454" t="s">
        <v>856</v>
      </c>
      <c r="AO375" s="456">
        <v>0.0</v>
      </c>
      <c r="AP375" s="454" t="s">
        <v>856</v>
      </c>
      <c r="AQ375" s="456">
        <v>0.0</v>
      </c>
      <c r="AR375" s="454" t="s">
        <v>856</v>
      </c>
      <c r="AS375" s="456">
        <v>0.0</v>
      </c>
      <c r="AT375" s="454" t="s">
        <v>856</v>
      </c>
      <c r="AU375" s="456"/>
      <c r="AV375" s="454" t="s">
        <v>856</v>
      </c>
      <c r="AW375" s="456">
        <v>0.0</v>
      </c>
      <c r="AX375" s="454" t="s">
        <v>856</v>
      </c>
      <c r="AY375" s="456">
        <v>0.0</v>
      </c>
      <c r="AZ375" s="454" t="s">
        <v>856</v>
      </c>
      <c r="BA375" s="456">
        <v>0.0</v>
      </c>
      <c r="BB375" s="454" t="s">
        <v>856</v>
      </c>
      <c r="BC375" s="456">
        <v>0.0</v>
      </c>
      <c r="BD375" s="454" t="s">
        <v>856</v>
      </c>
      <c r="BE375" s="456">
        <v>0.0</v>
      </c>
    </row>
    <row r="376">
      <c r="M376" s="226"/>
      <c r="N376" s="226"/>
      <c r="O376" s="226"/>
      <c r="P376" s="226"/>
      <c r="AN376" s="454" t="s">
        <v>860</v>
      </c>
      <c r="AO376" s="456">
        <v>0.0</v>
      </c>
      <c r="AP376" s="454" t="s">
        <v>860</v>
      </c>
      <c r="AQ376" s="456">
        <v>0.0</v>
      </c>
      <c r="AR376" s="454" t="s">
        <v>860</v>
      </c>
      <c r="AS376" s="456">
        <v>0.0</v>
      </c>
      <c r="AT376" s="454" t="s">
        <v>860</v>
      </c>
      <c r="AU376" s="456"/>
      <c r="AV376" s="454" t="s">
        <v>860</v>
      </c>
      <c r="AW376" s="456">
        <v>0.0</v>
      </c>
      <c r="AX376" s="454" t="s">
        <v>860</v>
      </c>
      <c r="AY376" s="456">
        <v>0.0</v>
      </c>
      <c r="AZ376" s="454" t="s">
        <v>860</v>
      </c>
      <c r="BA376" s="456">
        <v>0.0</v>
      </c>
      <c r="BB376" s="454" t="s">
        <v>860</v>
      </c>
      <c r="BC376" s="456">
        <v>0.0</v>
      </c>
      <c r="BD376" s="454" t="s">
        <v>860</v>
      </c>
      <c r="BE376" s="456">
        <v>0.0</v>
      </c>
    </row>
    <row r="377">
      <c r="M377" s="226"/>
      <c r="N377" s="226"/>
      <c r="O377" s="226"/>
      <c r="P377" s="226"/>
      <c r="AN377" s="454" t="s">
        <v>862</v>
      </c>
      <c r="AO377" s="456">
        <v>0.0</v>
      </c>
      <c r="AP377" s="454" t="s">
        <v>862</v>
      </c>
      <c r="AQ377" s="456">
        <v>0.0</v>
      </c>
      <c r="AR377" s="454" t="s">
        <v>862</v>
      </c>
      <c r="AS377" s="456">
        <v>1.0</v>
      </c>
      <c r="AT377" s="454" t="s">
        <v>862</v>
      </c>
      <c r="AU377" s="456" t="s">
        <v>2335</v>
      </c>
      <c r="AV377" s="454" t="s">
        <v>862</v>
      </c>
      <c r="AW377" s="456">
        <v>0.0</v>
      </c>
      <c r="AX377" s="454" t="s">
        <v>862</v>
      </c>
      <c r="AY377" s="456">
        <v>0.0</v>
      </c>
      <c r="AZ377" s="454" t="s">
        <v>862</v>
      </c>
      <c r="BA377" s="456">
        <v>0.0</v>
      </c>
      <c r="BB377" s="454" t="s">
        <v>862</v>
      </c>
      <c r="BC377" s="456">
        <v>0.0</v>
      </c>
      <c r="BD377" s="454" t="s">
        <v>862</v>
      </c>
      <c r="BE377" s="456">
        <v>0.0</v>
      </c>
    </row>
    <row r="378">
      <c r="M378" s="226"/>
      <c r="N378" s="226"/>
      <c r="O378" s="226"/>
      <c r="P378" s="226"/>
      <c r="AN378" s="454" t="s">
        <v>863</v>
      </c>
      <c r="AO378" s="456">
        <v>0.0</v>
      </c>
      <c r="AP378" s="454" t="s">
        <v>863</v>
      </c>
      <c r="AQ378" s="456">
        <v>0.0</v>
      </c>
      <c r="AR378" s="454" t="s">
        <v>863</v>
      </c>
      <c r="AS378" s="456">
        <v>0.0</v>
      </c>
      <c r="AT378" s="454" t="s">
        <v>863</v>
      </c>
      <c r="AU378" s="456"/>
      <c r="AV378" s="454" t="s">
        <v>863</v>
      </c>
      <c r="AW378" s="456">
        <v>0.0</v>
      </c>
      <c r="AX378" s="454" t="s">
        <v>863</v>
      </c>
      <c r="AY378" s="456">
        <v>0.0</v>
      </c>
      <c r="AZ378" s="454" t="s">
        <v>863</v>
      </c>
      <c r="BA378" s="456">
        <v>0.0</v>
      </c>
      <c r="BB378" s="454" t="s">
        <v>863</v>
      </c>
      <c r="BC378" s="456">
        <v>0.0</v>
      </c>
      <c r="BD378" s="454" t="s">
        <v>863</v>
      </c>
      <c r="BE378" s="456">
        <v>0.0</v>
      </c>
    </row>
    <row r="379">
      <c r="M379" s="226"/>
      <c r="N379" s="226"/>
      <c r="O379" s="226"/>
      <c r="P379" s="226"/>
      <c r="AN379" s="454" t="s">
        <v>867</v>
      </c>
      <c r="AO379" s="456">
        <v>0.0</v>
      </c>
      <c r="AP379" s="454" t="s">
        <v>867</v>
      </c>
      <c r="AQ379" s="456">
        <v>0.0</v>
      </c>
      <c r="AR379" s="454" t="s">
        <v>867</v>
      </c>
      <c r="AS379" s="456">
        <v>0.0</v>
      </c>
      <c r="AT379" s="454" t="s">
        <v>867</v>
      </c>
      <c r="AU379" s="456"/>
      <c r="AV379" s="454" t="s">
        <v>867</v>
      </c>
      <c r="AW379" s="456">
        <v>0.0</v>
      </c>
      <c r="AX379" s="454" t="s">
        <v>867</v>
      </c>
      <c r="AY379" s="456">
        <v>0.0</v>
      </c>
      <c r="AZ379" s="454" t="s">
        <v>867</v>
      </c>
      <c r="BA379" s="456">
        <v>0.0</v>
      </c>
      <c r="BB379" s="454" t="s">
        <v>867</v>
      </c>
      <c r="BC379" s="456">
        <v>0.0</v>
      </c>
      <c r="BD379" s="454" t="s">
        <v>867</v>
      </c>
      <c r="BE379" s="456">
        <v>0.0</v>
      </c>
    </row>
    <row r="380">
      <c r="M380" s="226"/>
      <c r="N380" s="226"/>
      <c r="O380" s="226"/>
      <c r="P380" s="226"/>
      <c r="AN380" s="454" t="s">
        <v>864</v>
      </c>
      <c r="AO380" s="456">
        <v>0.0</v>
      </c>
      <c r="AP380" s="454" t="s">
        <v>864</v>
      </c>
      <c r="AQ380" s="537">
        <v>1.0</v>
      </c>
      <c r="AR380" s="454" t="s">
        <v>864</v>
      </c>
      <c r="AS380" s="457">
        <v>1.0</v>
      </c>
      <c r="AT380" s="454" t="s">
        <v>864</v>
      </c>
      <c r="AU380" s="457" t="s">
        <v>2237</v>
      </c>
      <c r="AV380" s="454" t="s">
        <v>864</v>
      </c>
      <c r="AW380" s="456">
        <v>0.0</v>
      </c>
      <c r="AX380" s="454" t="s">
        <v>864</v>
      </c>
      <c r="AY380" s="456">
        <v>0.0</v>
      </c>
      <c r="AZ380" s="454" t="s">
        <v>864</v>
      </c>
      <c r="BA380" s="456">
        <v>0.0</v>
      </c>
      <c r="BB380" s="454" t="s">
        <v>864</v>
      </c>
      <c r="BC380" s="456">
        <v>0.0</v>
      </c>
      <c r="BD380" s="454" t="s">
        <v>864</v>
      </c>
      <c r="BE380" s="456">
        <v>0.0</v>
      </c>
    </row>
    <row r="381">
      <c r="M381" s="226"/>
      <c r="N381" s="226"/>
      <c r="O381" s="226"/>
      <c r="P381" s="226"/>
      <c r="AN381" s="454" t="s">
        <v>866</v>
      </c>
      <c r="AO381" s="456">
        <v>1.0</v>
      </c>
      <c r="AP381" s="454" t="s">
        <v>866</v>
      </c>
      <c r="AQ381" s="537">
        <v>1.0</v>
      </c>
      <c r="AR381" s="454" t="s">
        <v>866</v>
      </c>
      <c r="AS381" s="457">
        <v>1.0</v>
      </c>
      <c r="AT381" s="454" t="s">
        <v>866</v>
      </c>
      <c r="AU381" s="457" t="s">
        <v>2255</v>
      </c>
      <c r="AV381" s="454" t="s">
        <v>866</v>
      </c>
      <c r="AW381" s="456">
        <v>0.0</v>
      </c>
      <c r="AX381" s="454" t="s">
        <v>866</v>
      </c>
      <c r="AY381" s="456">
        <v>0.0</v>
      </c>
      <c r="AZ381" s="454" t="s">
        <v>866</v>
      </c>
      <c r="BA381" s="456">
        <v>0.0</v>
      </c>
      <c r="BB381" s="454" t="s">
        <v>866</v>
      </c>
      <c r="BC381" s="456">
        <v>0.0</v>
      </c>
      <c r="BD381" s="454" t="s">
        <v>866</v>
      </c>
      <c r="BE381" s="456">
        <v>0.0</v>
      </c>
    </row>
    <row r="382">
      <c r="M382" s="226"/>
      <c r="N382" s="226"/>
      <c r="O382" s="226"/>
      <c r="P382" s="226"/>
      <c r="AN382" s="454" t="s">
        <v>868</v>
      </c>
      <c r="AO382" s="456">
        <v>0.0</v>
      </c>
      <c r="AP382" s="454" t="s">
        <v>868</v>
      </c>
      <c r="AQ382" s="537">
        <v>0.0</v>
      </c>
      <c r="AR382" s="454" t="s">
        <v>868</v>
      </c>
      <c r="AS382" s="457">
        <v>0.0</v>
      </c>
      <c r="AT382" s="454" t="s">
        <v>868</v>
      </c>
      <c r="AU382" s="457"/>
      <c r="AV382" s="454" t="s">
        <v>868</v>
      </c>
      <c r="AW382" s="456">
        <v>0.0</v>
      </c>
      <c r="AX382" s="454" t="s">
        <v>868</v>
      </c>
      <c r="AY382" s="456">
        <v>0.0</v>
      </c>
      <c r="AZ382" s="454" t="s">
        <v>868</v>
      </c>
      <c r="BA382" s="456">
        <v>0.0</v>
      </c>
      <c r="BB382" s="454" t="s">
        <v>868</v>
      </c>
      <c r="BC382" s="456">
        <v>0.0</v>
      </c>
      <c r="BD382" s="454" t="s">
        <v>868</v>
      </c>
      <c r="BE382" s="456">
        <v>0.0</v>
      </c>
    </row>
    <row r="383">
      <c r="M383" s="226"/>
      <c r="N383" s="226"/>
      <c r="O383" s="226"/>
      <c r="P383" s="226"/>
      <c r="AN383" s="454" t="s">
        <v>870</v>
      </c>
      <c r="AO383" s="456">
        <v>1.0</v>
      </c>
      <c r="AP383" s="454" t="s">
        <v>870</v>
      </c>
      <c r="AQ383" s="537">
        <v>1.0</v>
      </c>
      <c r="AR383" s="454" t="s">
        <v>870</v>
      </c>
      <c r="AS383" s="457">
        <v>1.0</v>
      </c>
      <c r="AT383" s="454" t="s">
        <v>870</v>
      </c>
      <c r="AU383" s="457" t="s">
        <v>2256</v>
      </c>
      <c r="AV383" s="454" t="s">
        <v>870</v>
      </c>
      <c r="AW383" s="456">
        <v>0.0</v>
      </c>
      <c r="AX383" s="454" t="s">
        <v>870</v>
      </c>
      <c r="AY383" s="456">
        <v>0.0</v>
      </c>
      <c r="AZ383" s="454" t="s">
        <v>870</v>
      </c>
      <c r="BA383" s="456">
        <v>0.0</v>
      </c>
      <c r="BB383" s="454" t="s">
        <v>870</v>
      </c>
      <c r="BC383" s="456">
        <v>0.0</v>
      </c>
      <c r="BD383" s="454" t="s">
        <v>870</v>
      </c>
      <c r="BE383" s="456">
        <v>0.0</v>
      </c>
    </row>
    <row r="384">
      <c r="M384" s="226"/>
      <c r="N384" s="226"/>
      <c r="O384" s="226"/>
      <c r="P384" s="226"/>
      <c r="AN384" s="454" t="s">
        <v>872</v>
      </c>
      <c r="AO384" s="456">
        <v>1.0</v>
      </c>
      <c r="AP384" s="454" t="s">
        <v>872</v>
      </c>
      <c r="AQ384" s="537">
        <v>0.0</v>
      </c>
      <c r="AR384" s="454" t="s">
        <v>872</v>
      </c>
      <c r="AS384" s="457">
        <v>0.0</v>
      </c>
      <c r="AT384" s="454" t="s">
        <v>872</v>
      </c>
      <c r="AU384" s="457" t="s">
        <v>2268</v>
      </c>
      <c r="AV384" s="454" t="s">
        <v>872</v>
      </c>
      <c r="AW384" s="456">
        <v>0.0</v>
      </c>
      <c r="AX384" s="454" t="s">
        <v>872</v>
      </c>
      <c r="AY384" s="456">
        <v>0.0</v>
      </c>
      <c r="AZ384" s="454" t="s">
        <v>872</v>
      </c>
      <c r="BA384" s="456">
        <v>2.0</v>
      </c>
      <c r="BB384" s="454" t="s">
        <v>872</v>
      </c>
      <c r="BC384" s="456">
        <v>0.0</v>
      </c>
      <c r="BD384" s="454" t="s">
        <v>872</v>
      </c>
      <c r="BE384" s="456">
        <v>0.0</v>
      </c>
    </row>
    <row r="385">
      <c r="M385" s="226"/>
      <c r="N385" s="226"/>
      <c r="O385" s="226"/>
      <c r="P385" s="226"/>
      <c r="AN385" s="454" t="s">
        <v>874</v>
      </c>
      <c r="AO385" s="456">
        <v>0.0</v>
      </c>
      <c r="AP385" s="454" t="s">
        <v>874</v>
      </c>
      <c r="AQ385" s="537">
        <v>0.0</v>
      </c>
      <c r="AR385" s="454" t="s">
        <v>874</v>
      </c>
      <c r="AS385" s="457">
        <v>0.0</v>
      </c>
      <c r="AT385" s="454" t="s">
        <v>874</v>
      </c>
      <c r="AU385" s="457"/>
      <c r="AV385" s="454" t="s">
        <v>874</v>
      </c>
      <c r="AW385" s="456">
        <v>0.0</v>
      </c>
      <c r="AX385" s="454" t="s">
        <v>874</v>
      </c>
      <c r="AY385" s="456">
        <v>0.0</v>
      </c>
      <c r="AZ385" s="454" t="s">
        <v>874</v>
      </c>
      <c r="BA385" s="456">
        <v>0.0</v>
      </c>
      <c r="BB385" s="454" t="s">
        <v>874</v>
      </c>
      <c r="BC385" s="456">
        <v>0.0</v>
      </c>
      <c r="BD385" s="454" t="s">
        <v>874</v>
      </c>
      <c r="BE385" s="456">
        <v>0.0</v>
      </c>
    </row>
    <row r="386">
      <c r="M386" s="226"/>
      <c r="N386" s="226"/>
      <c r="O386" s="226"/>
      <c r="P386" s="226"/>
    </row>
    <row r="387">
      <c r="M387" s="226"/>
      <c r="N387" s="226"/>
      <c r="O387" s="226"/>
      <c r="P387" s="226"/>
    </row>
    <row r="388">
      <c r="M388" s="226"/>
      <c r="N388" s="226"/>
      <c r="O388" s="226"/>
      <c r="P388" s="226"/>
      <c r="AN388" s="623" t="s">
        <v>2172</v>
      </c>
      <c r="AO388" s="449" t="s">
        <v>2346</v>
      </c>
      <c r="AP388" s="623" t="s">
        <v>2172</v>
      </c>
      <c r="AQ388" s="449" t="s">
        <v>2347</v>
      </c>
      <c r="AR388" s="623" t="s">
        <v>2172</v>
      </c>
      <c r="AS388" s="449" t="s">
        <v>2348</v>
      </c>
      <c r="AT388" s="623" t="s">
        <v>2172</v>
      </c>
      <c r="AU388" s="449" t="s">
        <v>2349</v>
      </c>
      <c r="AV388" s="623" t="s">
        <v>2172</v>
      </c>
      <c r="AW388" s="449" t="s">
        <v>2350</v>
      </c>
      <c r="AX388" s="623" t="s">
        <v>2172</v>
      </c>
      <c r="AY388" s="449" t="s">
        <v>2351</v>
      </c>
      <c r="AZ388" s="623" t="s">
        <v>2172</v>
      </c>
      <c r="BA388" s="449" t="s">
        <v>2352</v>
      </c>
      <c r="BB388" s="623" t="s">
        <v>2172</v>
      </c>
      <c r="BC388" s="449" t="s">
        <v>2353</v>
      </c>
      <c r="BD388" s="623" t="s">
        <v>2172</v>
      </c>
      <c r="BE388" s="449" t="s">
        <v>2354</v>
      </c>
    </row>
    <row r="389">
      <c r="M389" s="226"/>
      <c r="N389" s="226"/>
      <c r="O389" s="226"/>
      <c r="P389" s="226"/>
      <c r="AN389" s="640" t="s">
        <v>884</v>
      </c>
      <c r="AO389" s="641">
        <v>0.0</v>
      </c>
      <c r="AP389" s="640" t="s">
        <v>884</v>
      </c>
      <c r="AQ389" s="641">
        <v>1.0</v>
      </c>
      <c r="AR389" s="640" t="s">
        <v>884</v>
      </c>
      <c r="AS389" s="641">
        <v>0.0</v>
      </c>
      <c r="AT389" s="640" t="s">
        <v>884</v>
      </c>
      <c r="AU389" s="641" t="s">
        <v>2335</v>
      </c>
      <c r="AV389" s="640" t="s">
        <v>884</v>
      </c>
      <c r="AW389" s="641">
        <v>2.0</v>
      </c>
      <c r="AX389" s="640" t="s">
        <v>884</v>
      </c>
      <c r="AY389" s="641">
        <v>0.0</v>
      </c>
      <c r="AZ389" s="640" t="s">
        <v>884</v>
      </c>
      <c r="BA389" s="641">
        <v>0.0</v>
      </c>
      <c r="BB389" s="640" t="s">
        <v>884</v>
      </c>
      <c r="BC389" s="641">
        <v>0.0</v>
      </c>
      <c r="BD389" s="640" t="s">
        <v>884</v>
      </c>
      <c r="BE389" s="641">
        <v>0.0</v>
      </c>
    </row>
    <row r="390">
      <c r="M390" s="226"/>
      <c r="N390" s="226"/>
      <c r="O390" s="226"/>
      <c r="P390" s="226"/>
      <c r="AN390" s="640" t="s">
        <v>885</v>
      </c>
      <c r="AO390" s="641">
        <v>0.0</v>
      </c>
      <c r="AP390" s="640" t="s">
        <v>885</v>
      </c>
      <c r="AQ390" s="641">
        <v>2.0</v>
      </c>
      <c r="AR390" s="640" t="s">
        <v>885</v>
      </c>
      <c r="AS390" s="641">
        <v>0.0</v>
      </c>
      <c r="AT390" s="640" t="s">
        <v>885</v>
      </c>
      <c r="AU390" s="641" t="s">
        <v>2237</v>
      </c>
      <c r="AV390" s="640" t="s">
        <v>885</v>
      </c>
      <c r="AW390" s="641">
        <v>3.0</v>
      </c>
      <c r="AX390" s="640" t="s">
        <v>885</v>
      </c>
      <c r="AY390" s="641">
        <v>0.0</v>
      </c>
      <c r="AZ390" s="640" t="s">
        <v>885</v>
      </c>
      <c r="BA390" s="641">
        <v>0.0</v>
      </c>
      <c r="BB390" s="640" t="s">
        <v>885</v>
      </c>
      <c r="BC390" s="641">
        <v>0.0</v>
      </c>
      <c r="BD390" s="640" t="s">
        <v>885</v>
      </c>
      <c r="BE390" s="641">
        <v>0.0</v>
      </c>
    </row>
    <row r="391">
      <c r="M391" s="226"/>
      <c r="N391" s="226"/>
      <c r="O391" s="226"/>
      <c r="P391" s="226"/>
      <c r="AN391" s="640" t="s">
        <v>2180</v>
      </c>
      <c r="AO391" s="641">
        <v>1.0</v>
      </c>
      <c r="AP391" s="640" t="s">
        <v>2180</v>
      </c>
      <c r="AQ391" s="641">
        <v>1.0</v>
      </c>
      <c r="AR391" s="640" t="s">
        <v>2180</v>
      </c>
      <c r="AS391" s="641">
        <v>0.0</v>
      </c>
      <c r="AT391" s="640" t="s">
        <v>2180</v>
      </c>
      <c r="AU391" s="641" t="s">
        <v>2238</v>
      </c>
      <c r="AV391" s="640" t="s">
        <v>2180</v>
      </c>
      <c r="AW391" s="641">
        <v>0.0</v>
      </c>
      <c r="AX391" s="640" t="s">
        <v>2180</v>
      </c>
      <c r="AY391" s="641">
        <v>0.0</v>
      </c>
      <c r="AZ391" s="640" t="s">
        <v>2180</v>
      </c>
      <c r="BA391" s="641">
        <v>3.0</v>
      </c>
      <c r="BB391" s="640" t="s">
        <v>2180</v>
      </c>
      <c r="BC391" s="641">
        <v>0.0</v>
      </c>
      <c r="BD391" s="640" t="s">
        <v>2180</v>
      </c>
      <c r="BE391" s="641">
        <v>0.0</v>
      </c>
    </row>
    <row r="392">
      <c r="M392" s="226"/>
      <c r="N392" s="226"/>
      <c r="O392" s="226"/>
      <c r="P392" s="226"/>
      <c r="AN392" s="640" t="s">
        <v>887</v>
      </c>
      <c r="AO392" s="641">
        <v>0.0</v>
      </c>
      <c r="AP392" s="640" t="s">
        <v>887</v>
      </c>
      <c r="AQ392" s="490">
        <v>0.0</v>
      </c>
      <c r="AR392" s="640" t="s">
        <v>887</v>
      </c>
      <c r="AS392" s="643">
        <v>0.0</v>
      </c>
      <c r="AT392" s="640" t="s">
        <v>887</v>
      </c>
      <c r="AU392" s="643"/>
      <c r="AV392" s="640" t="s">
        <v>887</v>
      </c>
      <c r="AW392" s="641">
        <v>0.0</v>
      </c>
      <c r="AX392" s="640" t="s">
        <v>887</v>
      </c>
      <c r="AY392" s="641">
        <v>0.0</v>
      </c>
      <c r="AZ392" s="640" t="s">
        <v>887</v>
      </c>
      <c r="BA392" s="641">
        <v>0.0</v>
      </c>
      <c r="BB392" s="640" t="s">
        <v>887</v>
      </c>
      <c r="BC392" s="641">
        <v>0.0</v>
      </c>
      <c r="BD392" s="640" t="s">
        <v>887</v>
      </c>
      <c r="BE392" s="641">
        <v>0.0</v>
      </c>
    </row>
    <row r="393">
      <c r="M393" s="226"/>
      <c r="N393" s="226"/>
      <c r="O393" s="226"/>
      <c r="P393" s="226"/>
      <c r="AN393" s="640" t="s">
        <v>2181</v>
      </c>
      <c r="AO393" s="641">
        <v>1.0</v>
      </c>
      <c r="AP393" s="640" t="s">
        <v>2181</v>
      </c>
      <c r="AQ393" s="490">
        <v>0.0</v>
      </c>
      <c r="AR393" s="640" t="s">
        <v>2181</v>
      </c>
      <c r="AS393" s="643">
        <v>1.0</v>
      </c>
      <c r="AT393" s="640" t="s">
        <v>2181</v>
      </c>
      <c r="AU393" s="643" t="s">
        <v>832</v>
      </c>
      <c r="AV393" s="640" t="s">
        <v>2181</v>
      </c>
      <c r="AW393" s="641">
        <v>0.0</v>
      </c>
      <c r="AX393" s="640" t="s">
        <v>2181</v>
      </c>
      <c r="AY393" s="641">
        <v>0.0</v>
      </c>
      <c r="AZ393" s="640" t="s">
        <v>2181</v>
      </c>
      <c r="BA393" s="641">
        <v>0.0</v>
      </c>
      <c r="BB393" s="640" t="s">
        <v>2181</v>
      </c>
      <c r="BC393" s="641">
        <v>0.0</v>
      </c>
      <c r="BD393" s="640" t="s">
        <v>2181</v>
      </c>
      <c r="BE393" s="641">
        <v>0.0</v>
      </c>
    </row>
    <row r="394">
      <c r="M394" s="226"/>
      <c r="N394" s="226"/>
      <c r="O394" s="226"/>
      <c r="P394" s="226"/>
      <c r="AN394" s="640" t="s">
        <v>891</v>
      </c>
      <c r="AO394" s="641">
        <v>0.0</v>
      </c>
      <c r="AP394" s="640" t="s">
        <v>891</v>
      </c>
      <c r="AQ394" s="490">
        <v>0.0</v>
      </c>
      <c r="AR394" s="640" t="s">
        <v>891</v>
      </c>
      <c r="AS394" s="643">
        <v>0.0</v>
      </c>
      <c r="AT394" s="640" t="s">
        <v>891</v>
      </c>
      <c r="AU394" s="643"/>
      <c r="AV394" s="640" t="s">
        <v>891</v>
      </c>
      <c r="AW394" s="641">
        <v>0.0</v>
      </c>
      <c r="AX394" s="640" t="s">
        <v>891</v>
      </c>
      <c r="AY394" s="641">
        <v>0.0</v>
      </c>
      <c r="AZ394" s="640" t="s">
        <v>891</v>
      </c>
      <c r="BA394" s="641">
        <v>0.0</v>
      </c>
      <c r="BB394" s="640" t="s">
        <v>891</v>
      </c>
      <c r="BC394" s="641">
        <v>0.0</v>
      </c>
      <c r="BD394" s="640" t="s">
        <v>891</v>
      </c>
      <c r="BE394" s="641">
        <v>0.0</v>
      </c>
    </row>
    <row r="395">
      <c r="M395" s="226"/>
      <c r="N395" s="226"/>
      <c r="O395" s="226"/>
      <c r="P395" s="226"/>
      <c r="AN395" s="640" t="s">
        <v>893</v>
      </c>
      <c r="AO395" s="641">
        <v>1.0</v>
      </c>
      <c r="AP395" s="640" t="s">
        <v>893</v>
      </c>
      <c r="AQ395" s="490">
        <v>0.0</v>
      </c>
      <c r="AR395" s="640" t="s">
        <v>893</v>
      </c>
      <c r="AS395" s="643">
        <v>1.0</v>
      </c>
      <c r="AT395" s="640" t="s">
        <v>893</v>
      </c>
      <c r="AU395" s="643" t="s">
        <v>2268</v>
      </c>
      <c r="AV395" s="640" t="s">
        <v>893</v>
      </c>
      <c r="AW395" s="641">
        <v>0.0</v>
      </c>
      <c r="AX395" s="640" t="s">
        <v>893</v>
      </c>
      <c r="AY395" s="641">
        <v>0.0</v>
      </c>
      <c r="AZ395" s="640" t="s">
        <v>893</v>
      </c>
      <c r="BA395" s="641">
        <v>0.0</v>
      </c>
      <c r="BB395" s="640" t="s">
        <v>893</v>
      </c>
      <c r="BC395" s="641">
        <v>0.0</v>
      </c>
      <c r="BD395" s="640" t="s">
        <v>893</v>
      </c>
      <c r="BE395" s="641">
        <v>0.0</v>
      </c>
    </row>
    <row r="396">
      <c r="M396" s="226"/>
      <c r="N396" s="226"/>
      <c r="O396" s="226"/>
      <c r="P396" s="226"/>
      <c r="AN396" s="640" t="s">
        <v>896</v>
      </c>
      <c r="AO396" s="641">
        <v>1.0</v>
      </c>
      <c r="AP396" s="640" t="s">
        <v>896</v>
      </c>
      <c r="AQ396" s="490">
        <v>1.0</v>
      </c>
      <c r="AR396" s="640" t="s">
        <v>896</v>
      </c>
      <c r="AS396" s="643">
        <v>0.0</v>
      </c>
      <c r="AT396" s="640" t="s">
        <v>896</v>
      </c>
      <c r="AU396" s="643" t="s">
        <v>2236</v>
      </c>
      <c r="AV396" s="640" t="s">
        <v>896</v>
      </c>
      <c r="AW396" s="641">
        <v>0.0</v>
      </c>
      <c r="AX396" s="640" t="s">
        <v>896</v>
      </c>
      <c r="AY396" s="641">
        <v>3.0</v>
      </c>
      <c r="AZ396" s="640" t="s">
        <v>896</v>
      </c>
      <c r="BA396" s="641">
        <v>0.0</v>
      </c>
      <c r="BB396" s="640" t="s">
        <v>896</v>
      </c>
      <c r="BC396" s="641">
        <v>0.0</v>
      </c>
      <c r="BD396" s="640" t="s">
        <v>896</v>
      </c>
      <c r="BE396" s="641">
        <v>0.0</v>
      </c>
    </row>
    <row r="397">
      <c r="M397" s="226"/>
      <c r="N397" s="226"/>
      <c r="O397" s="226"/>
      <c r="P397" s="226"/>
      <c r="AN397" s="640" t="s">
        <v>897</v>
      </c>
      <c r="AO397" s="641">
        <v>0.0</v>
      </c>
      <c r="AP397" s="640" t="s">
        <v>897</v>
      </c>
      <c r="AQ397" s="490">
        <v>0.0</v>
      </c>
      <c r="AR397" s="640" t="s">
        <v>897</v>
      </c>
      <c r="AS397" s="643">
        <v>0.0</v>
      </c>
      <c r="AT397" s="640" t="s">
        <v>897</v>
      </c>
      <c r="AU397" s="643"/>
      <c r="AV397" s="640" t="s">
        <v>897</v>
      </c>
      <c r="AW397" s="641">
        <v>0.0</v>
      </c>
      <c r="AX397" s="640" t="s">
        <v>897</v>
      </c>
      <c r="AY397" s="641">
        <v>0.0</v>
      </c>
      <c r="AZ397" s="640" t="s">
        <v>897</v>
      </c>
      <c r="BA397" s="641">
        <v>0.0</v>
      </c>
      <c r="BB397" s="640" t="s">
        <v>897</v>
      </c>
      <c r="BC397" s="641">
        <v>0.0</v>
      </c>
      <c r="BD397" s="640" t="s">
        <v>897</v>
      </c>
      <c r="BE397" s="641">
        <v>0.0</v>
      </c>
    </row>
    <row r="398">
      <c r="M398" s="226"/>
      <c r="N398" s="226"/>
      <c r="O398" s="226"/>
      <c r="P398" s="226"/>
      <c r="AN398" s="640" t="s">
        <v>899</v>
      </c>
      <c r="AO398" s="641">
        <v>0.0</v>
      </c>
      <c r="AP398" s="640" t="s">
        <v>899</v>
      </c>
      <c r="AQ398" s="490">
        <v>0.0</v>
      </c>
      <c r="AR398" s="640" t="s">
        <v>899</v>
      </c>
      <c r="AS398" s="643">
        <v>0.0</v>
      </c>
      <c r="AT398" s="640" t="s">
        <v>899</v>
      </c>
      <c r="AU398" s="643"/>
      <c r="AV398" s="640" t="s">
        <v>899</v>
      </c>
      <c r="AW398" s="641">
        <v>0.0</v>
      </c>
      <c r="AX398" s="640" t="s">
        <v>899</v>
      </c>
      <c r="AY398" s="641">
        <v>0.0</v>
      </c>
      <c r="AZ398" s="640" t="s">
        <v>899</v>
      </c>
      <c r="BA398" s="641">
        <v>0.0</v>
      </c>
      <c r="BB398" s="640" t="s">
        <v>899</v>
      </c>
      <c r="BC398" s="641">
        <v>0.0</v>
      </c>
      <c r="BD398" s="640" t="s">
        <v>899</v>
      </c>
      <c r="BE398" s="641">
        <v>0.0</v>
      </c>
    </row>
    <row r="399">
      <c r="M399" s="226"/>
      <c r="N399" s="226"/>
      <c r="O399" s="226"/>
      <c r="P399" s="226"/>
    </row>
    <row r="400">
      <c r="M400" s="226"/>
      <c r="N400" s="226"/>
      <c r="O400" s="226"/>
      <c r="P400" s="226"/>
    </row>
    <row r="401">
      <c r="M401" s="226"/>
      <c r="N401" s="226"/>
      <c r="O401" s="226"/>
      <c r="P401" s="226"/>
      <c r="AN401" s="449" t="s">
        <v>2182</v>
      </c>
      <c r="AO401" s="449" t="s">
        <v>2355</v>
      </c>
      <c r="AP401" s="449" t="s">
        <v>2182</v>
      </c>
      <c r="AQ401" s="449" t="s">
        <v>2356</v>
      </c>
      <c r="AR401" s="449" t="s">
        <v>2182</v>
      </c>
      <c r="AS401" s="449" t="s">
        <v>2357</v>
      </c>
      <c r="AT401" s="449" t="s">
        <v>2182</v>
      </c>
      <c r="AU401" s="449" t="s">
        <v>2358</v>
      </c>
      <c r="AV401" s="449" t="s">
        <v>2182</v>
      </c>
      <c r="AW401" s="449" t="s">
        <v>2359</v>
      </c>
      <c r="AX401" s="449" t="s">
        <v>2182</v>
      </c>
      <c r="AY401" s="449" t="s">
        <v>2360</v>
      </c>
      <c r="AZ401" s="449" t="s">
        <v>2182</v>
      </c>
      <c r="BA401" s="449" t="s">
        <v>2361</v>
      </c>
      <c r="BB401" s="449" t="s">
        <v>2182</v>
      </c>
      <c r="BC401" s="449" t="s">
        <v>2362</v>
      </c>
      <c r="BD401" s="449" t="s">
        <v>2182</v>
      </c>
      <c r="BE401" s="449" t="s">
        <v>2363</v>
      </c>
    </row>
    <row r="402">
      <c r="M402" s="226"/>
      <c r="N402" s="226"/>
      <c r="O402" s="226"/>
      <c r="P402" s="226"/>
      <c r="AN402" s="454" t="s">
        <v>906</v>
      </c>
      <c r="AO402" s="456">
        <v>0.0</v>
      </c>
      <c r="AP402" s="454" t="s">
        <v>906</v>
      </c>
      <c r="AQ402" s="456">
        <v>0.0</v>
      </c>
      <c r="AR402" s="454" t="s">
        <v>906</v>
      </c>
      <c r="AS402" s="456">
        <v>0.0</v>
      </c>
      <c r="AT402" s="454" t="s">
        <v>906</v>
      </c>
      <c r="AU402" s="456"/>
      <c r="AV402" s="454" t="s">
        <v>906</v>
      </c>
      <c r="AW402" s="456">
        <v>0.0</v>
      </c>
      <c r="AX402" s="454" t="s">
        <v>906</v>
      </c>
      <c r="AY402" s="456">
        <v>0.0</v>
      </c>
      <c r="AZ402" s="454" t="s">
        <v>906</v>
      </c>
      <c r="BA402" s="456">
        <v>0.0</v>
      </c>
      <c r="BB402" s="454" t="s">
        <v>906</v>
      </c>
      <c r="BC402" s="456">
        <v>0.0</v>
      </c>
      <c r="BD402" s="454" t="s">
        <v>906</v>
      </c>
      <c r="BE402" s="456">
        <v>0.0</v>
      </c>
    </row>
    <row r="403">
      <c r="M403" s="226"/>
      <c r="N403" s="226"/>
      <c r="O403" s="226"/>
      <c r="P403" s="226"/>
      <c r="AN403" s="454" t="s">
        <v>907</v>
      </c>
      <c r="AO403" s="456">
        <v>0.0</v>
      </c>
      <c r="AP403" s="454" t="s">
        <v>907</v>
      </c>
      <c r="AQ403" s="456">
        <v>0.0</v>
      </c>
      <c r="AR403" s="454" t="s">
        <v>907</v>
      </c>
      <c r="AS403" s="456">
        <v>0.0</v>
      </c>
      <c r="AT403" s="454" t="s">
        <v>907</v>
      </c>
      <c r="AU403" s="456"/>
      <c r="AV403" s="454" t="s">
        <v>907</v>
      </c>
      <c r="AW403" s="456">
        <v>0.0</v>
      </c>
      <c r="AX403" s="454" t="s">
        <v>907</v>
      </c>
      <c r="AY403" s="456">
        <v>0.0</v>
      </c>
      <c r="AZ403" s="454" t="s">
        <v>907</v>
      </c>
      <c r="BA403" s="456">
        <v>0.0</v>
      </c>
      <c r="BB403" s="454" t="s">
        <v>907</v>
      </c>
      <c r="BC403" s="456">
        <v>0.0</v>
      </c>
      <c r="BD403" s="454" t="s">
        <v>907</v>
      </c>
      <c r="BE403" s="456">
        <v>0.0</v>
      </c>
    </row>
    <row r="404">
      <c r="M404" s="226"/>
      <c r="N404" s="226"/>
      <c r="O404" s="226"/>
      <c r="P404" s="226"/>
      <c r="AN404" s="454" t="s">
        <v>908</v>
      </c>
      <c r="AO404" s="456">
        <v>0.0</v>
      </c>
      <c r="AP404" s="454" t="s">
        <v>908</v>
      </c>
      <c r="AQ404" s="456">
        <v>0.0</v>
      </c>
      <c r="AR404" s="454" t="s">
        <v>908</v>
      </c>
      <c r="AS404" s="456">
        <v>0.0</v>
      </c>
      <c r="AT404" s="454" t="s">
        <v>908</v>
      </c>
      <c r="AU404" s="456"/>
      <c r="AV404" s="454" t="s">
        <v>908</v>
      </c>
      <c r="AW404" s="456">
        <v>0.0</v>
      </c>
      <c r="AX404" s="454" t="s">
        <v>908</v>
      </c>
      <c r="AY404" s="456">
        <v>0.0</v>
      </c>
      <c r="AZ404" s="454" t="s">
        <v>908</v>
      </c>
      <c r="BA404" s="456">
        <v>0.0</v>
      </c>
      <c r="BB404" s="454" t="s">
        <v>908</v>
      </c>
      <c r="BC404" s="456">
        <v>0.0</v>
      </c>
      <c r="BD404" s="454" t="s">
        <v>908</v>
      </c>
      <c r="BE404" s="456">
        <v>0.0</v>
      </c>
    </row>
    <row r="405">
      <c r="M405" s="226"/>
      <c r="N405" s="226"/>
      <c r="O405" s="226"/>
      <c r="P405" s="226"/>
      <c r="AN405" s="454" t="s">
        <v>910</v>
      </c>
      <c r="AO405" s="456">
        <v>0.0</v>
      </c>
      <c r="AP405" s="454" t="s">
        <v>910</v>
      </c>
      <c r="AQ405" s="456">
        <v>0.0</v>
      </c>
      <c r="AR405" s="454" t="s">
        <v>910</v>
      </c>
      <c r="AS405" s="456">
        <v>0.0</v>
      </c>
      <c r="AT405" s="454" t="s">
        <v>910</v>
      </c>
      <c r="AU405" s="456"/>
      <c r="AV405" s="454" t="s">
        <v>910</v>
      </c>
      <c r="AW405" s="456">
        <v>0.0</v>
      </c>
      <c r="AX405" s="454" t="s">
        <v>910</v>
      </c>
      <c r="AY405" s="456">
        <v>0.0</v>
      </c>
      <c r="AZ405" s="454" t="s">
        <v>910</v>
      </c>
      <c r="BA405" s="456">
        <v>0.0</v>
      </c>
      <c r="BB405" s="454" t="s">
        <v>910</v>
      </c>
      <c r="BC405" s="456">
        <v>0.0</v>
      </c>
      <c r="BD405" s="454" t="s">
        <v>910</v>
      </c>
      <c r="BE405" s="456">
        <v>0.0</v>
      </c>
    </row>
    <row r="406">
      <c r="M406" s="226"/>
      <c r="N406" s="226"/>
      <c r="O406" s="226"/>
      <c r="P406" s="226"/>
      <c r="AN406" s="454" t="s">
        <v>912</v>
      </c>
      <c r="AO406" s="456">
        <v>0.0</v>
      </c>
      <c r="AP406" s="454" t="s">
        <v>912</v>
      </c>
      <c r="AQ406" s="456">
        <v>0.0</v>
      </c>
      <c r="AR406" s="454" t="s">
        <v>912</v>
      </c>
      <c r="AS406" s="456">
        <v>0.0</v>
      </c>
      <c r="AT406" s="454" t="s">
        <v>912</v>
      </c>
      <c r="AU406" s="456"/>
      <c r="AV406" s="454" t="s">
        <v>912</v>
      </c>
      <c r="AW406" s="456">
        <v>0.0</v>
      </c>
      <c r="AX406" s="454" t="s">
        <v>912</v>
      </c>
      <c r="AY406" s="456">
        <v>0.0</v>
      </c>
      <c r="AZ406" s="454" t="s">
        <v>912</v>
      </c>
      <c r="BA406" s="456">
        <v>0.0</v>
      </c>
      <c r="BB406" s="454" t="s">
        <v>912</v>
      </c>
      <c r="BC406" s="456">
        <v>0.0</v>
      </c>
      <c r="BD406" s="454" t="s">
        <v>912</v>
      </c>
      <c r="BE406" s="456">
        <v>0.0</v>
      </c>
    </row>
    <row r="407">
      <c r="M407" s="226"/>
      <c r="N407" s="226"/>
      <c r="O407" s="226"/>
      <c r="P407" s="226"/>
      <c r="AN407" s="454" t="s">
        <v>914</v>
      </c>
      <c r="AO407" s="456">
        <v>0.0</v>
      </c>
      <c r="AP407" s="454" t="s">
        <v>914</v>
      </c>
      <c r="AQ407" s="456">
        <v>0.0</v>
      </c>
      <c r="AR407" s="454" t="s">
        <v>914</v>
      </c>
      <c r="AS407" s="456">
        <v>0.0</v>
      </c>
      <c r="AT407" s="454" t="s">
        <v>914</v>
      </c>
      <c r="AU407" s="456"/>
      <c r="AV407" s="454" t="s">
        <v>914</v>
      </c>
      <c r="AW407" s="456">
        <v>0.0</v>
      </c>
      <c r="AX407" s="454" t="s">
        <v>914</v>
      </c>
      <c r="AY407" s="456">
        <v>0.0</v>
      </c>
      <c r="AZ407" s="454" t="s">
        <v>914</v>
      </c>
      <c r="BA407" s="456">
        <v>0.0</v>
      </c>
      <c r="BB407" s="454" t="s">
        <v>914</v>
      </c>
      <c r="BC407" s="456">
        <v>0.0</v>
      </c>
      <c r="BD407" s="454" t="s">
        <v>914</v>
      </c>
      <c r="BE407" s="456">
        <v>0.0</v>
      </c>
    </row>
    <row r="408">
      <c r="M408" s="226"/>
      <c r="N408" s="226"/>
      <c r="O408" s="226"/>
      <c r="P408" s="226"/>
      <c r="AN408" s="454" t="s">
        <v>915</v>
      </c>
      <c r="AO408" s="456">
        <v>0.0</v>
      </c>
      <c r="AP408" s="454" t="s">
        <v>915</v>
      </c>
      <c r="AQ408" s="456">
        <v>0.0</v>
      </c>
      <c r="AR408" s="454" t="s">
        <v>915</v>
      </c>
      <c r="AS408" s="456">
        <v>0.0</v>
      </c>
      <c r="AT408" s="454" t="s">
        <v>915</v>
      </c>
      <c r="AU408" s="456"/>
      <c r="AV408" s="454" t="s">
        <v>915</v>
      </c>
      <c r="AW408" s="456">
        <v>0.0</v>
      </c>
      <c r="AX408" s="454" t="s">
        <v>915</v>
      </c>
      <c r="AY408" s="456">
        <v>0.0</v>
      </c>
      <c r="AZ408" s="454" t="s">
        <v>915</v>
      </c>
      <c r="BA408" s="456">
        <v>0.0</v>
      </c>
      <c r="BB408" s="454" t="s">
        <v>915</v>
      </c>
      <c r="BC408" s="456">
        <v>0.0</v>
      </c>
      <c r="BD408" s="454" t="s">
        <v>915</v>
      </c>
      <c r="BE408" s="456">
        <v>0.0</v>
      </c>
    </row>
    <row r="409">
      <c r="M409" s="226"/>
      <c r="N409" s="226"/>
      <c r="O409" s="226"/>
      <c r="P409" s="226"/>
      <c r="AN409" s="454" t="s">
        <v>917</v>
      </c>
      <c r="AO409" s="456">
        <v>0.0</v>
      </c>
      <c r="AP409" s="454" t="s">
        <v>917</v>
      </c>
      <c r="AQ409" s="456">
        <v>0.0</v>
      </c>
      <c r="AR409" s="454" t="s">
        <v>917</v>
      </c>
      <c r="AS409" s="456">
        <v>0.0</v>
      </c>
      <c r="AT409" s="454" t="s">
        <v>917</v>
      </c>
      <c r="AU409" s="456"/>
      <c r="AV409" s="454" t="s">
        <v>917</v>
      </c>
      <c r="AW409" s="456">
        <v>0.0</v>
      </c>
      <c r="AX409" s="454" t="s">
        <v>917</v>
      </c>
      <c r="AY409" s="456">
        <v>0.0</v>
      </c>
      <c r="AZ409" s="454" t="s">
        <v>917</v>
      </c>
      <c r="BA409" s="456">
        <v>0.0</v>
      </c>
      <c r="BB409" s="454" t="s">
        <v>917</v>
      </c>
      <c r="BC409" s="456">
        <v>0.0</v>
      </c>
      <c r="BD409" s="454" t="s">
        <v>917</v>
      </c>
      <c r="BE409" s="456">
        <v>0.0</v>
      </c>
    </row>
    <row r="410">
      <c r="M410" s="226"/>
      <c r="N410" s="226"/>
      <c r="O410" s="226"/>
      <c r="P410" s="226"/>
      <c r="AN410" s="454" t="s">
        <v>918</v>
      </c>
      <c r="AO410" s="456">
        <v>0.0</v>
      </c>
      <c r="AP410" s="454" t="s">
        <v>918</v>
      </c>
      <c r="AQ410" s="456">
        <v>0.0</v>
      </c>
      <c r="AR410" s="454" t="s">
        <v>918</v>
      </c>
      <c r="AS410" s="456">
        <v>0.0</v>
      </c>
      <c r="AT410" s="454" t="s">
        <v>918</v>
      </c>
      <c r="AU410" s="456"/>
      <c r="AV410" s="454" t="s">
        <v>918</v>
      </c>
      <c r="AW410" s="456">
        <v>0.0</v>
      </c>
      <c r="AX410" s="454" t="s">
        <v>918</v>
      </c>
      <c r="AY410" s="456">
        <v>0.0</v>
      </c>
      <c r="AZ410" s="454" t="s">
        <v>918</v>
      </c>
      <c r="BA410" s="456">
        <v>0.0</v>
      </c>
      <c r="BB410" s="454" t="s">
        <v>918</v>
      </c>
      <c r="BC410" s="456">
        <v>0.0</v>
      </c>
      <c r="BD410" s="454" t="s">
        <v>918</v>
      </c>
      <c r="BE410" s="456">
        <v>0.0</v>
      </c>
    </row>
    <row r="411">
      <c r="M411" s="226"/>
      <c r="N411" s="226"/>
      <c r="O411" s="226"/>
      <c r="P411" s="226"/>
      <c r="AN411" s="454" t="s">
        <v>921</v>
      </c>
      <c r="AO411" s="456">
        <v>0.0</v>
      </c>
      <c r="AP411" s="454" t="s">
        <v>921</v>
      </c>
      <c r="AQ411" s="450">
        <v>0.0</v>
      </c>
      <c r="AR411" s="454" t="s">
        <v>921</v>
      </c>
      <c r="AS411" s="457">
        <v>0.0</v>
      </c>
      <c r="AT411" s="454" t="s">
        <v>921</v>
      </c>
      <c r="AU411" s="457"/>
      <c r="AV411" s="454" t="s">
        <v>921</v>
      </c>
      <c r="AW411" s="456">
        <v>0.0</v>
      </c>
      <c r="AX411" s="454" t="s">
        <v>921</v>
      </c>
      <c r="AY411" s="456">
        <v>0.0</v>
      </c>
      <c r="AZ411" s="454" t="s">
        <v>921</v>
      </c>
      <c r="BA411" s="456">
        <v>0.0</v>
      </c>
      <c r="BB411" s="454" t="s">
        <v>921</v>
      </c>
      <c r="BC411" s="456">
        <v>0.0</v>
      </c>
      <c r="BD411" s="454" t="s">
        <v>921</v>
      </c>
      <c r="BE411" s="456">
        <v>0.0</v>
      </c>
    </row>
    <row r="412">
      <c r="M412" s="226"/>
      <c r="N412" s="226"/>
      <c r="O412" s="226"/>
      <c r="P412" s="226"/>
      <c r="AN412" s="454" t="s">
        <v>922</v>
      </c>
      <c r="AO412" s="456">
        <v>0.0</v>
      </c>
      <c r="AP412" s="454" t="s">
        <v>922</v>
      </c>
      <c r="AQ412" s="450">
        <v>0.0</v>
      </c>
      <c r="AR412" s="454" t="s">
        <v>922</v>
      </c>
      <c r="AS412" s="457">
        <v>0.0</v>
      </c>
      <c r="AT412" s="454" t="s">
        <v>922</v>
      </c>
      <c r="AU412" s="457"/>
      <c r="AV412" s="454" t="s">
        <v>922</v>
      </c>
      <c r="AW412" s="456">
        <v>0.0</v>
      </c>
      <c r="AX412" s="454" t="s">
        <v>922</v>
      </c>
      <c r="AY412" s="456">
        <v>0.0</v>
      </c>
      <c r="AZ412" s="454" t="s">
        <v>922</v>
      </c>
      <c r="BA412" s="456">
        <v>0.0</v>
      </c>
      <c r="BB412" s="454" t="s">
        <v>922</v>
      </c>
      <c r="BC412" s="456">
        <v>0.0</v>
      </c>
      <c r="BD412" s="454" t="s">
        <v>922</v>
      </c>
      <c r="BE412" s="456">
        <v>0.0</v>
      </c>
    </row>
    <row r="413">
      <c r="M413" s="226"/>
      <c r="N413" s="226"/>
      <c r="O413" s="226"/>
      <c r="P413" s="226"/>
      <c r="AN413" s="454" t="s">
        <v>923</v>
      </c>
      <c r="AO413" s="456">
        <v>0.0</v>
      </c>
      <c r="AP413" s="454" t="s">
        <v>923</v>
      </c>
      <c r="AQ413" s="450">
        <v>0.0</v>
      </c>
      <c r="AR413" s="454" t="s">
        <v>923</v>
      </c>
      <c r="AS413" s="457">
        <v>0.0</v>
      </c>
      <c r="AT413" s="454" t="s">
        <v>923</v>
      </c>
      <c r="AU413" s="457"/>
      <c r="AV413" s="454" t="s">
        <v>923</v>
      </c>
      <c r="AW413" s="456">
        <v>0.0</v>
      </c>
      <c r="AX413" s="454" t="s">
        <v>923</v>
      </c>
      <c r="AY413" s="456">
        <v>0.0</v>
      </c>
      <c r="AZ413" s="454" t="s">
        <v>923</v>
      </c>
      <c r="BA413" s="456">
        <v>0.0</v>
      </c>
      <c r="BB413" s="454" t="s">
        <v>923</v>
      </c>
      <c r="BC413" s="456">
        <v>0.0</v>
      </c>
      <c r="BD413" s="454" t="s">
        <v>923</v>
      </c>
      <c r="BE413" s="456">
        <v>0.0</v>
      </c>
    </row>
    <row r="414">
      <c r="M414" s="226"/>
      <c r="N414" s="226"/>
      <c r="O414" s="226"/>
      <c r="P414" s="226"/>
      <c r="AN414" s="454" t="s">
        <v>924</v>
      </c>
      <c r="AO414" s="456">
        <v>0.0</v>
      </c>
      <c r="AP414" s="454" t="s">
        <v>924</v>
      </c>
      <c r="AQ414" s="450">
        <v>0.0</v>
      </c>
      <c r="AR414" s="454" t="s">
        <v>924</v>
      </c>
      <c r="AS414" s="457">
        <v>0.0</v>
      </c>
      <c r="AT414" s="454" t="s">
        <v>924</v>
      </c>
      <c r="AU414" s="457"/>
      <c r="AV414" s="454" t="s">
        <v>924</v>
      </c>
      <c r="AW414" s="456">
        <v>0.0</v>
      </c>
      <c r="AX414" s="454" t="s">
        <v>924</v>
      </c>
      <c r="AY414" s="456">
        <v>0.0</v>
      </c>
      <c r="AZ414" s="454" t="s">
        <v>924</v>
      </c>
      <c r="BA414" s="456">
        <v>0.0</v>
      </c>
      <c r="BB414" s="454" t="s">
        <v>924</v>
      </c>
      <c r="BC414" s="456">
        <v>0.0</v>
      </c>
      <c r="BD414" s="454" t="s">
        <v>924</v>
      </c>
      <c r="BE414" s="456">
        <v>0.0</v>
      </c>
    </row>
    <row r="415">
      <c r="M415" s="226"/>
      <c r="N415" s="226"/>
      <c r="O415" s="226"/>
      <c r="P415" s="226"/>
      <c r="AN415" s="454" t="s">
        <v>926</v>
      </c>
      <c r="AO415" s="456">
        <v>0.0</v>
      </c>
      <c r="AP415" s="454" t="s">
        <v>926</v>
      </c>
      <c r="AQ415" s="450">
        <v>0.0</v>
      </c>
      <c r="AR415" s="454" t="s">
        <v>926</v>
      </c>
      <c r="AS415" s="457">
        <v>0.0</v>
      </c>
      <c r="AT415" s="454" t="s">
        <v>926</v>
      </c>
      <c r="AU415" s="457"/>
      <c r="AV415" s="454" t="s">
        <v>926</v>
      </c>
      <c r="AW415" s="456">
        <v>0.0</v>
      </c>
      <c r="AX415" s="454" t="s">
        <v>926</v>
      </c>
      <c r="AY415" s="456">
        <v>0.0</v>
      </c>
      <c r="AZ415" s="454" t="s">
        <v>926</v>
      </c>
      <c r="BA415" s="456">
        <v>0.0</v>
      </c>
      <c r="BB415" s="454" t="s">
        <v>926</v>
      </c>
      <c r="BC415" s="456">
        <v>0.0</v>
      </c>
      <c r="BD415" s="454" t="s">
        <v>926</v>
      </c>
      <c r="BE415" s="456">
        <v>0.0</v>
      </c>
    </row>
    <row r="416">
      <c r="M416" s="226"/>
      <c r="N416" s="226"/>
      <c r="O416" s="226"/>
      <c r="P416" s="226"/>
      <c r="AN416" s="454" t="s">
        <v>927</v>
      </c>
      <c r="AO416" s="456">
        <v>0.0</v>
      </c>
      <c r="AP416" s="454" t="s">
        <v>927</v>
      </c>
      <c r="AQ416" s="450">
        <v>0.0</v>
      </c>
      <c r="AR416" s="454" t="s">
        <v>927</v>
      </c>
      <c r="AS416" s="457">
        <v>0.0</v>
      </c>
      <c r="AT416" s="454" t="s">
        <v>927</v>
      </c>
      <c r="AU416" s="457"/>
      <c r="AV416" s="454" t="s">
        <v>927</v>
      </c>
      <c r="AW416" s="456">
        <v>0.0</v>
      </c>
      <c r="AX416" s="454" t="s">
        <v>927</v>
      </c>
      <c r="AY416" s="456">
        <v>0.0</v>
      </c>
      <c r="AZ416" s="454" t="s">
        <v>927</v>
      </c>
      <c r="BA416" s="456">
        <v>0.0</v>
      </c>
      <c r="BB416" s="454" t="s">
        <v>927</v>
      </c>
      <c r="BC416" s="456">
        <v>0.0</v>
      </c>
      <c r="BD416" s="454" t="s">
        <v>927</v>
      </c>
      <c r="BE416" s="456">
        <v>0.0</v>
      </c>
    </row>
    <row r="417">
      <c r="M417" s="226"/>
      <c r="N417" s="226"/>
      <c r="O417" s="226"/>
      <c r="P417" s="226"/>
      <c r="AN417" s="454" t="s">
        <v>1115</v>
      </c>
      <c r="AO417" s="456">
        <v>0.0</v>
      </c>
      <c r="AP417" s="454" t="s">
        <v>1115</v>
      </c>
      <c r="AQ417" s="450">
        <v>0.0</v>
      </c>
      <c r="AR417" s="454" t="s">
        <v>1115</v>
      </c>
      <c r="AS417" s="457">
        <v>0.0</v>
      </c>
      <c r="AT417" s="454" t="s">
        <v>1115</v>
      </c>
      <c r="AU417" s="457"/>
      <c r="AV417" s="454" t="s">
        <v>1115</v>
      </c>
      <c r="AW417" s="456">
        <v>0.0</v>
      </c>
      <c r="AX417" s="454" t="s">
        <v>1115</v>
      </c>
      <c r="AY417" s="456">
        <v>0.0</v>
      </c>
      <c r="AZ417" s="454" t="s">
        <v>1115</v>
      </c>
      <c r="BA417" s="456">
        <v>0.0</v>
      </c>
      <c r="BB417" s="454" t="s">
        <v>1115</v>
      </c>
      <c r="BC417" s="456">
        <v>0.0</v>
      </c>
      <c r="BD417" s="454" t="s">
        <v>1115</v>
      </c>
      <c r="BE417" s="456">
        <v>0.0</v>
      </c>
    </row>
    <row r="418">
      <c r="M418" s="226"/>
      <c r="N418" s="226"/>
      <c r="O418" s="226"/>
      <c r="P418" s="226"/>
      <c r="AN418" s="454" t="s">
        <v>1244</v>
      </c>
      <c r="AO418" s="456">
        <v>0.0</v>
      </c>
      <c r="AP418" s="454" t="s">
        <v>1244</v>
      </c>
      <c r="AQ418" s="450">
        <v>0.0</v>
      </c>
      <c r="AR418" s="454" t="s">
        <v>1244</v>
      </c>
      <c r="AS418" s="457">
        <v>0.0</v>
      </c>
      <c r="AT418" s="454" t="s">
        <v>1244</v>
      </c>
      <c r="AU418" s="457"/>
      <c r="AV418" s="454" t="s">
        <v>1244</v>
      </c>
      <c r="AW418" s="456">
        <v>0.0</v>
      </c>
      <c r="AX418" s="454" t="s">
        <v>1244</v>
      </c>
      <c r="AY418" s="456">
        <v>0.0</v>
      </c>
      <c r="AZ418" s="454" t="s">
        <v>1244</v>
      </c>
      <c r="BA418" s="456">
        <v>0.0</v>
      </c>
      <c r="BB418" s="454" t="s">
        <v>1244</v>
      </c>
      <c r="BC418" s="456">
        <v>0.0</v>
      </c>
      <c r="BD418" s="454" t="s">
        <v>1244</v>
      </c>
      <c r="BE418" s="456">
        <v>0.0</v>
      </c>
    </row>
    <row r="419">
      <c r="M419" s="226"/>
      <c r="N419" s="226"/>
      <c r="O419" s="226"/>
      <c r="P419" s="226"/>
      <c r="AN419" s="454" t="s">
        <v>1111</v>
      </c>
      <c r="AO419" s="456">
        <v>0.0</v>
      </c>
      <c r="AP419" s="454" t="s">
        <v>1111</v>
      </c>
      <c r="AQ419" s="450">
        <v>0.0</v>
      </c>
      <c r="AR419" s="454" t="s">
        <v>1111</v>
      </c>
      <c r="AS419" s="457">
        <v>0.0</v>
      </c>
      <c r="AT419" s="454" t="s">
        <v>1111</v>
      </c>
      <c r="AU419" s="457"/>
      <c r="AV419" s="454" t="s">
        <v>1111</v>
      </c>
      <c r="AW419" s="456">
        <v>0.0</v>
      </c>
      <c r="AX419" s="454" t="s">
        <v>1111</v>
      </c>
      <c r="AY419" s="456">
        <v>0.0</v>
      </c>
      <c r="AZ419" s="454" t="s">
        <v>1111</v>
      </c>
      <c r="BA419" s="456">
        <v>0.0</v>
      </c>
      <c r="BB419" s="454" t="s">
        <v>1111</v>
      </c>
      <c r="BC419" s="456">
        <v>0.0</v>
      </c>
      <c r="BD419" s="454" t="s">
        <v>1111</v>
      </c>
      <c r="BE419" s="456">
        <v>0.0</v>
      </c>
    </row>
    <row r="420">
      <c r="M420" s="226"/>
      <c r="N420" s="226"/>
      <c r="O420" s="226"/>
      <c r="P420" s="226"/>
    </row>
    <row r="421">
      <c r="M421" s="226"/>
      <c r="N421" s="226"/>
      <c r="O421" s="226"/>
      <c r="P421" s="226"/>
      <c r="AN421" s="449" t="s">
        <v>2191</v>
      </c>
      <c r="AO421" s="449" t="s">
        <v>2364</v>
      </c>
      <c r="AP421" s="449" t="s">
        <v>2191</v>
      </c>
      <c r="AQ421" s="449" t="s">
        <v>2365</v>
      </c>
      <c r="AR421" s="449" t="s">
        <v>2191</v>
      </c>
      <c r="AS421" s="449" t="s">
        <v>2366</v>
      </c>
      <c r="AT421" s="449" t="s">
        <v>2191</v>
      </c>
      <c r="AU421" s="449" t="s">
        <v>2367</v>
      </c>
      <c r="AV421" s="449" t="s">
        <v>2191</v>
      </c>
      <c r="AW421" s="449" t="s">
        <v>2368</v>
      </c>
      <c r="AX421" s="449" t="s">
        <v>2191</v>
      </c>
      <c r="AY421" s="449" t="s">
        <v>2369</v>
      </c>
      <c r="AZ421" s="449" t="s">
        <v>2191</v>
      </c>
      <c r="BA421" s="449" t="s">
        <v>2370</v>
      </c>
      <c r="BB421" s="449" t="s">
        <v>2191</v>
      </c>
      <c r="BC421" s="449" t="s">
        <v>2371</v>
      </c>
      <c r="BD421" s="449" t="s">
        <v>2191</v>
      </c>
      <c r="BE421" s="449" t="s">
        <v>2372</v>
      </c>
    </row>
    <row r="422">
      <c r="M422" s="226"/>
      <c r="N422" s="226"/>
      <c r="O422" s="226"/>
      <c r="P422" s="226"/>
      <c r="AN422" s="454" t="s">
        <v>974</v>
      </c>
      <c r="AO422" s="456">
        <v>0.0</v>
      </c>
      <c r="AP422" s="454" t="s">
        <v>974</v>
      </c>
      <c r="AQ422" s="456">
        <v>0.0</v>
      </c>
      <c r="AR422" s="454" t="s">
        <v>974</v>
      </c>
      <c r="AS422" s="456">
        <v>0.0</v>
      </c>
      <c r="AT422" s="454" t="s">
        <v>974</v>
      </c>
      <c r="AU422" s="456"/>
      <c r="AV422" s="454" t="s">
        <v>974</v>
      </c>
      <c r="AW422" s="456">
        <v>0.0</v>
      </c>
      <c r="AX422" s="454" t="s">
        <v>974</v>
      </c>
      <c r="AY422" s="456">
        <v>0.0</v>
      </c>
      <c r="AZ422" s="454" t="s">
        <v>974</v>
      </c>
      <c r="BA422" s="456">
        <v>0.0</v>
      </c>
      <c r="BB422" s="454" t="s">
        <v>974</v>
      </c>
      <c r="BC422" s="456">
        <v>0.0</v>
      </c>
      <c r="BD422" s="454" t="s">
        <v>974</v>
      </c>
      <c r="BE422" s="456">
        <v>0.0</v>
      </c>
    </row>
    <row r="423">
      <c r="M423" s="226"/>
      <c r="N423" s="226"/>
      <c r="O423" s="226"/>
      <c r="P423" s="226"/>
      <c r="AN423" s="454" t="s">
        <v>975</v>
      </c>
      <c r="AO423" s="456">
        <v>0.0</v>
      </c>
      <c r="AP423" s="454" t="s">
        <v>975</v>
      </c>
      <c r="AQ423" s="456">
        <v>0.0</v>
      </c>
      <c r="AR423" s="454" t="s">
        <v>975</v>
      </c>
      <c r="AS423" s="456">
        <v>0.0</v>
      </c>
      <c r="AT423" s="454" t="s">
        <v>975</v>
      </c>
      <c r="AU423" s="456"/>
      <c r="AV423" s="454" t="s">
        <v>975</v>
      </c>
      <c r="AW423" s="456">
        <v>0.0</v>
      </c>
      <c r="AX423" s="454" t="s">
        <v>975</v>
      </c>
      <c r="AY423" s="456">
        <v>0.0</v>
      </c>
      <c r="AZ423" s="454" t="s">
        <v>975</v>
      </c>
      <c r="BA423" s="456">
        <v>0.0</v>
      </c>
      <c r="BB423" s="454" t="s">
        <v>975</v>
      </c>
      <c r="BC423" s="456">
        <v>0.0</v>
      </c>
      <c r="BD423" s="454" t="s">
        <v>975</v>
      </c>
      <c r="BE423" s="456">
        <v>0.0</v>
      </c>
    </row>
    <row r="424">
      <c r="M424" s="226"/>
      <c r="N424" s="226"/>
      <c r="O424" s="226"/>
      <c r="P424" s="226"/>
      <c r="AN424" s="454" t="s">
        <v>976</v>
      </c>
      <c r="AO424" s="456">
        <v>0.0</v>
      </c>
      <c r="AP424" s="454" t="s">
        <v>976</v>
      </c>
      <c r="AQ424" s="456">
        <v>0.0</v>
      </c>
      <c r="AR424" s="454" t="s">
        <v>976</v>
      </c>
      <c r="AS424" s="456">
        <v>0.0</v>
      </c>
      <c r="AT424" s="454" t="s">
        <v>976</v>
      </c>
      <c r="AU424" s="456"/>
      <c r="AV424" s="454" t="s">
        <v>976</v>
      </c>
      <c r="AW424" s="456">
        <v>0.0</v>
      </c>
      <c r="AX424" s="454" t="s">
        <v>976</v>
      </c>
      <c r="AY424" s="456">
        <v>0.0</v>
      </c>
      <c r="AZ424" s="454" t="s">
        <v>976</v>
      </c>
      <c r="BA424" s="456">
        <v>0.0</v>
      </c>
      <c r="BB424" s="454" t="s">
        <v>976</v>
      </c>
      <c r="BC424" s="456">
        <v>0.0</v>
      </c>
      <c r="BD424" s="454" t="s">
        <v>976</v>
      </c>
      <c r="BE424" s="456">
        <v>0.0</v>
      </c>
    </row>
    <row r="425">
      <c r="M425" s="226"/>
      <c r="N425" s="226"/>
      <c r="O425" s="226"/>
      <c r="P425" s="226"/>
      <c r="AN425" s="454" t="s">
        <v>977</v>
      </c>
      <c r="AO425" s="456">
        <v>0.0</v>
      </c>
      <c r="AP425" s="454" t="s">
        <v>977</v>
      </c>
      <c r="AQ425" s="456">
        <v>1.0</v>
      </c>
      <c r="AR425" s="454" t="s">
        <v>977</v>
      </c>
      <c r="AS425" s="456">
        <v>0.0</v>
      </c>
      <c r="AT425" s="454" t="s">
        <v>977</v>
      </c>
      <c r="AU425" s="456" t="s">
        <v>2222</v>
      </c>
      <c r="AV425" s="454" t="s">
        <v>977</v>
      </c>
      <c r="AW425" s="456">
        <v>0.0</v>
      </c>
      <c r="AX425" s="454" t="s">
        <v>977</v>
      </c>
      <c r="AY425" s="456">
        <v>0.0</v>
      </c>
      <c r="AZ425" s="454" t="s">
        <v>977</v>
      </c>
      <c r="BA425" s="456">
        <v>0.0</v>
      </c>
      <c r="BB425" s="454" t="s">
        <v>977</v>
      </c>
      <c r="BC425" s="456">
        <v>4.0</v>
      </c>
      <c r="BD425" s="454" t="s">
        <v>977</v>
      </c>
      <c r="BE425" s="456">
        <v>0.0</v>
      </c>
    </row>
    <row r="426">
      <c r="M426" s="226"/>
      <c r="N426" s="226"/>
      <c r="O426" s="226"/>
      <c r="P426" s="226"/>
      <c r="AN426" s="454" t="s">
        <v>979</v>
      </c>
      <c r="AO426" s="456">
        <v>0.0</v>
      </c>
      <c r="AP426" s="454" t="s">
        <v>979</v>
      </c>
      <c r="AQ426" s="456">
        <v>0.0</v>
      </c>
      <c r="AR426" s="454" t="s">
        <v>979</v>
      </c>
      <c r="AS426" s="456">
        <v>0.0</v>
      </c>
      <c r="AT426" s="454" t="s">
        <v>979</v>
      </c>
      <c r="AU426" s="456"/>
      <c r="AV426" s="454" t="s">
        <v>979</v>
      </c>
      <c r="AW426" s="456">
        <v>0.0</v>
      </c>
      <c r="AX426" s="454" t="s">
        <v>979</v>
      </c>
      <c r="AY426" s="456">
        <v>0.0</v>
      </c>
      <c r="AZ426" s="454" t="s">
        <v>979</v>
      </c>
      <c r="BA426" s="456">
        <v>0.0</v>
      </c>
      <c r="BB426" s="454" t="s">
        <v>979</v>
      </c>
      <c r="BC426" s="456">
        <v>0.0</v>
      </c>
      <c r="BD426" s="454" t="s">
        <v>979</v>
      </c>
      <c r="BE426" s="456">
        <v>0.0</v>
      </c>
    </row>
    <row r="427">
      <c r="M427" s="226"/>
      <c r="N427" s="226"/>
      <c r="O427" s="226"/>
      <c r="P427" s="226"/>
      <c r="AN427" s="454" t="s">
        <v>981</v>
      </c>
      <c r="AO427" s="456">
        <v>2.0</v>
      </c>
      <c r="AP427" s="454" t="s">
        <v>981</v>
      </c>
      <c r="AQ427" s="456">
        <v>0.0</v>
      </c>
      <c r="AR427" s="454" t="s">
        <v>981</v>
      </c>
      <c r="AS427" s="456">
        <v>0.0</v>
      </c>
      <c r="AT427" s="454" t="s">
        <v>981</v>
      </c>
      <c r="AU427" s="456" t="s">
        <v>2238</v>
      </c>
      <c r="AV427" s="454" t="s">
        <v>981</v>
      </c>
      <c r="AW427" s="456">
        <v>0.0</v>
      </c>
      <c r="AX427" s="454" t="s">
        <v>981</v>
      </c>
      <c r="AY427" s="456">
        <v>0.0</v>
      </c>
      <c r="AZ427" s="454" t="s">
        <v>981</v>
      </c>
      <c r="BA427" s="456">
        <v>3.0</v>
      </c>
      <c r="BB427" s="454" t="s">
        <v>981</v>
      </c>
      <c r="BC427" s="456">
        <v>0.0</v>
      </c>
      <c r="BD427" s="454" t="s">
        <v>981</v>
      </c>
      <c r="BE427" s="456">
        <v>0.0</v>
      </c>
    </row>
    <row r="428">
      <c r="M428" s="226"/>
      <c r="N428" s="226"/>
      <c r="O428" s="226"/>
      <c r="P428" s="226"/>
      <c r="AN428" s="454" t="s">
        <v>983</v>
      </c>
      <c r="AO428" s="456">
        <v>0.0</v>
      </c>
      <c r="AP428" s="515" t="s">
        <v>983</v>
      </c>
      <c r="AQ428" s="457">
        <v>0.0</v>
      </c>
      <c r="AR428" s="454" t="s">
        <v>983</v>
      </c>
      <c r="AS428" s="457">
        <v>0.0</v>
      </c>
      <c r="AT428" s="454" t="s">
        <v>983</v>
      </c>
      <c r="AU428" s="457">
        <v>0.0</v>
      </c>
      <c r="AV428" s="454" t="s">
        <v>983</v>
      </c>
      <c r="AW428" s="457">
        <v>0.0</v>
      </c>
      <c r="AX428" s="454" t="s">
        <v>983</v>
      </c>
      <c r="AY428" s="457">
        <v>0.0</v>
      </c>
      <c r="AZ428" s="454" t="s">
        <v>983</v>
      </c>
      <c r="BA428" s="457">
        <v>0.0</v>
      </c>
      <c r="BB428" s="454" t="s">
        <v>983</v>
      </c>
      <c r="BC428" s="457">
        <v>0.0</v>
      </c>
      <c r="BD428" s="454" t="s">
        <v>983</v>
      </c>
      <c r="BE428" s="457">
        <v>0.0</v>
      </c>
    </row>
    <row r="429">
      <c r="M429" s="226"/>
      <c r="N429" s="226"/>
      <c r="O429" s="226"/>
      <c r="P429" s="226"/>
      <c r="AN429" s="454" t="s">
        <v>985</v>
      </c>
      <c r="AO429" s="456">
        <v>0.0</v>
      </c>
      <c r="AP429" s="515" t="s">
        <v>985</v>
      </c>
      <c r="AQ429" s="457">
        <v>0.0</v>
      </c>
      <c r="AR429" s="454" t="s">
        <v>985</v>
      </c>
      <c r="AS429" s="457">
        <v>0.0</v>
      </c>
      <c r="AT429" s="454" t="s">
        <v>985</v>
      </c>
      <c r="AU429" s="457">
        <v>0.0</v>
      </c>
      <c r="AV429" s="454" t="s">
        <v>985</v>
      </c>
      <c r="AW429" s="457">
        <v>0.0</v>
      </c>
      <c r="AX429" s="454" t="s">
        <v>985</v>
      </c>
      <c r="AY429" s="457">
        <v>0.0</v>
      </c>
      <c r="AZ429" s="454" t="s">
        <v>985</v>
      </c>
      <c r="BA429" s="457">
        <v>0.0</v>
      </c>
      <c r="BB429" s="454" t="s">
        <v>985</v>
      </c>
      <c r="BC429" s="457">
        <v>0.0</v>
      </c>
      <c r="BD429" s="454" t="s">
        <v>985</v>
      </c>
      <c r="BE429" s="457">
        <v>0.0</v>
      </c>
    </row>
    <row r="430">
      <c r="M430" s="226"/>
      <c r="N430" s="226"/>
      <c r="O430" s="226"/>
      <c r="P430" s="226"/>
      <c r="AN430" s="454" t="s">
        <v>987</v>
      </c>
      <c r="AO430" s="456">
        <v>0.0</v>
      </c>
      <c r="AP430" s="515" t="s">
        <v>987</v>
      </c>
      <c r="AQ430" s="457">
        <v>0.0</v>
      </c>
      <c r="AR430" s="454" t="s">
        <v>987</v>
      </c>
      <c r="AS430" s="457">
        <v>0.0</v>
      </c>
      <c r="AT430" s="454" t="s">
        <v>987</v>
      </c>
      <c r="AU430" s="457">
        <v>0.0</v>
      </c>
      <c r="AV430" s="454" t="s">
        <v>987</v>
      </c>
      <c r="AW430" s="457">
        <v>0.0</v>
      </c>
      <c r="AX430" s="454" t="s">
        <v>987</v>
      </c>
      <c r="AY430" s="457">
        <v>0.0</v>
      </c>
      <c r="AZ430" s="454" t="s">
        <v>987</v>
      </c>
      <c r="BA430" s="457">
        <v>0.0</v>
      </c>
      <c r="BB430" s="454" t="s">
        <v>987</v>
      </c>
      <c r="BC430" s="457">
        <v>0.0</v>
      </c>
      <c r="BD430" s="454" t="s">
        <v>987</v>
      </c>
      <c r="BE430" s="457">
        <v>0.0</v>
      </c>
    </row>
    <row r="431">
      <c r="M431" s="226"/>
      <c r="N431" s="226"/>
      <c r="O431" s="226"/>
      <c r="P431" s="226"/>
      <c r="AN431" s="454" t="s">
        <v>988</v>
      </c>
      <c r="AO431" s="456">
        <v>0.0</v>
      </c>
      <c r="AP431" s="515" t="s">
        <v>988</v>
      </c>
      <c r="AQ431" s="457">
        <v>0.0</v>
      </c>
      <c r="AR431" s="454" t="s">
        <v>988</v>
      </c>
      <c r="AS431" s="457">
        <v>0.0</v>
      </c>
      <c r="AT431" s="454" t="s">
        <v>988</v>
      </c>
      <c r="AU431" s="457">
        <v>0.0</v>
      </c>
      <c r="AV431" s="454" t="s">
        <v>988</v>
      </c>
      <c r="AW431" s="457">
        <v>0.0</v>
      </c>
      <c r="AX431" s="454" t="s">
        <v>988</v>
      </c>
      <c r="AY431" s="457">
        <v>0.0</v>
      </c>
      <c r="AZ431" s="454" t="s">
        <v>988</v>
      </c>
      <c r="BA431" s="457">
        <v>0.0</v>
      </c>
      <c r="BB431" s="454" t="s">
        <v>988</v>
      </c>
      <c r="BC431" s="457">
        <v>0.0</v>
      </c>
      <c r="BD431" s="454" t="s">
        <v>988</v>
      </c>
      <c r="BE431" s="457">
        <v>0.0</v>
      </c>
    </row>
    <row r="432">
      <c r="M432" s="226"/>
      <c r="N432" s="226"/>
      <c r="O432" s="226"/>
      <c r="P432" s="226"/>
      <c r="AN432" s="454" t="s">
        <v>989</v>
      </c>
      <c r="AO432" s="456">
        <v>0.0</v>
      </c>
      <c r="AP432" s="515" t="s">
        <v>989</v>
      </c>
      <c r="AQ432" s="457">
        <v>0.0</v>
      </c>
      <c r="AR432" s="454" t="s">
        <v>989</v>
      </c>
      <c r="AS432" s="457">
        <v>0.0</v>
      </c>
      <c r="AT432" s="454" t="s">
        <v>989</v>
      </c>
      <c r="AU432" s="457">
        <v>0.0</v>
      </c>
      <c r="AV432" s="454" t="s">
        <v>989</v>
      </c>
      <c r="AW432" s="457">
        <v>0.0</v>
      </c>
      <c r="AX432" s="454" t="s">
        <v>989</v>
      </c>
      <c r="AY432" s="457">
        <v>0.0</v>
      </c>
      <c r="AZ432" s="454" t="s">
        <v>989</v>
      </c>
      <c r="BA432" s="457">
        <v>0.0</v>
      </c>
      <c r="BB432" s="454" t="s">
        <v>989</v>
      </c>
      <c r="BC432" s="457">
        <v>0.0</v>
      </c>
      <c r="BD432" s="454" t="s">
        <v>989</v>
      </c>
      <c r="BE432" s="457">
        <v>0.0</v>
      </c>
    </row>
    <row r="433">
      <c r="M433" s="226"/>
      <c r="N433" s="226"/>
      <c r="O433" s="226"/>
      <c r="P433" s="226"/>
      <c r="AN433" s="454" t="s">
        <v>992</v>
      </c>
      <c r="AO433" s="456">
        <v>0.0</v>
      </c>
      <c r="AP433" s="515" t="s">
        <v>992</v>
      </c>
      <c r="AQ433" s="457">
        <v>0.0</v>
      </c>
      <c r="AR433" s="454" t="s">
        <v>992</v>
      </c>
      <c r="AS433" s="457">
        <v>0.0</v>
      </c>
      <c r="AT433" s="454" t="s">
        <v>992</v>
      </c>
      <c r="AU433" s="457">
        <v>0.0</v>
      </c>
      <c r="AV433" s="454" t="s">
        <v>992</v>
      </c>
      <c r="AW433" s="457">
        <v>0.0</v>
      </c>
      <c r="AX433" s="454" t="s">
        <v>992</v>
      </c>
      <c r="AY433" s="457">
        <v>0.0</v>
      </c>
      <c r="AZ433" s="454" t="s">
        <v>992</v>
      </c>
      <c r="BA433" s="457">
        <v>0.0</v>
      </c>
      <c r="BB433" s="454" t="s">
        <v>992</v>
      </c>
      <c r="BC433" s="457">
        <v>0.0</v>
      </c>
      <c r="BD433" s="454" t="s">
        <v>992</v>
      </c>
      <c r="BE433" s="457">
        <v>0.0</v>
      </c>
    </row>
    <row r="434">
      <c r="M434" s="226"/>
      <c r="N434" s="226"/>
      <c r="O434" s="226"/>
      <c r="P434" s="226"/>
      <c r="AN434" s="454" t="s">
        <v>994</v>
      </c>
      <c r="AO434" s="456">
        <v>0.0</v>
      </c>
      <c r="AP434" s="515" t="s">
        <v>994</v>
      </c>
      <c r="AQ434" s="457">
        <v>0.0</v>
      </c>
      <c r="AR434" s="454" t="s">
        <v>994</v>
      </c>
      <c r="AS434" s="457">
        <v>0.0</v>
      </c>
      <c r="AT434" s="454" t="s">
        <v>994</v>
      </c>
      <c r="AU434" s="457">
        <v>0.0</v>
      </c>
      <c r="AV434" s="454" t="s">
        <v>994</v>
      </c>
      <c r="AW434" s="457">
        <v>0.0</v>
      </c>
      <c r="AX434" s="454" t="s">
        <v>994</v>
      </c>
      <c r="AY434" s="457">
        <v>0.0</v>
      </c>
      <c r="AZ434" s="454" t="s">
        <v>994</v>
      </c>
      <c r="BA434" s="457">
        <v>0.0</v>
      </c>
      <c r="BB434" s="454" t="s">
        <v>994</v>
      </c>
      <c r="BC434" s="457">
        <v>0.0</v>
      </c>
      <c r="BD434" s="454" t="s">
        <v>994</v>
      </c>
      <c r="BE434" s="457">
        <v>0.0</v>
      </c>
    </row>
    <row r="435">
      <c r="M435" s="226"/>
      <c r="N435" s="226"/>
      <c r="O435" s="226"/>
      <c r="P435" s="226"/>
      <c r="AS435" s="112"/>
      <c r="AT435" s="112"/>
      <c r="AU435" s="112"/>
      <c r="AV435" s="112"/>
    </row>
    <row r="436">
      <c r="M436" s="226"/>
      <c r="N436" s="226"/>
      <c r="O436" s="226"/>
      <c r="P436" s="226"/>
      <c r="AS436" s="112"/>
      <c r="AT436" s="112"/>
      <c r="AU436" s="112"/>
      <c r="AV436" s="112"/>
    </row>
    <row r="437">
      <c r="M437" s="226"/>
      <c r="N437" s="226"/>
      <c r="O437" s="226"/>
      <c r="P437" s="226"/>
      <c r="AS437" s="112"/>
      <c r="AT437" s="112"/>
      <c r="AU437" s="112"/>
      <c r="AV437" s="112"/>
    </row>
    <row r="438">
      <c r="M438" s="226"/>
      <c r="N438" s="226"/>
      <c r="O438" s="226"/>
      <c r="P438" s="226"/>
      <c r="AS438" s="112"/>
      <c r="AT438" s="112"/>
      <c r="AU438" s="112"/>
      <c r="AV438" s="112"/>
    </row>
    <row r="439">
      <c r="M439" s="226"/>
      <c r="N439" s="226"/>
      <c r="O439" s="226"/>
      <c r="P439" s="226"/>
      <c r="AN439" s="458" t="s">
        <v>2373</v>
      </c>
      <c r="AO439" s="651"/>
      <c r="AP439" s="651"/>
      <c r="AQ439" s="651"/>
      <c r="AS439" s="449" t="s">
        <v>2062</v>
      </c>
      <c r="AT439" s="450" t="s">
        <v>2374</v>
      </c>
      <c r="AU439" s="449" t="s">
        <v>2062</v>
      </c>
      <c r="AV439" s="450" t="s">
        <v>2375</v>
      </c>
    </row>
    <row r="440">
      <c r="M440" s="226"/>
      <c r="N440" s="226"/>
      <c r="O440" s="226"/>
      <c r="P440" s="226"/>
      <c r="AN440" s="449" t="s">
        <v>2209</v>
      </c>
      <c r="AO440" s="450" t="s">
        <v>2210</v>
      </c>
      <c r="AP440" s="449" t="s">
        <v>2211</v>
      </c>
      <c r="AQ440" s="450" t="s">
        <v>2212</v>
      </c>
      <c r="AS440" s="454" t="s">
        <v>1008</v>
      </c>
      <c r="AT440" s="457">
        <v>114.4</v>
      </c>
      <c r="AU440" s="454" t="s">
        <v>1008</v>
      </c>
      <c r="AV440" s="457">
        <v>2.6</v>
      </c>
    </row>
    <row r="441">
      <c r="M441" s="226"/>
      <c r="N441" s="226"/>
      <c r="O441" s="226"/>
      <c r="P441" s="226"/>
      <c r="AN441" s="456" t="s">
        <v>658</v>
      </c>
      <c r="AO441" s="457">
        <v>0.0</v>
      </c>
      <c r="AP441" s="456" t="s">
        <v>658</v>
      </c>
      <c r="AQ441" s="457">
        <v>1.0</v>
      </c>
      <c r="AS441" s="454" t="s">
        <v>1009</v>
      </c>
      <c r="AT441" s="457">
        <v>109.3</v>
      </c>
      <c r="AU441" s="454" t="s">
        <v>1009</v>
      </c>
      <c r="AV441" s="457">
        <v>2.8</v>
      </c>
    </row>
    <row r="442">
      <c r="M442" s="226"/>
      <c r="N442" s="226"/>
      <c r="O442" s="226"/>
      <c r="P442" s="226"/>
      <c r="AN442" s="456" t="s">
        <v>662</v>
      </c>
      <c r="AO442" s="457">
        <v>0.0</v>
      </c>
      <c r="AP442" s="456" t="s">
        <v>662</v>
      </c>
      <c r="AQ442" s="457">
        <v>0.0</v>
      </c>
      <c r="AS442" s="454" t="s">
        <v>1011</v>
      </c>
      <c r="AT442" s="457">
        <v>107.9</v>
      </c>
      <c r="AU442" s="454" t="s">
        <v>1011</v>
      </c>
      <c r="AV442" s="457">
        <v>2.6</v>
      </c>
    </row>
    <row r="443">
      <c r="M443" s="226"/>
      <c r="N443" s="226"/>
      <c r="O443" s="226"/>
      <c r="P443" s="226"/>
      <c r="AN443" s="456" t="s">
        <v>664</v>
      </c>
      <c r="AO443" s="457">
        <v>0.0</v>
      </c>
      <c r="AP443" s="456" t="s">
        <v>664</v>
      </c>
      <c r="AQ443" s="457">
        <v>0.0</v>
      </c>
      <c r="AS443" s="454" t="s">
        <v>1012</v>
      </c>
      <c r="AT443" s="457">
        <v>107.9</v>
      </c>
      <c r="AU443" s="454" t="s">
        <v>1012</v>
      </c>
      <c r="AV443" s="457">
        <v>2.6</v>
      </c>
    </row>
    <row r="444">
      <c r="M444" s="226"/>
      <c r="N444" s="226"/>
      <c r="O444" s="226"/>
      <c r="P444" s="226"/>
      <c r="AN444" s="456" t="s">
        <v>666</v>
      </c>
      <c r="AO444" s="457">
        <v>0.0</v>
      </c>
      <c r="AP444" s="456" t="s">
        <v>666</v>
      </c>
      <c r="AQ444" s="457">
        <v>0.0</v>
      </c>
      <c r="AS444" s="454" t="s">
        <v>1013</v>
      </c>
      <c r="AT444" s="457">
        <v>103.0</v>
      </c>
      <c r="AU444" s="454" t="s">
        <v>1013</v>
      </c>
      <c r="AV444" s="457">
        <v>2.5</v>
      </c>
    </row>
    <row r="445">
      <c r="M445" s="226"/>
      <c r="N445" s="226"/>
      <c r="O445" s="226"/>
      <c r="P445" s="226"/>
      <c r="AN445" s="456" t="s">
        <v>668</v>
      </c>
      <c r="AO445" s="457">
        <v>1.0</v>
      </c>
      <c r="AP445" s="456" t="s">
        <v>668</v>
      </c>
      <c r="AQ445" s="457">
        <v>0.0</v>
      </c>
      <c r="AS445" s="454" t="s">
        <v>1018</v>
      </c>
      <c r="AT445" s="457">
        <v>103.1</v>
      </c>
      <c r="AU445" s="454" t="s">
        <v>1018</v>
      </c>
      <c r="AV445" s="457">
        <v>2.6</v>
      </c>
    </row>
    <row r="446">
      <c r="M446" s="226"/>
      <c r="N446" s="226"/>
      <c r="O446" s="226"/>
      <c r="P446" s="226"/>
      <c r="AN446" s="456" t="s">
        <v>672</v>
      </c>
      <c r="AO446" s="457">
        <v>1.0</v>
      </c>
      <c r="AP446" s="456" t="s">
        <v>672</v>
      </c>
      <c r="AQ446" s="457">
        <v>0.0</v>
      </c>
      <c r="AS446" s="454" t="s">
        <v>1055</v>
      </c>
      <c r="AT446" s="457">
        <v>97.6</v>
      </c>
      <c r="AU446" s="454" t="s">
        <v>1055</v>
      </c>
      <c r="AV446" s="457">
        <v>2.7</v>
      </c>
    </row>
    <row r="447">
      <c r="M447" s="226"/>
      <c r="N447" s="226"/>
      <c r="O447" s="226"/>
      <c r="P447" s="226"/>
      <c r="AN447" s="456" t="s">
        <v>680</v>
      </c>
      <c r="AO447" s="457">
        <v>0.0</v>
      </c>
      <c r="AP447" s="456" t="s">
        <v>680</v>
      </c>
      <c r="AQ447" s="457">
        <v>0.0</v>
      </c>
      <c r="AS447" s="454" t="s">
        <v>1019</v>
      </c>
      <c r="AT447" s="457">
        <v>100.2</v>
      </c>
      <c r="AU447" s="454" t="s">
        <v>1019</v>
      </c>
      <c r="AV447" s="457">
        <v>2.6</v>
      </c>
    </row>
    <row r="448">
      <c r="M448" s="226"/>
      <c r="N448" s="226"/>
      <c r="O448" s="226"/>
      <c r="P448" s="226"/>
      <c r="AN448" s="456" t="s">
        <v>686</v>
      </c>
      <c r="AO448" s="457">
        <v>0.0</v>
      </c>
      <c r="AP448" s="456" t="s">
        <v>686</v>
      </c>
      <c r="AQ448" s="457">
        <v>0.0</v>
      </c>
      <c r="AS448" s="454" t="s">
        <v>1026</v>
      </c>
      <c r="AT448" s="457">
        <v>100.2</v>
      </c>
      <c r="AU448" s="454" t="s">
        <v>1026</v>
      </c>
      <c r="AV448" s="457">
        <v>2.6</v>
      </c>
    </row>
    <row r="449">
      <c r="M449" s="226"/>
      <c r="N449" s="226"/>
      <c r="O449" s="226"/>
      <c r="P449" s="226"/>
      <c r="AS449" s="454" t="s">
        <v>1024</v>
      </c>
      <c r="AT449" s="457">
        <v>96.5</v>
      </c>
      <c r="AU449" s="454" t="s">
        <v>1024</v>
      </c>
      <c r="AV449" s="457">
        <v>2.7</v>
      </c>
    </row>
    <row r="450">
      <c r="M450" s="226"/>
      <c r="N450" s="226"/>
      <c r="O450" s="226"/>
      <c r="P450" s="226"/>
      <c r="AN450" s="449" t="s">
        <v>2226</v>
      </c>
      <c r="AO450" s="450" t="s">
        <v>2226</v>
      </c>
      <c r="AP450" s="449" t="s">
        <v>2227</v>
      </c>
      <c r="AQ450" s="450" t="s">
        <v>2228</v>
      </c>
      <c r="AS450" s="454" t="s">
        <v>1020</v>
      </c>
      <c r="AT450" s="457">
        <v>100.2</v>
      </c>
      <c r="AU450" s="454" t="s">
        <v>1020</v>
      </c>
      <c r="AV450" s="457">
        <v>2.7</v>
      </c>
    </row>
    <row r="451">
      <c r="M451" s="226"/>
      <c r="N451" s="226"/>
      <c r="O451" s="226"/>
      <c r="P451" s="226"/>
      <c r="AN451" s="456" t="s">
        <v>694</v>
      </c>
      <c r="AO451" s="457">
        <v>2.0</v>
      </c>
      <c r="AP451" s="456" t="s">
        <v>694</v>
      </c>
      <c r="AQ451" s="457">
        <v>0.0</v>
      </c>
      <c r="AS451" s="454" t="s">
        <v>1022</v>
      </c>
      <c r="AT451" s="457">
        <v>100.2</v>
      </c>
      <c r="AU451" s="454" t="s">
        <v>1022</v>
      </c>
      <c r="AV451" s="457">
        <v>2.8</v>
      </c>
    </row>
    <row r="452">
      <c r="M452" s="226"/>
      <c r="N452" s="226"/>
      <c r="O452" s="226"/>
      <c r="P452" s="226"/>
      <c r="AN452" s="456" t="s">
        <v>696</v>
      </c>
      <c r="AO452" s="457">
        <v>2.0</v>
      </c>
      <c r="AP452" s="456" t="s">
        <v>696</v>
      </c>
      <c r="AQ452" s="457">
        <v>0.0</v>
      </c>
      <c r="AS452" s="454" t="s">
        <v>1028</v>
      </c>
      <c r="AT452" s="536">
        <v>100.2</v>
      </c>
      <c r="AU452" s="515" t="s">
        <v>1028</v>
      </c>
      <c r="AV452" s="457">
        <v>2.7</v>
      </c>
    </row>
    <row r="453">
      <c r="M453" s="226"/>
      <c r="N453" s="226"/>
      <c r="O453" s="226"/>
      <c r="P453" s="226"/>
      <c r="AN453" s="456" t="s">
        <v>697</v>
      </c>
      <c r="AO453" s="457">
        <v>1.0</v>
      </c>
      <c r="AP453" s="456" t="s">
        <v>697</v>
      </c>
      <c r="AQ453" s="457">
        <v>1.0</v>
      </c>
      <c r="AS453" s="454" t="s">
        <v>1031</v>
      </c>
      <c r="AT453" s="536">
        <v>97.6</v>
      </c>
      <c r="AU453" s="515" t="s">
        <v>1031</v>
      </c>
      <c r="AV453" s="457">
        <v>2.7</v>
      </c>
    </row>
    <row r="454">
      <c r="M454" s="226"/>
      <c r="N454" s="226"/>
      <c r="O454" s="226"/>
      <c r="P454" s="226"/>
      <c r="AN454" s="456" t="s">
        <v>700</v>
      </c>
      <c r="AO454" s="457">
        <v>2.0</v>
      </c>
      <c r="AP454" s="456" t="s">
        <v>700</v>
      </c>
      <c r="AQ454" s="457">
        <v>0.0</v>
      </c>
      <c r="AS454" s="454" t="s">
        <v>1033</v>
      </c>
      <c r="AT454" s="536">
        <v>97.7</v>
      </c>
      <c r="AU454" s="515" t="s">
        <v>1033</v>
      </c>
      <c r="AV454" s="457">
        <v>2.6</v>
      </c>
    </row>
    <row r="455">
      <c r="M455" s="226"/>
      <c r="N455" s="226"/>
      <c r="O455" s="226"/>
      <c r="P455" s="226"/>
      <c r="AN455" s="456" t="s">
        <v>1969</v>
      </c>
      <c r="AO455" s="457">
        <v>0.0</v>
      </c>
      <c r="AP455" s="456" t="s">
        <v>1969</v>
      </c>
      <c r="AQ455" s="457">
        <v>0.0</v>
      </c>
      <c r="AS455" s="454" t="s">
        <v>1035</v>
      </c>
      <c r="AT455" s="536">
        <v>96.5</v>
      </c>
      <c r="AU455" s="515" t="s">
        <v>1035</v>
      </c>
      <c r="AV455" s="457">
        <v>2.7</v>
      </c>
    </row>
    <row r="456">
      <c r="M456" s="226"/>
      <c r="N456" s="226"/>
      <c r="O456" s="226"/>
      <c r="P456" s="226"/>
      <c r="AN456" s="456" t="s">
        <v>703</v>
      </c>
      <c r="AO456" s="457">
        <v>1.0</v>
      </c>
      <c r="AP456" s="456" t="s">
        <v>703</v>
      </c>
      <c r="AQ456" s="457">
        <v>1.0</v>
      </c>
    </row>
    <row r="457">
      <c r="M457" s="226"/>
      <c r="N457" s="226"/>
      <c r="O457" s="226"/>
      <c r="P457" s="226"/>
      <c r="AN457" s="456" t="s">
        <v>707</v>
      </c>
      <c r="AO457" s="457">
        <v>0.0</v>
      </c>
      <c r="AP457" s="456" t="s">
        <v>707</v>
      </c>
      <c r="AQ457" s="457">
        <v>2.0</v>
      </c>
    </row>
    <row r="458">
      <c r="M458" s="226"/>
      <c r="N458" s="226"/>
      <c r="O458" s="226"/>
      <c r="P458" s="226"/>
      <c r="AN458" s="456" t="s">
        <v>709</v>
      </c>
      <c r="AO458" s="457">
        <v>1.0</v>
      </c>
      <c r="AP458" s="456" t="s">
        <v>709</v>
      </c>
      <c r="AQ458" s="457">
        <v>0.0</v>
      </c>
      <c r="AS458" s="449" t="s">
        <v>2084</v>
      </c>
      <c r="AT458" s="450" t="s">
        <v>2376</v>
      </c>
      <c r="AU458" s="449" t="s">
        <v>2084</v>
      </c>
      <c r="AV458" s="450" t="s">
        <v>2141</v>
      </c>
    </row>
    <row r="459">
      <c r="M459" s="226"/>
      <c r="N459" s="226"/>
      <c r="O459" s="226"/>
      <c r="P459" s="226"/>
      <c r="AN459" s="456" t="s">
        <v>713</v>
      </c>
      <c r="AO459" s="457">
        <v>0.0</v>
      </c>
      <c r="AP459" s="456" t="s">
        <v>713</v>
      </c>
      <c r="AQ459" s="457">
        <v>0.0</v>
      </c>
      <c r="AS459" s="454" t="s">
        <v>1041</v>
      </c>
      <c r="AT459" s="457">
        <v>107.9</v>
      </c>
      <c r="AU459" s="454" t="s">
        <v>1041</v>
      </c>
      <c r="AV459" s="457">
        <v>2.6</v>
      </c>
    </row>
    <row r="460">
      <c r="M460" s="226"/>
      <c r="N460" s="226"/>
      <c r="O460" s="226"/>
      <c r="P460" s="226"/>
      <c r="AN460" s="456" t="s">
        <v>719</v>
      </c>
      <c r="AO460" s="457">
        <v>2.0</v>
      </c>
      <c r="AP460" s="456" t="s">
        <v>719</v>
      </c>
      <c r="AQ460" s="457">
        <v>0.0</v>
      </c>
      <c r="AS460" s="454" t="s">
        <v>1009</v>
      </c>
      <c r="AT460" s="457">
        <v>109.3</v>
      </c>
      <c r="AU460" s="454" t="s">
        <v>1009</v>
      </c>
      <c r="AV460" s="457">
        <v>1.4</v>
      </c>
    </row>
    <row r="461">
      <c r="M461" s="226"/>
      <c r="N461" s="226"/>
      <c r="O461" s="226"/>
      <c r="P461" s="226"/>
      <c r="AN461" s="456" t="s">
        <v>721</v>
      </c>
      <c r="AO461" s="457">
        <v>2.0</v>
      </c>
      <c r="AP461" s="456" t="s">
        <v>721</v>
      </c>
      <c r="AQ461" s="457">
        <v>0.0</v>
      </c>
      <c r="AS461" s="454" t="s">
        <v>1042</v>
      </c>
      <c r="AT461" s="457">
        <v>108.0</v>
      </c>
      <c r="AU461" s="454" t="s">
        <v>1042</v>
      </c>
      <c r="AV461" s="457">
        <v>1.5</v>
      </c>
    </row>
    <row r="462">
      <c r="M462" s="226"/>
      <c r="N462" s="226"/>
      <c r="O462" s="226"/>
      <c r="P462" s="226"/>
      <c r="AN462" s="456" t="s">
        <v>1525</v>
      </c>
      <c r="AO462" s="457">
        <v>2.0</v>
      </c>
      <c r="AP462" s="456" t="s">
        <v>1525</v>
      </c>
      <c r="AQ462" s="457">
        <v>0.0</v>
      </c>
      <c r="AS462" s="454" t="s">
        <v>1011</v>
      </c>
      <c r="AT462" s="457">
        <v>107.9</v>
      </c>
      <c r="AU462" s="454" t="s">
        <v>1011</v>
      </c>
      <c r="AV462" s="457">
        <v>2.6</v>
      </c>
    </row>
    <row r="463">
      <c r="M463" s="226"/>
      <c r="N463" s="226"/>
      <c r="O463" s="226"/>
      <c r="P463" s="226"/>
      <c r="AN463" s="456" t="s">
        <v>1522</v>
      </c>
      <c r="AO463" s="457">
        <v>0.0</v>
      </c>
      <c r="AP463" s="456" t="s">
        <v>1522</v>
      </c>
      <c r="AQ463" s="457">
        <v>2.0</v>
      </c>
      <c r="AS463" s="454" t="s">
        <v>1043</v>
      </c>
      <c r="AT463" s="457">
        <v>108.0</v>
      </c>
      <c r="AU463" s="454" t="s">
        <v>1043</v>
      </c>
      <c r="AV463" s="457">
        <v>1.5</v>
      </c>
    </row>
    <row r="464">
      <c r="M464" s="226"/>
      <c r="N464" s="226"/>
      <c r="O464" s="226"/>
      <c r="P464" s="226"/>
      <c r="AN464" s="449" t="s">
        <v>2242</v>
      </c>
      <c r="AO464" s="450" t="s">
        <v>2243</v>
      </c>
      <c r="AP464" s="449" t="s">
        <v>2244</v>
      </c>
      <c r="AQ464" s="450" t="s">
        <v>2245</v>
      </c>
      <c r="AS464" s="454" t="s">
        <v>1012</v>
      </c>
      <c r="AT464" s="457">
        <v>107.9</v>
      </c>
      <c r="AU464" s="454" t="s">
        <v>1012</v>
      </c>
      <c r="AV464" s="457">
        <v>2.6</v>
      </c>
    </row>
    <row r="465">
      <c r="M465" s="226"/>
      <c r="N465" s="226"/>
      <c r="O465" s="226"/>
      <c r="P465" s="226"/>
      <c r="AN465" s="456" t="s">
        <v>620</v>
      </c>
      <c r="AO465" s="457">
        <v>1.0</v>
      </c>
      <c r="AP465" s="456" t="s">
        <v>620</v>
      </c>
      <c r="AQ465" s="457">
        <v>0.0</v>
      </c>
      <c r="AS465" s="454" t="s">
        <v>1046</v>
      </c>
      <c r="AT465" s="457">
        <v>103.0</v>
      </c>
      <c r="AU465" s="454" t="s">
        <v>1046</v>
      </c>
      <c r="AV465" s="457">
        <v>2.5</v>
      </c>
    </row>
    <row r="466">
      <c r="M466" s="226"/>
      <c r="N466" s="226"/>
      <c r="O466" s="226"/>
      <c r="P466" s="226"/>
      <c r="AN466" s="456" t="s">
        <v>623</v>
      </c>
      <c r="AO466" s="457">
        <v>1.0</v>
      </c>
      <c r="AP466" s="456" t="s">
        <v>623</v>
      </c>
      <c r="AQ466" s="457">
        <v>0.0</v>
      </c>
      <c r="AS466" s="454" t="s">
        <v>1018</v>
      </c>
      <c r="AT466" s="457">
        <v>103.1</v>
      </c>
      <c r="AU466" s="454" t="s">
        <v>1018</v>
      </c>
      <c r="AV466" s="457">
        <v>2.6</v>
      </c>
    </row>
    <row r="467">
      <c r="M467" s="226"/>
      <c r="N467" s="226"/>
      <c r="O467" s="226"/>
      <c r="P467" s="226"/>
      <c r="AN467" s="456" t="s">
        <v>631</v>
      </c>
      <c r="AO467" s="457">
        <v>1.0</v>
      </c>
      <c r="AP467" s="456" t="s">
        <v>631</v>
      </c>
      <c r="AQ467" s="457">
        <v>0.0</v>
      </c>
      <c r="AS467" s="454" t="s">
        <v>1019</v>
      </c>
      <c r="AT467" s="457">
        <v>100.2</v>
      </c>
      <c r="AU467" s="454" t="s">
        <v>1019</v>
      </c>
      <c r="AV467" s="457">
        <v>2.6</v>
      </c>
    </row>
    <row r="468">
      <c r="M468" s="226"/>
      <c r="N468" s="226"/>
      <c r="O468" s="226"/>
      <c r="P468" s="226"/>
      <c r="AN468" s="456" t="s">
        <v>628</v>
      </c>
      <c r="AO468" s="457">
        <v>1.0</v>
      </c>
      <c r="AP468" s="456" t="s">
        <v>628</v>
      </c>
      <c r="AQ468" s="457">
        <v>0.0</v>
      </c>
      <c r="AS468" s="454" t="s">
        <v>1026</v>
      </c>
      <c r="AT468" s="457">
        <v>100.2</v>
      </c>
      <c r="AU468" s="454" t="s">
        <v>1026</v>
      </c>
      <c r="AV468" s="457">
        <v>2.6</v>
      </c>
    </row>
    <row r="469">
      <c r="M469" s="226"/>
      <c r="N469" s="226"/>
      <c r="O469" s="226"/>
      <c r="P469" s="226"/>
      <c r="AN469" s="497" t="s">
        <v>636</v>
      </c>
      <c r="AO469" s="457">
        <v>0.0</v>
      </c>
      <c r="AP469" s="497" t="s">
        <v>636</v>
      </c>
      <c r="AQ469" s="457">
        <v>1.0</v>
      </c>
      <c r="AS469" s="614" t="s">
        <v>1048</v>
      </c>
      <c r="AT469" s="457">
        <v>103.0</v>
      </c>
      <c r="AU469" s="614" t="s">
        <v>1048</v>
      </c>
      <c r="AV469" s="457">
        <v>1.5</v>
      </c>
    </row>
    <row r="470">
      <c r="M470" s="226"/>
      <c r="N470" s="226"/>
      <c r="O470" s="226"/>
      <c r="P470" s="226"/>
      <c r="AN470" s="456" t="s">
        <v>641</v>
      </c>
      <c r="AO470" s="457">
        <v>1.0</v>
      </c>
      <c r="AP470" s="456" t="s">
        <v>641</v>
      </c>
      <c r="AQ470" s="457">
        <v>0.0</v>
      </c>
      <c r="AS470" s="614" t="s">
        <v>1052</v>
      </c>
      <c r="AT470" s="457">
        <v>100.3</v>
      </c>
      <c r="AU470" s="614" t="s">
        <v>1052</v>
      </c>
      <c r="AV470" s="457">
        <v>1.5</v>
      </c>
    </row>
    <row r="471">
      <c r="M471" s="226"/>
      <c r="N471" s="226"/>
      <c r="O471" s="226"/>
      <c r="P471" s="226"/>
      <c r="AN471" s="456" t="s">
        <v>645</v>
      </c>
      <c r="AO471" s="457">
        <v>0.0</v>
      </c>
      <c r="AP471" s="456" t="s">
        <v>645</v>
      </c>
      <c r="AQ471" s="457">
        <v>1.0</v>
      </c>
      <c r="AS471" s="614" t="s">
        <v>1053</v>
      </c>
      <c r="AT471" s="457">
        <v>100.4</v>
      </c>
      <c r="AU471" s="614" t="s">
        <v>1053</v>
      </c>
      <c r="AV471" s="457">
        <v>1.4</v>
      </c>
    </row>
    <row r="472">
      <c r="M472" s="226"/>
      <c r="N472" s="226"/>
      <c r="O472" s="226"/>
      <c r="P472" s="226"/>
      <c r="AN472" s="505" t="s">
        <v>638</v>
      </c>
      <c r="AO472" s="508">
        <v>1.0</v>
      </c>
      <c r="AP472" s="505" t="s">
        <v>638</v>
      </c>
      <c r="AQ472" s="508">
        <v>0.0</v>
      </c>
      <c r="AS472" s="454" t="s">
        <v>1020</v>
      </c>
      <c r="AT472" s="457">
        <v>100.2</v>
      </c>
      <c r="AU472" s="454" t="s">
        <v>1020</v>
      </c>
      <c r="AV472" s="457">
        <v>2.7</v>
      </c>
    </row>
    <row r="473">
      <c r="M473" s="226"/>
      <c r="N473" s="226"/>
      <c r="O473" s="226"/>
      <c r="P473" s="226"/>
      <c r="AN473" s="510" t="s">
        <v>648</v>
      </c>
      <c r="AO473" s="508">
        <v>1.0</v>
      </c>
      <c r="AP473" s="510" t="s">
        <v>648</v>
      </c>
      <c r="AQ473" s="508">
        <v>0.0</v>
      </c>
      <c r="AS473" s="454" t="s">
        <v>1022</v>
      </c>
      <c r="AT473" s="457">
        <v>100.2</v>
      </c>
      <c r="AU473" s="454" t="s">
        <v>1022</v>
      </c>
      <c r="AV473" s="457">
        <v>2.8</v>
      </c>
    </row>
    <row r="474">
      <c r="M474" s="226"/>
      <c r="N474" s="226"/>
      <c r="O474" s="226"/>
      <c r="P474" s="226"/>
      <c r="AN474" s="510" t="s">
        <v>652</v>
      </c>
      <c r="AO474" s="508">
        <v>1.0</v>
      </c>
      <c r="AP474" s="510" t="s">
        <v>652</v>
      </c>
      <c r="AQ474" s="508">
        <v>0.0</v>
      </c>
      <c r="AS474" s="454" t="s">
        <v>1031</v>
      </c>
      <c r="AT474" s="536">
        <v>97.6</v>
      </c>
      <c r="AU474" s="515" t="s">
        <v>1031</v>
      </c>
      <c r="AV474" s="457">
        <v>2.7</v>
      </c>
    </row>
    <row r="475">
      <c r="M475" s="226"/>
      <c r="N475" s="226"/>
      <c r="O475" s="226"/>
      <c r="P475" s="226"/>
      <c r="AN475" s="510" t="s">
        <v>655</v>
      </c>
      <c r="AO475" s="650">
        <v>0.0</v>
      </c>
      <c r="AP475" s="510" t="s">
        <v>655</v>
      </c>
      <c r="AQ475" s="508">
        <v>1.0</v>
      </c>
      <c r="AS475" s="454" t="s">
        <v>1033</v>
      </c>
      <c r="AT475" s="536">
        <v>97.7</v>
      </c>
      <c r="AU475" s="515" t="s">
        <v>1033</v>
      </c>
      <c r="AV475" s="457">
        <v>2.6</v>
      </c>
    </row>
    <row r="476">
      <c r="M476" s="226"/>
      <c r="N476" s="226"/>
      <c r="O476" s="226"/>
      <c r="P476" s="226"/>
      <c r="AS476" s="454" t="s">
        <v>1035</v>
      </c>
      <c r="AT476" s="536">
        <v>96.5</v>
      </c>
      <c r="AU476" s="515" t="s">
        <v>1035</v>
      </c>
      <c r="AV476" s="457">
        <v>2.7</v>
      </c>
    </row>
    <row r="477">
      <c r="M477" s="226"/>
      <c r="N477" s="226"/>
      <c r="O477" s="226"/>
      <c r="P477" s="226"/>
      <c r="AN477" s="449" t="s">
        <v>2020</v>
      </c>
      <c r="AO477" s="450" t="s">
        <v>2258</v>
      </c>
      <c r="AP477" s="449" t="s">
        <v>2020</v>
      </c>
      <c r="AQ477" s="450" t="s">
        <v>2259</v>
      </c>
      <c r="AS477" s="454" t="s">
        <v>1055</v>
      </c>
      <c r="AT477" s="457">
        <v>97.6</v>
      </c>
      <c r="AU477" s="454" t="s">
        <v>1055</v>
      </c>
      <c r="AV477" s="457">
        <v>2.7</v>
      </c>
    </row>
    <row r="478">
      <c r="M478" s="226"/>
      <c r="N478" s="226"/>
      <c r="O478" s="226"/>
      <c r="P478" s="226"/>
      <c r="AN478" s="454" t="s">
        <v>725</v>
      </c>
      <c r="AO478" s="457">
        <v>0.0</v>
      </c>
      <c r="AP478" s="454" t="s">
        <v>725</v>
      </c>
      <c r="AQ478" s="457">
        <v>1.0</v>
      </c>
    </row>
    <row r="479">
      <c r="M479" s="226"/>
      <c r="N479" s="226"/>
      <c r="O479" s="226"/>
      <c r="P479" s="226"/>
      <c r="AN479" s="454" t="s">
        <v>726</v>
      </c>
      <c r="AO479" s="457">
        <v>0.0</v>
      </c>
      <c r="AP479" s="454" t="s">
        <v>726</v>
      </c>
      <c r="AQ479" s="457">
        <v>0.0</v>
      </c>
    </row>
    <row r="480">
      <c r="M480" s="226"/>
      <c r="N480" s="226"/>
      <c r="O480" s="226"/>
      <c r="P480" s="226"/>
      <c r="AN480" s="454" t="s">
        <v>728</v>
      </c>
      <c r="AO480" s="457">
        <v>0.0</v>
      </c>
      <c r="AP480" s="454" t="s">
        <v>728</v>
      </c>
      <c r="AQ480" s="457">
        <v>0.0</v>
      </c>
      <c r="AS480" s="449" t="s">
        <v>2110</v>
      </c>
      <c r="AT480" s="450" t="s">
        <v>2377</v>
      </c>
      <c r="AU480" s="449" t="s">
        <v>2110</v>
      </c>
      <c r="AV480" s="450" t="s">
        <v>2378</v>
      </c>
      <c r="AW480" s="449" t="s">
        <v>2110</v>
      </c>
      <c r="AX480" s="450" t="s">
        <v>2379</v>
      </c>
    </row>
    <row r="481">
      <c r="M481" s="226"/>
      <c r="N481" s="226"/>
      <c r="O481" s="226"/>
      <c r="P481" s="226"/>
      <c r="AN481" s="454" t="s">
        <v>729</v>
      </c>
      <c r="AO481" s="457">
        <v>1.0</v>
      </c>
      <c r="AP481" s="454" t="s">
        <v>729</v>
      </c>
      <c r="AQ481" s="457">
        <v>0.0</v>
      </c>
      <c r="AS481" s="454" t="s">
        <v>1126</v>
      </c>
      <c r="AT481" s="457">
        <v>148.7</v>
      </c>
      <c r="AU481" s="454" t="s">
        <v>1126</v>
      </c>
      <c r="AV481" s="457">
        <v>3.4</v>
      </c>
      <c r="AW481" s="454" t="s">
        <v>1126</v>
      </c>
      <c r="AX481" s="457">
        <v>15.0</v>
      </c>
    </row>
    <row r="482">
      <c r="M482" s="226"/>
      <c r="N482" s="226"/>
      <c r="O482" s="226"/>
      <c r="P482" s="226"/>
      <c r="AN482" s="454" t="s">
        <v>732</v>
      </c>
      <c r="AO482" s="537">
        <v>0.0</v>
      </c>
      <c r="AP482" s="454" t="s">
        <v>732</v>
      </c>
      <c r="AQ482" s="457">
        <v>0.0</v>
      </c>
      <c r="AS482" s="454" t="s">
        <v>1127</v>
      </c>
      <c r="AT482" s="457">
        <v>140.3</v>
      </c>
      <c r="AU482" s="454" t="s">
        <v>1127</v>
      </c>
      <c r="AV482" s="457">
        <v>3.6</v>
      </c>
      <c r="AW482" s="454" t="s">
        <v>1127</v>
      </c>
      <c r="AX482" s="457">
        <v>15.0</v>
      </c>
    </row>
    <row r="483">
      <c r="M483" s="226"/>
      <c r="N483" s="226"/>
      <c r="O483" s="226"/>
      <c r="P483" s="226"/>
      <c r="AN483" s="454" t="s">
        <v>734</v>
      </c>
      <c r="AO483" s="537">
        <v>1.0</v>
      </c>
      <c r="AP483" s="454" t="s">
        <v>734</v>
      </c>
      <c r="AQ483" s="457">
        <v>0.0</v>
      </c>
      <c r="AS483" s="454" t="s">
        <v>1130</v>
      </c>
      <c r="AT483" s="457">
        <v>140.4</v>
      </c>
      <c r="AU483" s="454" t="s">
        <v>1130</v>
      </c>
      <c r="AV483" s="457">
        <v>3.5</v>
      </c>
      <c r="AW483" s="454" t="s">
        <v>1130</v>
      </c>
      <c r="AX483" s="457">
        <v>0.0</v>
      </c>
    </row>
    <row r="484">
      <c r="M484" s="226"/>
      <c r="N484" s="226"/>
      <c r="O484" s="226"/>
      <c r="P484" s="226"/>
      <c r="AS484" s="454" t="s">
        <v>1128</v>
      </c>
      <c r="AT484" s="457">
        <v>138.0</v>
      </c>
      <c r="AU484" s="454" t="s">
        <v>1128</v>
      </c>
      <c r="AV484" s="457">
        <v>3.5</v>
      </c>
      <c r="AW484" s="454" t="s">
        <v>1128</v>
      </c>
      <c r="AX484" s="457">
        <v>15.0</v>
      </c>
    </row>
    <row r="485">
      <c r="M485" s="226"/>
      <c r="N485" s="226"/>
      <c r="O485" s="226"/>
      <c r="P485" s="226"/>
      <c r="AN485" s="449" t="s">
        <v>2036</v>
      </c>
      <c r="AO485" s="450" t="s">
        <v>2271</v>
      </c>
      <c r="AP485" s="449" t="s">
        <v>2036</v>
      </c>
      <c r="AQ485" s="450" t="s">
        <v>2272</v>
      </c>
      <c r="AS485" s="454" t="s">
        <v>1132</v>
      </c>
      <c r="AT485" s="457">
        <v>134.2</v>
      </c>
      <c r="AU485" s="454" t="s">
        <v>1132</v>
      </c>
      <c r="AV485" s="457">
        <v>3.6</v>
      </c>
      <c r="AW485" s="454" t="s">
        <v>1132</v>
      </c>
      <c r="AX485" s="457">
        <v>15.0</v>
      </c>
    </row>
    <row r="486">
      <c r="M486" s="226"/>
      <c r="N486" s="226"/>
      <c r="O486" s="226"/>
      <c r="P486" s="226"/>
      <c r="AN486" s="454" t="s">
        <v>743</v>
      </c>
      <c r="AO486" s="537">
        <v>3.0</v>
      </c>
      <c r="AP486" s="454" t="s">
        <v>743</v>
      </c>
      <c r="AQ486" s="537">
        <v>0.0</v>
      </c>
      <c r="AS486" s="454" t="s">
        <v>1137</v>
      </c>
      <c r="AT486" s="457">
        <v>130.4</v>
      </c>
      <c r="AU486" s="454" t="s">
        <v>1137</v>
      </c>
      <c r="AV486" s="457">
        <v>3.6</v>
      </c>
      <c r="AW486" s="454" t="s">
        <v>1137</v>
      </c>
      <c r="AX486" s="457">
        <v>15.0</v>
      </c>
    </row>
    <row r="487">
      <c r="M487" s="226"/>
      <c r="N487" s="226"/>
      <c r="O487" s="226"/>
      <c r="P487" s="226"/>
      <c r="AN487" s="454" t="s">
        <v>746</v>
      </c>
      <c r="AO487" s="537">
        <v>3.0</v>
      </c>
      <c r="AP487" s="454" t="s">
        <v>746</v>
      </c>
      <c r="AQ487" s="537">
        <v>0.0</v>
      </c>
      <c r="AS487" s="454" t="s">
        <v>1139</v>
      </c>
      <c r="AT487" s="457">
        <v>126.9</v>
      </c>
      <c r="AU487" s="454" t="s">
        <v>1139</v>
      </c>
      <c r="AV487" s="457">
        <v>3.6</v>
      </c>
      <c r="AW487" s="454" t="s">
        <v>1139</v>
      </c>
      <c r="AX487" s="457">
        <v>15.0</v>
      </c>
    </row>
    <row r="488">
      <c r="M488" s="226"/>
      <c r="N488" s="226"/>
      <c r="O488" s="226"/>
      <c r="P488" s="226"/>
      <c r="AN488" s="454" t="s">
        <v>749</v>
      </c>
      <c r="AO488" s="537">
        <v>2.0</v>
      </c>
      <c r="AP488" s="454" t="s">
        <v>749</v>
      </c>
      <c r="AQ488" s="537">
        <v>1.0</v>
      </c>
      <c r="AS488" s="454" t="s">
        <v>1145</v>
      </c>
      <c r="AT488" s="457">
        <v>126.9</v>
      </c>
      <c r="AU488" s="454" t="s">
        <v>1145</v>
      </c>
      <c r="AV488" s="457">
        <v>3.6</v>
      </c>
      <c r="AW488" s="454" t="s">
        <v>1145</v>
      </c>
      <c r="AX488" s="457">
        <v>15.0</v>
      </c>
    </row>
    <row r="489">
      <c r="M489" s="226"/>
      <c r="N489" s="226"/>
      <c r="O489" s="226"/>
      <c r="P489" s="226"/>
      <c r="AN489" s="454" t="s">
        <v>751</v>
      </c>
      <c r="AO489" s="537">
        <v>1.0</v>
      </c>
      <c r="AP489" s="454" t="s">
        <v>751</v>
      </c>
      <c r="AQ489" s="537">
        <v>2.0</v>
      </c>
      <c r="AS489" s="614" t="s">
        <v>1136</v>
      </c>
      <c r="AT489" s="457">
        <v>130.4</v>
      </c>
      <c r="AU489" s="614" t="s">
        <v>1136</v>
      </c>
      <c r="AV489" s="457">
        <v>3.7</v>
      </c>
      <c r="AW489" s="614" t="s">
        <v>1136</v>
      </c>
      <c r="AX489" s="457">
        <v>0.0</v>
      </c>
    </row>
    <row r="490">
      <c r="M490" s="226"/>
      <c r="N490" s="226"/>
      <c r="O490" s="226"/>
      <c r="P490" s="226"/>
      <c r="AN490" s="454" t="s">
        <v>754</v>
      </c>
      <c r="AO490" s="537">
        <v>2.0</v>
      </c>
      <c r="AP490" s="454" t="s">
        <v>754</v>
      </c>
      <c r="AQ490" s="537">
        <v>1.0</v>
      </c>
      <c r="AS490" s="652"/>
      <c r="AU490" s="652"/>
    </row>
    <row r="491">
      <c r="M491" s="226"/>
      <c r="N491" s="226"/>
      <c r="O491" s="226"/>
      <c r="P491" s="226"/>
      <c r="AN491" s="454" t="s">
        <v>757</v>
      </c>
      <c r="AO491" s="537">
        <v>3.0</v>
      </c>
      <c r="AP491" s="454" t="s">
        <v>757</v>
      </c>
      <c r="AQ491" s="537">
        <v>0.0</v>
      </c>
      <c r="AS491" s="652"/>
      <c r="AU491" s="652"/>
    </row>
    <row r="492">
      <c r="M492" s="226"/>
      <c r="N492" s="226"/>
      <c r="O492" s="226"/>
      <c r="P492" s="226"/>
      <c r="AN492" s="454" t="s">
        <v>758</v>
      </c>
      <c r="AO492" s="537">
        <v>3.0</v>
      </c>
      <c r="AP492" s="454" t="s">
        <v>758</v>
      </c>
      <c r="AQ492" s="537">
        <v>0.0</v>
      </c>
      <c r="AS492" s="652"/>
      <c r="AU492" s="652"/>
    </row>
    <row r="493">
      <c r="M493" s="226"/>
      <c r="N493" s="226"/>
      <c r="O493" s="226"/>
      <c r="P493" s="226"/>
      <c r="AN493" s="454" t="s">
        <v>759</v>
      </c>
      <c r="AO493" s="537">
        <v>2.0</v>
      </c>
      <c r="AP493" s="454" t="s">
        <v>759</v>
      </c>
      <c r="AQ493" s="537">
        <v>1.0</v>
      </c>
      <c r="AS493" s="652"/>
      <c r="AU493" s="652"/>
    </row>
    <row r="494">
      <c r="M494" s="226"/>
      <c r="N494" s="226"/>
      <c r="O494" s="226"/>
      <c r="P494" s="226"/>
      <c r="AN494" s="454" t="s">
        <v>760</v>
      </c>
      <c r="AO494" s="537">
        <v>3.0</v>
      </c>
      <c r="AP494" s="454" t="s">
        <v>760</v>
      </c>
      <c r="AQ494" s="537">
        <v>0.0</v>
      </c>
      <c r="AS494" s="652"/>
      <c r="AU494" s="652"/>
    </row>
    <row r="495">
      <c r="M495" s="226"/>
      <c r="N495" s="226"/>
      <c r="O495" s="226"/>
      <c r="P495" s="226"/>
      <c r="AN495" s="454" t="s">
        <v>763</v>
      </c>
      <c r="AO495" s="537">
        <v>0.0</v>
      </c>
      <c r="AP495" s="454" t="s">
        <v>763</v>
      </c>
      <c r="AQ495" s="537">
        <v>0.0</v>
      </c>
      <c r="AS495" s="449" t="s">
        <v>2110</v>
      </c>
      <c r="AT495" s="449" t="s">
        <v>2380</v>
      </c>
      <c r="AU495" s="449" t="s">
        <v>2110</v>
      </c>
      <c r="AV495" s="449" t="s">
        <v>2378</v>
      </c>
    </row>
    <row r="496">
      <c r="M496" s="226"/>
      <c r="N496" s="226"/>
      <c r="O496" s="226"/>
      <c r="P496" s="226"/>
      <c r="AN496" s="454" t="s">
        <v>764</v>
      </c>
      <c r="AO496" s="537">
        <v>3.0</v>
      </c>
      <c r="AP496" s="454" t="s">
        <v>764</v>
      </c>
      <c r="AQ496" s="537">
        <v>0.0</v>
      </c>
      <c r="AS496" s="454" t="s">
        <v>1126</v>
      </c>
      <c r="AT496" s="456">
        <v>505.5</v>
      </c>
      <c r="AU496" s="454" t="s">
        <v>1126</v>
      </c>
      <c r="AV496" s="456">
        <v>3.4</v>
      </c>
    </row>
    <row r="497">
      <c r="M497" s="226"/>
      <c r="N497" s="226"/>
      <c r="O497" s="226"/>
      <c r="P497" s="226"/>
      <c r="AN497" s="454" t="s">
        <v>2059</v>
      </c>
      <c r="AO497" s="537">
        <v>3.0</v>
      </c>
      <c r="AP497" s="454" t="s">
        <v>2059</v>
      </c>
      <c r="AQ497" s="537">
        <v>0.0</v>
      </c>
      <c r="AS497" s="454" t="s">
        <v>1127</v>
      </c>
      <c r="AT497" s="456">
        <v>505.0</v>
      </c>
      <c r="AU497" s="454" t="s">
        <v>1127</v>
      </c>
      <c r="AV497" s="456">
        <v>3.6</v>
      </c>
    </row>
    <row r="498">
      <c r="M498" s="226"/>
      <c r="N498" s="226"/>
      <c r="O498" s="226"/>
      <c r="P498" s="226"/>
      <c r="AN498" s="454" t="s">
        <v>1420</v>
      </c>
      <c r="AO498" s="537">
        <v>3.0</v>
      </c>
      <c r="AP498" s="454" t="s">
        <v>1420</v>
      </c>
      <c r="AQ498" s="537">
        <v>0.0</v>
      </c>
      <c r="AS498" s="454" t="s">
        <v>1130</v>
      </c>
      <c r="AT498" s="456">
        <v>491.5</v>
      </c>
      <c r="AU498" s="454" t="s">
        <v>1130</v>
      </c>
      <c r="AV498" s="456">
        <v>3.5</v>
      </c>
    </row>
    <row r="499">
      <c r="M499" s="226"/>
      <c r="N499" s="226"/>
      <c r="O499" s="226"/>
      <c r="P499" s="226"/>
      <c r="AS499" s="454" t="s">
        <v>1128</v>
      </c>
      <c r="AT499" s="456">
        <v>483.0</v>
      </c>
      <c r="AU499" s="454" t="s">
        <v>1128</v>
      </c>
      <c r="AV499" s="456">
        <v>3.5</v>
      </c>
    </row>
    <row r="500">
      <c r="M500" s="226"/>
      <c r="N500" s="226"/>
      <c r="O500" s="226"/>
      <c r="P500" s="226"/>
      <c r="AN500" s="449" t="s">
        <v>2062</v>
      </c>
      <c r="AO500" s="450" t="s">
        <v>2281</v>
      </c>
      <c r="AP500" s="449" t="s">
        <v>2062</v>
      </c>
      <c r="AQ500" s="450" t="s">
        <v>2282</v>
      </c>
      <c r="AS500" s="454" t="s">
        <v>1132</v>
      </c>
      <c r="AT500" s="456">
        <v>483.0</v>
      </c>
      <c r="AU500" s="454" t="s">
        <v>1132</v>
      </c>
      <c r="AV500" s="456">
        <v>3.6</v>
      </c>
    </row>
    <row r="501">
      <c r="M501" s="226"/>
      <c r="N501" s="226"/>
      <c r="O501" s="226"/>
      <c r="P501" s="226"/>
      <c r="AN501" s="454" t="s">
        <v>1008</v>
      </c>
      <c r="AO501" s="457">
        <v>0.0</v>
      </c>
      <c r="AP501" s="454" t="s">
        <v>1008</v>
      </c>
      <c r="AQ501" s="457">
        <v>2.0</v>
      </c>
      <c r="AS501" s="454" t="s">
        <v>1137</v>
      </c>
      <c r="AT501" s="25">
        <v>469.5</v>
      </c>
      <c r="AU501" s="454" t="s">
        <v>1137</v>
      </c>
      <c r="AV501" s="25">
        <v>3.6</v>
      </c>
    </row>
    <row r="502">
      <c r="M502" s="226"/>
      <c r="N502" s="226"/>
      <c r="O502" s="226"/>
      <c r="P502" s="226"/>
      <c r="AN502" s="454" t="s">
        <v>1009</v>
      </c>
      <c r="AO502" s="457">
        <v>0.0</v>
      </c>
      <c r="AP502" s="454" t="s">
        <v>1009</v>
      </c>
      <c r="AQ502" s="457">
        <v>0.0</v>
      </c>
      <c r="AS502" s="454" t="s">
        <v>1139</v>
      </c>
      <c r="AT502" s="456">
        <v>457.0</v>
      </c>
      <c r="AU502" s="454" t="s">
        <v>1139</v>
      </c>
      <c r="AV502" s="456">
        <v>3.6</v>
      </c>
    </row>
    <row r="503">
      <c r="M503" s="226"/>
      <c r="N503" s="226"/>
      <c r="O503" s="226"/>
      <c r="P503" s="226"/>
      <c r="AN503" s="454" t="s">
        <v>1011</v>
      </c>
      <c r="AO503" s="457">
        <v>0.0</v>
      </c>
      <c r="AP503" s="454" t="s">
        <v>1011</v>
      </c>
      <c r="AQ503" s="457">
        <v>0.0</v>
      </c>
      <c r="AS503" s="454" t="s">
        <v>1145</v>
      </c>
      <c r="AT503" s="456">
        <v>457.0</v>
      </c>
      <c r="AU503" s="454" t="s">
        <v>1145</v>
      </c>
      <c r="AV503" s="456">
        <v>3.6</v>
      </c>
    </row>
    <row r="504">
      <c r="M504" s="226"/>
      <c r="N504" s="226"/>
      <c r="O504" s="226"/>
      <c r="P504" s="226"/>
      <c r="AN504" s="454" t="s">
        <v>1012</v>
      </c>
      <c r="AO504" s="457">
        <v>0.0</v>
      </c>
      <c r="AP504" s="454" t="s">
        <v>1012</v>
      </c>
      <c r="AQ504" s="457">
        <v>0.0</v>
      </c>
      <c r="AS504" s="614" t="s">
        <v>1136</v>
      </c>
      <c r="AT504" s="456">
        <v>482.5</v>
      </c>
      <c r="AU504" s="614" t="s">
        <v>1136</v>
      </c>
      <c r="AV504" s="456">
        <v>3.7</v>
      </c>
    </row>
    <row r="505">
      <c r="M505" s="226"/>
      <c r="N505" s="226"/>
      <c r="O505" s="226"/>
      <c r="P505" s="226"/>
      <c r="AN505" s="454" t="s">
        <v>1013</v>
      </c>
      <c r="AO505" s="457">
        <v>0.0</v>
      </c>
      <c r="AP505" s="454" t="s">
        <v>1013</v>
      </c>
      <c r="AQ505" s="457">
        <v>0.0</v>
      </c>
      <c r="AS505" s="653" t="s">
        <v>1158</v>
      </c>
      <c r="AT505" s="25">
        <v>427.0</v>
      </c>
      <c r="AU505" s="653" t="s">
        <v>1158</v>
      </c>
      <c r="AV505" s="25">
        <v>3.6</v>
      </c>
    </row>
    <row r="506">
      <c r="M506" s="226"/>
      <c r="N506" s="226"/>
      <c r="O506" s="226"/>
      <c r="P506" s="226"/>
      <c r="AN506" s="454" t="s">
        <v>1018</v>
      </c>
      <c r="AO506" s="457">
        <v>0.0</v>
      </c>
      <c r="AP506" s="454" t="s">
        <v>1018</v>
      </c>
      <c r="AQ506" s="457">
        <v>0.0</v>
      </c>
      <c r="AS506" s="653" t="s">
        <v>1160</v>
      </c>
      <c r="AT506" s="25">
        <v>431.5</v>
      </c>
      <c r="AU506" s="653" t="s">
        <v>1160</v>
      </c>
      <c r="AV506" s="25">
        <v>3.6</v>
      </c>
    </row>
    <row r="507">
      <c r="M507" s="226"/>
      <c r="N507" s="226"/>
      <c r="O507" s="226"/>
      <c r="P507" s="226"/>
      <c r="AN507" s="454" t="s">
        <v>1055</v>
      </c>
      <c r="AO507" s="457">
        <v>0.0</v>
      </c>
      <c r="AP507" s="454" t="s">
        <v>1055</v>
      </c>
      <c r="AQ507" s="457">
        <v>0.0</v>
      </c>
      <c r="AS507" s="653" t="s">
        <v>2381</v>
      </c>
      <c r="AT507" s="25">
        <v>464.5</v>
      </c>
      <c r="AU507" s="653" t="s">
        <v>2381</v>
      </c>
      <c r="AV507" s="25">
        <v>3.7</v>
      </c>
    </row>
    <row r="508">
      <c r="M508" s="226"/>
      <c r="N508" s="226"/>
      <c r="O508" s="226"/>
      <c r="P508" s="226"/>
      <c r="AN508" s="454" t="s">
        <v>1019</v>
      </c>
      <c r="AO508" s="457">
        <v>0.0</v>
      </c>
      <c r="AP508" s="454" t="s">
        <v>1019</v>
      </c>
      <c r="AQ508" s="457">
        <v>0.0</v>
      </c>
      <c r="AS508" s="653" t="s">
        <v>1142</v>
      </c>
      <c r="AT508" s="25">
        <v>456.5</v>
      </c>
      <c r="AU508" s="653" t="s">
        <v>1142</v>
      </c>
      <c r="AV508" s="25">
        <v>3.5</v>
      </c>
    </row>
    <row r="509">
      <c r="M509" s="226"/>
      <c r="N509" s="226"/>
      <c r="O509" s="226"/>
      <c r="P509" s="226"/>
      <c r="AN509" s="454" t="s">
        <v>1026</v>
      </c>
      <c r="AO509" s="457">
        <v>0.0</v>
      </c>
      <c r="AP509" s="454" t="s">
        <v>1026</v>
      </c>
      <c r="AQ509" s="457">
        <v>0.0</v>
      </c>
      <c r="AS509" s="653" t="s">
        <v>1162</v>
      </c>
      <c r="AT509" s="25">
        <v>443.0</v>
      </c>
      <c r="AU509" s="653" t="s">
        <v>1162</v>
      </c>
      <c r="AV509" s="25">
        <v>3.7</v>
      </c>
    </row>
    <row r="510">
      <c r="M510" s="226"/>
      <c r="N510" s="226"/>
      <c r="O510" s="226"/>
      <c r="P510" s="226"/>
      <c r="AN510" s="454" t="s">
        <v>1024</v>
      </c>
      <c r="AO510" s="457">
        <v>0.0</v>
      </c>
      <c r="AP510" s="454" t="s">
        <v>1024</v>
      </c>
      <c r="AQ510" s="457">
        <v>0.0</v>
      </c>
      <c r="AS510" s="652"/>
      <c r="AU510" s="652"/>
    </row>
    <row r="511">
      <c r="M511" s="226"/>
      <c r="N511" s="226"/>
      <c r="O511" s="226"/>
      <c r="P511" s="226"/>
      <c r="AN511" s="454" t="s">
        <v>1020</v>
      </c>
      <c r="AO511" s="457">
        <v>0.0</v>
      </c>
      <c r="AP511" s="454" t="s">
        <v>1020</v>
      </c>
      <c r="AQ511" s="457">
        <v>0.0</v>
      </c>
      <c r="AS511" s="652"/>
      <c r="AU511" s="652"/>
    </row>
    <row r="512">
      <c r="M512" s="226"/>
      <c r="N512" s="226"/>
      <c r="O512" s="226"/>
      <c r="P512" s="226"/>
      <c r="AN512" s="454" t="s">
        <v>1022</v>
      </c>
      <c r="AO512" s="457">
        <v>0.0</v>
      </c>
      <c r="AP512" s="454" t="s">
        <v>1022</v>
      </c>
      <c r="AQ512" s="457">
        <v>0.0</v>
      </c>
      <c r="AS512" s="652"/>
      <c r="AU512" s="652"/>
    </row>
    <row r="513">
      <c r="M513" s="226"/>
      <c r="N513" s="226"/>
      <c r="O513" s="226"/>
      <c r="P513" s="226"/>
      <c r="AN513" s="454" t="s">
        <v>1028</v>
      </c>
      <c r="AO513" s="536">
        <v>0.0</v>
      </c>
      <c r="AP513" s="515" t="s">
        <v>1028</v>
      </c>
      <c r="AQ513" s="457">
        <v>0.0</v>
      </c>
      <c r="AS513" s="652"/>
      <c r="AU513" s="652"/>
    </row>
    <row r="514">
      <c r="M514" s="226"/>
      <c r="N514" s="226"/>
      <c r="O514" s="226"/>
      <c r="P514" s="226"/>
      <c r="AN514" s="454" t="s">
        <v>1031</v>
      </c>
      <c r="AO514" s="536">
        <v>0.0</v>
      </c>
      <c r="AP514" s="515" t="s">
        <v>1031</v>
      </c>
      <c r="AQ514" s="457">
        <v>0.0</v>
      </c>
      <c r="AS514" s="652"/>
      <c r="AU514" s="652"/>
    </row>
    <row r="515">
      <c r="M515" s="226"/>
      <c r="N515" s="226"/>
      <c r="O515" s="226"/>
      <c r="P515" s="226"/>
      <c r="AN515" s="454" t="s">
        <v>1033</v>
      </c>
      <c r="AO515" s="536">
        <v>0.0</v>
      </c>
      <c r="AP515" s="515" t="s">
        <v>1033</v>
      </c>
      <c r="AQ515" s="457">
        <v>0.0</v>
      </c>
      <c r="AS515" s="652"/>
      <c r="AU515" s="652"/>
    </row>
    <row r="516">
      <c r="M516" s="226"/>
      <c r="N516" s="226"/>
      <c r="O516" s="226"/>
      <c r="P516" s="226"/>
      <c r="AN516" s="454" t="s">
        <v>1035</v>
      </c>
      <c r="AO516" s="536">
        <v>0.0</v>
      </c>
      <c r="AP516" s="515" t="s">
        <v>1035</v>
      </c>
      <c r="AQ516" s="457">
        <v>0.0</v>
      </c>
      <c r="AS516" s="652"/>
      <c r="AU516" s="652"/>
    </row>
    <row r="517">
      <c r="M517" s="226"/>
      <c r="N517" s="226"/>
      <c r="O517" s="226"/>
      <c r="P517" s="226"/>
      <c r="AS517" s="652"/>
      <c r="AU517" s="652"/>
    </row>
    <row r="518">
      <c r="M518" s="226"/>
      <c r="N518" s="226"/>
      <c r="O518" s="226"/>
      <c r="P518" s="226"/>
      <c r="AS518" s="652"/>
      <c r="AU518" s="652"/>
    </row>
    <row r="519">
      <c r="M519" s="226"/>
      <c r="N519" s="226"/>
      <c r="O519" s="226"/>
      <c r="P519" s="226"/>
      <c r="AN519" s="449" t="s">
        <v>2084</v>
      </c>
      <c r="AO519" s="450" t="s">
        <v>2291</v>
      </c>
      <c r="AP519" s="449" t="s">
        <v>2084</v>
      </c>
      <c r="AQ519" s="450" t="s">
        <v>2292</v>
      </c>
      <c r="AS519" s="652"/>
      <c r="AU519" s="652"/>
    </row>
    <row r="520">
      <c r="M520" s="226"/>
      <c r="N520" s="226"/>
      <c r="O520" s="226"/>
      <c r="P520" s="226"/>
      <c r="AN520" s="454" t="s">
        <v>1041</v>
      </c>
      <c r="AO520" s="457">
        <v>2.0</v>
      </c>
      <c r="AP520" s="454" t="s">
        <v>1041</v>
      </c>
      <c r="AQ520" s="457">
        <v>0.0</v>
      </c>
      <c r="AS520" s="652"/>
      <c r="AU520" s="652"/>
    </row>
    <row r="521">
      <c r="M521" s="226"/>
      <c r="N521" s="226"/>
      <c r="O521" s="226"/>
      <c r="P521" s="226"/>
      <c r="AN521" s="454" t="s">
        <v>1009</v>
      </c>
      <c r="AO521" s="457">
        <v>0.0</v>
      </c>
      <c r="AP521" s="454" t="s">
        <v>1009</v>
      </c>
      <c r="AQ521" s="457">
        <v>0.0</v>
      </c>
      <c r="AS521" s="652"/>
      <c r="AU521" s="652"/>
    </row>
    <row r="522">
      <c r="M522" s="226"/>
      <c r="N522" s="226"/>
      <c r="O522" s="226"/>
      <c r="P522" s="226"/>
      <c r="AN522" s="454" t="s">
        <v>1042</v>
      </c>
      <c r="AO522" s="457">
        <v>0.0</v>
      </c>
      <c r="AP522" s="454" t="s">
        <v>1042</v>
      </c>
      <c r="AQ522" s="457">
        <v>0.0</v>
      </c>
      <c r="AS522" s="652"/>
      <c r="AU522" s="652"/>
    </row>
    <row r="523">
      <c r="M523" s="226"/>
      <c r="N523" s="226"/>
      <c r="O523" s="226"/>
      <c r="P523" s="226"/>
      <c r="AN523" s="454" t="s">
        <v>1011</v>
      </c>
      <c r="AO523" s="457">
        <v>0.0</v>
      </c>
      <c r="AP523" s="454" t="s">
        <v>1011</v>
      </c>
      <c r="AQ523" s="457">
        <v>0.0</v>
      </c>
      <c r="AS523" s="652"/>
      <c r="AU523" s="652"/>
    </row>
    <row r="524">
      <c r="M524" s="226"/>
      <c r="N524" s="226"/>
      <c r="O524" s="226"/>
      <c r="P524" s="226"/>
      <c r="AN524" s="454" t="s">
        <v>1043</v>
      </c>
      <c r="AO524" s="457">
        <v>0.0</v>
      </c>
      <c r="AP524" s="454" t="s">
        <v>1043</v>
      </c>
      <c r="AQ524" s="457">
        <v>0.0</v>
      </c>
      <c r="AS524" s="652"/>
      <c r="AU524" s="652"/>
    </row>
    <row r="525">
      <c r="M525" s="226"/>
      <c r="N525" s="226"/>
      <c r="O525" s="226"/>
      <c r="P525" s="226"/>
      <c r="AN525" s="454" t="s">
        <v>1012</v>
      </c>
      <c r="AO525" s="457">
        <v>0.0</v>
      </c>
      <c r="AP525" s="454" t="s">
        <v>1012</v>
      </c>
      <c r="AQ525" s="457">
        <v>0.0</v>
      </c>
      <c r="AS525" s="652"/>
      <c r="AU525" s="652"/>
    </row>
    <row r="526">
      <c r="M526" s="226"/>
      <c r="N526" s="226"/>
      <c r="O526" s="226"/>
      <c r="P526" s="226"/>
      <c r="AN526" s="454" t="s">
        <v>1046</v>
      </c>
      <c r="AO526" s="457">
        <v>0.0</v>
      </c>
      <c r="AP526" s="454" t="s">
        <v>1046</v>
      </c>
      <c r="AQ526" s="457">
        <v>0.0</v>
      </c>
      <c r="AS526" s="652"/>
      <c r="AU526" s="652"/>
    </row>
    <row r="527">
      <c r="M527" s="226"/>
      <c r="N527" s="226"/>
      <c r="O527" s="226"/>
      <c r="P527" s="226"/>
      <c r="AN527" s="454" t="s">
        <v>1018</v>
      </c>
      <c r="AO527" s="457">
        <v>0.0</v>
      </c>
      <c r="AP527" s="454" t="s">
        <v>1018</v>
      </c>
      <c r="AQ527" s="457">
        <v>0.0</v>
      </c>
      <c r="AS527" s="652"/>
      <c r="AU527" s="652"/>
    </row>
    <row r="528">
      <c r="M528" s="226"/>
      <c r="N528" s="226"/>
      <c r="O528" s="226"/>
      <c r="P528" s="226"/>
      <c r="AN528" s="454" t="s">
        <v>1019</v>
      </c>
      <c r="AO528" s="457">
        <v>0.0</v>
      </c>
      <c r="AP528" s="454" t="s">
        <v>1019</v>
      </c>
      <c r="AQ528" s="457">
        <v>0.0</v>
      </c>
      <c r="AS528" s="652"/>
      <c r="AU528" s="652"/>
    </row>
    <row r="529">
      <c r="M529" s="226"/>
      <c r="N529" s="226"/>
      <c r="O529" s="226"/>
      <c r="P529" s="226"/>
      <c r="AN529" s="454" t="s">
        <v>1026</v>
      </c>
      <c r="AO529" s="457">
        <v>0.0</v>
      </c>
      <c r="AP529" s="454" t="s">
        <v>1026</v>
      </c>
      <c r="AQ529" s="457">
        <v>0.0</v>
      </c>
      <c r="AS529" s="652"/>
      <c r="AU529" s="652"/>
    </row>
    <row r="530">
      <c r="M530" s="226"/>
      <c r="N530" s="226"/>
      <c r="O530" s="226"/>
      <c r="P530" s="226"/>
      <c r="AN530" s="614" t="s">
        <v>1048</v>
      </c>
      <c r="AO530" s="457">
        <v>0.0</v>
      </c>
      <c r="AP530" s="614" t="s">
        <v>1048</v>
      </c>
      <c r="AQ530" s="457">
        <v>0.0</v>
      </c>
      <c r="AS530" s="652"/>
      <c r="AU530" s="652"/>
    </row>
    <row r="531">
      <c r="M531" s="226"/>
      <c r="N531" s="226"/>
      <c r="O531" s="226"/>
      <c r="P531" s="226"/>
      <c r="AN531" s="614" t="s">
        <v>1052</v>
      </c>
      <c r="AO531" s="457">
        <v>0.0</v>
      </c>
      <c r="AP531" s="614" t="s">
        <v>1052</v>
      </c>
      <c r="AQ531" s="457">
        <v>0.0</v>
      </c>
      <c r="AS531" s="652"/>
      <c r="AU531" s="652"/>
    </row>
    <row r="532">
      <c r="M532" s="226"/>
      <c r="N532" s="226"/>
      <c r="O532" s="226"/>
      <c r="P532" s="226"/>
      <c r="AN532" s="614" t="s">
        <v>1053</v>
      </c>
      <c r="AO532" s="457">
        <v>0.0</v>
      </c>
      <c r="AP532" s="614" t="s">
        <v>1053</v>
      </c>
      <c r="AQ532" s="457">
        <v>0.0</v>
      </c>
      <c r="AS532" s="652"/>
      <c r="AU532" s="652"/>
    </row>
    <row r="533">
      <c r="M533" s="226"/>
      <c r="N533" s="226"/>
      <c r="O533" s="226"/>
      <c r="P533" s="226"/>
      <c r="AN533" s="454" t="s">
        <v>1020</v>
      </c>
      <c r="AO533" s="457">
        <v>0.0</v>
      </c>
      <c r="AP533" s="454" t="s">
        <v>1020</v>
      </c>
      <c r="AQ533" s="457">
        <v>0.0</v>
      </c>
      <c r="AS533" s="652"/>
      <c r="AU533" s="652"/>
    </row>
    <row r="534">
      <c r="M534" s="226"/>
      <c r="N534" s="226"/>
      <c r="O534" s="226"/>
      <c r="P534" s="226"/>
      <c r="AN534" s="454" t="s">
        <v>1022</v>
      </c>
      <c r="AO534" s="457">
        <v>0.0</v>
      </c>
      <c r="AP534" s="454" t="s">
        <v>1022</v>
      </c>
      <c r="AQ534" s="457">
        <v>0.0</v>
      </c>
      <c r="AS534" s="652"/>
      <c r="AU534" s="652"/>
    </row>
    <row r="535">
      <c r="M535" s="226"/>
      <c r="N535" s="226"/>
      <c r="O535" s="226"/>
      <c r="P535" s="226"/>
      <c r="AN535" s="454" t="s">
        <v>1031</v>
      </c>
      <c r="AO535" s="536">
        <v>0.0</v>
      </c>
      <c r="AP535" s="515" t="s">
        <v>1031</v>
      </c>
      <c r="AQ535" s="457">
        <v>0.0</v>
      </c>
      <c r="AS535" s="652"/>
      <c r="AU535" s="652"/>
    </row>
    <row r="536">
      <c r="M536" s="226"/>
      <c r="N536" s="226"/>
      <c r="O536" s="226"/>
      <c r="P536" s="226"/>
      <c r="AN536" s="454" t="s">
        <v>1033</v>
      </c>
      <c r="AO536" s="536">
        <v>0.0</v>
      </c>
      <c r="AP536" s="515" t="s">
        <v>1033</v>
      </c>
      <c r="AQ536" s="457">
        <v>0.0</v>
      </c>
      <c r="AS536" s="652"/>
      <c r="AU536" s="652"/>
    </row>
    <row r="537">
      <c r="M537" s="226"/>
      <c r="N537" s="226"/>
      <c r="O537" s="226"/>
      <c r="P537" s="226"/>
      <c r="AN537" s="454" t="s">
        <v>1035</v>
      </c>
      <c r="AO537" s="536">
        <v>0.0</v>
      </c>
      <c r="AP537" s="515" t="s">
        <v>1035</v>
      </c>
      <c r="AQ537" s="457">
        <v>0.0</v>
      </c>
      <c r="AS537" s="652"/>
      <c r="AU537" s="652"/>
    </row>
    <row r="538">
      <c r="M538" s="226"/>
      <c r="N538" s="226"/>
      <c r="O538" s="226"/>
      <c r="P538" s="226"/>
      <c r="AN538" s="454" t="s">
        <v>1055</v>
      </c>
      <c r="AO538" s="456">
        <v>0.0</v>
      </c>
      <c r="AP538" s="515" t="s">
        <v>1055</v>
      </c>
      <c r="AQ538" s="457">
        <v>0.0</v>
      </c>
      <c r="AS538" s="652"/>
      <c r="AU538" s="652"/>
    </row>
    <row r="539">
      <c r="M539" s="226"/>
      <c r="N539" s="226"/>
      <c r="O539" s="226"/>
      <c r="P539" s="226"/>
      <c r="AS539" s="652"/>
      <c r="AU539" s="652"/>
    </row>
    <row r="540">
      <c r="M540" s="226"/>
      <c r="N540" s="226"/>
      <c r="O540" s="226"/>
      <c r="P540" s="226"/>
      <c r="AS540" s="652"/>
      <c r="AU540" s="652"/>
    </row>
    <row r="541">
      <c r="M541" s="226"/>
      <c r="N541" s="226"/>
      <c r="O541" s="226"/>
      <c r="P541" s="226"/>
      <c r="AN541" s="449" t="s">
        <v>2110</v>
      </c>
      <c r="AO541" s="450" t="s">
        <v>2301</v>
      </c>
      <c r="AP541" s="449" t="s">
        <v>2110</v>
      </c>
      <c r="AQ541" s="450" t="s">
        <v>2302</v>
      </c>
      <c r="AS541" s="652"/>
      <c r="AU541" s="652"/>
    </row>
    <row r="542">
      <c r="M542" s="226"/>
      <c r="N542" s="226"/>
      <c r="O542" s="226"/>
      <c r="P542" s="226"/>
      <c r="AN542" s="454" t="s">
        <v>1126</v>
      </c>
      <c r="AO542" s="457">
        <v>3.0</v>
      </c>
      <c r="AP542" s="454" t="s">
        <v>1126</v>
      </c>
      <c r="AQ542" s="457">
        <v>0.0</v>
      </c>
      <c r="AS542" s="652"/>
      <c r="AU542" s="652"/>
    </row>
    <row r="543">
      <c r="M543" s="226"/>
      <c r="N543" s="226"/>
      <c r="O543" s="226"/>
      <c r="P543" s="226"/>
      <c r="AN543" s="454" t="s">
        <v>1127</v>
      </c>
      <c r="AO543" s="457">
        <v>0.0</v>
      </c>
      <c r="AP543" s="454" t="s">
        <v>1127</v>
      </c>
      <c r="AQ543" s="457">
        <v>0.0</v>
      </c>
      <c r="AS543" s="652"/>
      <c r="AU543" s="652"/>
    </row>
    <row r="544">
      <c r="M544" s="226"/>
      <c r="N544" s="226"/>
      <c r="O544" s="226"/>
      <c r="P544" s="226"/>
      <c r="AN544" s="454" t="s">
        <v>1130</v>
      </c>
      <c r="AO544" s="457">
        <v>0.0</v>
      </c>
      <c r="AP544" s="454" t="s">
        <v>1130</v>
      </c>
      <c r="AQ544" s="457">
        <v>1.0</v>
      </c>
      <c r="AS544" s="652"/>
      <c r="AU544" s="652"/>
    </row>
    <row r="545">
      <c r="M545" s="226"/>
      <c r="N545" s="226"/>
      <c r="O545" s="226"/>
      <c r="P545" s="226"/>
      <c r="AN545" s="454" t="s">
        <v>1128</v>
      </c>
      <c r="AO545" s="457">
        <v>0.0</v>
      </c>
      <c r="AP545" s="454" t="s">
        <v>1128</v>
      </c>
      <c r="AQ545" s="457">
        <v>0.0</v>
      </c>
      <c r="AS545" s="652"/>
      <c r="AU545" s="652"/>
    </row>
    <row r="546">
      <c r="M546" s="226"/>
      <c r="N546" s="226"/>
      <c r="O546" s="226"/>
      <c r="P546" s="226"/>
      <c r="AN546" s="454" t="s">
        <v>1132</v>
      </c>
      <c r="AO546" s="457">
        <v>0.0</v>
      </c>
      <c r="AP546" s="454" t="s">
        <v>1132</v>
      </c>
      <c r="AQ546" s="457">
        <v>0.0</v>
      </c>
      <c r="AS546" s="652"/>
      <c r="AU546" s="652"/>
    </row>
    <row r="547">
      <c r="M547" s="226"/>
      <c r="N547" s="226"/>
      <c r="O547" s="226"/>
      <c r="P547" s="226"/>
      <c r="AN547" s="454" t="s">
        <v>1137</v>
      </c>
      <c r="AO547" s="457">
        <v>3.0</v>
      </c>
      <c r="AP547" s="454" t="s">
        <v>1137</v>
      </c>
      <c r="AQ547" s="457">
        <v>0.0</v>
      </c>
      <c r="AS547" s="652"/>
      <c r="AU547" s="652"/>
    </row>
    <row r="548">
      <c r="M548" s="226"/>
      <c r="N548" s="226"/>
      <c r="O548" s="226"/>
      <c r="P548" s="226"/>
      <c r="AN548" s="454" t="s">
        <v>1139</v>
      </c>
      <c r="AO548" s="457">
        <v>0.0</v>
      </c>
      <c r="AP548" s="454" t="s">
        <v>1139</v>
      </c>
      <c r="AQ548" s="457">
        <v>0.0</v>
      </c>
      <c r="AS548" s="652"/>
      <c r="AU548" s="652"/>
    </row>
    <row r="549">
      <c r="M549" s="226"/>
      <c r="N549" s="226"/>
      <c r="O549" s="226"/>
      <c r="P549" s="226"/>
      <c r="AN549" s="454" t="s">
        <v>1145</v>
      </c>
      <c r="AO549" s="457">
        <v>0.0</v>
      </c>
      <c r="AP549" s="454" t="s">
        <v>1145</v>
      </c>
      <c r="AQ549" s="457">
        <v>0.0</v>
      </c>
      <c r="AS549" s="652"/>
      <c r="AU549" s="652"/>
    </row>
    <row r="550">
      <c r="M550" s="226"/>
      <c r="N550" s="226"/>
      <c r="O550" s="226"/>
      <c r="P550" s="226"/>
      <c r="AN550" s="614" t="s">
        <v>1136</v>
      </c>
      <c r="AO550" s="457">
        <v>0.0</v>
      </c>
      <c r="AP550" s="614" t="s">
        <v>1136</v>
      </c>
      <c r="AQ550" s="457">
        <v>0.0</v>
      </c>
      <c r="AS550" s="652"/>
      <c r="AU550" s="652"/>
    </row>
    <row r="551">
      <c r="M551" s="226"/>
      <c r="N551" s="226"/>
      <c r="O551" s="226"/>
      <c r="P551" s="226"/>
      <c r="AS551" s="652"/>
      <c r="AU551" s="652"/>
    </row>
    <row r="552">
      <c r="M552" s="226"/>
      <c r="N552" s="226"/>
      <c r="O552" s="226"/>
      <c r="P552" s="226"/>
      <c r="AS552" s="652"/>
      <c r="AU552" s="652"/>
    </row>
    <row r="553">
      <c r="M553" s="226"/>
      <c r="N553" s="226"/>
      <c r="O553" s="226"/>
      <c r="P553" s="226"/>
      <c r="AS553" s="652"/>
      <c r="AU553" s="652"/>
    </row>
    <row r="554">
      <c r="M554" s="226"/>
      <c r="N554" s="226"/>
      <c r="O554" s="226"/>
      <c r="P554" s="226"/>
      <c r="AS554" s="652"/>
      <c r="AU554" s="652"/>
    </row>
    <row r="555">
      <c r="M555" s="226"/>
      <c r="N555" s="226"/>
      <c r="O555" s="226"/>
      <c r="P555" s="226"/>
      <c r="AS555" s="652"/>
      <c r="AU555" s="652"/>
    </row>
    <row r="556">
      <c r="M556" s="226"/>
      <c r="N556" s="226"/>
      <c r="O556" s="226"/>
      <c r="P556" s="226"/>
      <c r="AN556" s="623" t="s">
        <v>2122</v>
      </c>
      <c r="AO556" s="623" t="s">
        <v>2310</v>
      </c>
      <c r="AP556" s="623" t="s">
        <v>2122</v>
      </c>
      <c r="AQ556" s="623" t="s">
        <v>2311</v>
      </c>
      <c r="AS556" s="652"/>
      <c r="AU556" s="652"/>
    </row>
    <row r="557">
      <c r="M557" s="226"/>
      <c r="N557" s="226"/>
      <c r="O557" s="226"/>
      <c r="P557" s="226"/>
      <c r="AN557" s="454" t="s">
        <v>780</v>
      </c>
      <c r="AO557" s="456">
        <v>1.0</v>
      </c>
      <c r="AP557" s="454" t="s">
        <v>780</v>
      </c>
      <c r="AQ557" s="456">
        <v>0.0</v>
      </c>
      <c r="AS557" s="652"/>
      <c r="AU557" s="652"/>
    </row>
    <row r="558">
      <c r="M558" s="226"/>
      <c r="N558" s="226"/>
      <c r="O558" s="226"/>
      <c r="P558" s="226"/>
      <c r="AN558" s="454" t="s">
        <v>782</v>
      </c>
      <c r="AO558" s="456">
        <v>1.0</v>
      </c>
      <c r="AP558" s="454" t="s">
        <v>782</v>
      </c>
      <c r="AQ558" s="456">
        <v>0.0</v>
      </c>
      <c r="AS558" s="652"/>
      <c r="AU558" s="652"/>
    </row>
    <row r="559">
      <c r="M559" s="226"/>
      <c r="N559" s="226"/>
      <c r="O559" s="226"/>
      <c r="P559" s="226"/>
      <c r="AN559" s="454" t="s">
        <v>783</v>
      </c>
      <c r="AO559" s="456">
        <v>1.0</v>
      </c>
      <c r="AP559" s="454" t="s">
        <v>783</v>
      </c>
      <c r="AQ559" s="456">
        <v>0.0</v>
      </c>
      <c r="AS559" s="652"/>
      <c r="AU559" s="652"/>
    </row>
    <row r="560">
      <c r="M560" s="226"/>
      <c r="N560" s="226"/>
      <c r="O560" s="226"/>
      <c r="P560" s="226"/>
      <c r="AN560" s="454" t="s">
        <v>785</v>
      </c>
      <c r="AO560" s="456">
        <v>0.0</v>
      </c>
      <c r="AP560" s="454" t="s">
        <v>785</v>
      </c>
      <c r="AQ560" s="457">
        <v>1.0</v>
      </c>
      <c r="AS560" s="652"/>
      <c r="AU560" s="652"/>
    </row>
    <row r="561">
      <c r="M561" s="226"/>
      <c r="N561" s="226"/>
      <c r="O561" s="226"/>
      <c r="P561" s="226"/>
      <c r="AN561" s="454" t="s">
        <v>786</v>
      </c>
      <c r="AO561" s="456">
        <v>1.0</v>
      </c>
      <c r="AP561" s="454" t="s">
        <v>786</v>
      </c>
      <c r="AQ561" s="457">
        <v>0.0</v>
      </c>
      <c r="AS561" s="652"/>
      <c r="AU561" s="652"/>
    </row>
    <row r="562">
      <c r="M562" s="226"/>
      <c r="N562" s="226"/>
      <c r="O562" s="226"/>
      <c r="P562" s="226"/>
      <c r="AN562" s="454" t="s">
        <v>789</v>
      </c>
      <c r="AO562" s="456">
        <v>2.0</v>
      </c>
      <c r="AP562" s="454" t="s">
        <v>789</v>
      </c>
      <c r="AQ562" s="457">
        <v>0.0</v>
      </c>
      <c r="AS562" s="652"/>
      <c r="AU562" s="652"/>
    </row>
    <row r="563">
      <c r="M563" s="226"/>
      <c r="N563" s="226"/>
      <c r="O563" s="226"/>
      <c r="P563" s="226"/>
      <c r="AS563" s="652"/>
      <c r="AU563" s="652"/>
    </row>
    <row r="564">
      <c r="M564" s="226"/>
      <c r="N564" s="226"/>
      <c r="O564" s="226"/>
      <c r="P564" s="226"/>
      <c r="AN564" s="449" t="s">
        <v>2130</v>
      </c>
      <c r="AO564" s="449" t="s">
        <v>2320</v>
      </c>
      <c r="AP564" s="449" t="s">
        <v>2130</v>
      </c>
      <c r="AQ564" s="449" t="s">
        <v>2321</v>
      </c>
      <c r="AS564" s="652"/>
      <c r="AU564" s="652"/>
    </row>
    <row r="565">
      <c r="M565" s="226"/>
      <c r="N565" s="226"/>
      <c r="O565" s="226"/>
      <c r="P565" s="226"/>
      <c r="AN565" s="454" t="s">
        <v>803</v>
      </c>
      <c r="AO565" s="456">
        <v>1.0</v>
      </c>
      <c r="AP565" s="454" t="s">
        <v>803</v>
      </c>
      <c r="AQ565" s="456">
        <v>1.0</v>
      </c>
      <c r="AS565" s="652"/>
      <c r="AU565" s="652"/>
    </row>
    <row r="566">
      <c r="M566" s="226"/>
      <c r="N566" s="226"/>
      <c r="O566" s="226"/>
      <c r="P566" s="226"/>
      <c r="AN566" s="454" t="s">
        <v>801</v>
      </c>
      <c r="AO566" s="456">
        <v>2.0</v>
      </c>
      <c r="AP566" s="454" t="s">
        <v>801</v>
      </c>
      <c r="AQ566" s="456">
        <v>0.0</v>
      </c>
      <c r="AS566" s="652"/>
      <c r="AU566" s="652"/>
    </row>
    <row r="567">
      <c r="M567" s="226"/>
      <c r="N567" s="226"/>
      <c r="O567" s="226"/>
      <c r="P567" s="226"/>
      <c r="AN567" s="454" t="s">
        <v>804</v>
      </c>
      <c r="AO567" s="456">
        <v>2.0</v>
      </c>
      <c r="AP567" s="454" t="s">
        <v>804</v>
      </c>
      <c r="AQ567" s="456">
        <v>0.0</v>
      </c>
      <c r="AS567" s="652"/>
      <c r="AU567" s="652"/>
    </row>
    <row r="568">
      <c r="M568" s="226"/>
      <c r="N568" s="226"/>
      <c r="O568" s="226"/>
      <c r="P568" s="226"/>
      <c r="AN568" s="454" t="s">
        <v>805</v>
      </c>
      <c r="AO568" s="456">
        <v>1.0</v>
      </c>
      <c r="AP568" s="454" t="s">
        <v>805</v>
      </c>
      <c r="AQ568" s="456">
        <v>1.0</v>
      </c>
      <c r="AS568" s="652"/>
      <c r="AU568" s="652"/>
    </row>
    <row r="569">
      <c r="M569" s="226"/>
      <c r="N569" s="226"/>
      <c r="O569" s="226"/>
      <c r="P569" s="226"/>
      <c r="AN569" s="454" t="s">
        <v>811</v>
      </c>
      <c r="AO569" s="456">
        <v>2.0</v>
      </c>
      <c r="AP569" s="454" t="s">
        <v>811</v>
      </c>
      <c r="AQ569" s="456">
        <v>0.0</v>
      </c>
      <c r="AS569" s="652"/>
      <c r="AU569" s="652"/>
    </row>
    <row r="570">
      <c r="M570" s="226"/>
      <c r="N570" s="226"/>
      <c r="O570" s="226"/>
      <c r="P570" s="226"/>
      <c r="AN570" s="454" t="s">
        <v>813</v>
      </c>
      <c r="AO570" s="456">
        <v>1.0</v>
      </c>
      <c r="AP570" s="454" t="s">
        <v>813</v>
      </c>
      <c r="AQ570" s="456">
        <v>0.0</v>
      </c>
      <c r="AS570" s="652"/>
      <c r="AU570" s="652"/>
    </row>
    <row r="571">
      <c r="M571" s="226"/>
      <c r="N571" s="226"/>
      <c r="O571" s="226"/>
      <c r="P571" s="226"/>
      <c r="AN571" s="454" t="s">
        <v>820</v>
      </c>
      <c r="AO571" s="456">
        <v>0.0</v>
      </c>
      <c r="AP571" s="454" t="s">
        <v>820</v>
      </c>
      <c r="AQ571" s="457">
        <v>0.0</v>
      </c>
      <c r="AS571" s="652"/>
      <c r="AU571" s="652"/>
    </row>
    <row r="572">
      <c r="M572" s="226"/>
      <c r="N572" s="226"/>
      <c r="O572" s="226"/>
      <c r="P572" s="226"/>
      <c r="AN572" s="454" t="s">
        <v>822</v>
      </c>
      <c r="AO572" s="456">
        <v>2.0</v>
      </c>
      <c r="AP572" s="454" t="s">
        <v>822</v>
      </c>
      <c r="AQ572" s="457">
        <v>0.0</v>
      </c>
      <c r="AS572" s="652"/>
      <c r="AU572" s="652"/>
    </row>
    <row r="573">
      <c r="M573" s="226"/>
      <c r="N573" s="226"/>
      <c r="O573" s="226"/>
      <c r="P573" s="226"/>
      <c r="AN573" s="454" t="s">
        <v>1094</v>
      </c>
      <c r="AO573" s="456">
        <v>0.0</v>
      </c>
      <c r="AP573" s="454" t="s">
        <v>1094</v>
      </c>
      <c r="AQ573" s="457">
        <v>0.0</v>
      </c>
      <c r="AS573" s="652"/>
      <c r="AU573" s="652"/>
    </row>
    <row r="574">
      <c r="M574" s="226"/>
      <c r="N574" s="226"/>
      <c r="O574" s="226"/>
      <c r="P574" s="226"/>
      <c r="AN574" s="454" t="s">
        <v>1098</v>
      </c>
      <c r="AO574" s="456">
        <v>0.0</v>
      </c>
      <c r="AP574" s="454" t="s">
        <v>1098</v>
      </c>
      <c r="AQ574" s="457">
        <v>0.0</v>
      </c>
      <c r="AS574" s="652"/>
      <c r="AU574" s="652"/>
    </row>
    <row r="575">
      <c r="M575" s="226"/>
      <c r="N575" s="226"/>
      <c r="O575" s="226"/>
      <c r="P575" s="226"/>
      <c r="AN575" s="454" t="s">
        <v>824</v>
      </c>
      <c r="AO575" s="456">
        <v>2.0</v>
      </c>
      <c r="AP575" s="454" t="s">
        <v>824</v>
      </c>
      <c r="AQ575" s="457">
        <v>0.0</v>
      </c>
      <c r="AS575" s="652"/>
      <c r="AU575" s="652"/>
    </row>
    <row r="576">
      <c r="M576" s="226"/>
      <c r="N576" s="226"/>
      <c r="O576" s="226"/>
      <c r="P576" s="226"/>
      <c r="AS576" s="652"/>
      <c r="AU576" s="652"/>
    </row>
    <row r="577">
      <c r="M577" s="226"/>
      <c r="N577" s="226"/>
      <c r="O577" s="226"/>
      <c r="P577" s="226"/>
      <c r="AN577" s="449" t="s">
        <v>2144</v>
      </c>
      <c r="AO577" s="449" t="s">
        <v>2258</v>
      </c>
      <c r="AP577" s="449" t="s">
        <v>2144</v>
      </c>
      <c r="AQ577" s="449" t="s">
        <v>2259</v>
      </c>
      <c r="AS577" s="652"/>
      <c r="AU577" s="652"/>
    </row>
    <row r="578">
      <c r="M578" s="226"/>
      <c r="N578" s="226"/>
      <c r="O578" s="226"/>
      <c r="P578" s="226"/>
      <c r="AN578" s="454" t="s">
        <v>829</v>
      </c>
      <c r="AO578" s="456">
        <v>0.0</v>
      </c>
      <c r="AP578" s="454" t="s">
        <v>829</v>
      </c>
      <c r="AQ578" s="456">
        <v>1.0</v>
      </c>
      <c r="AS578" s="652"/>
      <c r="AU578" s="652"/>
    </row>
    <row r="579">
      <c r="M579" s="226"/>
      <c r="N579" s="226"/>
      <c r="O579" s="226"/>
      <c r="P579" s="226"/>
      <c r="AN579" s="454" t="s">
        <v>830</v>
      </c>
      <c r="AO579" s="456">
        <v>2.0</v>
      </c>
      <c r="AP579" s="454" t="s">
        <v>830</v>
      </c>
      <c r="AQ579" s="456">
        <v>0.0</v>
      </c>
      <c r="AS579" s="652"/>
      <c r="AU579" s="652"/>
    </row>
    <row r="580">
      <c r="M580" s="226"/>
      <c r="N580" s="226"/>
      <c r="O580" s="226"/>
      <c r="P580" s="226"/>
      <c r="AN580" s="454" t="s">
        <v>831</v>
      </c>
      <c r="AO580" s="456">
        <v>2.0</v>
      </c>
      <c r="AP580" s="454" t="s">
        <v>831</v>
      </c>
      <c r="AQ580" s="456">
        <v>0.0</v>
      </c>
      <c r="AS580" s="652"/>
      <c r="AU580" s="652"/>
    </row>
    <row r="581">
      <c r="M581" s="226"/>
      <c r="N581" s="226"/>
      <c r="O581" s="226"/>
      <c r="P581" s="226"/>
      <c r="AN581" s="454" t="s">
        <v>833</v>
      </c>
      <c r="AO581" s="456">
        <v>0.0</v>
      </c>
      <c r="AP581" s="454" t="s">
        <v>833</v>
      </c>
      <c r="AQ581" s="456">
        <v>0.0</v>
      </c>
      <c r="AS581" s="652"/>
      <c r="AU581" s="652"/>
    </row>
    <row r="582">
      <c r="M582" s="226"/>
      <c r="N582" s="226"/>
      <c r="O582" s="226"/>
      <c r="P582" s="226"/>
      <c r="AN582" s="454" t="s">
        <v>834</v>
      </c>
      <c r="AO582" s="456">
        <v>1.0</v>
      </c>
      <c r="AP582" s="454" t="s">
        <v>834</v>
      </c>
      <c r="AQ582" s="456">
        <v>1.0</v>
      </c>
      <c r="AS582" s="652"/>
      <c r="AU582" s="652"/>
    </row>
    <row r="583">
      <c r="M583" s="226"/>
      <c r="N583" s="226"/>
      <c r="O583" s="226"/>
      <c r="P583" s="226"/>
      <c r="AN583" s="454" t="s">
        <v>836</v>
      </c>
      <c r="AO583" s="456">
        <v>2.0</v>
      </c>
      <c r="AP583" s="454" t="s">
        <v>836</v>
      </c>
      <c r="AQ583" s="456">
        <v>0.0</v>
      </c>
      <c r="AS583" s="652"/>
      <c r="AU583" s="652"/>
    </row>
    <row r="584">
      <c r="M584" s="226"/>
      <c r="N584" s="226"/>
      <c r="O584" s="226"/>
      <c r="P584" s="226"/>
      <c r="AN584" s="454" t="s">
        <v>838</v>
      </c>
      <c r="AO584" s="456">
        <v>1.0</v>
      </c>
      <c r="AP584" s="454" t="s">
        <v>838</v>
      </c>
      <c r="AQ584" s="456">
        <v>0.0</v>
      </c>
      <c r="AS584" s="652"/>
      <c r="AU584" s="652"/>
    </row>
    <row r="585">
      <c r="M585" s="226"/>
      <c r="N585" s="226"/>
      <c r="O585" s="226"/>
      <c r="P585" s="226"/>
      <c r="AN585" s="454" t="s">
        <v>847</v>
      </c>
      <c r="AO585" s="456">
        <v>2.0</v>
      </c>
      <c r="AP585" s="454" t="s">
        <v>847</v>
      </c>
      <c r="AQ585" s="457">
        <v>0.0</v>
      </c>
      <c r="AS585" s="652"/>
      <c r="AU585" s="652"/>
    </row>
    <row r="586">
      <c r="M586" s="226"/>
      <c r="N586" s="226"/>
      <c r="O586" s="226"/>
      <c r="P586" s="226"/>
      <c r="AS586" s="652"/>
      <c r="AU586" s="652"/>
    </row>
    <row r="587">
      <c r="M587" s="226"/>
      <c r="N587" s="226"/>
      <c r="O587" s="226"/>
      <c r="P587" s="226"/>
      <c r="AN587" s="449" t="s">
        <v>2163</v>
      </c>
      <c r="AO587" s="449" t="s">
        <v>2337</v>
      </c>
      <c r="AP587" s="449" t="s">
        <v>2163</v>
      </c>
      <c r="AQ587" s="449" t="s">
        <v>2338</v>
      </c>
      <c r="AS587" s="652"/>
      <c r="AU587" s="652"/>
    </row>
    <row r="588">
      <c r="M588" s="226"/>
      <c r="N588" s="226"/>
      <c r="O588" s="226"/>
      <c r="P588" s="226"/>
      <c r="AN588" s="454" t="s">
        <v>853</v>
      </c>
      <c r="AO588" s="456">
        <v>3.0</v>
      </c>
      <c r="AP588" s="454" t="s">
        <v>853</v>
      </c>
      <c r="AQ588" s="456">
        <v>0.0</v>
      </c>
      <c r="AS588" s="652"/>
      <c r="AU588" s="652"/>
    </row>
    <row r="589">
      <c r="M589" s="226"/>
      <c r="N589" s="226"/>
      <c r="O589" s="226"/>
      <c r="P589" s="226"/>
      <c r="AN589" s="454" t="s">
        <v>855</v>
      </c>
      <c r="AO589" s="456">
        <v>3.0</v>
      </c>
      <c r="AP589" s="454" t="s">
        <v>855</v>
      </c>
      <c r="AQ589" s="456">
        <v>0.0</v>
      </c>
      <c r="AS589" s="652"/>
      <c r="AU589" s="652"/>
    </row>
    <row r="590">
      <c r="M590" s="226"/>
      <c r="N590" s="226"/>
      <c r="O590" s="226"/>
      <c r="P590" s="226"/>
      <c r="AN590" s="454" t="s">
        <v>856</v>
      </c>
      <c r="AO590" s="456">
        <v>0.0</v>
      </c>
      <c r="AP590" s="454" t="s">
        <v>856</v>
      </c>
      <c r="AQ590" s="456">
        <v>0.0</v>
      </c>
      <c r="AS590" s="652"/>
      <c r="AU590" s="652"/>
    </row>
    <row r="591">
      <c r="M591" s="226"/>
      <c r="N591" s="226"/>
      <c r="O591" s="226"/>
      <c r="P591" s="226"/>
      <c r="AN591" s="454" t="s">
        <v>860</v>
      </c>
      <c r="AO591" s="456">
        <v>0.0</v>
      </c>
      <c r="AP591" s="454" t="s">
        <v>860</v>
      </c>
      <c r="AQ591" s="456">
        <v>0.0</v>
      </c>
      <c r="AS591" s="652"/>
      <c r="AU591" s="652"/>
    </row>
    <row r="592">
      <c r="M592" s="226"/>
      <c r="N592" s="226"/>
      <c r="O592" s="226"/>
      <c r="P592" s="226"/>
      <c r="AN592" s="454" t="s">
        <v>862</v>
      </c>
      <c r="AO592" s="456">
        <v>1.0</v>
      </c>
      <c r="AP592" s="454" t="s">
        <v>862</v>
      </c>
      <c r="AQ592" s="456">
        <v>0.0</v>
      </c>
      <c r="AS592" s="652"/>
      <c r="AU592" s="652"/>
    </row>
    <row r="593">
      <c r="M593" s="226"/>
      <c r="N593" s="226"/>
      <c r="O593" s="226"/>
      <c r="P593" s="226"/>
      <c r="AN593" s="454" t="s">
        <v>863</v>
      </c>
      <c r="AO593" s="456">
        <v>0.0</v>
      </c>
      <c r="AP593" s="454" t="s">
        <v>863</v>
      </c>
      <c r="AQ593" s="456">
        <v>0.0</v>
      </c>
      <c r="AS593" s="652"/>
      <c r="AU593" s="652"/>
    </row>
    <row r="594">
      <c r="M594" s="226"/>
      <c r="N594" s="226"/>
      <c r="O594" s="226"/>
      <c r="P594" s="226"/>
      <c r="AN594" s="454" t="s">
        <v>867</v>
      </c>
      <c r="AO594" s="456">
        <v>0.0</v>
      </c>
      <c r="AP594" s="454" t="s">
        <v>867</v>
      </c>
      <c r="AQ594" s="456">
        <v>0.0</v>
      </c>
      <c r="AS594" s="652"/>
      <c r="AU594" s="652"/>
    </row>
    <row r="595">
      <c r="M595" s="226"/>
      <c r="N595" s="226"/>
      <c r="O595" s="226"/>
      <c r="P595" s="226"/>
      <c r="AN595" s="454" t="s">
        <v>864</v>
      </c>
      <c r="AO595" s="456">
        <v>2.0</v>
      </c>
      <c r="AP595" s="454" t="s">
        <v>864</v>
      </c>
      <c r="AQ595" s="537">
        <v>0.0</v>
      </c>
      <c r="AS595" s="652"/>
      <c r="AU595" s="652"/>
    </row>
    <row r="596">
      <c r="M596" s="226"/>
      <c r="N596" s="226"/>
      <c r="O596" s="226"/>
      <c r="P596" s="226"/>
      <c r="AN596" s="454" t="s">
        <v>866</v>
      </c>
      <c r="AO596" s="456">
        <v>3.0</v>
      </c>
      <c r="AP596" s="454" t="s">
        <v>866</v>
      </c>
      <c r="AQ596" s="537">
        <v>0.0</v>
      </c>
      <c r="AS596" s="652"/>
      <c r="AU596" s="652"/>
    </row>
    <row r="597">
      <c r="M597" s="226"/>
      <c r="N597" s="226"/>
      <c r="O597" s="226"/>
      <c r="P597" s="226"/>
      <c r="AN597" s="454" t="s">
        <v>868</v>
      </c>
      <c r="AO597" s="456">
        <v>0.0</v>
      </c>
      <c r="AP597" s="454" t="s">
        <v>868</v>
      </c>
      <c r="AQ597" s="537">
        <v>0.0</v>
      </c>
      <c r="AS597" s="652"/>
      <c r="AU597" s="652"/>
    </row>
    <row r="598">
      <c r="M598" s="226"/>
      <c r="N598" s="226"/>
      <c r="O598" s="226"/>
      <c r="P598" s="226"/>
      <c r="AN598" s="454" t="s">
        <v>870</v>
      </c>
      <c r="AO598" s="456">
        <v>3.0</v>
      </c>
      <c r="AP598" s="454" t="s">
        <v>870</v>
      </c>
      <c r="AQ598" s="537">
        <v>0.0</v>
      </c>
      <c r="AS598" s="652"/>
      <c r="AU598" s="652"/>
    </row>
    <row r="599">
      <c r="M599" s="226"/>
      <c r="N599" s="226"/>
      <c r="O599" s="226"/>
      <c r="P599" s="226"/>
      <c r="AN599" s="454" t="s">
        <v>872</v>
      </c>
      <c r="AO599" s="456">
        <v>1.0</v>
      </c>
      <c r="AP599" s="454" t="s">
        <v>872</v>
      </c>
      <c r="AQ599" s="537">
        <v>0.0</v>
      </c>
      <c r="AS599" s="652"/>
      <c r="AU599" s="652"/>
    </row>
    <row r="600">
      <c r="M600" s="226"/>
      <c r="N600" s="226"/>
      <c r="O600" s="226"/>
      <c r="P600" s="226"/>
      <c r="AN600" s="454" t="s">
        <v>874</v>
      </c>
      <c r="AO600" s="456">
        <v>0.0</v>
      </c>
      <c r="AP600" s="454" t="s">
        <v>874</v>
      </c>
      <c r="AQ600" s="537">
        <v>0.0</v>
      </c>
      <c r="AS600" s="652"/>
      <c r="AU600" s="652"/>
    </row>
    <row r="601">
      <c r="M601" s="226"/>
      <c r="N601" s="226"/>
      <c r="O601" s="226"/>
      <c r="P601" s="226"/>
      <c r="AS601" s="652"/>
      <c r="AU601" s="652"/>
    </row>
    <row r="602">
      <c r="M602" s="226"/>
      <c r="N602" s="226"/>
      <c r="O602" s="226"/>
      <c r="P602" s="226"/>
      <c r="AS602" s="652"/>
      <c r="AU602" s="652"/>
    </row>
    <row r="603">
      <c r="M603" s="226"/>
      <c r="N603" s="226"/>
      <c r="O603" s="226"/>
      <c r="P603" s="226"/>
      <c r="AN603" s="623" t="s">
        <v>2172</v>
      </c>
      <c r="AO603" s="449" t="s">
        <v>2346</v>
      </c>
      <c r="AP603" s="623" t="s">
        <v>2172</v>
      </c>
      <c r="AQ603" s="449" t="s">
        <v>2347</v>
      </c>
      <c r="AS603" s="652"/>
      <c r="AU603" s="652"/>
    </row>
    <row r="604">
      <c r="M604" s="226"/>
      <c r="N604" s="226"/>
      <c r="O604" s="226"/>
      <c r="P604" s="226"/>
      <c r="AN604" s="640" t="s">
        <v>884</v>
      </c>
      <c r="AO604" s="641">
        <v>0.0</v>
      </c>
      <c r="AP604" s="640" t="s">
        <v>884</v>
      </c>
      <c r="AQ604" s="641">
        <v>1.0</v>
      </c>
      <c r="AS604" s="652"/>
      <c r="AU604" s="652"/>
    </row>
    <row r="605">
      <c r="M605" s="226"/>
      <c r="N605" s="226"/>
      <c r="O605" s="226"/>
      <c r="P605" s="226"/>
      <c r="AN605" s="640" t="s">
        <v>885</v>
      </c>
      <c r="AO605" s="641">
        <v>0.0</v>
      </c>
      <c r="AP605" s="640" t="s">
        <v>885</v>
      </c>
      <c r="AQ605" s="641">
        <v>2.0</v>
      </c>
      <c r="AS605" s="652"/>
      <c r="AU605" s="652"/>
    </row>
    <row r="606">
      <c r="M606" s="226"/>
      <c r="N606" s="226"/>
      <c r="O606" s="226"/>
      <c r="P606" s="226"/>
      <c r="AN606" s="640" t="s">
        <v>2180</v>
      </c>
      <c r="AO606" s="641">
        <v>1.0</v>
      </c>
      <c r="AP606" s="640" t="s">
        <v>2180</v>
      </c>
      <c r="AQ606" s="641">
        <v>1.0</v>
      </c>
      <c r="AS606" s="652"/>
      <c r="AU606" s="652"/>
    </row>
    <row r="607">
      <c r="M607" s="226"/>
      <c r="N607" s="226"/>
      <c r="O607" s="226"/>
      <c r="P607" s="226"/>
      <c r="AN607" s="640" t="s">
        <v>887</v>
      </c>
      <c r="AO607" s="641">
        <v>0.0</v>
      </c>
      <c r="AP607" s="640" t="s">
        <v>887</v>
      </c>
      <c r="AQ607" s="490">
        <v>0.0</v>
      </c>
      <c r="AS607" s="652"/>
      <c r="AU607" s="652"/>
    </row>
    <row r="608">
      <c r="M608" s="226"/>
      <c r="N608" s="226"/>
      <c r="O608" s="226"/>
      <c r="P608" s="226"/>
      <c r="AN608" s="640" t="s">
        <v>2181</v>
      </c>
      <c r="AO608" s="641">
        <v>2.0</v>
      </c>
      <c r="AP608" s="640" t="s">
        <v>2181</v>
      </c>
      <c r="AQ608" s="490">
        <v>0.0</v>
      </c>
      <c r="AS608" s="652"/>
      <c r="AU608" s="652"/>
    </row>
    <row r="609">
      <c r="M609" s="226"/>
      <c r="N609" s="226"/>
      <c r="O609" s="226"/>
      <c r="P609" s="226"/>
      <c r="AN609" s="640" t="s">
        <v>891</v>
      </c>
      <c r="AO609" s="641">
        <v>0.0</v>
      </c>
      <c r="AP609" s="640" t="s">
        <v>891</v>
      </c>
      <c r="AQ609" s="490">
        <v>0.0</v>
      </c>
      <c r="AS609" s="652"/>
      <c r="AU609" s="652"/>
    </row>
    <row r="610">
      <c r="M610" s="226"/>
      <c r="N610" s="226"/>
      <c r="O610" s="226"/>
      <c r="P610" s="226"/>
      <c r="AN610" s="640" t="s">
        <v>893</v>
      </c>
      <c r="AO610" s="641">
        <v>2.0</v>
      </c>
      <c r="AP610" s="640" t="s">
        <v>893</v>
      </c>
      <c r="AQ610" s="490">
        <v>0.0</v>
      </c>
      <c r="AS610" s="652"/>
      <c r="AU610" s="652"/>
    </row>
    <row r="611">
      <c r="M611" s="226"/>
      <c r="N611" s="226"/>
      <c r="O611" s="226"/>
      <c r="P611" s="226"/>
      <c r="AN611" s="640" t="s">
        <v>896</v>
      </c>
      <c r="AO611" s="641">
        <v>1.0</v>
      </c>
      <c r="AP611" s="640" t="s">
        <v>896</v>
      </c>
      <c r="AQ611" s="490">
        <v>1.0</v>
      </c>
      <c r="AS611" s="652"/>
      <c r="AU611" s="652"/>
    </row>
    <row r="612">
      <c r="M612" s="226"/>
      <c r="N612" s="226"/>
      <c r="O612" s="226"/>
      <c r="P612" s="226"/>
      <c r="AN612" s="640" t="s">
        <v>897</v>
      </c>
      <c r="AO612" s="641">
        <v>0.0</v>
      </c>
      <c r="AP612" s="640" t="s">
        <v>897</v>
      </c>
      <c r="AQ612" s="490">
        <v>0.0</v>
      </c>
      <c r="AS612" s="652"/>
      <c r="AU612" s="652"/>
    </row>
    <row r="613">
      <c r="M613" s="226"/>
      <c r="N613" s="226"/>
      <c r="O613" s="226"/>
      <c r="P613" s="226"/>
      <c r="AN613" s="640" t="s">
        <v>899</v>
      </c>
      <c r="AO613" s="641">
        <v>0.0</v>
      </c>
      <c r="AP613" s="640" t="s">
        <v>899</v>
      </c>
      <c r="AQ613" s="490">
        <v>0.0</v>
      </c>
      <c r="AS613" s="652"/>
      <c r="AU613" s="652"/>
    </row>
    <row r="614">
      <c r="M614" s="226"/>
      <c r="N614" s="226"/>
      <c r="O614" s="226"/>
      <c r="P614" s="226"/>
      <c r="AS614" s="652"/>
      <c r="AU614" s="652"/>
    </row>
    <row r="615">
      <c r="M615" s="226"/>
      <c r="N615" s="226"/>
      <c r="O615" s="226"/>
      <c r="P615" s="226"/>
      <c r="AS615" s="652"/>
      <c r="AU615" s="652"/>
    </row>
    <row r="616">
      <c r="M616" s="226"/>
      <c r="N616" s="226"/>
      <c r="O616" s="226"/>
      <c r="P616" s="226"/>
      <c r="AN616" s="449" t="s">
        <v>2182</v>
      </c>
      <c r="AO616" s="449" t="s">
        <v>2355</v>
      </c>
      <c r="AP616" s="449" t="s">
        <v>2182</v>
      </c>
      <c r="AQ616" s="449" t="s">
        <v>2356</v>
      </c>
      <c r="AS616" s="652"/>
      <c r="AU616" s="652"/>
    </row>
    <row r="617">
      <c r="M617" s="226"/>
      <c r="N617" s="226"/>
      <c r="O617" s="226"/>
      <c r="P617" s="226"/>
      <c r="AN617" s="454" t="s">
        <v>906</v>
      </c>
      <c r="AO617" s="456">
        <v>0.0</v>
      </c>
      <c r="AP617" s="454" t="s">
        <v>906</v>
      </c>
      <c r="AQ617" s="456">
        <v>0.0</v>
      </c>
      <c r="AS617" s="652"/>
      <c r="AU617" s="652"/>
    </row>
    <row r="618">
      <c r="M618" s="226"/>
      <c r="N618" s="226"/>
      <c r="O618" s="226"/>
      <c r="P618" s="226"/>
      <c r="AN618" s="454" t="s">
        <v>907</v>
      </c>
      <c r="AO618" s="456">
        <v>0.0</v>
      </c>
      <c r="AP618" s="454" t="s">
        <v>907</v>
      </c>
      <c r="AQ618" s="456">
        <v>0.0</v>
      </c>
      <c r="AS618" s="652"/>
      <c r="AU618" s="652"/>
    </row>
    <row r="619">
      <c r="M619" s="226"/>
      <c r="N619" s="226"/>
      <c r="O619" s="226"/>
      <c r="P619" s="226"/>
      <c r="AN619" s="454" t="s">
        <v>908</v>
      </c>
      <c r="AO619" s="456">
        <v>0.0</v>
      </c>
      <c r="AP619" s="454" t="s">
        <v>908</v>
      </c>
      <c r="AQ619" s="456">
        <v>0.0</v>
      </c>
      <c r="AS619" s="652"/>
      <c r="AU619" s="652"/>
    </row>
    <row r="620">
      <c r="M620" s="226"/>
      <c r="N620" s="226"/>
      <c r="O620" s="226"/>
      <c r="P620" s="226"/>
      <c r="AN620" s="454" t="s">
        <v>910</v>
      </c>
      <c r="AO620" s="456">
        <v>0.0</v>
      </c>
      <c r="AP620" s="454" t="s">
        <v>910</v>
      </c>
      <c r="AQ620" s="456">
        <v>0.0</v>
      </c>
      <c r="AS620" s="652"/>
      <c r="AU620" s="652"/>
    </row>
    <row r="621">
      <c r="M621" s="226"/>
      <c r="N621" s="226"/>
      <c r="O621" s="226"/>
      <c r="P621" s="226"/>
      <c r="AN621" s="454" t="s">
        <v>912</v>
      </c>
      <c r="AO621" s="456">
        <v>0.0</v>
      </c>
      <c r="AP621" s="454" t="s">
        <v>912</v>
      </c>
      <c r="AQ621" s="456">
        <v>0.0</v>
      </c>
      <c r="AS621" s="652"/>
      <c r="AU621" s="652"/>
    </row>
    <row r="622">
      <c r="M622" s="226"/>
      <c r="N622" s="226"/>
      <c r="O622" s="226"/>
      <c r="P622" s="226"/>
      <c r="AN622" s="454" t="s">
        <v>914</v>
      </c>
      <c r="AO622" s="456">
        <v>0.0</v>
      </c>
      <c r="AP622" s="454" t="s">
        <v>914</v>
      </c>
      <c r="AQ622" s="456">
        <v>0.0</v>
      </c>
      <c r="AS622" s="652"/>
      <c r="AU622" s="652"/>
    </row>
    <row r="623">
      <c r="M623" s="226"/>
      <c r="N623" s="226"/>
      <c r="O623" s="226"/>
      <c r="P623" s="226"/>
      <c r="AN623" s="454" t="s">
        <v>915</v>
      </c>
      <c r="AO623" s="456">
        <v>0.0</v>
      </c>
      <c r="AP623" s="454" t="s">
        <v>915</v>
      </c>
      <c r="AQ623" s="456">
        <v>0.0</v>
      </c>
      <c r="AS623" s="652"/>
      <c r="AU623" s="652"/>
    </row>
    <row r="624">
      <c r="M624" s="226"/>
      <c r="N624" s="226"/>
      <c r="O624" s="226"/>
      <c r="P624" s="226"/>
      <c r="AN624" s="454" t="s">
        <v>917</v>
      </c>
      <c r="AO624" s="456">
        <v>0.0</v>
      </c>
      <c r="AP624" s="454" t="s">
        <v>917</v>
      </c>
      <c r="AQ624" s="456">
        <v>0.0</v>
      </c>
      <c r="AS624" s="652"/>
      <c r="AU624" s="652"/>
    </row>
    <row r="625">
      <c r="M625" s="226"/>
      <c r="N625" s="226"/>
      <c r="O625" s="226"/>
      <c r="P625" s="226"/>
      <c r="AN625" s="454" t="s">
        <v>918</v>
      </c>
      <c r="AO625" s="456">
        <v>0.0</v>
      </c>
      <c r="AP625" s="454" t="s">
        <v>918</v>
      </c>
      <c r="AQ625" s="456">
        <v>0.0</v>
      </c>
      <c r="AS625" s="652"/>
      <c r="AU625" s="652"/>
    </row>
    <row r="626">
      <c r="M626" s="226"/>
      <c r="N626" s="226"/>
      <c r="O626" s="226"/>
      <c r="P626" s="226"/>
      <c r="AN626" s="454" t="s">
        <v>921</v>
      </c>
      <c r="AO626" s="456">
        <v>0.0</v>
      </c>
      <c r="AP626" s="454" t="s">
        <v>921</v>
      </c>
      <c r="AQ626" s="450">
        <v>0.0</v>
      </c>
      <c r="AS626" s="652"/>
      <c r="AU626" s="652"/>
    </row>
    <row r="627">
      <c r="M627" s="226"/>
      <c r="N627" s="226"/>
      <c r="O627" s="226"/>
      <c r="P627" s="226"/>
      <c r="AN627" s="454" t="s">
        <v>922</v>
      </c>
      <c r="AO627" s="456">
        <v>0.0</v>
      </c>
      <c r="AP627" s="454" t="s">
        <v>922</v>
      </c>
      <c r="AQ627" s="450">
        <v>0.0</v>
      </c>
      <c r="AS627" s="652"/>
      <c r="AU627" s="652"/>
    </row>
    <row r="628">
      <c r="M628" s="226"/>
      <c r="N628" s="226"/>
      <c r="O628" s="226"/>
      <c r="P628" s="226"/>
      <c r="AN628" s="454" t="s">
        <v>923</v>
      </c>
      <c r="AO628" s="456">
        <v>0.0</v>
      </c>
      <c r="AP628" s="454" t="s">
        <v>923</v>
      </c>
      <c r="AQ628" s="450">
        <v>0.0</v>
      </c>
      <c r="AS628" s="652"/>
      <c r="AU628" s="652"/>
    </row>
    <row r="629">
      <c r="M629" s="226"/>
      <c r="N629" s="226"/>
      <c r="O629" s="226"/>
      <c r="P629" s="226"/>
      <c r="AN629" s="454" t="s">
        <v>924</v>
      </c>
      <c r="AO629" s="456">
        <v>0.0</v>
      </c>
      <c r="AP629" s="454" t="s">
        <v>924</v>
      </c>
      <c r="AQ629" s="450">
        <v>0.0</v>
      </c>
      <c r="AS629" s="652"/>
      <c r="AU629" s="652"/>
    </row>
    <row r="630">
      <c r="M630" s="226"/>
      <c r="N630" s="226"/>
      <c r="O630" s="226"/>
      <c r="P630" s="226"/>
      <c r="AN630" s="454" t="s">
        <v>926</v>
      </c>
      <c r="AO630" s="456">
        <v>0.0</v>
      </c>
      <c r="AP630" s="454" t="s">
        <v>926</v>
      </c>
      <c r="AQ630" s="450">
        <v>0.0</v>
      </c>
      <c r="AS630" s="652"/>
      <c r="AU630" s="652"/>
    </row>
    <row r="631">
      <c r="M631" s="226"/>
      <c r="N631" s="226"/>
      <c r="O631" s="226"/>
      <c r="P631" s="226"/>
      <c r="AN631" s="454" t="s">
        <v>927</v>
      </c>
      <c r="AO631" s="456">
        <v>0.0</v>
      </c>
      <c r="AP631" s="454" t="s">
        <v>927</v>
      </c>
      <c r="AQ631" s="450">
        <v>0.0</v>
      </c>
      <c r="AS631" s="652"/>
      <c r="AU631" s="652"/>
    </row>
    <row r="632">
      <c r="M632" s="226"/>
      <c r="N632" s="226"/>
      <c r="O632" s="226"/>
      <c r="P632" s="226"/>
      <c r="AN632" s="454" t="s">
        <v>1115</v>
      </c>
      <c r="AO632" s="456">
        <v>0.0</v>
      </c>
      <c r="AP632" s="454" t="s">
        <v>1115</v>
      </c>
      <c r="AQ632" s="450">
        <v>0.0</v>
      </c>
      <c r="AS632" s="652"/>
      <c r="AU632" s="652"/>
    </row>
    <row r="633">
      <c r="M633" s="226"/>
      <c r="N633" s="226"/>
      <c r="O633" s="226"/>
      <c r="P633" s="226"/>
      <c r="AN633" s="454" t="s">
        <v>1244</v>
      </c>
      <c r="AO633" s="456">
        <v>0.0</v>
      </c>
      <c r="AP633" s="454" t="s">
        <v>1244</v>
      </c>
      <c r="AQ633" s="450">
        <v>0.0</v>
      </c>
      <c r="AS633" s="652"/>
      <c r="AU633" s="652"/>
    </row>
    <row r="634">
      <c r="M634" s="226"/>
      <c r="N634" s="226"/>
      <c r="O634" s="226"/>
      <c r="P634" s="226"/>
      <c r="AN634" s="454" t="s">
        <v>1111</v>
      </c>
      <c r="AO634" s="456">
        <v>0.0</v>
      </c>
      <c r="AP634" s="454" t="s">
        <v>1111</v>
      </c>
      <c r="AQ634" s="450">
        <v>0.0</v>
      </c>
      <c r="AS634" s="652"/>
      <c r="AU634" s="652"/>
    </row>
    <row r="635">
      <c r="M635" s="226"/>
      <c r="N635" s="226"/>
      <c r="O635" s="226"/>
      <c r="P635" s="226"/>
      <c r="AS635" s="652"/>
      <c r="AU635" s="652"/>
    </row>
    <row r="636">
      <c r="M636" s="226"/>
      <c r="N636" s="226"/>
      <c r="O636" s="226"/>
      <c r="P636" s="226"/>
      <c r="AN636" s="449" t="s">
        <v>2191</v>
      </c>
      <c r="AO636" s="449" t="s">
        <v>2364</v>
      </c>
      <c r="AP636" s="449" t="s">
        <v>2191</v>
      </c>
      <c r="AQ636" s="449" t="s">
        <v>2365</v>
      </c>
      <c r="AS636" s="652"/>
      <c r="AU636" s="652"/>
    </row>
    <row r="637">
      <c r="M637" s="226"/>
      <c r="N637" s="226"/>
      <c r="O637" s="226"/>
      <c r="P637" s="226"/>
      <c r="AN637" s="454" t="s">
        <v>974</v>
      </c>
      <c r="AO637" s="456">
        <v>0.0</v>
      </c>
      <c r="AP637" s="454" t="s">
        <v>974</v>
      </c>
      <c r="AQ637" s="456">
        <v>0.0</v>
      </c>
      <c r="AS637" s="652"/>
      <c r="AU637" s="652"/>
    </row>
    <row r="638">
      <c r="M638" s="226"/>
      <c r="N638" s="226"/>
      <c r="O638" s="226"/>
      <c r="P638" s="226"/>
      <c r="AN638" s="454" t="s">
        <v>975</v>
      </c>
      <c r="AO638" s="456">
        <v>0.0</v>
      </c>
      <c r="AP638" s="454" t="s">
        <v>975</v>
      </c>
      <c r="AQ638" s="456">
        <v>0.0</v>
      </c>
      <c r="AS638" s="652"/>
      <c r="AU638" s="652"/>
    </row>
    <row r="639">
      <c r="M639" s="226"/>
      <c r="N639" s="226"/>
      <c r="O639" s="226"/>
      <c r="P639" s="226"/>
      <c r="AN639" s="454" t="s">
        <v>976</v>
      </c>
      <c r="AO639" s="456">
        <v>0.0</v>
      </c>
      <c r="AP639" s="454" t="s">
        <v>976</v>
      </c>
      <c r="AQ639" s="456">
        <v>0.0</v>
      </c>
      <c r="AS639" s="652"/>
      <c r="AU639" s="652"/>
    </row>
    <row r="640">
      <c r="M640" s="226"/>
      <c r="N640" s="226"/>
      <c r="O640" s="226"/>
      <c r="P640" s="226"/>
      <c r="AN640" s="454" t="s">
        <v>977</v>
      </c>
      <c r="AO640" s="456">
        <v>0.0</v>
      </c>
      <c r="AP640" s="454" t="s">
        <v>977</v>
      </c>
      <c r="AQ640" s="456">
        <v>1.0</v>
      </c>
      <c r="AS640" s="652"/>
      <c r="AU640" s="652"/>
    </row>
    <row r="641">
      <c r="M641" s="226"/>
      <c r="N641" s="226"/>
      <c r="O641" s="226"/>
      <c r="P641" s="226"/>
      <c r="AN641" s="454" t="s">
        <v>979</v>
      </c>
      <c r="AO641" s="456">
        <v>0.0</v>
      </c>
      <c r="AP641" s="454" t="s">
        <v>979</v>
      </c>
      <c r="AQ641" s="456">
        <v>0.0</v>
      </c>
      <c r="AS641" s="652"/>
      <c r="AU641" s="652"/>
    </row>
    <row r="642">
      <c r="M642" s="226"/>
      <c r="N642" s="226"/>
      <c r="O642" s="226"/>
      <c r="P642" s="226"/>
      <c r="AN642" s="454" t="s">
        <v>981</v>
      </c>
      <c r="AO642" s="456">
        <v>2.0</v>
      </c>
      <c r="AP642" s="454" t="s">
        <v>981</v>
      </c>
      <c r="AQ642" s="456">
        <v>0.0</v>
      </c>
      <c r="AS642" s="652"/>
      <c r="AU642" s="652"/>
    </row>
    <row r="643">
      <c r="M643" s="226"/>
      <c r="N643" s="226"/>
      <c r="O643" s="226"/>
      <c r="P643" s="226"/>
      <c r="AN643" s="454" t="s">
        <v>983</v>
      </c>
      <c r="AO643" s="456">
        <v>0.0</v>
      </c>
      <c r="AP643" s="515" t="s">
        <v>983</v>
      </c>
      <c r="AQ643" s="457">
        <v>0.0</v>
      </c>
      <c r="AS643" s="652"/>
      <c r="AU643" s="652"/>
    </row>
    <row r="644">
      <c r="M644" s="226"/>
      <c r="N644" s="226"/>
      <c r="O644" s="226"/>
      <c r="P644" s="226"/>
      <c r="AN644" s="454" t="s">
        <v>985</v>
      </c>
      <c r="AO644" s="456">
        <v>0.0</v>
      </c>
      <c r="AP644" s="515" t="s">
        <v>985</v>
      </c>
      <c r="AQ644" s="457">
        <v>0.0</v>
      </c>
      <c r="AS644" s="652"/>
      <c r="AU644" s="652"/>
    </row>
    <row r="645">
      <c r="M645" s="226"/>
      <c r="N645" s="226"/>
      <c r="O645" s="226"/>
      <c r="P645" s="226"/>
      <c r="AN645" s="454" t="s">
        <v>987</v>
      </c>
      <c r="AO645" s="456">
        <v>0.0</v>
      </c>
      <c r="AP645" s="515" t="s">
        <v>987</v>
      </c>
      <c r="AQ645" s="457">
        <v>0.0</v>
      </c>
      <c r="AS645" s="652"/>
      <c r="AU645" s="652"/>
    </row>
    <row r="646">
      <c r="M646" s="226"/>
      <c r="N646" s="226"/>
      <c r="O646" s="226"/>
      <c r="P646" s="226"/>
      <c r="AN646" s="454" t="s">
        <v>988</v>
      </c>
      <c r="AO646" s="456">
        <v>0.0</v>
      </c>
      <c r="AP646" s="515" t="s">
        <v>988</v>
      </c>
      <c r="AQ646" s="457">
        <v>0.0</v>
      </c>
      <c r="AS646" s="652"/>
      <c r="AU646" s="652"/>
    </row>
    <row r="647">
      <c r="M647" s="226"/>
      <c r="N647" s="226"/>
      <c r="O647" s="226"/>
      <c r="P647" s="226"/>
      <c r="AN647" s="454" t="s">
        <v>989</v>
      </c>
      <c r="AO647" s="456">
        <v>0.0</v>
      </c>
      <c r="AP647" s="515" t="s">
        <v>989</v>
      </c>
      <c r="AQ647" s="457">
        <v>0.0</v>
      </c>
      <c r="AS647" s="652"/>
      <c r="AU647" s="652"/>
    </row>
    <row r="648">
      <c r="M648" s="226"/>
      <c r="N648" s="226"/>
      <c r="O648" s="226"/>
      <c r="P648" s="226"/>
      <c r="AN648" s="454" t="s">
        <v>992</v>
      </c>
      <c r="AO648" s="456">
        <v>0.0</v>
      </c>
      <c r="AP648" s="515" t="s">
        <v>992</v>
      </c>
      <c r="AQ648" s="457">
        <v>0.0</v>
      </c>
      <c r="AS648" s="652"/>
      <c r="AU648" s="652"/>
    </row>
    <row r="649">
      <c r="M649" s="226"/>
      <c r="N649" s="226"/>
      <c r="O649" s="226"/>
      <c r="P649" s="226"/>
      <c r="AN649" s="454" t="s">
        <v>994</v>
      </c>
      <c r="AO649" s="456">
        <v>0.0</v>
      </c>
      <c r="AP649" s="515" t="s">
        <v>994</v>
      </c>
      <c r="AQ649" s="457">
        <v>0.0</v>
      </c>
      <c r="AS649" s="652"/>
      <c r="AU649" s="652"/>
    </row>
    <row r="650">
      <c r="M650" s="226"/>
      <c r="N650" s="226"/>
      <c r="O650" s="226"/>
      <c r="P650" s="226"/>
      <c r="AS650" s="652"/>
      <c r="AU650" s="652"/>
    </row>
    <row r="651">
      <c r="M651" s="226"/>
      <c r="N651" s="226"/>
      <c r="O651" s="226"/>
      <c r="P651" s="226"/>
      <c r="AS651" s="652"/>
      <c r="AU651" s="652"/>
    </row>
    <row r="652">
      <c r="M652" s="226"/>
      <c r="N652" s="226"/>
      <c r="O652" s="226"/>
      <c r="P652" s="226"/>
      <c r="AS652" s="652"/>
      <c r="AU652" s="652"/>
    </row>
    <row r="653">
      <c r="M653" s="226"/>
      <c r="N653" s="226"/>
      <c r="O653" s="226"/>
      <c r="P653" s="226"/>
      <c r="AS653" s="652"/>
      <c r="AU653" s="652"/>
    </row>
    <row r="654">
      <c r="M654" s="226"/>
      <c r="N654" s="226"/>
      <c r="O654" s="226"/>
      <c r="P654" s="226"/>
      <c r="AS654" s="652"/>
      <c r="AU654" s="652"/>
    </row>
    <row r="655">
      <c r="M655" s="226"/>
      <c r="N655" s="226"/>
      <c r="O655" s="226"/>
      <c r="P655" s="226"/>
      <c r="AS655" s="652"/>
      <c r="AU655" s="652"/>
    </row>
    <row r="656">
      <c r="M656" s="226"/>
      <c r="N656" s="226"/>
      <c r="O656" s="226"/>
      <c r="P656" s="226"/>
      <c r="AS656" s="652"/>
      <c r="AU656" s="652"/>
    </row>
    <row r="657">
      <c r="M657" s="226"/>
      <c r="N657" s="226"/>
      <c r="O657" s="226"/>
      <c r="P657" s="226"/>
      <c r="AS657" s="652"/>
      <c r="AU657" s="652"/>
    </row>
    <row r="658">
      <c r="M658" s="226"/>
      <c r="N658" s="226"/>
      <c r="O658" s="226"/>
      <c r="P658" s="226"/>
      <c r="AS658" s="652"/>
      <c r="AU658" s="652"/>
    </row>
    <row r="659">
      <c r="M659" s="226"/>
      <c r="N659" s="226"/>
      <c r="O659" s="226"/>
      <c r="P659" s="226"/>
      <c r="AS659" s="652"/>
      <c r="AU659" s="652"/>
    </row>
    <row r="660">
      <c r="M660" s="226"/>
      <c r="N660" s="226"/>
      <c r="O660" s="226"/>
      <c r="P660" s="226"/>
      <c r="AS660" s="652"/>
      <c r="AU660" s="652"/>
    </row>
    <row r="661">
      <c r="M661" s="226"/>
      <c r="N661" s="226"/>
      <c r="O661" s="226"/>
      <c r="P661" s="226"/>
      <c r="AS661" s="652"/>
      <c r="AU661" s="652"/>
    </row>
    <row r="662">
      <c r="M662" s="226"/>
      <c r="N662" s="226"/>
      <c r="O662" s="226"/>
      <c r="P662" s="226"/>
      <c r="AS662" s="652"/>
      <c r="AU662" s="652"/>
    </row>
    <row r="663">
      <c r="M663" s="226"/>
      <c r="N663" s="226"/>
      <c r="O663" s="226"/>
      <c r="P663" s="226"/>
      <c r="AS663" s="652"/>
      <c r="AU663" s="652"/>
    </row>
    <row r="664">
      <c r="M664" s="226"/>
      <c r="N664" s="226"/>
      <c r="O664" s="226"/>
      <c r="P664" s="226"/>
      <c r="AS664" s="652"/>
      <c r="AU664" s="652"/>
    </row>
    <row r="665">
      <c r="M665" s="226"/>
      <c r="N665" s="226"/>
      <c r="O665" s="226"/>
      <c r="P665" s="226"/>
      <c r="AS665" s="652"/>
      <c r="AU665" s="652"/>
    </row>
    <row r="666">
      <c r="M666" s="226"/>
      <c r="N666" s="226"/>
      <c r="O666" s="226"/>
      <c r="P666" s="226"/>
      <c r="AS666" s="652"/>
      <c r="AU666" s="652"/>
    </row>
    <row r="667">
      <c r="M667" s="226"/>
      <c r="N667" s="226"/>
      <c r="O667" s="226"/>
      <c r="P667" s="226"/>
      <c r="AS667" s="652"/>
      <c r="AU667" s="652"/>
    </row>
    <row r="668">
      <c r="M668" s="226"/>
      <c r="N668" s="226"/>
      <c r="O668" s="226"/>
      <c r="P668" s="226"/>
      <c r="AS668" s="652"/>
      <c r="AU668" s="652"/>
    </row>
    <row r="669">
      <c r="M669" s="226"/>
      <c r="N669" s="226"/>
      <c r="O669" s="226"/>
      <c r="P669" s="226"/>
      <c r="AS669" s="652"/>
      <c r="AU669" s="652"/>
    </row>
    <row r="670">
      <c r="M670" s="226"/>
      <c r="N670" s="226"/>
      <c r="O670" s="226"/>
      <c r="P670" s="226"/>
      <c r="AS670" s="652"/>
      <c r="AU670" s="652"/>
    </row>
    <row r="671">
      <c r="M671" s="226"/>
      <c r="N671" s="226"/>
      <c r="O671" s="226"/>
      <c r="P671" s="226"/>
      <c r="AS671" s="652"/>
      <c r="AU671" s="652"/>
    </row>
    <row r="672">
      <c r="M672" s="226"/>
      <c r="N672" s="226"/>
      <c r="O672" s="226"/>
      <c r="P672" s="226"/>
      <c r="AS672" s="652"/>
      <c r="AU672" s="652"/>
    </row>
    <row r="673">
      <c r="M673" s="226"/>
      <c r="N673" s="226"/>
      <c r="O673" s="226"/>
      <c r="P673" s="226"/>
      <c r="AS673" s="652"/>
      <c r="AU673" s="652"/>
    </row>
    <row r="674">
      <c r="M674" s="226"/>
      <c r="N674" s="226"/>
      <c r="O674" s="226"/>
      <c r="P674" s="226"/>
      <c r="AS674" s="652"/>
      <c r="AU674" s="652"/>
    </row>
    <row r="675">
      <c r="M675" s="226"/>
      <c r="N675" s="226"/>
      <c r="O675" s="226"/>
      <c r="P675" s="226"/>
      <c r="AS675" s="652"/>
      <c r="AU675" s="652"/>
    </row>
    <row r="676">
      <c r="M676" s="226"/>
      <c r="N676" s="226"/>
      <c r="O676" s="226"/>
      <c r="P676" s="226"/>
      <c r="AS676" s="652"/>
      <c r="AU676" s="652"/>
    </row>
    <row r="677">
      <c r="M677" s="226"/>
      <c r="N677" s="226"/>
      <c r="O677" s="226"/>
      <c r="P677" s="226"/>
      <c r="AS677" s="652"/>
      <c r="AU677" s="652"/>
    </row>
    <row r="678">
      <c r="M678" s="226"/>
      <c r="N678" s="226"/>
      <c r="O678" s="226"/>
      <c r="P678" s="226"/>
      <c r="AS678" s="652"/>
      <c r="AU678" s="652"/>
    </row>
    <row r="679">
      <c r="M679" s="226"/>
      <c r="N679" s="226"/>
      <c r="O679" s="226"/>
      <c r="P679" s="226"/>
      <c r="AS679" s="652"/>
      <c r="AU679" s="652"/>
    </row>
    <row r="680">
      <c r="M680" s="226"/>
      <c r="N680" s="226"/>
      <c r="O680" s="226"/>
      <c r="P680" s="226"/>
      <c r="AS680" s="652"/>
      <c r="AU680" s="652"/>
    </row>
    <row r="681">
      <c r="M681" s="226"/>
      <c r="N681" s="226"/>
      <c r="O681" s="226"/>
      <c r="P681" s="226"/>
      <c r="AS681" s="652"/>
      <c r="AU681" s="652"/>
    </row>
    <row r="682">
      <c r="M682" s="226"/>
      <c r="N682" s="226"/>
      <c r="O682" s="226"/>
      <c r="P682" s="226"/>
      <c r="AS682" s="652"/>
      <c r="AU682" s="652"/>
    </row>
    <row r="683">
      <c r="M683" s="226"/>
      <c r="N683" s="226"/>
      <c r="O683" s="226"/>
      <c r="P683" s="226"/>
      <c r="AS683" s="652"/>
      <c r="AU683" s="652"/>
    </row>
    <row r="684">
      <c r="M684" s="226"/>
      <c r="N684" s="226"/>
      <c r="O684" s="226"/>
      <c r="P684" s="226"/>
      <c r="AS684" s="652"/>
      <c r="AU684" s="652"/>
    </row>
    <row r="685">
      <c r="M685" s="226"/>
      <c r="N685" s="226"/>
      <c r="O685" s="226"/>
      <c r="P685" s="226"/>
      <c r="AS685" s="652"/>
      <c r="AU685" s="652"/>
    </row>
    <row r="686">
      <c r="M686" s="226"/>
      <c r="N686" s="226"/>
      <c r="O686" s="226"/>
      <c r="P686" s="226"/>
      <c r="AS686" s="652"/>
      <c r="AU686" s="652"/>
    </row>
    <row r="687">
      <c r="M687" s="226"/>
      <c r="N687" s="226"/>
      <c r="O687" s="226"/>
      <c r="P687" s="226"/>
      <c r="AS687" s="652"/>
      <c r="AU687" s="652"/>
    </row>
    <row r="688">
      <c r="M688" s="226"/>
      <c r="N688" s="226"/>
      <c r="O688" s="226"/>
      <c r="P688" s="226"/>
      <c r="AS688" s="652"/>
      <c r="AU688" s="652"/>
    </row>
    <row r="689">
      <c r="M689" s="226"/>
      <c r="N689" s="226"/>
      <c r="O689" s="226"/>
      <c r="P689" s="226"/>
      <c r="AS689" s="652"/>
      <c r="AU689" s="652"/>
    </row>
    <row r="690">
      <c r="M690" s="226"/>
      <c r="N690" s="226"/>
      <c r="O690" s="226"/>
      <c r="P690" s="226"/>
      <c r="AS690" s="652"/>
      <c r="AU690" s="652"/>
    </row>
    <row r="691">
      <c r="M691" s="226"/>
      <c r="N691" s="226"/>
      <c r="O691" s="226"/>
      <c r="P691" s="226"/>
      <c r="AS691" s="652"/>
      <c r="AU691" s="652"/>
    </row>
    <row r="692">
      <c r="M692" s="226"/>
      <c r="N692" s="226"/>
      <c r="O692" s="226"/>
      <c r="P692" s="226"/>
      <c r="AS692" s="652"/>
      <c r="AU692" s="652"/>
    </row>
    <row r="693">
      <c r="M693" s="226"/>
      <c r="N693" s="226"/>
      <c r="O693" s="226"/>
      <c r="P693" s="226"/>
      <c r="AS693" s="652"/>
      <c r="AU693" s="652"/>
    </row>
    <row r="694">
      <c r="M694" s="226"/>
      <c r="N694" s="226"/>
      <c r="O694" s="226"/>
      <c r="P694" s="226"/>
      <c r="AS694" s="652"/>
      <c r="AU694" s="652"/>
    </row>
    <row r="695">
      <c r="M695" s="226"/>
      <c r="N695" s="226"/>
      <c r="O695" s="226"/>
      <c r="P695" s="226"/>
      <c r="AS695" s="652"/>
      <c r="AU695" s="652"/>
    </row>
    <row r="696">
      <c r="M696" s="226"/>
      <c r="N696" s="226"/>
      <c r="O696" s="226"/>
      <c r="P696" s="226"/>
      <c r="AS696" s="652"/>
      <c r="AU696" s="652"/>
    </row>
    <row r="697">
      <c r="M697" s="226"/>
      <c r="N697" s="226"/>
      <c r="O697" s="226"/>
      <c r="P697" s="226"/>
      <c r="AS697" s="652"/>
      <c r="AU697" s="652"/>
    </row>
    <row r="698">
      <c r="M698" s="226"/>
      <c r="N698" s="226"/>
      <c r="O698" s="226"/>
      <c r="P698" s="226"/>
      <c r="AS698" s="652"/>
      <c r="AU698" s="652"/>
    </row>
    <row r="699">
      <c r="M699" s="226"/>
      <c r="N699" s="226"/>
      <c r="O699" s="226"/>
      <c r="P699" s="226"/>
      <c r="AS699" s="652"/>
      <c r="AU699" s="652"/>
    </row>
    <row r="700">
      <c r="M700" s="226"/>
      <c r="N700" s="226"/>
      <c r="O700" s="226"/>
      <c r="P700" s="226"/>
      <c r="AS700" s="652"/>
      <c r="AU700" s="652"/>
    </row>
    <row r="701">
      <c r="M701" s="226"/>
      <c r="N701" s="226"/>
      <c r="O701" s="226"/>
      <c r="P701" s="226"/>
      <c r="AS701" s="652"/>
      <c r="AU701" s="652"/>
    </row>
    <row r="702">
      <c r="M702" s="226"/>
      <c r="N702" s="226"/>
      <c r="O702" s="226"/>
      <c r="P702" s="226"/>
      <c r="AS702" s="652"/>
      <c r="AU702" s="652"/>
    </row>
    <row r="703">
      <c r="M703" s="226"/>
      <c r="N703" s="226"/>
      <c r="O703" s="226"/>
      <c r="P703" s="226"/>
      <c r="AS703" s="652"/>
      <c r="AU703" s="652"/>
    </row>
    <row r="704">
      <c r="M704" s="226"/>
      <c r="N704" s="226"/>
      <c r="O704" s="226"/>
      <c r="P704" s="226"/>
      <c r="AS704" s="652"/>
      <c r="AU704" s="652"/>
    </row>
    <row r="705">
      <c r="M705" s="226"/>
      <c r="N705" s="226"/>
      <c r="O705" s="226"/>
      <c r="P705" s="226"/>
      <c r="AS705" s="652"/>
      <c r="AU705" s="652"/>
    </row>
    <row r="706">
      <c r="M706" s="226"/>
      <c r="N706" s="226"/>
      <c r="O706" s="226"/>
      <c r="P706" s="226"/>
      <c r="AS706" s="652"/>
      <c r="AU706" s="652"/>
    </row>
    <row r="707">
      <c r="M707" s="226"/>
      <c r="N707" s="226"/>
      <c r="O707" s="226"/>
      <c r="P707" s="226"/>
      <c r="AS707" s="652"/>
      <c r="AU707" s="652"/>
    </row>
    <row r="708">
      <c r="M708" s="226"/>
      <c r="N708" s="226"/>
      <c r="O708" s="226"/>
      <c r="P708" s="226"/>
      <c r="AS708" s="652"/>
      <c r="AU708" s="652"/>
    </row>
    <row r="709">
      <c r="M709" s="226"/>
      <c r="N709" s="226"/>
      <c r="O709" s="226"/>
      <c r="P709" s="226"/>
      <c r="AS709" s="652"/>
      <c r="AU709" s="652"/>
    </row>
    <row r="710">
      <c r="M710" s="226"/>
      <c r="N710" s="226"/>
      <c r="O710" s="226"/>
      <c r="P710" s="226"/>
      <c r="AS710" s="652"/>
      <c r="AU710" s="652"/>
    </row>
    <row r="711">
      <c r="M711" s="226"/>
      <c r="N711" s="226"/>
      <c r="O711" s="226"/>
      <c r="P711" s="226"/>
      <c r="AS711" s="652"/>
      <c r="AU711" s="652"/>
    </row>
    <row r="712">
      <c r="M712" s="226"/>
      <c r="N712" s="226"/>
      <c r="O712" s="226"/>
      <c r="P712" s="226"/>
      <c r="AS712" s="652"/>
      <c r="AU712" s="652"/>
    </row>
    <row r="713">
      <c r="M713" s="226"/>
      <c r="N713" s="226"/>
      <c r="O713" s="226"/>
      <c r="P713" s="226"/>
      <c r="AS713" s="652"/>
      <c r="AU713" s="652"/>
    </row>
    <row r="714">
      <c r="M714" s="226"/>
      <c r="N714" s="226"/>
      <c r="O714" s="226"/>
      <c r="P714" s="226"/>
      <c r="AS714" s="652"/>
      <c r="AU714" s="652"/>
    </row>
    <row r="715">
      <c r="M715" s="226"/>
      <c r="N715" s="226"/>
      <c r="O715" s="226"/>
      <c r="P715" s="226"/>
      <c r="AS715" s="652"/>
      <c r="AU715" s="652"/>
    </row>
    <row r="716">
      <c r="M716" s="226"/>
      <c r="N716" s="226"/>
      <c r="O716" s="226"/>
      <c r="P716" s="226"/>
      <c r="AS716" s="652"/>
      <c r="AU716" s="652"/>
    </row>
    <row r="717">
      <c r="M717" s="226"/>
      <c r="N717" s="226"/>
      <c r="O717" s="226"/>
      <c r="P717" s="226"/>
      <c r="AS717" s="652"/>
      <c r="AU717" s="652"/>
    </row>
    <row r="718">
      <c r="M718" s="226"/>
      <c r="N718" s="226"/>
      <c r="O718" s="226"/>
      <c r="P718" s="226"/>
      <c r="AS718" s="652"/>
      <c r="AU718" s="652"/>
    </row>
    <row r="719">
      <c r="M719" s="226"/>
      <c r="N719" s="226"/>
      <c r="O719" s="226"/>
      <c r="P719" s="226"/>
      <c r="AS719" s="652"/>
      <c r="AU719" s="652"/>
    </row>
    <row r="720">
      <c r="M720" s="226"/>
      <c r="N720" s="226"/>
      <c r="O720" s="226"/>
      <c r="P720" s="226"/>
      <c r="AS720" s="652"/>
      <c r="AU720" s="652"/>
    </row>
    <row r="721">
      <c r="M721" s="226"/>
      <c r="N721" s="226"/>
      <c r="O721" s="226"/>
      <c r="P721" s="226"/>
      <c r="AS721" s="652"/>
      <c r="AU721" s="652"/>
    </row>
    <row r="722">
      <c r="M722" s="226"/>
      <c r="N722" s="226"/>
      <c r="O722" s="226"/>
      <c r="P722" s="226"/>
      <c r="AS722" s="652"/>
      <c r="AU722" s="652"/>
    </row>
    <row r="723">
      <c r="M723" s="226"/>
      <c r="N723" s="226"/>
      <c r="O723" s="226"/>
      <c r="P723" s="226"/>
      <c r="AS723" s="652"/>
      <c r="AU723" s="652"/>
    </row>
    <row r="724">
      <c r="M724" s="226"/>
      <c r="N724" s="226"/>
      <c r="O724" s="226"/>
      <c r="P724" s="226"/>
      <c r="AS724" s="652"/>
      <c r="AU724" s="652"/>
    </row>
    <row r="725">
      <c r="M725" s="226"/>
      <c r="N725" s="226"/>
      <c r="O725" s="226"/>
      <c r="P725" s="226"/>
      <c r="AS725" s="652"/>
      <c r="AU725" s="652"/>
    </row>
    <row r="726">
      <c r="M726" s="226"/>
      <c r="N726" s="226"/>
      <c r="O726" s="226"/>
      <c r="P726" s="226"/>
      <c r="AS726" s="652"/>
      <c r="AU726" s="652"/>
    </row>
    <row r="727">
      <c r="M727" s="226"/>
      <c r="N727" s="226"/>
      <c r="O727" s="226"/>
      <c r="P727" s="226"/>
      <c r="AS727" s="652"/>
      <c r="AU727" s="652"/>
    </row>
    <row r="728">
      <c r="M728" s="226"/>
      <c r="N728" s="226"/>
      <c r="O728" s="226"/>
      <c r="P728" s="226"/>
      <c r="AS728" s="652"/>
      <c r="AU728" s="652"/>
    </row>
    <row r="729">
      <c r="M729" s="226"/>
      <c r="N729" s="226"/>
      <c r="O729" s="226"/>
      <c r="P729" s="226"/>
      <c r="AS729" s="652"/>
      <c r="AU729" s="652"/>
    </row>
    <row r="730">
      <c r="M730" s="226"/>
      <c r="N730" s="226"/>
      <c r="O730" s="226"/>
      <c r="P730" s="226"/>
      <c r="AS730" s="652"/>
      <c r="AU730" s="652"/>
    </row>
    <row r="731">
      <c r="M731" s="226"/>
      <c r="N731" s="226"/>
      <c r="O731" s="226"/>
      <c r="P731" s="226"/>
      <c r="AS731" s="652"/>
      <c r="AU731" s="652"/>
    </row>
    <row r="732">
      <c r="M732" s="226"/>
      <c r="N732" s="226"/>
      <c r="O732" s="226"/>
      <c r="P732" s="226"/>
      <c r="AS732" s="652"/>
      <c r="AU732" s="652"/>
    </row>
    <row r="733">
      <c r="M733" s="226"/>
      <c r="N733" s="226"/>
      <c r="O733" s="226"/>
      <c r="P733" s="226"/>
      <c r="AS733" s="652"/>
      <c r="AU733" s="652"/>
    </row>
    <row r="734">
      <c r="M734" s="226"/>
      <c r="N734" s="226"/>
      <c r="O734" s="226"/>
      <c r="P734" s="226"/>
      <c r="AS734" s="652"/>
      <c r="AU734" s="652"/>
    </row>
    <row r="735">
      <c r="M735" s="226"/>
      <c r="N735" s="226"/>
      <c r="O735" s="226"/>
      <c r="P735" s="226"/>
      <c r="AS735" s="652"/>
      <c r="AU735" s="652"/>
    </row>
    <row r="736">
      <c r="M736" s="226"/>
      <c r="N736" s="226"/>
      <c r="O736" s="226"/>
      <c r="P736" s="226"/>
      <c r="AS736" s="652"/>
      <c r="AU736" s="652"/>
    </row>
    <row r="737">
      <c r="M737" s="226"/>
      <c r="N737" s="226"/>
      <c r="O737" s="226"/>
      <c r="P737" s="226"/>
      <c r="AS737" s="652"/>
      <c r="AU737" s="652"/>
    </row>
    <row r="738">
      <c r="M738" s="226"/>
      <c r="N738" s="226"/>
      <c r="O738" s="226"/>
      <c r="P738" s="226"/>
      <c r="AS738" s="652"/>
      <c r="AU738" s="652"/>
    </row>
    <row r="739">
      <c r="M739" s="226"/>
      <c r="N739" s="226"/>
      <c r="O739" s="226"/>
      <c r="P739" s="226"/>
      <c r="AS739" s="652"/>
      <c r="AU739" s="652"/>
    </row>
    <row r="740">
      <c r="M740" s="226"/>
      <c r="N740" s="226"/>
      <c r="O740" s="226"/>
      <c r="P740" s="226"/>
      <c r="AS740" s="652"/>
      <c r="AU740" s="652"/>
    </row>
    <row r="741">
      <c r="M741" s="226"/>
      <c r="N741" s="226"/>
      <c r="O741" s="226"/>
      <c r="P741" s="226"/>
      <c r="AS741" s="652"/>
      <c r="AU741" s="652"/>
    </row>
    <row r="742">
      <c r="M742" s="226"/>
      <c r="N742" s="226"/>
      <c r="O742" s="226"/>
      <c r="P742" s="226"/>
      <c r="AS742" s="652"/>
      <c r="AU742" s="652"/>
    </row>
    <row r="743">
      <c r="M743" s="226"/>
      <c r="N743" s="226"/>
      <c r="O743" s="226"/>
      <c r="P743" s="226"/>
      <c r="AS743" s="652"/>
      <c r="AU743" s="652"/>
    </row>
    <row r="744">
      <c r="M744" s="226"/>
      <c r="N744" s="226"/>
      <c r="O744" s="226"/>
      <c r="P744" s="226"/>
      <c r="AS744" s="652"/>
      <c r="AU744" s="652"/>
    </row>
    <row r="745">
      <c r="M745" s="226"/>
      <c r="N745" s="226"/>
      <c r="O745" s="226"/>
      <c r="P745" s="226"/>
      <c r="AS745" s="652"/>
      <c r="AU745" s="652"/>
    </row>
    <row r="746">
      <c r="M746" s="226"/>
      <c r="N746" s="226"/>
      <c r="O746" s="226"/>
      <c r="P746" s="226"/>
      <c r="AS746" s="652"/>
      <c r="AU746" s="652"/>
    </row>
    <row r="747">
      <c r="M747" s="226"/>
      <c r="N747" s="226"/>
      <c r="O747" s="226"/>
      <c r="P747" s="226"/>
      <c r="AS747" s="652"/>
      <c r="AU747" s="652"/>
    </row>
    <row r="748">
      <c r="M748" s="226"/>
      <c r="N748" s="226"/>
      <c r="O748" s="226"/>
      <c r="P748" s="226"/>
      <c r="AS748" s="652"/>
      <c r="AU748" s="652"/>
    </row>
    <row r="749">
      <c r="M749" s="226"/>
      <c r="N749" s="226"/>
      <c r="O749" s="226"/>
      <c r="P749" s="226"/>
      <c r="AS749" s="652"/>
      <c r="AU749" s="652"/>
    </row>
    <row r="750">
      <c r="M750" s="226"/>
      <c r="N750" s="226"/>
      <c r="O750" s="226"/>
      <c r="P750" s="226"/>
      <c r="AS750" s="652"/>
      <c r="AU750" s="652"/>
    </row>
    <row r="751">
      <c r="M751" s="226"/>
      <c r="N751" s="226"/>
      <c r="O751" s="226"/>
      <c r="P751" s="226"/>
      <c r="AS751" s="652"/>
      <c r="AU751" s="652"/>
    </row>
    <row r="752">
      <c r="M752" s="226"/>
      <c r="N752" s="226"/>
      <c r="O752" s="226"/>
      <c r="P752" s="226"/>
      <c r="AS752" s="652"/>
      <c r="AU752" s="652"/>
    </row>
    <row r="753">
      <c r="M753" s="226"/>
      <c r="N753" s="226"/>
      <c r="O753" s="226"/>
      <c r="P753" s="226"/>
      <c r="AS753" s="652"/>
      <c r="AU753" s="652"/>
    </row>
    <row r="754">
      <c r="M754" s="226"/>
      <c r="N754" s="226"/>
      <c r="O754" s="226"/>
      <c r="P754" s="226"/>
      <c r="AS754" s="652"/>
      <c r="AU754" s="652"/>
    </row>
    <row r="755">
      <c r="M755" s="226"/>
      <c r="N755" s="226"/>
      <c r="O755" s="226"/>
      <c r="P755" s="226"/>
      <c r="AS755" s="652"/>
      <c r="AU755" s="652"/>
    </row>
    <row r="756">
      <c r="M756" s="226"/>
      <c r="N756" s="226"/>
      <c r="O756" s="226"/>
      <c r="P756" s="226"/>
      <c r="AS756" s="652"/>
      <c r="AU756" s="652"/>
    </row>
    <row r="757">
      <c r="M757" s="226"/>
      <c r="N757" s="226"/>
      <c r="O757" s="226"/>
      <c r="P757" s="226"/>
      <c r="AS757" s="652"/>
      <c r="AU757" s="652"/>
    </row>
    <row r="758">
      <c r="M758" s="226"/>
      <c r="N758" s="226"/>
      <c r="O758" s="226"/>
      <c r="P758" s="226"/>
      <c r="AS758" s="652"/>
      <c r="AU758" s="652"/>
    </row>
    <row r="759">
      <c r="M759" s="226"/>
      <c r="N759" s="226"/>
      <c r="O759" s="226"/>
      <c r="P759" s="226"/>
      <c r="AS759" s="652"/>
      <c r="AU759" s="652"/>
    </row>
    <row r="760">
      <c r="M760" s="226"/>
      <c r="N760" s="226"/>
      <c r="O760" s="226"/>
      <c r="P760" s="226"/>
      <c r="AS760" s="652"/>
      <c r="AU760" s="652"/>
    </row>
    <row r="761">
      <c r="M761" s="226"/>
      <c r="N761" s="226"/>
      <c r="O761" s="226"/>
      <c r="P761" s="226"/>
      <c r="AS761" s="652"/>
      <c r="AU761" s="652"/>
    </row>
    <row r="762">
      <c r="M762" s="226"/>
      <c r="N762" s="226"/>
      <c r="O762" s="226"/>
      <c r="P762" s="226"/>
      <c r="AS762" s="652"/>
      <c r="AU762" s="652"/>
    </row>
    <row r="763">
      <c r="M763" s="226"/>
      <c r="N763" s="226"/>
      <c r="O763" s="226"/>
      <c r="P763" s="226"/>
      <c r="AS763" s="652"/>
      <c r="AU763" s="652"/>
    </row>
    <row r="764">
      <c r="M764" s="226"/>
      <c r="N764" s="226"/>
      <c r="O764" s="226"/>
      <c r="P764" s="226"/>
      <c r="AS764" s="652"/>
      <c r="AU764" s="652"/>
    </row>
    <row r="765">
      <c r="M765" s="226"/>
      <c r="N765" s="226"/>
      <c r="O765" s="226"/>
      <c r="P765" s="226"/>
      <c r="AS765" s="652"/>
      <c r="AU765" s="652"/>
    </row>
    <row r="766">
      <c r="M766" s="226"/>
      <c r="N766" s="226"/>
      <c r="O766" s="226"/>
      <c r="P766" s="226"/>
      <c r="AS766" s="652"/>
      <c r="AU766" s="652"/>
    </row>
    <row r="767">
      <c r="M767" s="226"/>
      <c r="N767" s="226"/>
      <c r="O767" s="226"/>
      <c r="P767" s="226"/>
      <c r="AS767" s="652"/>
      <c r="AU767" s="652"/>
    </row>
    <row r="768">
      <c r="M768" s="226"/>
      <c r="N768" s="226"/>
      <c r="O768" s="226"/>
      <c r="P768" s="226"/>
      <c r="AS768" s="652"/>
      <c r="AU768" s="652"/>
    </row>
    <row r="769">
      <c r="M769" s="226"/>
      <c r="N769" s="226"/>
      <c r="O769" s="226"/>
      <c r="P769" s="226"/>
      <c r="AS769" s="652"/>
      <c r="AU769" s="652"/>
    </row>
    <row r="770">
      <c r="M770" s="226"/>
      <c r="N770" s="226"/>
      <c r="O770" s="226"/>
      <c r="P770" s="226"/>
      <c r="AS770" s="652"/>
      <c r="AU770" s="652"/>
    </row>
    <row r="771">
      <c r="M771" s="226"/>
      <c r="N771" s="226"/>
      <c r="O771" s="226"/>
      <c r="P771" s="226"/>
      <c r="AS771" s="652"/>
      <c r="AU771" s="652"/>
    </row>
    <row r="772">
      <c r="M772" s="226"/>
      <c r="N772" s="226"/>
      <c r="O772" s="226"/>
      <c r="P772" s="226"/>
      <c r="AS772" s="652"/>
      <c r="AU772" s="652"/>
    </row>
    <row r="773">
      <c r="M773" s="226"/>
      <c r="N773" s="226"/>
      <c r="O773" s="226"/>
      <c r="P773" s="226"/>
      <c r="AS773" s="652"/>
      <c r="AU773" s="652"/>
    </row>
    <row r="774">
      <c r="M774" s="226"/>
      <c r="N774" s="226"/>
      <c r="O774" s="226"/>
      <c r="P774" s="226"/>
      <c r="AS774" s="652"/>
      <c r="AU774" s="652"/>
    </row>
    <row r="775">
      <c r="M775" s="226"/>
      <c r="N775" s="226"/>
      <c r="O775" s="226"/>
      <c r="P775" s="226"/>
      <c r="AS775" s="652"/>
      <c r="AU775" s="652"/>
    </row>
    <row r="776">
      <c r="M776" s="226"/>
      <c r="N776" s="226"/>
      <c r="O776" s="226"/>
      <c r="P776" s="226"/>
      <c r="AS776" s="652"/>
      <c r="AU776" s="652"/>
    </row>
    <row r="777">
      <c r="M777" s="226"/>
      <c r="N777" s="226"/>
      <c r="O777" s="226"/>
      <c r="P777" s="226"/>
      <c r="AS777" s="652"/>
      <c r="AU777" s="652"/>
    </row>
    <row r="778">
      <c r="M778" s="226"/>
      <c r="N778" s="226"/>
      <c r="O778" s="226"/>
      <c r="P778" s="226"/>
      <c r="AS778" s="652"/>
      <c r="AU778" s="652"/>
    </row>
    <row r="779">
      <c r="M779" s="226"/>
      <c r="N779" s="226"/>
      <c r="O779" s="226"/>
      <c r="P779" s="226"/>
      <c r="AS779" s="652"/>
      <c r="AU779" s="652"/>
    </row>
    <row r="780">
      <c r="M780" s="226"/>
      <c r="N780" s="226"/>
      <c r="O780" s="226"/>
      <c r="P780" s="226"/>
      <c r="AS780" s="652"/>
      <c r="AU780" s="652"/>
    </row>
    <row r="781">
      <c r="M781" s="226"/>
      <c r="N781" s="226"/>
      <c r="O781" s="226"/>
      <c r="P781" s="226"/>
      <c r="AS781" s="652"/>
      <c r="AU781" s="652"/>
    </row>
    <row r="782">
      <c r="M782" s="226"/>
      <c r="N782" s="226"/>
      <c r="O782" s="226"/>
      <c r="P782" s="226"/>
      <c r="AS782" s="652"/>
      <c r="AU782" s="652"/>
    </row>
    <row r="783">
      <c r="M783" s="226"/>
      <c r="N783" s="226"/>
      <c r="O783" s="226"/>
      <c r="P783" s="226"/>
      <c r="AS783" s="652"/>
      <c r="AU783" s="652"/>
    </row>
    <row r="784">
      <c r="M784" s="226"/>
      <c r="N784" s="226"/>
      <c r="O784" s="226"/>
      <c r="P784" s="226"/>
      <c r="AS784" s="652"/>
      <c r="AU784" s="652"/>
    </row>
    <row r="785">
      <c r="M785" s="226"/>
      <c r="N785" s="226"/>
      <c r="O785" s="226"/>
      <c r="P785" s="226"/>
      <c r="AS785" s="652"/>
      <c r="AU785" s="652"/>
    </row>
    <row r="786">
      <c r="M786" s="226"/>
      <c r="N786" s="226"/>
      <c r="O786" s="226"/>
      <c r="P786" s="226"/>
      <c r="AS786" s="652"/>
      <c r="AU786" s="652"/>
    </row>
    <row r="787">
      <c r="M787" s="226"/>
      <c r="N787" s="226"/>
      <c r="O787" s="226"/>
      <c r="P787" s="226"/>
      <c r="AS787" s="652"/>
      <c r="AU787" s="652"/>
    </row>
    <row r="788">
      <c r="M788" s="226"/>
      <c r="N788" s="226"/>
      <c r="O788" s="226"/>
      <c r="P788" s="226"/>
      <c r="AS788" s="652"/>
      <c r="AU788" s="652"/>
    </row>
    <row r="789">
      <c r="M789" s="226"/>
      <c r="N789" s="226"/>
      <c r="O789" s="226"/>
      <c r="P789" s="226"/>
      <c r="AS789" s="652"/>
      <c r="AU789" s="652"/>
    </row>
    <row r="790">
      <c r="M790" s="226"/>
      <c r="N790" s="226"/>
      <c r="O790" s="226"/>
      <c r="P790" s="226"/>
      <c r="AS790" s="652"/>
      <c r="AU790" s="652"/>
    </row>
    <row r="791">
      <c r="M791" s="226"/>
      <c r="N791" s="226"/>
      <c r="O791" s="226"/>
      <c r="P791" s="226"/>
      <c r="AS791" s="652"/>
      <c r="AU791" s="652"/>
    </row>
    <row r="792">
      <c r="M792" s="226"/>
      <c r="N792" s="226"/>
      <c r="O792" s="226"/>
      <c r="P792" s="226"/>
      <c r="AS792" s="652"/>
      <c r="AU792" s="652"/>
    </row>
    <row r="793">
      <c r="M793" s="226"/>
      <c r="N793" s="226"/>
      <c r="O793" s="226"/>
      <c r="P793" s="226"/>
      <c r="AS793" s="652"/>
      <c r="AU793" s="652"/>
    </row>
    <row r="794">
      <c r="M794" s="226"/>
      <c r="N794" s="226"/>
      <c r="O794" s="226"/>
      <c r="P794" s="226"/>
      <c r="AS794" s="652"/>
      <c r="AU794" s="652"/>
    </row>
    <row r="795">
      <c r="M795" s="226"/>
      <c r="N795" s="226"/>
      <c r="O795" s="226"/>
      <c r="P795" s="226"/>
      <c r="AS795" s="652"/>
      <c r="AU795" s="652"/>
    </row>
    <row r="796">
      <c r="M796" s="226"/>
      <c r="N796" s="226"/>
      <c r="O796" s="226"/>
      <c r="P796" s="226"/>
      <c r="AS796" s="652"/>
      <c r="AU796" s="652"/>
    </row>
    <row r="797">
      <c r="M797" s="226"/>
      <c r="N797" s="226"/>
      <c r="O797" s="226"/>
      <c r="P797" s="226"/>
      <c r="AS797" s="652"/>
      <c r="AU797" s="652"/>
    </row>
    <row r="798">
      <c r="M798" s="226"/>
      <c r="N798" s="226"/>
      <c r="O798" s="226"/>
      <c r="P798" s="226"/>
      <c r="AS798" s="652"/>
      <c r="AU798" s="652"/>
    </row>
    <row r="799">
      <c r="M799" s="226"/>
      <c r="N799" s="226"/>
      <c r="O799" s="226"/>
      <c r="P799" s="226"/>
      <c r="AS799" s="652"/>
      <c r="AU799" s="652"/>
    </row>
    <row r="800">
      <c r="M800" s="226"/>
      <c r="N800" s="226"/>
      <c r="O800" s="226"/>
      <c r="P800" s="226"/>
      <c r="AS800" s="652"/>
      <c r="AU800" s="652"/>
    </row>
    <row r="801">
      <c r="M801" s="226"/>
      <c r="N801" s="226"/>
      <c r="O801" s="226"/>
      <c r="P801" s="226"/>
      <c r="AS801" s="652"/>
      <c r="AU801" s="652"/>
    </row>
    <row r="802">
      <c r="M802" s="226"/>
      <c r="N802" s="226"/>
      <c r="O802" s="226"/>
      <c r="P802" s="226"/>
      <c r="AS802" s="652"/>
      <c r="AU802" s="652"/>
    </row>
    <row r="803">
      <c r="M803" s="226"/>
      <c r="N803" s="226"/>
      <c r="O803" s="226"/>
      <c r="P803" s="226"/>
      <c r="AS803" s="652"/>
      <c r="AU803" s="652"/>
    </row>
    <row r="804">
      <c r="M804" s="226"/>
      <c r="N804" s="226"/>
      <c r="O804" s="226"/>
      <c r="P804" s="226"/>
      <c r="AS804" s="652"/>
      <c r="AU804" s="652"/>
    </row>
    <row r="805">
      <c r="M805" s="226"/>
      <c r="N805" s="226"/>
      <c r="O805" s="226"/>
      <c r="P805" s="226"/>
      <c r="AS805" s="652"/>
      <c r="AU805" s="652"/>
    </row>
    <row r="806">
      <c r="M806" s="226"/>
      <c r="N806" s="226"/>
      <c r="O806" s="226"/>
      <c r="P806" s="226"/>
      <c r="AS806" s="652"/>
      <c r="AU806" s="652"/>
    </row>
    <row r="807">
      <c r="M807" s="226"/>
      <c r="N807" s="226"/>
      <c r="O807" s="226"/>
      <c r="P807" s="226"/>
      <c r="AS807" s="652"/>
      <c r="AU807" s="652"/>
    </row>
    <row r="808">
      <c r="M808" s="226"/>
      <c r="N808" s="226"/>
      <c r="O808" s="226"/>
      <c r="P808" s="226"/>
      <c r="AS808" s="652"/>
      <c r="AU808" s="652"/>
    </row>
    <row r="809">
      <c r="M809" s="226"/>
      <c r="N809" s="226"/>
      <c r="O809" s="226"/>
      <c r="P809" s="226"/>
      <c r="AS809" s="652"/>
      <c r="AU809" s="652"/>
    </row>
    <row r="810">
      <c r="M810" s="226"/>
      <c r="N810" s="226"/>
      <c r="O810" s="226"/>
      <c r="P810" s="226"/>
      <c r="AS810" s="652"/>
      <c r="AU810" s="652"/>
    </row>
    <row r="811">
      <c r="M811" s="226"/>
      <c r="N811" s="226"/>
      <c r="O811" s="226"/>
      <c r="P811" s="226"/>
      <c r="AS811" s="652"/>
      <c r="AU811" s="652"/>
    </row>
    <row r="812">
      <c r="M812" s="226"/>
      <c r="N812" s="226"/>
      <c r="O812" s="226"/>
      <c r="P812" s="226"/>
      <c r="AS812" s="652"/>
      <c r="AU812" s="652"/>
    </row>
    <row r="813">
      <c r="M813" s="226"/>
      <c r="N813" s="226"/>
      <c r="O813" s="226"/>
      <c r="P813" s="226"/>
      <c r="AS813" s="652"/>
      <c r="AU813" s="652"/>
    </row>
    <row r="814">
      <c r="M814" s="226"/>
      <c r="N814" s="226"/>
      <c r="O814" s="226"/>
      <c r="P814" s="226"/>
      <c r="AS814" s="652"/>
      <c r="AU814" s="652"/>
    </row>
    <row r="815">
      <c r="M815" s="226"/>
      <c r="N815" s="226"/>
      <c r="O815" s="226"/>
      <c r="P815" s="226"/>
      <c r="AS815" s="652"/>
      <c r="AU815" s="652"/>
    </row>
    <row r="816">
      <c r="M816" s="226"/>
      <c r="N816" s="226"/>
      <c r="O816" s="226"/>
      <c r="P816" s="226"/>
      <c r="AS816" s="652"/>
      <c r="AU816" s="652"/>
    </row>
    <row r="817">
      <c r="M817" s="226"/>
      <c r="N817" s="226"/>
      <c r="O817" s="226"/>
      <c r="P817" s="226"/>
      <c r="AS817" s="652"/>
      <c r="AU817" s="652"/>
    </row>
    <row r="818">
      <c r="M818" s="226"/>
      <c r="N818" s="226"/>
      <c r="O818" s="226"/>
      <c r="P818" s="226"/>
      <c r="AS818" s="652"/>
      <c r="AU818" s="652"/>
    </row>
    <row r="819">
      <c r="M819" s="226"/>
      <c r="N819" s="226"/>
      <c r="O819" s="226"/>
      <c r="P819" s="226"/>
      <c r="AS819" s="652"/>
      <c r="AU819" s="652"/>
    </row>
    <row r="820">
      <c r="M820" s="226"/>
      <c r="N820" s="226"/>
      <c r="O820" s="226"/>
      <c r="P820" s="226"/>
      <c r="AS820" s="652"/>
      <c r="AU820" s="652"/>
    </row>
    <row r="821">
      <c r="M821" s="226"/>
      <c r="N821" s="226"/>
      <c r="O821" s="226"/>
      <c r="P821" s="226"/>
      <c r="AS821" s="652"/>
      <c r="AU821" s="652"/>
    </row>
    <row r="822">
      <c r="M822" s="226"/>
      <c r="N822" s="226"/>
      <c r="O822" s="226"/>
      <c r="P822" s="226"/>
      <c r="AS822" s="652"/>
      <c r="AU822" s="652"/>
    </row>
    <row r="823">
      <c r="M823" s="226"/>
      <c r="N823" s="226"/>
      <c r="O823" s="226"/>
      <c r="P823" s="226"/>
      <c r="AS823" s="652"/>
      <c r="AU823" s="652"/>
    </row>
    <row r="824">
      <c r="M824" s="226"/>
      <c r="N824" s="226"/>
      <c r="O824" s="226"/>
      <c r="P824" s="226"/>
      <c r="AS824" s="652"/>
      <c r="AU824" s="652"/>
    </row>
    <row r="825">
      <c r="M825" s="226"/>
      <c r="N825" s="226"/>
      <c r="O825" s="226"/>
      <c r="P825" s="226"/>
      <c r="AS825" s="652"/>
      <c r="AU825" s="652"/>
    </row>
    <row r="826">
      <c r="M826" s="226"/>
      <c r="N826" s="226"/>
      <c r="O826" s="226"/>
      <c r="P826" s="226"/>
      <c r="AS826" s="652"/>
      <c r="AU826" s="652"/>
    </row>
    <row r="827">
      <c r="M827" s="226"/>
      <c r="N827" s="226"/>
      <c r="O827" s="226"/>
      <c r="P827" s="226"/>
      <c r="AS827" s="652"/>
      <c r="AU827" s="652"/>
    </row>
    <row r="828">
      <c r="M828" s="226"/>
      <c r="N828" s="226"/>
      <c r="O828" s="226"/>
      <c r="P828" s="226"/>
      <c r="AS828" s="652"/>
      <c r="AU828" s="652"/>
    </row>
    <row r="829">
      <c r="M829" s="226"/>
      <c r="N829" s="226"/>
      <c r="O829" s="226"/>
      <c r="P829" s="226"/>
      <c r="AS829" s="652"/>
      <c r="AU829" s="652"/>
    </row>
    <row r="830">
      <c r="M830" s="226"/>
      <c r="N830" s="226"/>
      <c r="O830" s="226"/>
      <c r="P830" s="226"/>
      <c r="AS830" s="652"/>
      <c r="AU830" s="652"/>
    </row>
    <row r="831">
      <c r="M831" s="226"/>
      <c r="N831" s="226"/>
      <c r="O831" s="226"/>
      <c r="P831" s="226"/>
      <c r="AS831" s="652"/>
      <c r="AU831" s="652"/>
    </row>
    <row r="832">
      <c r="M832" s="226"/>
      <c r="N832" s="226"/>
      <c r="O832" s="226"/>
      <c r="P832" s="226"/>
      <c r="AS832" s="652"/>
      <c r="AU832" s="652"/>
    </row>
    <row r="833">
      <c r="M833" s="226"/>
      <c r="N833" s="226"/>
      <c r="O833" s="226"/>
      <c r="P833" s="226"/>
      <c r="AS833" s="652"/>
      <c r="AU833" s="652"/>
    </row>
    <row r="834">
      <c r="M834" s="226"/>
      <c r="N834" s="226"/>
      <c r="O834" s="226"/>
      <c r="P834" s="226"/>
      <c r="AS834" s="652"/>
      <c r="AU834" s="652"/>
    </row>
    <row r="835">
      <c r="M835" s="226"/>
      <c r="N835" s="226"/>
      <c r="O835" s="226"/>
      <c r="P835" s="226"/>
      <c r="AS835" s="652"/>
      <c r="AU835" s="652"/>
    </row>
    <row r="836">
      <c r="M836" s="226"/>
      <c r="N836" s="226"/>
      <c r="O836" s="226"/>
      <c r="P836" s="226"/>
      <c r="AS836" s="652"/>
      <c r="AU836" s="652"/>
    </row>
    <row r="837">
      <c r="M837" s="226"/>
      <c r="N837" s="226"/>
      <c r="O837" s="226"/>
      <c r="P837" s="226"/>
      <c r="AS837" s="652"/>
      <c r="AU837" s="652"/>
    </row>
    <row r="838">
      <c r="M838" s="226"/>
      <c r="N838" s="226"/>
      <c r="O838" s="226"/>
      <c r="P838" s="226"/>
      <c r="AS838" s="652"/>
      <c r="AU838" s="652"/>
    </row>
    <row r="839">
      <c r="M839" s="226"/>
      <c r="N839" s="226"/>
      <c r="O839" s="226"/>
      <c r="P839" s="226"/>
      <c r="AS839" s="652"/>
      <c r="AU839" s="652"/>
    </row>
    <row r="840">
      <c r="M840" s="226"/>
      <c r="N840" s="226"/>
      <c r="O840" s="226"/>
      <c r="P840" s="226"/>
      <c r="AS840" s="652"/>
      <c r="AU840" s="652"/>
    </row>
    <row r="841">
      <c r="M841" s="226"/>
      <c r="N841" s="226"/>
      <c r="O841" s="226"/>
      <c r="P841" s="226"/>
      <c r="AS841" s="652"/>
      <c r="AU841" s="652"/>
    </row>
    <row r="842">
      <c r="M842" s="226"/>
      <c r="N842" s="226"/>
      <c r="O842" s="226"/>
      <c r="P842" s="226"/>
      <c r="AS842" s="652"/>
      <c r="AU842" s="652"/>
    </row>
    <row r="843">
      <c r="M843" s="226"/>
      <c r="N843" s="226"/>
      <c r="O843" s="226"/>
      <c r="P843" s="226"/>
      <c r="AS843" s="652"/>
      <c r="AU843" s="652"/>
    </row>
    <row r="844">
      <c r="M844" s="226"/>
      <c r="N844" s="226"/>
      <c r="O844" s="226"/>
      <c r="P844" s="226"/>
      <c r="AS844" s="652"/>
      <c r="AU844" s="652"/>
    </row>
    <row r="845">
      <c r="M845" s="226"/>
      <c r="N845" s="226"/>
      <c r="O845" s="226"/>
      <c r="P845" s="226"/>
      <c r="AS845" s="652"/>
      <c r="AU845" s="652"/>
    </row>
    <row r="846">
      <c r="M846" s="226"/>
      <c r="N846" s="226"/>
      <c r="O846" s="226"/>
      <c r="P846" s="226"/>
      <c r="AS846" s="652"/>
      <c r="AU846" s="652"/>
    </row>
    <row r="847">
      <c r="M847" s="226"/>
      <c r="N847" s="226"/>
      <c r="O847" s="226"/>
      <c r="P847" s="226"/>
      <c r="AS847" s="652"/>
      <c r="AU847" s="652"/>
    </row>
    <row r="848">
      <c r="M848" s="226"/>
      <c r="N848" s="226"/>
      <c r="O848" s="226"/>
      <c r="P848" s="226"/>
      <c r="AS848" s="652"/>
      <c r="AU848" s="652"/>
    </row>
    <row r="849">
      <c r="M849" s="226"/>
      <c r="N849" s="226"/>
      <c r="O849" s="226"/>
      <c r="P849" s="226"/>
      <c r="AS849" s="652"/>
      <c r="AU849" s="652"/>
    </row>
    <row r="850">
      <c r="M850" s="226"/>
      <c r="N850" s="226"/>
      <c r="O850" s="226"/>
      <c r="P850" s="226"/>
      <c r="AS850" s="652"/>
      <c r="AU850" s="652"/>
    </row>
    <row r="851">
      <c r="M851" s="226"/>
      <c r="N851" s="226"/>
      <c r="O851" s="226"/>
      <c r="P851" s="226"/>
      <c r="AS851" s="652"/>
      <c r="AU851" s="652"/>
    </row>
    <row r="852">
      <c r="M852" s="226"/>
      <c r="N852" s="226"/>
      <c r="O852" s="226"/>
      <c r="P852" s="226"/>
      <c r="AS852" s="652"/>
      <c r="AU852" s="652"/>
    </row>
    <row r="853">
      <c r="M853" s="226"/>
      <c r="N853" s="226"/>
      <c r="O853" s="226"/>
      <c r="P853" s="226"/>
      <c r="AS853" s="652"/>
      <c r="AU853" s="652"/>
    </row>
    <row r="854">
      <c r="M854" s="226"/>
      <c r="N854" s="226"/>
      <c r="O854" s="226"/>
      <c r="P854" s="226"/>
      <c r="AS854" s="652"/>
      <c r="AU854" s="652"/>
    </row>
    <row r="855">
      <c r="M855" s="226"/>
      <c r="N855" s="226"/>
      <c r="O855" s="226"/>
      <c r="P855" s="226"/>
      <c r="AS855" s="652"/>
      <c r="AU855" s="652"/>
    </row>
    <row r="856">
      <c r="M856" s="226"/>
      <c r="N856" s="226"/>
      <c r="O856" s="226"/>
      <c r="P856" s="226"/>
      <c r="AS856" s="652"/>
      <c r="AU856" s="652"/>
    </row>
    <row r="857">
      <c r="M857" s="226"/>
      <c r="N857" s="226"/>
      <c r="O857" s="226"/>
      <c r="P857" s="226"/>
      <c r="AS857" s="652"/>
      <c r="AU857" s="652"/>
    </row>
    <row r="858">
      <c r="M858" s="226"/>
      <c r="N858" s="226"/>
      <c r="O858" s="226"/>
      <c r="P858" s="226"/>
      <c r="AS858" s="652"/>
      <c r="AU858" s="652"/>
    </row>
    <row r="859">
      <c r="M859" s="226"/>
      <c r="N859" s="226"/>
      <c r="O859" s="226"/>
      <c r="P859" s="226"/>
      <c r="AS859" s="652"/>
      <c r="AU859" s="652"/>
    </row>
    <row r="860">
      <c r="M860" s="226"/>
      <c r="N860" s="226"/>
      <c r="O860" s="226"/>
      <c r="P860" s="226"/>
      <c r="AS860" s="652"/>
      <c r="AU860" s="652"/>
    </row>
    <row r="861">
      <c r="M861" s="226"/>
      <c r="N861" s="226"/>
      <c r="O861" s="226"/>
      <c r="P861" s="226"/>
      <c r="AS861" s="652"/>
      <c r="AU861" s="652"/>
    </row>
    <row r="862">
      <c r="M862" s="226"/>
      <c r="N862" s="226"/>
      <c r="O862" s="226"/>
      <c r="P862" s="226"/>
      <c r="AS862" s="652"/>
      <c r="AU862" s="652"/>
    </row>
    <row r="863">
      <c r="M863" s="226"/>
      <c r="N863" s="226"/>
      <c r="O863" s="226"/>
      <c r="P863" s="226"/>
      <c r="AS863" s="652"/>
      <c r="AU863" s="652"/>
    </row>
    <row r="864">
      <c r="M864" s="226"/>
      <c r="N864" s="226"/>
      <c r="O864" s="226"/>
      <c r="P864" s="226"/>
      <c r="AS864" s="652"/>
      <c r="AU864" s="652"/>
    </row>
    <row r="865">
      <c r="M865" s="226"/>
      <c r="N865" s="226"/>
      <c r="O865" s="226"/>
      <c r="P865" s="226"/>
      <c r="AS865" s="652"/>
      <c r="AU865" s="652"/>
    </row>
    <row r="866">
      <c r="M866" s="226"/>
      <c r="N866" s="226"/>
      <c r="O866" s="226"/>
      <c r="P866" s="226"/>
      <c r="AS866" s="652"/>
      <c r="AU866" s="652"/>
    </row>
    <row r="867">
      <c r="M867" s="226"/>
      <c r="N867" s="226"/>
      <c r="O867" s="226"/>
      <c r="P867" s="226"/>
      <c r="AS867" s="652"/>
      <c r="AU867" s="652"/>
    </row>
    <row r="868">
      <c r="M868" s="226"/>
      <c r="N868" s="226"/>
      <c r="O868" s="226"/>
      <c r="P868" s="226"/>
      <c r="AS868" s="652"/>
      <c r="AU868" s="652"/>
    </row>
    <row r="869">
      <c r="M869" s="226"/>
      <c r="N869" s="226"/>
      <c r="O869" s="226"/>
      <c r="P869" s="226"/>
      <c r="AS869" s="652"/>
      <c r="AU869" s="652"/>
    </row>
    <row r="870">
      <c r="M870" s="226"/>
      <c r="N870" s="226"/>
      <c r="O870" s="226"/>
      <c r="P870" s="226"/>
      <c r="AS870" s="652"/>
      <c r="AU870" s="652"/>
    </row>
    <row r="871">
      <c r="M871" s="226"/>
      <c r="N871" s="226"/>
      <c r="O871" s="226"/>
      <c r="P871" s="226"/>
      <c r="AS871" s="652"/>
      <c r="AU871" s="652"/>
    </row>
    <row r="872">
      <c r="M872" s="226"/>
      <c r="N872" s="226"/>
      <c r="O872" s="226"/>
      <c r="P872" s="226"/>
      <c r="AS872" s="652"/>
      <c r="AU872" s="652"/>
    </row>
    <row r="873">
      <c r="M873" s="226"/>
      <c r="N873" s="226"/>
      <c r="O873" s="226"/>
      <c r="P873" s="226"/>
      <c r="AS873" s="652"/>
      <c r="AU873" s="652"/>
    </row>
    <row r="874">
      <c r="M874" s="226"/>
      <c r="N874" s="226"/>
      <c r="O874" s="226"/>
      <c r="P874" s="226"/>
      <c r="AS874" s="652"/>
      <c r="AU874" s="652"/>
    </row>
    <row r="875">
      <c r="M875" s="226"/>
      <c r="N875" s="226"/>
      <c r="O875" s="226"/>
      <c r="P875" s="226"/>
      <c r="AS875" s="652"/>
      <c r="AU875" s="652"/>
    </row>
    <row r="876">
      <c r="M876" s="226"/>
      <c r="N876" s="226"/>
      <c r="O876" s="226"/>
      <c r="P876" s="226"/>
      <c r="AS876" s="652"/>
      <c r="AU876" s="652"/>
    </row>
    <row r="877">
      <c r="M877" s="226"/>
      <c r="N877" s="226"/>
      <c r="O877" s="226"/>
      <c r="P877" s="226"/>
      <c r="AS877" s="652"/>
      <c r="AU877" s="652"/>
    </row>
    <row r="878">
      <c r="M878" s="226"/>
      <c r="N878" s="226"/>
      <c r="O878" s="226"/>
      <c r="P878" s="226"/>
      <c r="AS878" s="652"/>
      <c r="AU878" s="652"/>
    </row>
    <row r="879">
      <c r="M879" s="226"/>
      <c r="N879" s="226"/>
      <c r="O879" s="226"/>
      <c r="P879" s="226"/>
      <c r="AS879" s="652"/>
      <c r="AU879" s="652"/>
    </row>
    <row r="880">
      <c r="M880" s="226"/>
      <c r="N880" s="226"/>
      <c r="O880" s="226"/>
      <c r="P880" s="226"/>
      <c r="AS880" s="652"/>
      <c r="AU880" s="652"/>
    </row>
    <row r="881">
      <c r="M881" s="226"/>
      <c r="N881" s="226"/>
      <c r="O881" s="226"/>
      <c r="P881" s="226"/>
      <c r="AS881" s="652"/>
      <c r="AU881" s="652"/>
    </row>
    <row r="882">
      <c r="M882" s="226"/>
      <c r="N882" s="226"/>
      <c r="O882" s="226"/>
      <c r="P882" s="226"/>
      <c r="AS882" s="652"/>
      <c r="AU882" s="652"/>
    </row>
    <row r="883">
      <c r="M883" s="226"/>
      <c r="N883" s="226"/>
      <c r="O883" s="226"/>
      <c r="P883" s="226"/>
      <c r="AS883" s="652"/>
      <c r="AU883" s="652"/>
    </row>
    <row r="884">
      <c r="M884" s="226"/>
      <c r="N884" s="226"/>
      <c r="O884" s="226"/>
      <c r="P884" s="226"/>
      <c r="AS884" s="652"/>
      <c r="AU884" s="652"/>
    </row>
    <row r="885">
      <c r="M885" s="226"/>
      <c r="N885" s="226"/>
      <c r="O885" s="226"/>
      <c r="P885" s="226"/>
      <c r="AS885" s="652"/>
      <c r="AU885" s="652"/>
    </row>
    <row r="886">
      <c r="M886" s="226"/>
      <c r="N886" s="226"/>
      <c r="O886" s="226"/>
      <c r="P886" s="226"/>
      <c r="AS886" s="652"/>
      <c r="AU886" s="652"/>
    </row>
    <row r="887">
      <c r="M887" s="226"/>
      <c r="N887" s="226"/>
      <c r="O887" s="226"/>
      <c r="P887" s="226"/>
      <c r="AS887" s="652"/>
      <c r="AU887" s="652"/>
    </row>
    <row r="888">
      <c r="M888" s="226"/>
      <c r="N888" s="226"/>
      <c r="O888" s="226"/>
      <c r="P888" s="226"/>
      <c r="AS888" s="652"/>
      <c r="AU888" s="652"/>
    </row>
    <row r="889">
      <c r="M889" s="226"/>
      <c r="N889" s="226"/>
      <c r="O889" s="226"/>
      <c r="P889" s="226"/>
      <c r="AS889" s="652"/>
      <c r="AU889" s="652"/>
    </row>
    <row r="890">
      <c r="M890" s="226"/>
      <c r="N890" s="226"/>
      <c r="O890" s="226"/>
      <c r="P890" s="226"/>
      <c r="AS890" s="652"/>
      <c r="AU890" s="652"/>
    </row>
    <row r="891">
      <c r="M891" s="226"/>
      <c r="N891" s="226"/>
      <c r="O891" s="226"/>
      <c r="P891" s="226"/>
      <c r="AS891" s="652"/>
      <c r="AU891" s="652"/>
    </row>
    <row r="892">
      <c r="M892" s="226"/>
      <c r="N892" s="226"/>
      <c r="O892" s="226"/>
      <c r="P892" s="226"/>
      <c r="AS892" s="652"/>
      <c r="AU892" s="652"/>
    </row>
    <row r="893">
      <c r="M893" s="226"/>
      <c r="N893" s="226"/>
      <c r="O893" s="226"/>
      <c r="P893" s="226"/>
      <c r="AS893" s="652"/>
      <c r="AU893" s="652"/>
    </row>
    <row r="894">
      <c r="M894" s="226"/>
      <c r="N894" s="226"/>
      <c r="O894" s="226"/>
      <c r="P894" s="226"/>
      <c r="AS894" s="652"/>
      <c r="AU894" s="652"/>
    </row>
    <row r="895">
      <c r="M895" s="226"/>
      <c r="N895" s="226"/>
      <c r="O895" s="226"/>
      <c r="P895" s="226"/>
      <c r="AS895" s="652"/>
      <c r="AU895" s="652"/>
    </row>
    <row r="896">
      <c r="M896" s="226"/>
      <c r="N896" s="226"/>
      <c r="O896" s="226"/>
      <c r="P896" s="226"/>
      <c r="AS896" s="652"/>
      <c r="AU896" s="652"/>
    </row>
    <row r="897">
      <c r="M897" s="226"/>
      <c r="N897" s="226"/>
      <c r="O897" s="226"/>
      <c r="P897" s="226"/>
      <c r="AS897" s="652"/>
      <c r="AU897" s="652"/>
    </row>
    <row r="898">
      <c r="M898" s="226"/>
      <c r="N898" s="226"/>
      <c r="O898" s="226"/>
      <c r="P898" s="226"/>
      <c r="AS898" s="652"/>
      <c r="AU898" s="652"/>
    </row>
    <row r="899">
      <c r="M899" s="226"/>
      <c r="N899" s="226"/>
      <c r="O899" s="226"/>
      <c r="P899" s="226"/>
      <c r="AS899" s="652"/>
      <c r="AU899" s="652"/>
    </row>
    <row r="900">
      <c r="M900" s="226"/>
      <c r="N900" s="226"/>
      <c r="O900" s="226"/>
      <c r="P900" s="226"/>
      <c r="AS900" s="652"/>
      <c r="AU900" s="652"/>
    </row>
    <row r="901">
      <c r="M901" s="226"/>
      <c r="N901" s="226"/>
      <c r="O901" s="226"/>
      <c r="P901" s="226"/>
      <c r="AS901" s="652"/>
      <c r="AU901" s="652"/>
    </row>
    <row r="902">
      <c r="M902" s="226"/>
      <c r="N902" s="226"/>
      <c r="O902" s="226"/>
      <c r="P902" s="226"/>
      <c r="AS902" s="652"/>
      <c r="AU902" s="652"/>
    </row>
    <row r="903">
      <c r="M903" s="226"/>
      <c r="N903" s="226"/>
      <c r="O903" s="226"/>
      <c r="P903" s="226"/>
      <c r="AS903" s="652"/>
      <c r="AU903" s="652"/>
    </row>
    <row r="904">
      <c r="M904" s="226"/>
      <c r="N904" s="226"/>
      <c r="O904" s="226"/>
      <c r="P904" s="226"/>
      <c r="AS904" s="652"/>
      <c r="AU904" s="652"/>
    </row>
    <row r="905">
      <c r="M905" s="226"/>
      <c r="N905" s="226"/>
      <c r="O905" s="226"/>
      <c r="P905" s="226"/>
      <c r="AS905" s="652"/>
      <c r="AU905" s="652"/>
    </row>
    <row r="906">
      <c r="M906" s="226"/>
      <c r="N906" s="226"/>
      <c r="O906" s="226"/>
      <c r="P906" s="226"/>
      <c r="AS906" s="652"/>
      <c r="AU906" s="652"/>
    </row>
    <row r="907">
      <c r="M907" s="226"/>
      <c r="N907" s="226"/>
      <c r="O907" s="226"/>
      <c r="P907" s="226"/>
      <c r="AS907" s="652"/>
      <c r="AU907" s="652"/>
    </row>
    <row r="908">
      <c r="M908" s="226"/>
      <c r="N908" s="226"/>
      <c r="O908" s="226"/>
      <c r="P908" s="226"/>
      <c r="AS908" s="652"/>
      <c r="AU908" s="652"/>
    </row>
    <row r="909">
      <c r="M909" s="226"/>
      <c r="N909" s="226"/>
      <c r="O909" s="226"/>
      <c r="P909" s="226"/>
      <c r="AS909" s="652"/>
      <c r="AU909" s="652"/>
    </row>
    <row r="910">
      <c r="M910" s="226"/>
      <c r="N910" s="226"/>
      <c r="O910" s="226"/>
      <c r="P910" s="226"/>
      <c r="AS910" s="652"/>
      <c r="AU910" s="652"/>
    </row>
    <row r="911">
      <c r="M911" s="226"/>
      <c r="N911" s="226"/>
      <c r="O911" s="226"/>
      <c r="P911" s="226"/>
      <c r="AS911" s="652"/>
      <c r="AU911" s="652"/>
    </row>
    <row r="912">
      <c r="M912" s="226"/>
      <c r="N912" s="226"/>
      <c r="O912" s="226"/>
      <c r="P912" s="226"/>
      <c r="AS912" s="652"/>
      <c r="AU912" s="652"/>
    </row>
    <row r="913">
      <c r="M913" s="226"/>
      <c r="N913" s="226"/>
      <c r="O913" s="226"/>
      <c r="P913" s="226"/>
      <c r="AS913" s="652"/>
      <c r="AU913" s="652"/>
    </row>
    <row r="914">
      <c r="M914" s="226"/>
      <c r="N914" s="226"/>
      <c r="O914" s="226"/>
      <c r="P914" s="226"/>
      <c r="AS914" s="652"/>
      <c r="AU914" s="652"/>
    </row>
    <row r="915">
      <c r="M915" s="226"/>
      <c r="N915" s="226"/>
      <c r="O915" s="226"/>
      <c r="P915" s="226"/>
      <c r="AS915" s="652"/>
      <c r="AU915" s="652"/>
    </row>
    <row r="916">
      <c r="M916" s="226"/>
      <c r="N916" s="226"/>
      <c r="O916" s="226"/>
      <c r="P916" s="226"/>
      <c r="AS916" s="652"/>
      <c r="AU916" s="652"/>
    </row>
    <row r="917">
      <c r="M917" s="226"/>
      <c r="N917" s="226"/>
      <c r="O917" s="226"/>
      <c r="P917" s="226"/>
      <c r="AS917" s="652"/>
      <c r="AU917" s="652"/>
    </row>
    <row r="918">
      <c r="M918" s="226"/>
      <c r="N918" s="226"/>
      <c r="O918" s="226"/>
      <c r="P918" s="226"/>
      <c r="AS918" s="652"/>
      <c r="AU918" s="652"/>
    </row>
    <row r="919">
      <c r="M919" s="226"/>
      <c r="N919" s="226"/>
      <c r="O919" s="226"/>
      <c r="P919" s="226"/>
      <c r="AS919" s="652"/>
      <c r="AU919" s="652"/>
    </row>
    <row r="920">
      <c r="M920" s="226"/>
      <c r="N920" s="226"/>
      <c r="O920" s="226"/>
      <c r="P920" s="226"/>
      <c r="AS920" s="652"/>
      <c r="AU920" s="652"/>
    </row>
    <row r="921">
      <c r="M921" s="226"/>
      <c r="N921" s="226"/>
      <c r="O921" s="226"/>
      <c r="P921" s="226"/>
      <c r="AS921" s="652"/>
      <c r="AU921" s="652"/>
    </row>
    <row r="922">
      <c r="M922" s="226"/>
      <c r="N922" s="226"/>
      <c r="O922" s="226"/>
      <c r="P922" s="226"/>
      <c r="AS922" s="652"/>
      <c r="AU922" s="652"/>
    </row>
    <row r="923">
      <c r="M923" s="226"/>
      <c r="N923" s="226"/>
      <c r="O923" s="226"/>
      <c r="P923" s="226"/>
      <c r="AS923" s="652"/>
      <c r="AU923" s="652"/>
    </row>
    <row r="924">
      <c r="M924" s="226"/>
      <c r="N924" s="226"/>
      <c r="O924" s="226"/>
      <c r="P924" s="226"/>
      <c r="AS924" s="652"/>
      <c r="AU924" s="652"/>
    </row>
    <row r="925">
      <c r="M925" s="226"/>
      <c r="N925" s="226"/>
      <c r="O925" s="226"/>
      <c r="P925" s="226"/>
      <c r="AS925" s="652"/>
      <c r="AU925" s="652"/>
    </row>
    <row r="926">
      <c r="M926" s="226"/>
      <c r="N926" s="226"/>
      <c r="O926" s="226"/>
      <c r="P926" s="226"/>
      <c r="AS926" s="652"/>
      <c r="AU926" s="652"/>
    </row>
    <row r="927">
      <c r="M927" s="226"/>
      <c r="N927" s="226"/>
      <c r="O927" s="226"/>
      <c r="P927" s="226"/>
      <c r="AS927" s="652"/>
      <c r="AU927" s="652"/>
    </row>
    <row r="928">
      <c r="M928" s="226"/>
      <c r="N928" s="226"/>
      <c r="O928" s="226"/>
      <c r="P928" s="226"/>
      <c r="AS928" s="652"/>
      <c r="AU928" s="652"/>
    </row>
    <row r="929">
      <c r="M929" s="226"/>
      <c r="N929" s="226"/>
      <c r="O929" s="226"/>
      <c r="P929" s="226"/>
      <c r="AS929" s="652"/>
      <c r="AU929" s="652"/>
    </row>
    <row r="930">
      <c r="M930" s="226"/>
      <c r="N930" s="226"/>
      <c r="O930" s="226"/>
      <c r="P930" s="226"/>
      <c r="AS930" s="652"/>
      <c r="AU930" s="652"/>
    </row>
    <row r="931">
      <c r="M931" s="226"/>
      <c r="N931" s="226"/>
      <c r="O931" s="226"/>
      <c r="P931" s="226"/>
      <c r="AS931" s="652"/>
      <c r="AU931" s="652"/>
    </row>
    <row r="932">
      <c r="M932" s="226"/>
      <c r="N932" s="226"/>
      <c r="O932" s="226"/>
      <c r="P932" s="226"/>
      <c r="AS932" s="652"/>
      <c r="AU932" s="652"/>
    </row>
    <row r="933">
      <c r="M933" s="226"/>
      <c r="N933" s="226"/>
      <c r="O933" s="226"/>
      <c r="P933" s="226"/>
      <c r="AS933" s="652"/>
      <c r="AU933" s="652"/>
    </row>
    <row r="934">
      <c r="M934" s="226"/>
      <c r="N934" s="226"/>
      <c r="O934" s="226"/>
      <c r="P934" s="226"/>
      <c r="AS934" s="652"/>
      <c r="AU934" s="652"/>
    </row>
    <row r="935">
      <c r="M935" s="226"/>
      <c r="N935" s="226"/>
      <c r="O935" s="226"/>
      <c r="P935" s="226"/>
      <c r="AS935" s="652"/>
      <c r="AU935" s="652"/>
    </row>
    <row r="936">
      <c r="M936" s="226"/>
      <c r="N936" s="226"/>
      <c r="O936" s="226"/>
      <c r="P936" s="226"/>
      <c r="AS936" s="652"/>
      <c r="AU936" s="652"/>
    </row>
    <row r="937">
      <c r="M937" s="226"/>
      <c r="N937" s="226"/>
      <c r="O937" s="226"/>
      <c r="P937" s="226"/>
      <c r="AS937" s="652"/>
      <c r="AU937" s="652"/>
    </row>
    <row r="938">
      <c r="M938" s="226"/>
      <c r="N938" s="226"/>
      <c r="O938" s="226"/>
      <c r="P938" s="226"/>
      <c r="AS938" s="652"/>
      <c r="AU938" s="652"/>
    </row>
    <row r="939">
      <c r="M939" s="226"/>
      <c r="N939" s="226"/>
      <c r="O939" s="226"/>
      <c r="P939" s="226"/>
      <c r="AS939" s="652"/>
      <c r="AU939" s="652"/>
    </row>
    <row r="940">
      <c r="M940" s="226"/>
      <c r="N940" s="226"/>
      <c r="O940" s="226"/>
      <c r="P940" s="226"/>
      <c r="AS940" s="652"/>
      <c r="AU940" s="652"/>
    </row>
    <row r="941">
      <c r="M941" s="226"/>
      <c r="N941" s="226"/>
      <c r="O941" s="226"/>
      <c r="P941" s="226"/>
      <c r="AS941" s="652"/>
      <c r="AU941" s="652"/>
    </row>
    <row r="942">
      <c r="M942" s="226"/>
      <c r="N942" s="226"/>
      <c r="O942" s="226"/>
      <c r="P942" s="226"/>
      <c r="AS942" s="652"/>
      <c r="AU942" s="652"/>
    </row>
    <row r="943">
      <c r="M943" s="226"/>
      <c r="N943" s="226"/>
      <c r="O943" s="226"/>
      <c r="P943" s="226"/>
      <c r="AS943" s="652"/>
      <c r="AU943" s="652"/>
    </row>
    <row r="944">
      <c r="M944" s="226"/>
      <c r="N944" s="226"/>
      <c r="O944" s="226"/>
      <c r="P944" s="226"/>
      <c r="AS944" s="652"/>
      <c r="AU944" s="652"/>
    </row>
    <row r="945">
      <c r="M945" s="226"/>
      <c r="N945" s="226"/>
      <c r="O945" s="226"/>
      <c r="P945" s="226"/>
      <c r="AS945" s="652"/>
      <c r="AU945" s="652"/>
    </row>
    <row r="946">
      <c r="M946" s="226"/>
      <c r="N946" s="226"/>
      <c r="O946" s="226"/>
      <c r="P946" s="226"/>
      <c r="AS946" s="652"/>
      <c r="AU946" s="652"/>
    </row>
    <row r="947">
      <c r="M947" s="226"/>
      <c r="N947" s="226"/>
      <c r="O947" s="226"/>
      <c r="P947" s="226"/>
      <c r="AS947" s="652"/>
      <c r="AU947" s="652"/>
    </row>
    <row r="948">
      <c r="M948" s="226"/>
      <c r="N948" s="226"/>
      <c r="O948" s="226"/>
      <c r="P948" s="226"/>
      <c r="AS948" s="652"/>
      <c r="AU948" s="652"/>
    </row>
    <row r="949">
      <c r="M949" s="226"/>
      <c r="N949" s="226"/>
      <c r="O949" s="226"/>
      <c r="P949" s="226"/>
      <c r="AS949" s="652"/>
      <c r="AU949" s="652"/>
    </row>
    <row r="950">
      <c r="M950" s="226"/>
      <c r="N950" s="226"/>
      <c r="O950" s="226"/>
      <c r="P950" s="226"/>
      <c r="AS950" s="652"/>
      <c r="AU950" s="652"/>
    </row>
    <row r="951">
      <c r="M951" s="226"/>
      <c r="N951" s="226"/>
      <c r="O951" s="226"/>
      <c r="P951" s="226"/>
      <c r="AS951" s="652"/>
      <c r="AU951" s="652"/>
    </row>
    <row r="952">
      <c r="M952" s="226"/>
      <c r="N952" s="226"/>
      <c r="O952" s="226"/>
      <c r="P952" s="226"/>
      <c r="AS952" s="652"/>
      <c r="AU952" s="652"/>
    </row>
    <row r="953">
      <c r="M953" s="226"/>
      <c r="N953" s="226"/>
      <c r="O953" s="226"/>
      <c r="P953" s="226"/>
      <c r="AS953" s="652"/>
      <c r="AU953" s="652"/>
    </row>
    <row r="954">
      <c r="M954" s="226"/>
      <c r="N954" s="226"/>
      <c r="O954" s="226"/>
      <c r="P954" s="226"/>
      <c r="AS954" s="652"/>
      <c r="AU954" s="652"/>
    </row>
    <row r="955">
      <c r="M955" s="226"/>
      <c r="N955" s="226"/>
      <c r="O955" s="226"/>
      <c r="P955" s="226"/>
      <c r="AS955" s="652"/>
      <c r="AU955" s="652"/>
    </row>
    <row r="956">
      <c r="M956" s="226"/>
      <c r="N956" s="226"/>
      <c r="O956" s="226"/>
      <c r="P956" s="226"/>
      <c r="AS956" s="652"/>
      <c r="AU956" s="652"/>
    </row>
    <row r="957">
      <c r="M957" s="226"/>
      <c r="N957" s="226"/>
      <c r="O957" s="226"/>
      <c r="P957" s="226"/>
      <c r="AS957" s="652"/>
      <c r="AU957" s="652"/>
    </row>
    <row r="958">
      <c r="M958" s="226"/>
      <c r="N958" s="226"/>
      <c r="O958" s="226"/>
      <c r="P958" s="226"/>
      <c r="AS958" s="652"/>
      <c r="AU958" s="652"/>
    </row>
    <row r="959">
      <c r="M959" s="226"/>
      <c r="N959" s="226"/>
      <c r="O959" s="226"/>
      <c r="P959" s="226"/>
      <c r="AS959" s="652"/>
      <c r="AU959" s="652"/>
    </row>
    <row r="960">
      <c r="M960" s="226"/>
      <c r="N960" s="226"/>
      <c r="O960" s="226"/>
      <c r="P960" s="226"/>
      <c r="AS960" s="652"/>
      <c r="AU960" s="652"/>
    </row>
    <row r="961">
      <c r="M961" s="226"/>
      <c r="N961" s="226"/>
      <c r="O961" s="226"/>
      <c r="P961" s="226"/>
      <c r="AS961" s="652"/>
      <c r="AU961" s="652"/>
    </row>
    <row r="962">
      <c r="M962" s="226"/>
      <c r="N962" s="226"/>
      <c r="O962" s="226"/>
      <c r="P962" s="226"/>
      <c r="AS962" s="652"/>
      <c r="AU962" s="652"/>
    </row>
    <row r="963">
      <c r="M963" s="226"/>
      <c r="N963" s="226"/>
      <c r="O963" s="226"/>
      <c r="P963" s="226"/>
      <c r="AS963" s="652"/>
      <c r="AU963" s="652"/>
    </row>
    <row r="964">
      <c r="M964" s="226"/>
      <c r="N964" s="226"/>
      <c r="O964" s="226"/>
      <c r="P964" s="226"/>
      <c r="AS964" s="652"/>
      <c r="AU964" s="652"/>
    </row>
    <row r="965">
      <c r="M965" s="226"/>
      <c r="N965" s="226"/>
      <c r="O965" s="226"/>
      <c r="P965" s="226"/>
      <c r="AS965" s="652"/>
      <c r="AU965" s="652"/>
    </row>
    <row r="966">
      <c r="M966" s="226"/>
      <c r="N966" s="226"/>
      <c r="O966" s="226"/>
      <c r="P966" s="226"/>
      <c r="AS966" s="652"/>
      <c r="AU966" s="652"/>
    </row>
    <row r="967">
      <c r="M967" s="226"/>
      <c r="N967" s="226"/>
      <c r="O967" s="226"/>
      <c r="P967" s="226"/>
      <c r="AS967" s="652"/>
      <c r="AU967" s="652"/>
    </row>
    <row r="968">
      <c r="M968" s="226"/>
      <c r="N968" s="226"/>
      <c r="O968" s="226"/>
      <c r="P968" s="226"/>
      <c r="AS968" s="652"/>
      <c r="AU968" s="652"/>
    </row>
    <row r="969">
      <c r="M969" s="226"/>
      <c r="N969" s="226"/>
      <c r="O969" s="226"/>
      <c r="P969" s="226"/>
      <c r="AS969" s="652"/>
      <c r="AU969" s="652"/>
    </row>
    <row r="970">
      <c r="M970" s="226"/>
      <c r="N970" s="226"/>
      <c r="O970" s="226"/>
      <c r="P970" s="226"/>
      <c r="AS970" s="652"/>
      <c r="AU970" s="652"/>
    </row>
    <row r="971">
      <c r="M971" s="226"/>
      <c r="N971" s="226"/>
      <c r="O971" s="226"/>
      <c r="P971" s="226"/>
      <c r="AS971" s="652"/>
      <c r="AU971" s="652"/>
    </row>
    <row r="972">
      <c r="M972" s="226"/>
      <c r="N972" s="226"/>
      <c r="O972" s="226"/>
      <c r="P972" s="226"/>
      <c r="AS972" s="652"/>
      <c r="AU972" s="652"/>
    </row>
    <row r="973">
      <c r="M973" s="226"/>
      <c r="N973" s="226"/>
      <c r="O973" s="226"/>
      <c r="P973" s="226"/>
      <c r="AS973" s="652"/>
      <c r="AU973" s="652"/>
    </row>
    <row r="974">
      <c r="M974" s="226"/>
      <c r="N974" s="226"/>
      <c r="O974" s="226"/>
      <c r="P974" s="226"/>
      <c r="AS974" s="652"/>
      <c r="AU974" s="652"/>
    </row>
    <row r="975">
      <c r="M975" s="226"/>
      <c r="N975" s="226"/>
      <c r="O975" s="226"/>
      <c r="P975" s="226"/>
      <c r="AS975" s="652"/>
      <c r="AU975" s="652"/>
    </row>
    <row r="976">
      <c r="M976" s="226"/>
      <c r="N976" s="226"/>
      <c r="O976" s="226"/>
      <c r="P976" s="226"/>
      <c r="AS976" s="652"/>
      <c r="AU976" s="652"/>
    </row>
    <row r="977">
      <c r="M977" s="226"/>
      <c r="N977" s="226"/>
      <c r="O977" s="226"/>
      <c r="P977" s="226"/>
      <c r="AS977" s="652"/>
      <c r="AU977" s="652"/>
    </row>
    <row r="978">
      <c r="M978" s="226"/>
      <c r="N978" s="226"/>
      <c r="O978" s="226"/>
      <c r="P978" s="226"/>
      <c r="AS978" s="652"/>
      <c r="AU978" s="652"/>
    </row>
    <row r="979">
      <c r="M979" s="226"/>
      <c r="N979" s="226"/>
      <c r="O979" s="226"/>
      <c r="P979" s="226"/>
      <c r="AS979" s="652"/>
      <c r="AU979" s="652"/>
    </row>
    <row r="980">
      <c r="M980" s="226"/>
      <c r="N980" s="226"/>
      <c r="O980" s="226"/>
      <c r="P980" s="226"/>
      <c r="AS980" s="652"/>
      <c r="AU980" s="652"/>
    </row>
    <row r="981">
      <c r="M981" s="226"/>
      <c r="N981" s="226"/>
      <c r="O981" s="226"/>
      <c r="P981" s="226"/>
      <c r="AS981" s="652"/>
      <c r="AU981" s="652"/>
    </row>
    <row r="982">
      <c r="M982" s="226"/>
      <c r="N982" s="226"/>
      <c r="O982" s="226"/>
      <c r="P982" s="226"/>
      <c r="AS982" s="652"/>
      <c r="AU982" s="652"/>
    </row>
    <row r="983">
      <c r="M983" s="226"/>
      <c r="N983" s="226"/>
      <c r="O983" s="226"/>
      <c r="P983" s="226"/>
      <c r="AS983" s="652"/>
      <c r="AU983" s="652"/>
    </row>
    <row r="984">
      <c r="M984" s="226"/>
      <c r="N984" s="226"/>
      <c r="O984" s="226"/>
      <c r="P984" s="226"/>
      <c r="AS984" s="652"/>
      <c r="AU984" s="652"/>
    </row>
    <row r="985">
      <c r="M985" s="226"/>
      <c r="N985" s="226"/>
      <c r="O985" s="226"/>
      <c r="P985" s="226"/>
      <c r="AS985" s="652"/>
      <c r="AU985" s="652"/>
    </row>
    <row r="986">
      <c r="M986" s="226"/>
      <c r="N986" s="226"/>
      <c r="O986" s="226"/>
      <c r="P986" s="226"/>
      <c r="AS986" s="652"/>
      <c r="AU986" s="652"/>
    </row>
    <row r="987">
      <c r="M987" s="226"/>
      <c r="N987" s="226"/>
      <c r="O987" s="226"/>
      <c r="P987" s="226"/>
      <c r="AS987" s="652"/>
      <c r="AU987" s="652"/>
    </row>
    <row r="988">
      <c r="M988" s="226"/>
      <c r="N988" s="226"/>
      <c r="O988" s="226"/>
      <c r="P988" s="226"/>
      <c r="AS988" s="652"/>
      <c r="AU988" s="652"/>
    </row>
    <row r="989">
      <c r="M989" s="226"/>
      <c r="N989" s="226"/>
      <c r="O989" s="226"/>
      <c r="P989" s="226"/>
      <c r="AS989" s="652"/>
      <c r="AU989" s="652"/>
    </row>
    <row r="990">
      <c r="M990" s="226"/>
      <c r="N990" s="226"/>
      <c r="O990" s="226"/>
      <c r="P990" s="226"/>
      <c r="AS990" s="652"/>
      <c r="AU990" s="652"/>
    </row>
    <row r="991">
      <c r="M991" s="226"/>
      <c r="N991" s="226"/>
      <c r="O991" s="226"/>
      <c r="P991" s="226"/>
      <c r="AS991" s="652"/>
      <c r="AU991" s="652"/>
    </row>
    <row r="992">
      <c r="M992" s="226"/>
      <c r="N992" s="226"/>
      <c r="O992" s="226"/>
      <c r="P992" s="226"/>
      <c r="AS992" s="652"/>
      <c r="AU992" s="652"/>
    </row>
    <row r="993">
      <c r="M993" s="226"/>
      <c r="N993" s="226"/>
      <c r="O993" s="226"/>
      <c r="P993" s="226"/>
      <c r="AS993" s="652"/>
      <c r="AU993" s="652"/>
    </row>
    <row r="994">
      <c r="M994" s="226"/>
      <c r="N994" s="226"/>
      <c r="O994" s="226"/>
      <c r="P994" s="226"/>
      <c r="AS994" s="652"/>
      <c r="AU994" s="652"/>
    </row>
    <row r="995">
      <c r="M995" s="226"/>
      <c r="N995" s="226"/>
      <c r="O995" s="226"/>
      <c r="P995" s="226"/>
      <c r="AS995" s="652"/>
      <c r="AU995" s="652"/>
    </row>
    <row r="996">
      <c r="M996" s="226"/>
      <c r="N996" s="226"/>
      <c r="O996" s="226"/>
      <c r="P996" s="226"/>
      <c r="AS996" s="652"/>
      <c r="AU996" s="652"/>
    </row>
    <row r="997">
      <c r="M997" s="226"/>
      <c r="N997" s="226"/>
      <c r="O997" s="226"/>
      <c r="P997" s="226"/>
      <c r="AS997" s="652"/>
      <c r="AU997" s="652"/>
    </row>
    <row r="998">
      <c r="M998" s="226"/>
      <c r="N998" s="226"/>
      <c r="O998" s="226"/>
      <c r="P998" s="226"/>
      <c r="AS998" s="652"/>
      <c r="AU998" s="652"/>
    </row>
    <row r="999">
      <c r="M999" s="226"/>
      <c r="N999" s="226"/>
      <c r="O999" s="226"/>
      <c r="P999" s="226"/>
      <c r="AS999" s="652"/>
      <c r="AU999" s="652"/>
    </row>
    <row r="1000">
      <c r="M1000" s="226"/>
      <c r="N1000" s="226"/>
      <c r="O1000" s="226"/>
      <c r="P1000" s="226"/>
      <c r="AS1000" s="652"/>
      <c r="AU1000" s="652"/>
    </row>
    <row r="1001">
      <c r="M1001" s="226"/>
      <c r="N1001" s="226"/>
      <c r="O1001" s="226"/>
      <c r="P1001" s="226"/>
      <c r="AS1001" s="652"/>
      <c r="AU1001" s="652"/>
    </row>
    <row r="1002">
      <c r="M1002" s="226"/>
      <c r="N1002" s="226"/>
      <c r="O1002" s="226"/>
      <c r="P1002" s="226"/>
      <c r="AS1002" s="652"/>
      <c r="AU1002" s="652"/>
    </row>
    <row r="1003">
      <c r="M1003" s="226"/>
      <c r="N1003" s="226"/>
      <c r="O1003" s="226"/>
      <c r="P1003" s="226"/>
      <c r="AS1003" s="652"/>
      <c r="AU1003" s="652"/>
    </row>
    <row r="1004">
      <c r="M1004" s="226"/>
      <c r="N1004" s="226"/>
      <c r="O1004" s="226"/>
      <c r="P1004" s="226"/>
      <c r="AS1004" s="652"/>
      <c r="AU1004" s="652"/>
    </row>
    <row r="1005">
      <c r="M1005" s="226"/>
      <c r="N1005" s="226"/>
      <c r="O1005" s="226"/>
      <c r="P1005" s="226"/>
      <c r="AS1005" s="652"/>
      <c r="AU1005" s="652"/>
    </row>
    <row r="1006">
      <c r="M1006" s="226"/>
      <c r="N1006" s="226"/>
      <c r="O1006" s="226"/>
      <c r="P1006" s="226"/>
      <c r="AS1006" s="652"/>
      <c r="AU1006" s="652"/>
    </row>
    <row r="1007">
      <c r="M1007" s="226"/>
      <c r="N1007" s="226"/>
      <c r="O1007" s="226"/>
      <c r="P1007" s="226"/>
      <c r="AS1007" s="652"/>
      <c r="AU1007" s="652"/>
    </row>
    <row r="1008">
      <c r="M1008" s="226"/>
      <c r="N1008" s="226"/>
      <c r="O1008" s="226"/>
      <c r="P1008" s="226"/>
      <c r="AS1008" s="652"/>
      <c r="AU1008" s="652"/>
    </row>
    <row r="1009">
      <c r="M1009" s="226"/>
      <c r="N1009" s="226"/>
      <c r="O1009" s="226"/>
      <c r="P1009" s="226"/>
      <c r="AS1009" s="652"/>
      <c r="AU1009" s="652"/>
    </row>
    <row r="1010">
      <c r="M1010" s="226"/>
      <c r="N1010" s="226"/>
      <c r="O1010" s="226"/>
      <c r="P1010" s="226"/>
      <c r="AS1010" s="652"/>
      <c r="AU1010" s="652"/>
    </row>
    <row r="1011">
      <c r="M1011" s="226"/>
      <c r="N1011" s="226"/>
      <c r="O1011" s="226"/>
      <c r="P1011" s="226"/>
      <c r="AS1011" s="652"/>
      <c r="AU1011" s="652"/>
    </row>
    <row r="1012">
      <c r="M1012" s="226"/>
      <c r="N1012" s="226"/>
      <c r="O1012" s="226"/>
      <c r="P1012" s="226"/>
      <c r="AS1012" s="652"/>
      <c r="AU1012" s="652"/>
    </row>
    <row r="1013">
      <c r="M1013" s="226"/>
      <c r="N1013" s="226"/>
      <c r="O1013" s="226"/>
      <c r="P1013" s="226"/>
      <c r="AS1013" s="652"/>
      <c r="AU1013" s="652"/>
    </row>
    <row r="1014">
      <c r="M1014" s="226"/>
      <c r="N1014" s="226"/>
      <c r="O1014" s="226"/>
      <c r="P1014" s="226"/>
      <c r="AS1014" s="652"/>
      <c r="AU1014" s="652"/>
    </row>
    <row r="1015">
      <c r="M1015" s="226"/>
      <c r="N1015" s="226"/>
      <c r="O1015" s="226"/>
      <c r="P1015" s="226"/>
      <c r="AS1015" s="652"/>
      <c r="AU1015" s="652"/>
    </row>
    <row r="1016">
      <c r="M1016" s="226"/>
      <c r="N1016" s="226"/>
      <c r="O1016" s="226"/>
      <c r="P1016" s="226"/>
      <c r="AS1016" s="652"/>
      <c r="AU1016" s="652"/>
    </row>
  </sheetData>
  <conditionalFormatting sqref="B78">
    <cfRule type="cellIs" dxfId="2" priority="1" operator="equal">
      <formula>"Warglaive of Azzinoth"</formula>
    </cfRule>
  </conditionalFormatting>
  <conditionalFormatting sqref="B19">
    <cfRule type="cellIs" dxfId="3" priority="2" operator="equal">
      <formula>"Thori'dal, the Stars' Fury"</formula>
    </cfRule>
  </conditionalFormatting>
  <conditionalFormatting sqref="B17">
    <cfRule type="cellIs" dxfId="3" priority="3" operator="equal">
      <formula>"Warglaive of Azzinoth"</formula>
    </cfRule>
  </conditionalFormatting>
  <conditionalFormatting sqref="B18">
    <cfRule type="cellIs" dxfId="3" priority="4" operator="equal">
      <formula>"Warglaive of Azzinoth"</formula>
    </cfRule>
  </conditionalFormatting>
  <conditionalFormatting sqref="B5">
    <cfRule type="cellIs" dxfId="4" priority="5" operator="equal">
      <formula>"Ragesteel Shoulders"</formula>
    </cfRule>
  </conditionalFormatting>
  <conditionalFormatting sqref="B15">
    <cfRule type="cellIs" dxfId="4" priority="6" operator="equal">
      <formula>"Hourglass of the Unraveller"</formula>
    </cfRule>
  </conditionalFormatting>
  <conditionalFormatting sqref="B16">
    <cfRule type="cellIs" dxfId="4" priority="7" operator="equal">
      <formula>"Hourglass of the Unraveller"</formula>
    </cfRule>
  </conditionalFormatting>
  <dataValidations>
    <dataValidation type="list" allowBlank="1" showErrorMessage="1" sqref="B4">
      <formula1>'Arms Set Builder'!$AN$2:$AN$9</formula1>
    </dataValidation>
    <dataValidation type="list" allowBlank="1" sqref="B89">
      <formula1>'Arms Set Builder'!$C$91:$C$93</formula1>
    </dataValidation>
    <dataValidation type="list" allowBlank="1" showErrorMessage="1" sqref="B5">
      <formula1>'Arms Set Builder'!$AN$11:$AN$23</formula1>
    </dataValidation>
    <dataValidation type="list" allowBlank="1" sqref="B78">
      <formula1>'Arms Set Builder'!$AS$496:$AS$509</formula1>
    </dataValidation>
    <dataValidation type="list" allowBlank="1" showErrorMessage="1" sqref="B12">
      <formula1>'Arms Set Builder'!$AN$164:$AN$173</formula1>
    </dataValidation>
    <dataValidation type="list" allowBlank="1" showErrorMessage="1" sqref="B53">
      <formula1>'Arms Set Builder'!$C$52:$C$53</formula1>
    </dataValidation>
    <dataValidation type="list" allowBlank="1" showErrorMessage="1" sqref="B58">
      <formula1>'Arms Set Builder'!$C$61:$C$64</formula1>
    </dataValidation>
    <dataValidation type="list" allowBlank="1" showErrorMessage="1" sqref="B51">
      <formula1>'Arms Set Builder'!$C$49:$C$50</formula1>
    </dataValidation>
    <dataValidation type="list" allowBlank="1" showErrorMessage="1" sqref="B7">
      <formula1>'Arms Set Builder'!$AN$47:$AN$59</formula1>
    </dataValidation>
    <dataValidation type="custom" allowBlank="1" showDropDown="1" sqref="AN11 AP11">
      <formula1>AO11</formula1>
    </dataValidation>
    <dataValidation type="list" allowBlank="1" showErrorMessage="1" sqref="B19">
      <formula1>'Arms Set Builder'!$AN$198:$AN$210</formula1>
    </dataValidation>
    <dataValidation type="list" allowBlank="1" showErrorMessage="1" sqref="B9">
      <formula1>'Arms Set Builder'!$AN$125:$AN$135</formula1>
    </dataValidation>
    <dataValidation type="list" allowBlank="1" showErrorMessage="1" sqref="B55">
      <formula1>'Arms Set Builder'!$C$57:$C$58</formula1>
    </dataValidation>
    <dataValidation type="list" allowBlank="1" showErrorMessage="1" sqref="B11">
      <formula1>'Arms Set Builder'!$AN$148:$AN$160</formula1>
    </dataValidation>
    <dataValidation type="list" allowBlank="1" sqref="B17">
      <formula1>'Arms Set Builder'!$AN$102:$AN$110</formula1>
    </dataValidation>
    <dataValidation type="list" allowBlank="1" showErrorMessage="1" sqref="B54">
      <formula1>'Arms Set Builder'!$C$55:$C$56</formula1>
    </dataValidation>
    <dataValidation type="list" allowBlank="1" showErrorMessage="1" sqref="B57">
      <formula1>'Arms Set Builder'!$C$59:$C$60</formula1>
    </dataValidation>
    <dataValidation type="list" allowBlank="1" sqref="A82">
      <formula1>'Arms Set Builder'!$D$84:$D$85</formula1>
    </dataValidation>
    <dataValidation type="list" allowBlank="1" showErrorMessage="1" sqref="B6">
      <formula1>'Arms Set Builder'!$AN$39:$AN$44</formula1>
    </dataValidation>
    <dataValidation type="list" allowBlank="1" sqref="A79">
      <formula1>'Arms Set Builder'!$D$79:$D$80</formula1>
    </dataValidation>
    <dataValidation type="list" allowBlank="1" showErrorMessage="1" sqref="B59">
      <formula1>'Arms Set Builder'!$E$59:$E$60</formula1>
    </dataValidation>
    <dataValidation type="list" allowBlank="1" showErrorMessage="1" sqref="B52">
      <formula1>'Arms Set Builder'!$C$51:$C$52</formula1>
    </dataValidation>
    <dataValidation type="list" allowBlank="1" showErrorMessage="1" sqref="B3">
      <formula1>'Arms Set Builder'!$AN$26:$AN$36</formula1>
    </dataValidation>
    <dataValidation type="list" allowBlank="1" showErrorMessage="1" sqref="P3">
      <formula1>'Arms Set Builder'!$P$4:$P$5</formula1>
    </dataValidation>
    <dataValidation type="list" allowBlank="1" showErrorMessage="1" sqref="B50">
      <formula1>'Arms Set Builder'!$A$146:$A$149</formula1>
    </dataValidation>
    <dataValidation type="list" allowBlank="1" showErrorMessage="1" sqref="B15:B16">
      <formula1>'Arms Set Builder'!$AN$214:$AN$222</formula1>
    </dataValidation>
    <dataValidation type="list" allowBlank="1" showErrorMessage="1" sqref="B8">
      <formula1>'Arms Set Builder'!$AN$117:$AN$122</formula1>
    </dataValidation>
    <dataValidation type="list" allowBlank="1" sqref="B90">
      <formula1>'Arms Set Builder'!$C$94:$C$95</formula1>
    </dataValidation>
    <dataValidation type="list" allowBlank="1" showErrorMessage="1" sqref="B13:B14">
      <formula1>'Arms Set Builder'!$AN$177:$AN$194</formula1>
    </dataValidation>
    <dataValidation type="list" allowBlank="1" showErrorMessage="1" sqref="B10">
      <formula1>'Arms Set Builder'!$AN$138:$AN$145</formula1>
    </dataValidation>
    <dataValidation type="list" allowBlank="1" sqref="A83">
      <formula1>'Arms Set Builder'!$D$81:$D$82</formula1>
    </dataValidation>
  </dataValidation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75"/>
  <cols>
    <col customWidth="1" min="1" max="1" width="28.14"/>
    <col customWidth="1" min="2" max="2" width="47.86"/>
    <col customWidth="1" min="3" max="3" width="21.71"/>
    <col customWidth="1" min="4" max="4" width="10.29"/>
    <col customWidth="1" min="5" max="5" width="8.14"/>
    <col customWidth="1" min="6" max="6" width="9.86"/>
    <col customWidth="1" min="7" max="7" width="6.86"/>
    <col customWidth="1" min="8" max="10" width="5.43"/>
    <col customWidth="1" min="11" max="11" width="9.14"/>
    <col customWidth="1" min="12" max="12" width="6.43"/>
    <col customWidth="1" min="13" max="14" width="5.0"/>
    <col customWidth="1" min="15" max="15" width="7.57"/>
    <col customWidth="1" min="16" max="16" width="14.71"/>
    <col customWidth="1" min="17" max="17" width="14.57"/>
    <col customWidth="1" min="18" max="18" width="13.43"/>
    <col customWidth="1" min="19" max="19" width="11.43"/>
    <col customWidth="1" min="20" max="20" width="7.57"/>
    <col customWidth="1" min="21" max="21" width="8.14"/>
    <col customWidth="1" min="22" max="22" width="10.14"/>
    <col customWidth="1" min="23" max="23" width="11.43"/>
    <col customWidth="1" min="24" max="24" width="14.14"/>
    <col customWidth="1" min="25" max="25" width="20.43"/>
    <col customWidth="1" min="26" max="26" width="19.29"/>
    <col customWidth="1" min="27" max="27" width="14.14"/>
    <col customWidth="1" min="28" max="28" width="16.14"/>
    <col customWidth="1" min="29" max="29" width="14.14"/>
    <col customWidth="1" min="30" max="31" width="10.0"/>
    <col customWidth="1" min="32" max="32" width="17.43"/>
    <col customWidth="1" min="33" max="33" width="14.14"/>
    <col customWidth="1" min="34" max="34" width="7.43"/>
    <col customWidth="1" min="35" max="35" width="18.71"/>
    <col customWidth="1" min="36" max="36" width="14.14"/>
    <col customWidth="1" min="37" max="37" width="4.29"/>
    <col customWidth="1" min="38" max="38" width="24.71"/>
    <col customWidth="1" min="39" max="39" width="8.0"/>
    <col customWidth="1" min="40" max="40" width="4.71"/>
    <col customWidth="1" min="41" max="41" width="21.57"/>
    <col customWidth="1" min="42" max="42" width="9.0"/>
    <col customWidth="1" min="43" max="43" width="17.14"/>
    <col customWidth="1" min="44" max="44" width="21.86"/>
    <col customWidth="1" min="45" max="45" width="22.0"/>
    <col customWidth="1" min="46" max="46" width="31.14"/>
    <col customWidth="1" min="47" max="47" width="23.29"/>
    <col customWidth="1" min="48" max="48" width="26.71"/>
    <col customWidth="1" min="49" max="49" width="24.86"/>
    <col customWidth="1" min="50" max="50" width="28.86"/>
    <col customWidth="1" min="51" max="51" width="24.43"/>
    <col customWidth="1" min="52" max="52" width="28.43"/>
    <col customWidth="1" min="53" max="53" width="24.14"/>
    <col customWidth="1" min="54" max="54" width="28.57"/>
    <col customWidth="1" min="55" max="55" width="22.86"/>
    <col customWidth="1" min="56" max="56" width="31.0"/>
    <col customWidth="1" min="57" max="57" width="19.43"/>
  </cols>
  <sheetData>
    <row r="1">
      <c r="A1" s="446" t="s">
        <v>2382</v>
      </c>
      <c r="B1" s="447"/>
      <c r="C1" s="226"/>
      <c r="D1" s="447"/>
      <c r="E1" s="447"/>
      <c r="F1" s="447"/>
      <c r="G1" s="447"/>
      <c r="H1" s="447"/>
      <c r="I1" s="447"/>
      <c r="J1" s="447"/>
      <c r="K1" s="226"/>
      <c r="L1" s="226"/>
      <c r="M1" s="448"/>
      <c r="N1" s="448"/>
      <c r="O1" s="448"/>
      <c r="P1" s="448"/>
      <c r="Q1" s="226"/>
      <c r="R1" s="226"/>
      <c r="S1" s="226"/>
      <c r="T1" s="226"/>
      <c r="U1" s="226"/>
      <c r="V1" s="226"/>
      <c r="W1" s="226"/>
      <c r="X1" s="226"/>
      <c r="Y1" s="226"/>
      <c r="Z1" s="226"/>
      <c r="AA1" s="226"/>
      <c r="AB1" s="226"/>
      <c r="AC1" s="654" t="s">
        <v>2383</v>
      </c>
      <c r="AD1" s="226"/>
      <c r="AE1" s="226"/>
      <c r="AF1" s="226"/>
      <c r="AG1" s="655"/>
      <c r="AH1" s="226"/>
      <c r="AI1" s="226"/>
      <c r="AJ1" s="226"/>
      <c r="AK1" s="226"/>
      <c r="AL1" s="226"/>
      <c r="AM1" s="226"/>
      <c r="AN1" s="226"/>
      <c r="AO1" s="226"/>
      <c r="AP1" s="226"/>
      <c r="AQ1" s="226"/>
      <c r="AR1" s="226"/>
      <c r="AS1" s="226"/>
      <c r="AT1" s="226"/>
      <c r="AU1" s="226"/>
      <c r="AW1" s="449" t="s">
        <v>1919</v>
      </c>
      <c r="AX1" s="449" t="s">
        <v>1920</v>
      </c>
      <c r="AY1" s="450" t="s">
        <v>1921</v>
      </c>
      <c r="AZ1" s="450" t="s">
        <v>1922</v>
      </c>
      <c r="BA1" s="449" t="s">
        <v>1923</v>
      </c>
      <c r="BB1" s="450" t="s">
        <v>1924</v>
      </c>
      <c r="BC1" s="449" t="s">
        <v>1925</v>
      </c>
      <c r="BD1" s="450" t="s">
        <v>1926</v>
      </c>
      <c r="BE1" s="449" t="s">
        <v>1927</v>
      </c>
      <c r="BF1" s="450" t="s">
        <v>1928</v>
      </c>
      <c r="BG1" s="449" t="s">
        <v>1929</v>
      </c>
      <c r="BH1" s="450" t="s">
        <v>1930</v>
      </c>
      <c r="BI1" s="449" t="s">
        <v>1931</v>
      </c>
      <c r="BJ1" s="450" t="s">
        <v>1932</v>
      </c>
      <c r="BK1" s="449" t="s">
        <v>1933</v>
      </c>
      <c r="BL1" s="450" t="s">
        <v>1934</v>
      </c>
      <c r="BM1" s="449" t="s">
        <v>1935</v>
      </c>
      <c r="BN1" s="450" t="s">
        <v>1936</v>
      </c>
    </row>
    <row r="2">
      <c r="A2" s="449" t="s">
        <v>1937</v>
      </c>
      <c r="B2" s="449" t="s">
        <v>1938</v>
      </c>
      <c r="C2" s="449" t="s">
        <v>1922</v>
      </c>
      <c r="D2" s="449" t="s">
        <v>560</v>
      </c>
      <c r="E2" s="449" t="s">
        <v>562</v>
      </c>
      <c r="F2" s="449" t="s">
        <v>1939</v>
      </c>
      <c r="G2" s="449" t="s">
        <v>330</v>
      </c>
      <c r="H2" s="449" t="s">
        <v>344</v>
      </c>
      <c r="I2" s="449" t="s">
        <v>1005</v>
      </c>
      <c r="J2" s="449" t="s">
        <v>356</v>
      </c>
      <c r="K2" s="449" t="s">
        <v>1920</v>
      </c>
      <c r="L2" s="449" t="s">
        <v>1940</v>
      </c>
      <c r="M2" s="449" t="s">
        <v>1941</v>
      </c>
      <c r="N2" s="449" t="s">
        <v>1942</v>
      </c>
      <c r="O2" s="449" t="s">
        <v>1943</v>
      </c>
      <c r="P2" s="449" t="s">
        <v>609</v>
      </c>
      <c r="Q2" s="451" t="s">
        <v>1944</v>
      </c>
      <c r="R2" s="452" t="s">
        <v>1945</v>
      </c>
      <c r="S2" s="452" t="s">
        <v>1946</v>
      </c>
      <c r="T2" s="452" t="s">
        <v>1947</v>
      </c>
      <c r="U2" s="452" t="s">
        <v>1948</v>
      </c>
      <c r="V2" s="453" t="s">
        <v>1949</v>
      </c>
      <c r="W2" s="453" t="s">
        <v>1950</v>
      </c>
      <c r="X2" s="454"/>
      <c r="Y2" s="656" t="s">
        <v>2384</v>
      </c>
      <c r="Z2" s="657" t="s">
        <v>2031</v>
      </c>
      <c r="AA2" s="658" t="s">
        <v>2385</v>
      </c>
      <c r="AB2" s="226"/>
      <c r="AC2" s="659"/>
      <c r="AD2" s="226"/>
      <c r="AE2" s="226"/>
      <c r="AF2" s="226"/>
      <c r="AG2" s="226"/>
      <c r="AH2" s="226"/>
      <c r="AI2" s="226"/>
      <c r="AJ2" s="226"/>
      <c r="AK2" s="226"/>
      <c r="AL2" s="226"/>
      <c r="AM2" s="226"/>
      <c r="AN2" s="226"/>
      <c r="AO2" s="226"/>
      <c r="AP2" s="226"/>
      <c r="AQ2" s="226"/>
      <c r="AR2" s="226"/>
      <c r="AS2" s="226"/>
      <c r="AT2" s="226"/>
      <c r="AU2" s="226"/>
      <c r="AW2" s="456" t="s">
        <v>658</v>
      </c>
      <c r="AX2" s="456">
        <v>150.0</v>
      </c>
      <c r="AY2" s="457" t="s">
        <v>658</v>
      </c>
      <c r="AZ2" s="457">
        <v>91.21</v>
      </c>
      <c r="BA2" s="456" t="s">
        <v>658</v>
      </c>
      <c r="BB2" s="457">
        <v>0.0</v>
      </c>
      <c r="BC2" s="456" t="s">
        <v>658</v>
      </c>
      <c r="BD2" s="457">
        <v>0.0</v>
      </c>
      <c r="BE2" s="456" t="s">
        <v>658</v>
      </c>
      <c r="BF2" s="457">
        <v>0.0</v>
      </c>
      <c r="BG2" s="456" t="s">
        <v>658</v>
      </c>
      <c r="BH2" s="457">
        <v>0.0</v>
      </c>
      <c r="BI2" s="456" t="s">
        <v>658</v>
      </c>
      <c r="BJ2" s="457">
        <v>29.0</v>
      </c>
      <c r="BK2" s="456" t="s">
        <v>658</v>
      </c>
      <c r="BL2" s="457">
        <v>0.0</v>
      </c>
      <c r="BM2" s="456" t="s">
        <v>658</v>
      </c>
      <c r="BN2" s="457">
        <v>58.0</v>
      </c>
    </row>
    <row r="3">
      <c r="A3" s="458" t="s">
        <v>619</v>
      </c>
      <c r="B3" s="459" t="s">
        <v>638</v>
      </c>
      <c r="C3" s="460">
        <f>ROUND((D3*C104)+(E3*C105)+(F3*C106)+(C107*G3)+(C108*H3)+(I3*C110)+(C109*J3)+(K3*C111)+(C112*V3)+(C113*W3)+(Q3*C104)+(R3*C106)+(S3*C107)+(T3*C105)+(U3*C108)+C115, 2)</f>
        <v>161.9</v>
      </c>
      <c r="D3" s="461">
        <f>VLOOKUP(B3,BC26:BD36,2,FALSE)</f>
        <v>51</v>
      </c>
      <c r="E3" s="461">
        <f>VLOOKUP(B3,BM26:BN36,2,FALSE)</f>
        <v>0</v>
      </c>
      <c r="F3" s="461">
        <f>VLOOKUP(B3,BE26:BF36,2,FALSE)</f>
        <v>0</v>
      </c>
      <c r="G3" s="461">
        <f>VLOOKUP(B3,BG26:BH36,2,FALSE)</f>
        <v>42</v>
      </c>
      <c r="H3" s="461">
        <f>VLOOKUP(B3,BA26:BB36,2,FALSE)</f>
        <v>34</v>
      </c>
      <c r="I3" s="461">
        <f>VLOOKUP(B3,BK26:BL36,2,FALSE)</f>
        <v>0</v>
      </c>
      <c r="J3" s="461">
        <f>VLOOKUP(B3,BI26:BJ36,2,FALSE)</f>
        <v>0</v>
      </c>
      <c r="K3" s="462">
        <f>VLOOKUP(B3,AW26:AX36,2,FALSE)</f>
        <v>0</v>
      </c>
      <c r="L3" s="461">
        <f>VLOOKUP(B3,AN250:AO260,2,FALSE)</f>
        <v>0</v>
      </c>
      <c r="M3" s="461">
        <f>VLOOKUP(B3,AP250:AQ260,2,FALSE)</f>
        <v>1</v>
      </c>
      <c r="N3" s="461">
        <f>VLOOKUP(B3,AR250:AS260,2,FALSE)</f>
        <v>0</v>
      </c>
      <c r="O3" s="463" t="str">
        <f>VLOOKUP(B3,AT250:AU260,2,FALSE)</f>
        <v>6 Stam</v>
      </c>
      <c r="P3" s="464">
        <v>1.0</v>
      </c>
      <c r="Q3" s="465">
        <f>VLOOKUP(B3,AV250:AW260,2,FALSE)</f>
        <v>0</v>
      </c>
      <c r="R3" s="465">
        <f>VLOOKUP(B3,AX250:AY260,2,FALSE)</f>
        <v>0</v>
      </c>
      <c r="S3" s="465">
        <f>VLOOKUP(B3,AZ250:BA260,2,FALSE)</f>
        <v>0</v>
      </c>
      <c r="T3" s="465">
        <f>VLOOKUP(B3,BB250:BC260,2,FALSE)</f>
        <v>0</v>
      </c>
      <c r="U3" s="465">
        <f>VLOOKUP(B3,BD250:BE260,2,FALSE)</f>
        <v>0</v>
      </c>
      <c r="V3" s="466">
        <f>VLOOKUP(B3,AN465:AO475,2,FALSE)</f>
        <v>1</v>
      </c>
      <c r="W3" s="466">
        <f>VLOOKUP(B3,AP465:AQ475,2,FALSE)</f>
        <v>0</v>
      </c>
      <c r="X3" s="226"/>
      <c r="Y3" s="660" t="s">
        <v>2386</v>
      </c>
      <c r="Z3" s="661">
        <f>VLOOKUP(Y3,V28:W29,2,FALSE)</f>
        <v>0</v>
      </c>
      <c r="AA3" s="662"/>
      <c r="AB3" s="226"/>
      <c r="AC3" s="458" t="s">
        <v>2387</v>
      </c>
      <c r="AD3" s="476"/>
      <c r="AE3" s="476"/>
      <c r="AF3" s="458" t="s">
        <v>2388</v>
      </c>
      <c r="AG3" s="476"/>
      <c r="AH3" s="476"/>
      <c r="AI3" s="458" t="s">
        <v>2389</v>
      </c>
      <c r="AJ3" s="476"/>
      <c r="AK3" s="226"/>
      <c r="AL3" s="458" t="s">
        <v>2390</v>
      </c>
      <c r="AM3" s="476"/>
      <c r="AN3" s="226"/>
      <c r="AO3" s="458" t="s">
        <v>2391</v>
      </c>
      <c r="AP3" s="476"/>
      <c r="AQ3" s="226"/>
      <c r="AR3" s="226"/>
      <c r="AS3" s="226"/>
      <c r="AT3" s="226"/>
      <c r="AU3" s="226"/>
      <c r="AW3" s="456" t="s">
        <v>662</v>
      </c>
      <c r="AX3" s="456">
        <v>0.0</v>
      </c>
      <c r="AY3" s="457" t="s">
        <v>662</v>
      </c>
      <c r="AZ3" s="457">
        <v>71.06</v>
      </c>
      <c r="BA3" s="456" t="s">
        <v>662</v>
      </c>
      <c r="BB3" s="457">
        <v>0.0</v>
      </c>
      <c r="BC3" s="456" t="s">
        <v>662</v>
      </c>
      <c r="BD3" s="457">
        <v>0.0</v>
      </c>
      <c r="BE3" s="456" t="s">
        <v>662</v>
      </c>
      <c r="BF3" s="457">
        <v>25.0</v>
      </c>
      <c r="BG3" s="456" t="s">
        <v>662</v>
      </c>
      <c r="BH3" s="457">
        <v>0.0</v>
      </c>
      <c r="BI3" s="456" t="s">
        <v>662</v>
      </c>
      <c r="BJ3" s="457">
        <v>30.0</v>
      </c>
      <c r="BK3" s="456" t="s">
        <v>662</v>
      </c>
      <c r="BL3" s="457">
        <v>0.0</v>
      </c>
      <c r="BM3" s="456" t="s">
        <v>662</v>
      </c>
      <c r="BN3" s="457">
        <v>64.0</v>
      </c>
    </row>
    <row r="4">
      <c r="A4" s="458" t="s">
        <v>657</v>
      </c>
      <c r="B4" s="459" t="s">
        <v>664</v>
      </c>
      <c r="C4" s="467">
        <f>ROUND((D4*C104)+(E4*C105)+(F4*C106)+(C107*G4)+(C108*H4)+(I4*C110)+(C109*J4)+(K4*C111)+(C112*V4)+(C113*W4)+(Q4*C104)+(R4*C106)+(S4*C107)+(T4*C105)+(U4*C108), 2)</f>
        <v>69.45</v>
      </c>
      <c r="D4" s="461">
        <f>VLOOKUP(B4,BC2:BD9,2,FALSE)</f>
        <v>0</v>
      </c>
      <c r="E4" s="461">
        <f>VLOOKUP(B4,BM2:BN9,2,FALSE)</f>
        <v>72</v>
      </c>
      <c r="F4" s="461">
        <f>VLOOKUP(B4,BE2:BF9,2,FALSE)</f>
        <v>0</v>
      </c>
      <c r="G4" s="461">
        <f>VLOOKUP(B4,BG2:BH9,2,FALSE)</f>
        <v>27</v>
      </c>
      <c r="H4" s="461">
        <f>VLOOKUP(B4,BA2:BB9,2,FALSE)</f>
        <v>21</v>
      </c>
      <c r="I4" s="461">
        <f>VLOOKUP(B4,BK2:BL9,2,FALSE)</f>
        <v>0</v>
      </c>
      <c r="J4" s="461">
        <f>VLOOKUP(B4,BI2:BJ9,2,FALSE)</f>
        <v>0</v>
      </c>
      <c r="K4" s="462">
        <f>VLOOKUP(B4,AW2:AX9,2,FALSE)</f>
        <v>0</v>
      </c>
      <c r="L4" s="461">
        <f>VLOOKUP(B4,AN225:AO232,2,FALSE)</f>
        <v>0</v>
      </c>
      <c r="M4" s="461">
        <f>VLOOKUP(B4,AP225:AQ232,2,FALSE)</f>
        <v>0</v>
      </c>
      <c r="N4" s="461">
        <f>VLOOKUP(B4,AR225:AS232,2,FALSE)</f>
        <v>0</v>
      </c>
      <c r="O4" s="463" t="str">
        <f>VLOOKUP(B4,AT225:AU232,2,FALSE)</f>
        <v/>
      </c>
      <c r="P4" s="468">
        <v>0.0</v>
      </c>
      <c r="Q4" s="465">
        <f>VLOOKUP(B4,AV225:AW232,2,FALSE)</f>
        <v>0</v>
      </c>
      <c r="R4" s="465">
        <f>VLOOKUP(B4,AX225:AY232,2,FALSE)</f>
        <v>0</v>
      </c>
      <c r="S4" s="465">
        <f>VLOOKUP(B4,AZ225:BA232,2,FALSE)</f>
        <v>0</v>
      </c>
      <c r="T4" s="465">
        <f>VLOOKUP(B4,BB225:BC232,2,FALSE)</f>
        <v>0</v>
      </c>
      <c r="U4" s="465">
        <f>VLOOKUP(B4,BD225:BE232,2,FALSE)</f>
        <v>0</v>
      </c>
      <c r="V4" s="466">
        <f>VLOOKUP(B4,AN441:AO448,2,FALSE)</f>
        <v>0</v>
      </c>
      <c r="W4" s="466">
        <f>VLOOKUP(B4,AP441:AQ448,2,FALSE)</f>
        <v>0</v>
      </c>
      <c r="X4" s="226"/>
      <c r="Y4" s="660" t="s">
        <v>2392</v>
      </c>
      <c r="Z4" s="661">
        <f>VLOOKUP(Y4,AA19:AB20,2,FALSE)</f>
        <v>0</v>
      </c>
      <c r="AA4" s="662"/>
      <c r="AB4" s="226"/>
      <c r="AC4" s="663" t="s">
        <v>2393</v>
      </c>
      <c r="AD4" s="664">
        <v>7700.0</v>
      </c>
      <c r="AE4" s="226"/>
      <c r="AF4" s="665" t="s">
        <v>2394</v>
      </c>
      <c r="AG4" s="666">
        <v>7700.0</v>
      </c>
      <c r="AH4" s="226"/>
      <c r="AI4" s="667" t="s">
        <v>2395</v>
      </c>
      <c r="AJ4" s="668">
        <v>6200.0</v>
      </c>
      <c r="AK4" s="226"/>
      <c r="AL4" s="669" t="s">
        <v>2396</v>
      </c>
      <c r="AM4" s="670">
        <v>6200.0</v>
      </c>
      <c r="AN4" s="226"/>
      <c r="AO4" s="671" t="s">
        <v>2397</v>
      </c>
      <c r="AP4" s="672">
        <v>7500.0</v>
      </c>
      <c r="AQ4" s="226"/>
      <c r="AR4" s="226"/>
      <c r="AS4" s="226"/>
      <c r="AT4" s="226"/>
      <c r="AU4" s="226"/>
      <c r="AW4" s="456" t="s">
        <v>664</v>
      </c>
      <c r="AX4" s="456">
        <v>0.0</v>
      </c>
      <c r="AY4" s="457" t="s">
        <v>664</v>
      </c>
      <c r="AZ4" s="457">
        <v>69.45</v>
      </c>
      <c r="BA4" s="456" t="s">
        <v>664</v>
      </c>
      <c r="BB4" s="457">
        <v>21.0</v>
      </c>
      <c r="BC4" s="456" t="s">
        <v>664</v>
      </c>
      <c r="BD4" s="457">
        <v>0.0</v>
      </c>
      <c r="BE4" s="456" t="s">
        <v>664</v>
      </c>
      <c r="BF4" s="457">
        <v>0.0</v>
      </c>
      <c r="BG4" s="456" t="s">
        <v>664</v>
      </c>
      <c r="BH4" s="457">
        <v>27.0</v>
      </c>
      <c r="BI4" s="456" t="s">
        <v>664</v>
      </c>
      <c r="BJ4" s="457">
        <v>0.0</v>
      </c>
      <c r="BK4" s="456" t="s">
        <v>664</v>
      </c>
      <c r="BL4" s="457">
        <v>0.0</v>
      </c>
      <c r="BM4" s="456" t="s">
        <v>664</v>
      </c>
      <c r="BN4" s="457">
        <v>72.0</v>
      </c>
    </row>
    <row r="5">
      <c r="A5" s="458" t="s">
        <v>1952</v>
      </c>
      <c r="B5" s="459" t="s">
        <v>700</v>
      </c>
      <c r="C5" s="467">
        <f>ROUND((D5*C104)+(E5*C105)+(F5*C106)+(C107*G5)+(C108*H5)+(I5*C110)+(C109*J5)+(K5*C111)+(C112*V5)+(C113*W5)+(Q5*C104)+(R5*C106)+(S5*C107)+(T5*C105)+(U5*C108), 2)</f>
        <v>105.26</v>
      </c>
      <c r="D5" s="461">
        <f>VLOOKUP(B5,BC11:BD23,2,FALSE)</f>
        <v>39</v>
      </c>
      <c r="E5" s="461">
        <f>VLOOKUP(B5,BM11:BN23,2,FALSE)</f>
        <v>0</v>
      </c>
      <c r="F5" s="461">
        <f>VLOOKUP(B5,BE11:BF23,2,FALSE)</f>
        <v>39</v>
      </c>
      <c r="G5" s="461">
        <f>VLOOKUP(B5,BG11:BH23,2,FALSE)</f>
        <v>0</v>
      </c>
      <c r="H5" s="461">
        <f>VLOOKUP(B5,BA11:BB23,2,FALSE)</f>
        <v>0</v>
      </c>
      <c r="I5" s="461">
        <f>VLOOKUP(B5,BK11:BL23,2,FALSE)</f>
        <v>0</v>
      </c>
      <c r="J5" s="461">
        <f>VLOOKUP(B5,BI11:BJ23,2,FALSE)</f>
        <v>0</v>
      </c>
      <c r="K5" s="461">
        <f>VLOOKUP(B5,AW11:AX23,2,FALSE)</f>
        <v>91</v>
      </c>
      <c r="L5" s="461">
        <f>VLOOKUP(B5,AN225:AO248,2,FALSE)</f>
        <v>0</v>
      </c>
      <c r="M5" s="461">
        <f>VLOOKUP(B5,AP225:AQ248,2,FALSE)</f>
        <v>1</v>
      </c>
      <c r="N5" s="461">
        <f>VLOOKUP(B5,AR225:AS248,2,FALSE)</f>
        <v>1</v>
      </c>
      <c r="O5" s="463" t="str">
        <f>VLOOKUP(B5,AT225:AU248,2,FALSE)</f>
        <v>3 Crit</v>
      </c>
      <c r="P5" s="451">
        <v>1.0</v>
      </c>
      <c r="Q5" s="465">
        <f>VLOOKUP(B5,AV225:AW248,2,FALSE)</f>
        <v>0</v>
      </c>
      <c r="R5" s="465">
        <f>VLOOKUP(B5,AX225:AY248,2,FALSE)</f>
        <v>0</v>
      </c>
      <c r="S5" s="465">
        <f>VLOOKUP(B5,AZ225:BA248,2,FALSE)</f>
        <v>3</v>
      </c>
      <c r="T5" s="465">
        <f>VLOOKUP(B5,BB225:BC248,2,FALSE)</f>
        <v>0</v>
      </c>
      <c r="U5" s="465">
        <f>VLOOKUP(B5,BD225:BE248,2,FALSE)</f>
        <v>0</v>
      </c>
      <c r="V5" s="466">
        <f>VLOOKUP(B5,AN451:AO463,2,FALSE)</f>
        <v>2</v>
      </c>
      <c r="W5" s="466">
        <f>VLOOKUP(B5,AP451:AQ463,2,FALSE)</f>
        <v>0</v>
      </c>
      <c r="X5" s="226"/>
      <c r="Y5" s="673" t="s">
        <v>2398</v>
      </c>
      <c r="Z5" s="674">
        <f>VLOOKUP(Y5,AA16:AB18,2,FALSE)</f>
        <v>2600</v>
      </c>
      <c r="AA5" s="675"/>
      <c r="AB5" s="226"/>
      <c r="AC5" s="663" t="s">
        <v>2399</v>
      </c>
      <c r="AD5" s="664">
        <v>7700.0</v>
      </c>
      <c r="AE5" s="226"/>
      <c r="AF5" s="665" t="s">
        <v>2400</v>
      </c>
      <c r="AG5" s="666">
        <v>7700.0</v>
      </c>
      <c r="AH5" s="226"/>
      <c r="AI5" s="667" t="s">
        <v>2401</v>
      </c>
      <c r="AJ5" s="668">
        <v>6200.0</v>
      </c>
      <c r="AK5" s="226"/>
      <c r="AL5" s="669" t="s">
        <v>2402</v>
      </c>
      <c r="AM5" s="670">
        <v>6200.0</v>
      </c>
      <c r="AN5" s="226"/>
      <c r="AO5" s="671" t="s">
        <v>2403</v>
      </c>
      <c r="AP5" s="672">
        <v>8200.0</v>
      </c>
      <c r="AQ5" s="226"/>
      <c r="AR5" s="226"/>
      <c r="AS5" s="226"/>
      <c r="AT5" s="226"/>
      <c r="AU5" s="226"/>
      <c r="AW5" s="456" t="s">
        <v>666</v>
      </c>
      <c r="AX5" s="456">
        <v>175.0</v>
      </c>
      <c r="AY5" s="457" t="s">
        <v>666</v>
      </c>
      <c r="AZ5" s="457">
        <v>65.59</v>
      </c>
      <c r="BA5" s="456" t="s">
        <v>666</v>
      </c>
      <c r="BB5" s="457">
        <v>0.0</v>
      </c>
      <c r="BC5" s="456" t="s">
        <v>666</v>
      </c>
      <c r="BD5" s="457">
        <v>0.0</v>
      </c>
      <c r="BE5" s="456" t="s">
        <v>666</v>
      </c>
      <c r="BF5" s="457">
        <v>0.0</v>
      </c>
      <c r="BG5" s="456" t="s">
        <v>666</v>
      </c>
      <c r="BH5" s="457">
        <v>0.0</v>
      </c>
      <c r="BI5" s="456" t="s">
        <v>666</v>
      </c>
      <c r="BJ5" s="457">
        <v>0.0</v>
      </c>
      <c r="BK5" s="456" t="s">
        <v>666</v>
      </c>
      <c r="BL5" s="457">
        <v>0.0</v>
      </c>
      <c r="BM5" s="456" t="s">
        <v>666</v>
      </c>
      <c r="BN5" s="457">
        <v>70.0</v>
      </c>
    </row>
    <row r="6">
      <c r="A6" s="458" t="s">
        <v>724</v>
      </c>
      <c r="B6" s="459" t="s">
        <v>726</v>
      </c>
      <c r="C6" s="467">
        <f>ROUND((D6*C104)+(E6*C105)+(F6*C106)+(C107*G6)+(C108*H6)+(I6*C110)+(C109*J6)+(K6*C111)+(C112*V6)+(C113*W6)+(Q6*C104)+(R6*C106)+(S6*C107)+(T6*C105)+(U6*C108), 2)</f>
        <v>64.4</v>
      </c>
      <c r="D6" s="461">
        <f>VLOOKUP(B6,BC40:BD45,2,FALSE)</f>
        <v>0</v>
      </c>
      <c r="E6" s="461">
        <f>VLOOKUP(B6,BM40:BN45,2,FALSE)</f>
        <v>72</v>
      </c>
      <c r="F6" s="461">
        <f>VLOOKUP(B6,BE40:BF45,2,FALSE)</f>
        <v>0</v>
      </c>
      <c r="G6" s="461">
        <f>VLOOKUP(B6,BG40:BH45,2,FALSE)</f>
        <v>24</v>
      </c>
      <c r="H6" s="461">
        <f>VLOOKUP(B6,BA40:BB45,2,FALSE)</f>
        <v>17</v>
      </c>
      <c r="I6" s="461">
        <f>VLOOKUP(B6,BK40:BL45,2,FALSE)</f>
        <v>0</v>
      </c>
      <c r="J6" s="461">
        <f>VLOOKUP(B6,BI40:BJ45,2,FALSE)</f>
        <v>0</v>
      </c>
      <c r="K6" s="462">
        <f>VLOOKUP(B6,AW40:AX45,2,FALSE)</f>
        <v>0</v>
      </c>
      <c r="L6" s="461">
        <f>VLOOKUP(B6,AN263:AO268,2,FALSE)</f>
        <v>0</v>
      </c>
      <c r="M6" s="461">
        <f>VLOOKUP(B6,AP263:AQ268,2,FALSE)</f>
        <v>0</v>
      </c>
      <c r="N6" s="461">
        <f>VLOOKUP(B6,AR263:AS268,2,FALSE)</f>
        <v>0</v>
      </c>
      <c r="O6" s="463" t="str">
        <f>VLOOKUP(B6,AT263:AU268,2,FALSE)</f>
        <v/>
      </c>
      <c r="P6" s="468"/>
      <c r="Q6" s="465">
        <f>VLOOKUP(B6,AV263:AW268,2,FALSE)</f>
        <v>0</v>
      </c>
      <c r="R6" s="465">
        <f>VLOOKUP(B6,AX263:AY268,2,FALSE)</f>
        <v>0</v>
      </c>
      <c r="S6" s="465">
        <f>VLOOKUP(B6,AZ263:BA268,2,FALSE)</f>
        <v>0</v>
      </c>
      <c r="T6" s="465">
        <f>VLOOKUP(B6,BB263:BC268,2,FALSE)</f>
        <v>0</v>
      </c>
      <c r="U6" s="465">
        <f>VLOOKUP(B6,BD263:BE268,2,FALSE)</f>
        <v>0</v>
      </c>
      <c r="V6" s="466">
        <f>VLOOKUP(B6,AN478:AO483,2,FALSE)</f>
        <v>0</v>
      </c>
      <c r="W6" s="466">
        <f>VLOOKUP(B6,AP478:AQ483,2,FALSE)</f>
        <v>0</v>
      </c>
      <c r="X6" s="226"/>
      <c r="Y6" s="676"/>
      <c r="Z6" s="677"/>
      <c r="AA6" s="678"/>
      <c r="AB6" s="226"/>
      <c r="AC6" s="663" t="s">
        <v>2404</v>
      </c>
      <c r="AD6" s="664">
        <v>7700.0</v>
      </c>
      <c r="AE6" s="226"/>
      <c r="AF6" s="665" t="s">
        <v>2405</v>
      </c>
      <c r="AG6" s="666">
        <v>7700.0</v>
      </c>
      <c r="AH6" s="226"/>
      <c r="AI6" s="667" t="s">
        <v>2406</v>
      </c>
      <c r="AJ6" s="668">
        <v>6200.0</v>
      </c>
      <c r="AK6" s="226"/>
      <c r="AL6" s="669" t="s">
        <v>2407</v>
      </c>
      <c r="AM6" s="670">
        <v>7700.0</v>
      </c>
      <c r="AN6" s="226"/>
      <c r="AO6" s="671" t="s">
        <v>2408</v>
      </c>
      <c r="AP6" s="672">
        <v>6200.0</v>
      </c>
      <c r="AQ6" s="671" t="s">
        <v>2409</v>
      </c>
      <c r="AR6" s="671" t="s">
        <v>2410</v>
      </c>
      <c r="AS6" s="672">
        <v>6200.0</v>
      </c>
      <c r="AT6" s="226"/>
      <c r="AU6" s="226"/>
      <c r="AW6" s="456" t="s">
        <v>668</v>
      </c>
      <c r="AX6" s="456">
        <v>0.0</v>
      </c>
      <c r="AY6" s="457" t="s">
        <v>668</v>
      </c>
      <c r="AZ6" s="457">
        <v>62.81</v>
      </c>
      <c r="BA6" s="456" t="s">
        <v>668</v>
      </c>
      <c r="BB6" s="457">
        <v>0.0</v>
      </c>
      <c r="BC6" s="456" t="s">
        <v>668</v>
      </c>
      <c r="BD6" s="457">
        <v>0.0</v>
      </c>
      <c r="BE6" s="456" t="s">
        <v>668</v>
      </c>
      <c r="BF6" s="457">
        <v>0.0</v>
      </c>
      <c r="BG6" s="456" t="s">
        <v>668</v>
      </c>
      <c r="BH6" s="457">
        <v>28.0</v>
      </c>
      <c r="BI6" s="456" t="s">
        <v>668</v>
      </c>
      <c r="BJ6" s="457">
        <v>0.0</v>
      </c>
      <c r="BK6" s="456" t="s">
        <v>668</v>
      </c>
      <c r="BL6" s="457">
        <v>0.0</v>
      </c>
      <c r="BM6" s="456" t="s">
        <v>668</v>
      </c>
      <c r="BN6" s="457">
        <v>58.0</v>
      </c>
    </row>
    <row r="7">
      <c r="A7" s="458" t="s">
        <v>742</v>
      </c>
      <c r="B7" s="459" t="s">
        <v>754</v>
      </c>
      <c r="C7" s="467">
        <f>ROUND((D7*C104)+(E7*C105)+(F7*C106)+(C107*G7)+(C108*H7)+(I7*C110)+(C109*J7)+(K7*C111)+(C112*V7)+(C113*W7)+(Q7*C104)+(R7*C106)+(S7*C107)+(T7*C105)+(U7*C108), 2)</f>
        <v>145.74</v>
      </c>
      <c r="D7" s="467">
        <f>VLOOKUP(B7,BC48:BD60,2,FALSE)</f>
        <v>45</v>
      </c>
      <c r="E7" s="467">
        <f>VLOOKUP(B7,BM48:BN60,2,FALSE)</f>
        <v>0</v>
      </c>
      <c r="F7" s="467">
        <f>VLOOKUP(B7,BE48:BF60,2,FALSE)</f>
        <v>0</v>
      </c>
      <c r="G7" s="467">
        <f>VLOOKUP(B7,BG48:BH60,2,FALSE)</f>
        <v>45</v>
      </c>
      <c r="H7" s="467">
        <f>VLOOKUP(B7,BA48:BB60,2,FALSE)</f>
        <v>18</v>
      </c>
      <c r="I7" s="467">
        <f>VLOOKUP(B7,BK48:BL60,2,FALSE)</f>
        <v>0</v>
      </c>
      <c r="J7" s="467">
        <f>VLOOKUP(B7,BI48:BJ60,2,FALSE)</f>
        <v>0</v>
      </c>
      <c r="K7" s="461">
        <f>VLOOKUP(B7,AW48:AX60,2,FALSE)</f>
        <v>84</v>
      </c>
      <c r="L7" s="461">
        <f>VLOOKUP(B7,AN271:AO283,2,FALSE)</f>
        <v>2</v>
      </c>
      <c r="M7" s="461">
        <f>VLOOKUP(B7,AP271:AQ283,2,FALSE)</f>
        <v>1</v>
      </c>
      <c r="N7" s="461">
        <f>VLOOKUP(B7,AR271:AS283,2,FALSE)</f>
        <v>0</v>
      </c>
      <c r="O7" s="463" t="str">
        <f>VLOOKUP(B7,AT271:AU283,2,FALSE)</f>
        <v>4 Crit</v>
      </c>
      <c r="P7" s="456"/>
      <c r="Q7" s="465">
        <f>VLOOKUP(B7,AV271:AW283,2,FALSE)</f>
        <v>0</v>
      </c>
      <c r="R7" s="465">
        <f>VLOOKUP(B7,AX271:AY283,2,FALSE)</f>
        <v>0</v>
      </c>
      <c r="S7" s="465">
        <f>VLOOKUP(B7,AZ271:BA283,2,FALSE)</f>
        <v>4</v>
      </c>
      <c r="T7" s="465">
        <f>VLOOKUP(B7,BB271:BC283,2,FALSE)</f>
        <v>0</v>
      </c>
      <c r="U7" s="465">
        <f>VLOOKUP(B7,BD271:BE283,2,FALSE)</f>
        <v>0</v>
      </c>
      <c r="V7" s="466">
        <f>VLOOKUP(B7,AN486:AO498,2,FALSE)</f>
        <v>2</v>
      </c>
      <c r="W7" s="466">
        <f>VLOOKUP(B7,AP486:AQ498,2,FALSE)</f>
        <v>1</v>
      </c>
      <c r="X7" s="226"/>
      <c r="Y7" s="679" t="s">
        <v>2411</v>
      </c>
      <c r="Z7" s="680">
        <f>VLOOKUP(AA7,Y12:Z13,2,FALSE)</f>
        <v>0</v>
      </c>
      <c r="AA7" s="681" t="s">
        <v>2051</v>
      </c>
      <c r="AB7" s="226"/>
      <c r="AC7" s="663" t="s">
        <v>2412</v>
      </c>
      <c r="AD7" s="664">
        <v>6200.0</v>
      </c>
      <c r="AE7" s="226"/>
      <c r="AF7" s="665" t="s">
        <v>2413</v>
      </c>
      <c r="AG7" s="666">
        <v>6200.0</v>
      </c>
      <c r="AH7" s="226"/>
      <c r="AI7" s="667" t="s">
        <v>2414</v>
      </c>
      <c r="AJ7" s="668">
        <v>6200.0</v>
      </c>
      <c r="AK7" s="226"/>
      <c r="AL7" s="669" t="s">
        <v>2415</v>
      </c>
      <c r="AM7" s="670">
        <v>6200.0</v>
      </c>
      <c r="AN7" s="226"/>
      <c r="AO7" s="671" t="s">
        <v>2416</v>
      </c>
      <c r="AP7" s="672">
        <v>3800.0</v>
      </c>
      <c r="AQ7" s="226"/>
      <c r="AR7" s="671" t="s">
        <v>2417</v>
      </c>
      <c r="AS7" s="672">
        <v>6200.0</v>
      </c>
      <c r="AT7" s="226"/>
      <c r="AU7" s="226"/>
      <c r="AW7" s="456" t="s">
        <v>672</v>
      </c>
      <c r="AX7" s="456">
        <v>0.0</v>
      </c>
      <c r="AY7" s="457" t="s">
        <v>672</v>
      </c>
      <c r="AZ7" s="457">
        <v>60.0</v>
      </c>
      <c r="BA7" s="456" t="s">
        <v>672</v>
      </c>
      <c r="BB7" s="457">
        <v>0.0</v>
      </c>
      <c r="BC7" s="456" t="s">
        <v>672</v>
      </c>
      <c r="BD7" s="457">
        <v>0.0</v>
      </c>
      <c r="BE7" s="456" t="s">
        <v>672</v>
      </c>
      <c r="BF7" s="457">
        <v>0.0</v>
      </c>
      <c r="BG7" s="456" t="s">
        <v>672</v>
      </c>
      <c r="BH7" s="457">
        <v>26.0</v>
      </c>
      <c r="BI7" s="456" t="s">
        <v>672</v>
      </c>
      <c r="BJ7" s="457">
        <v>0.0</v>
      </c>
      <c r="BK7" s="456" t="s">
        <v>672</v>
      </c>
      <c r="BL7" s="457">
        <v>0.0</v>
      </c>
      <c r="BM7" s="456" t="s">
        <v>672</v>
      </c>
      <c r="BN7" s="457">
        <v>58.0</v>
      </c>
    </row>
    <row r="8">
      <c r="A8" s="458" t="s">
        <v>779</v>
      </c>
      <c r="B8" s="459" t="s">
        <v>782</v>
      </c>
      <c r="C8" s="460">
        <f>ROUND((D8*C104)+(E8*C105)+(F8*C106)+(C107*G8)+(C108*H8)+(I8*C110)+(C109*J8)+(K8*C111)+(C112*V8)+(C113*W8)+(Q8*C104)+(R8*C106)+(S8*C107)+(T8*C105)+(U8*C108), 2)</f>
        <v>68.77</v>
      </c>
      <c r="D8" s="467">
        <f>VLOOKUP(B8,AT117:AU122,2,FALSE)</f>
        <v>0</v>
      </c>
      <c r="E8" s="467">
        <f>VLOOKUP(B8,BD117:BE122,2,FALSE)</f>
        <v>58</v>
      </c>
      <c r="F8" s="467">
        <f>VLOOKUP(B8,AV117:AW122,2,FALSE)</f>
        <v>0</v>
      </c>
      <c r="G8" s="467">
        <f>VLOOKUP(B8,AX117:AY122,2,FALSE)</f>
        <v>28</v>
      </c>
      <c r="H8" s="467">
        <f>VLOOKUP(B8,AR117:AS122,2,FALSE)</f>
        <v>12</v>
      </c>
      <c r="I8" s="467">
        <f>VLOOKUP(B8,BB117:BC122,2,FALSE)</f>
        <v>0</v>
      </c>
      <c r="J8" s="467">
        <f>VLOOKUP(B8,AZ117:BA122,2,FALSE)</f>
        <v>0</v>
      </c>
      <c r="K8" s="461">
        <f>VLOOKUP(B8,AN117:AO122,2,FALSE)</f>
        <v>0</v>
      </c>
      <c r="L8" s="461">
        <f>VLOOKUP(B8,AN342:AO347,2,FALSE)</f>
        <v>0</v>
      </c>
      <c r="M8" s="461">
        <f>VLOOKUP(B8,AP342:AQ347,2,FALSE)</f>
        <v>1</v>
      </c>
      <c r="N8" s="461">
        <f>VLOOKUP(B8,AR342:AS347,2,FALSE)</f>
        <v>0</v>
      </c>
      <c r="O8" s="463" t="str">
        <f>VLOOKUP(B8,AT342:AU347,2,FALSE)</f>
        <v>3 Stam</v>
      </c>
      <c r="P8" s="465"/>
      <c r="Q8" s="465">
        <f>VLOOKUP(B8,AV342:AW347,2,FALSE)</f>
        <v>0</v>
      </c>
      <c r="R8" s="465">
        <f>VLOOKUP(B8,AX342:AY347,2,FALSE)</f>
        <v>0</v>
      </c>
      <c r="S8" s="465">
        <f>VLOOKUP(B8,AZ342:BA347,2,FALSE)</f>
        <v>0</v>
      </c>
      <c r="T8" s="465">
        <f>VLOOKUP(B8,BB342:BC347,2,FALSE)</f>
        <v>0</v>
      </c>
      <c r="U8" s="465">
        <f>VLOOKUP(B8,BD342:BE347,2,FALSE)</f>
        <v>0</v>
      </c>
      <c r="V8" s="466">
        <f>VLOOKUP(B8,AN557:AO562,2,FALSE)</f>
        <v>1</v>
      </c>
      <c r="W8" s="466">
        <f>VLOOKUP(B8,AP557:AQ562,2,FALSE)</f>
        <v>0</v>
      </c>
      <c r="X8" s="226"/>
      <c r="Y8" s="682" t="s">
        <v>2058</v>
      </c>
      <c r="Z8" s="683">
        <f>VLOOKUP(AA8,Y15:Z18,2,FALSE)</f>
        <v>0</v>
      </c>
      <c r="AA8" s="684" t="s">
        <v>2051</v>
      </c>
      <c r="AB8" s="226"/>
      <c r="AC8" s="663" t="s">
        <v>2418</v>
      </c>
      <c r="AD8" s="664">
        <v>7700.0</v>
      </c>
      <c r="AE8" s="226"/>
      <c r="AF8" s="665" t="s">
        <v>2419</v>
      </c>
      <c r="AG8" s="666">
        <v>7700.0</v>
      </c>
      <c r="AH8" s="226"/>
      <c r="AI8" s="667" t="s">
        <v>2420</v>
      </c>
      <c r="AJ8" s="668">
        <v>6200.0</v>
      </c>
      <c r="AK8" s="226"/>
      <c r="AL8" s="685" t="s">
        <v>2421</v>
      </c>
      <c r="AM8" s="670">
        <v>6200.0</v>
      </c>
      <c r="AN8" s="226"/>
      <c r="AO8" s="671" t="s">
        <v>2422</v>
      </c>
      <c r="AP8" s="672">
        <v>6700.0</v>
      </c>
      <c r="AQ8" s="226"/>
      <c r="AR8" s="671" t="s">
        <v>2423</v>
      </c>
      <c r="AS8" s="672">
        <v>7700.0</v>
      </c>
      <c r="AT8" s="226"/>
      <c r="AU8" s="226"/>
      <c r="AW8" s="456" t="s">
        <v>680</v>
      </c>
      <c r="AX8" s="456">
        <v>0.0</v>
      </c>
      <c r="AY8" s="457" t="s">
        <v>680</v>
      </c>
      <c r="AZ8" s="457">
        <v>52.91</v>
      </c>
      <c r="BA8" s="456" t="s">
        <v>680</v>
      </c>
      <c r="BB8" s="457">
        <v>0.0</v>
      </c>
      <c r="BC8" s="469" t="s">
        <v>680</v>
      </c>
      <c r="BD8" s="457">
        <v>32.0</v>
      </c>
      <c r="BE8" s="456" t="s">
        <v>680</v>
      </c>
      <c r="BF8" s="457">
        <v>0.0</v>
      </c>
      <c r="BG8" s="458" t="s">
        <v>680</v>
      </c>
      <c r="BH8" s="457">
        <v>23.0</v>
      </c>
      <c r="BI8" s="456" t="s">
        <v>680</v>
      </c>
      <c r="BJ8" s="457">
        <v>0.0</v>
      </c>
      <c r="BK8" s="456" t="s">
        <v>680</v>
      </c>
      <c r="BL8" s="457">
        <v>0.0</v>
      </c>
      <c r="BM8" s="456" t="s">
        <v>680</v>
      </c>
      <c r="BN8" s="457">
        <v>0.0</v>
      </c>
    </row>
    <row r="9">
      <c r="A9" s="458" t="s">
        <v>1953</v>
      </c>
      <c r="B9" s="459" t="s">
        <v>811</v>
      </c>
      <c r="C9" s="467">
        <f>ROUND((D9*C104)+(E9*C105)+(F9*C106)+(C107*G9)+(C108*H9)+(I9*C110)+(C109*J9)+(K9*C111)+(C112*V9)+(C113*W9)+(Q9*C104)+(R9*C106)+(S9*C107)+(T9*C105)+(U9*C108), 2)</f>
        <v>102.48</v>
      </c>
      <c r="D9" s="462">
        <f>VLOOKUP(B9,AT125:AU135,2,FALSE)</f>
        <v>40</v>
      </c>
      <c r="E9" s="462">
        <f>VLOOKUP(B9,BD125:BE135,2,FALSE)</f>
        <v>0</v>
      </c>
      <c r="F9" s="462">
        <f>VLOOKUP(B9,AV125:AW135,2,FALSE)</f>
        <v>0</v>
      </c>
      <c r="G9" s="462">
        <f>VLOOKUP(B9,AX125:AY135,2,FALSE)</f>
        <v>0</v>
      </c>
      <c r="H9" s="462">
        <f>VLOOKUP(B9,AR125:AS135,2,FALSE)</f>
        <v>15</v>
      </c>
      <c r="I9" s="462">
        <f>VLOOKUP(B9,BB125:BC135,2,FALSE)</f>
        <v>0</v>
      </c>
      <c r="J9" s="462">
        <f>VLOOKUP(B9,AZ125:BA135,2,FALSE)</f>
        <v>0</v>
      </c>
      <c r="K9" s="462">
        <f>VLOOKUP(B9,AN125:AO135,2,FALSE)</f>
        <v>175</v>
      </c>
      <c r="L9" s="461">
        <f>VLOOKUP(B9,AN350:AO360,2,FALSE)</f>
        <v>2</v>
      </c>
      <c r="M9" s="461">
        <f>VLOOKUP(B9,AP350:AQ360,2,FALSE)</f>
        <v>0</v>
      </c>
      <c r="N9" s="461">
        <f>VLOOKUP(B9,AR350:AS360,2,FALSE)</f>
        <v>0</v>
      </c>
      <c r="O9" s="463" t="str">
        <f>VLOOKUP(B9,AT350:AU360,2,FALSE)</f>
        <v>4 Stam</v>
      </c>
      <c r="P9" s="468"/>
      <c r="Q9" s="465">
        <f>VLOOKUP(B9,AV350:AW360,2,FALSE)</f>
        <v>0</v>
      </c>
      <c r="R9" s="465">
        <f>VLOOKUP(B9,AX350:AY360,2,FALSE)</f>
        <v>0</v>
      </c>
      <c r="S9" s="465">
        <f>VLOOKUP(B9,AZ350:BA360,2,FALSE)</f>
        <v>0</v>
      </c>
      <c r="T9" s="465">
        <f>VLOOKUP(B9,BB350:BC360,2,FALSE)</f>
        <v>0</v>
      </c>
      <c r="U9" s="465">
        <f>VLOOKUP(B9,BD350:BE360,2,FALSE)</f>
        <v>0</v>
      </c>
      <c r="V9" s="466">
        <f>VLOOKUP(B9,AN565:AO575,2,FALSE)</f>
        <v>2</v>
      </c>
      <c r="W9" s="466">
        <f>VLOOKUP(B9,AP565:AQ575,2,FALSE)</f>
        <v>0</v>
      </c>
      <c r="X9" s="226"/>
      <c r="Y9" s="686" t="s">
        <v>1976</v>
      </c>
      <c r="Z9" s="687">
        <f>ROUND(Z3+Z4+Z5+Z7+Z8, 2)</f>
        <v>2600</v>
      </c>
      <c r="AA9" s="658" t="s">
        <v>2424</v>
      </c>
      <c r="AB9" s="476"/>
      <c r="AC9" s="663" t="s">
        <v>2425</v>
      </c>
      <c r="AD9" s="664">
        <v>6200.0</v>
      </c>
      <c r="AE9" s="226"/>
      <c r="AF9" s="665" t="s">
        <v>2426</v>
      </c>
      <c r="AG9" s="688"/>
      <c r="AH9" s="226"/>
      <c r="AI9" s="458" t="s">
        <v>2427</v>
      </c>
      <c r="AJ9" s="226"/>
      <c r="AK9" s="226"/>
      <c r="AL9" s="685" t="s">
        <v>2428</v>
      </c>
      <c r="AM9" s="670">
        <v>7700.0</v>
      </c>
      <c r="AN9" s="226"/>
      <c r="AO9" s="671" t="s">
        <v>2429</v>
      </c>
      <c r="AP9" s="672">
        <v>3400.0</v>
      </c>
      <c r="AQ9" s="226"/>
      <c r="AR9" s="671" t="s">
        <v>2430</v>
      </c>
      <c r="AS9" s="672">
        <v>10700.0</v>
      </c>
      <c r="AT9" s="226"/>
      <c r="AU9" s="226"/>
      <c r="AW9" s="456" t="s">
        <v>686</v>
      </c>
      <c r="AX9" s="456">
        <v>0.0</v>
      </c>
      <c r="AY9" s="457" t="s">
        <v>686</v>
      </c>
      <c r="AZ9" s="457">
        <v>42.85</v>
      </c>
      <c r="BA9" s="456" t="s">
        <v>686</v>
      </c>
      <c r="BB9" s="457">
        <v>18.0</v>
      </c>
      <c r="BC9" s="469" t="s">
        <v>686</v>
      </c>
      <c r="BD9" s="457">
        <v>0.0</v>
      </c>
      <c r="BE9" s="456" t="s">
        <v>686</v>
      </c>
      <c r="BF9" s="457">
        <v>20.0</v>
      </c>
      <c r="BG9" s="458" t="s">
        <v>686</v>
      </c>
      <c r="BH9" s="457">
        <v>0.0</v>
      </c>
      <c r="BI9" s="456" t="s">
        <v>686</v>
      </c>
      <c r="BJ9" s="457">
        <v>0.0</v>
      </c>
      <c r="BK9" s="456" t="s">
        <v>686</v>
      </c>
      <c r="BL9" s="457">
        <v>0.0</v>
      </c>
      <c r="BM9" s="456" t="s">
        <v>686</v>
      </c>
      <c r="BN9" s="457">
        <v>42.0</v>
      </c>
    </row>
    <row r="10">
      <c r="A10" s="458" t="s">
        <v>828</v>
      </c>
      <c r="B10" s="459" t="s">
        <v>830</v>
      </c>
      <c r="C10" s="467">
        <f>ROUND((D10*C104)+(E10*C105)+(F10*C106)+(C107*G10)+(C108*H10)+(I10*C110)+(C109*J10)+(K10*C111)+(C112*V10)+(C113*W10)+(Q10*C104)+(R10*C106)+(S10*C107)+(T10*C105)+(U10*C108), 2)</f>
        <v>105.45</v>
      </c>
      <c r="D10" s="462">
        <f>VLOOKUP(B10,AT138:AU145,2,FALSE)</f>
        <v>0</v>
      </c>
      <c r="E10" s="462">
        <f>VLOOKUP(B10,BD138:BE145,2,FALSE)</f>
        <v>74</v>
      </c>
      <c r="F10" s="462">
        <f>VLOOKUP(B10,AV138:AW145,2,FALSE)</f>
        <v>29</v>
      </c>
      <c r="G10" s="462">
        <f>VLOOKUP(B10,AX138:AY145,2,FALSE)</f>
        <v>0</v>
      </c>
      <c r="H10" s="462">
        <f>VLOOKUP(B10,AR138:AS145,2,FALSE)</f>
        <v>0</v>
      </c>
      <c r="I10" s="462">
        <f>VLOOKUP(B10,BB138:BC145,2,FALSE)</f>
        <v>25</v>
      </c>
      <c r="J10" s="462">
        <f>VLOOKUP(B10,AZ138:BA145,2,FALSE)</f>
        <v>0</v>
      </c>
      <c r="K10" s="462">
        <f>VLOOKUP(B10,AN138:AO145,2,FALSE)</f>
        <v>0</v>
      </c>
      <c r="L10" s="461">
        <f>VLOOKUP(B10,AN363:AO370,2,FALSE)</f>
        <v>1</v>
      </c>
      <c r="M10" s="461">
        <f>VLOOKUP(B10,AP363:AQ370,2,FALSE)</f>
        <v>0</v>
      </c>
      <c r="N10" s="461">
        <f>VLOOKUP(B10,AR363:AS370,2,FALSE)</f>
        <v>1</v>
      </c>
      <c r="O10" s="463" t="str">
        <f>VLOOKUP(B10,AT363:AU370,2,FALSE)</f>
        <v>3 Agi</v>
      </c>
      <c r="P10" s="468"/>
      <c r="Q10" s="465">
        <f>VLOOKUP(B10,AV363:AW370,2,FALSE)</f>
        <v>0</v>
      </c>
      <c r="R10" s="465">
        <f>VLOOKUP(B10,AX363:AY370,2,FALSE)</f>
        <v>0</v>
      </c>
      <c r="S10" s="465">
        <f>VLOOKUP(B10,AZ363:BA370,2,FALSE)</f>
        <v>0</v>
      </c>
      <c r="T10" s="465">
        <f>VLOOKUP(B10,BB363:BC370,2,FALSE)</f>
        <v>0</v>
      </c>
      <c r="U10" s="465">
        <f>VLOOKUP(B10,BD363:BE370,2,FALSE)</f>
        <v>0</v>
      </c>
      <c r="V10" s="466">
        <f>VLOOKUP(B10,AN578:AO585,2,FALSE)</f>
        <v>2</v>
      </c>
      <c r="W10" s="466">
        <f>VLOOKUP(B10,AP578:AQ585,2,FALSE)</f>
        <v>0</v>
      </c>
      <c r="X10" s="226"/>
      <c r="Y10" s="689"/>
      <c r="Z10" s="689"/>
      <c r="AA10" s="662"/>
      <c r="AB10" s="476"/>
      <c r="AC10" s="226"/>
      <c r="AD10" s="226"/>
      <c r="AE10" s="226"/>
      <c r="AF10" s="665" t="s">
        <v>2431</v>
      </c>
      <c r="AG10" s="666">
        <v>0.0</v>
      </c>
      <c r="AH10" s="226"/>
      <c r="AI10" s="690" t="s">
        <v>2432</v>
      </c>
      <c r="AJ10" s="691">
        <v>7700.0</v>
      </c>
      <c r="AK10" s="226"/>
      <c r="AL10" s="692" t="s">
        <v>2433</v>
      </c>
      <c r="AM10" s="670">
        <v>5700.0</v>
      </c>
      <c r="AN10" s="226"/>
      <c r="AO10" s="671" t="s">
        <v>2434</v>
      </c>
      <c r="AP10" s="672">
        <v>5500.0</v>
      </c>
      <c r="AQ10" s="226"/>
      <c r="AR10" s="671" t="s">
        <v>2435</v>
      </c>
      <c r="AS10" s="672">
        <v>4700.0</v>
      </c>
      <c r="AT10" s="226"/>
      <c r="AU10" s="226"/>
      <c r="AW10" s="449" t="s">
        <v>1954</v>
      </c>
      <c r="AX10" s="449" t="s">
        <v>1920</v>
      </c>
      <c r="AY10" s="450" t="s">
        <v>1954</v>
      </c>
      <c r="AZ10" s="450" t="s">
        <v>1922</v>
      </c>
      <c r="BA10" s="449" t="s">
        <v>1954</v>
      </c>
      <c r="BB10" s="450" t="s">
        <v>1955</v>
      </c>
      <c r="BC10" s="449" t="s">
        <v>1954</v>
      </c>
      <c r="BD10" s="450" t="s">
        <v>1956</v>
      </c>
      <c r="BE10" s="449" t="s">
        <v>1954</v>
      </c>
      <c r="BF10" s="450" t="s">
        <v>1957</v>
      </c>
      <c r="BG10" s="449" t="s">
        <v>1958</v>
      </c>
      <c r="BH10" s="450" t="s">
        <v>1959</v>
      </c>
      <c r="BI10" s="449" t="s">
        <v>1960</v>
      </c>
      <c r="BJ10" s="450" t="s">
        <v>1961</v>
      </c>
      <c r="BK10" s="449" t="s">
        <v>1962</v>
      </c>
      <c r="BL10" s="450" t="s">
        <v>1963</v>
      </c>
      <c r="BM10" s="449" t="s">
        <v>1964</v>
      </c>
      <c r="BN10" s="450" t="s">
        <v>1965</v>
      </c>
    </row>
    <row r="11">
      <c r="A11" s="458" t="s">
        <v>852</v>
      </c>
      <c r="B11" s="459" t="s">
        <v>856</v>
      </c>
      <c r="C11" s="467">
        <f>ROUND((D11*C104)+(E11*C105)+(F11*C106)+(C107*G11)+(C108*H11)+(I11*C110)+(C109*J11)+(K11*C111)+(C112*V11)+(C113*W11)+(Q11*C104)+(R11*C106)+(S11*C107)+(T11*C105)+(U11*C108), 2)</f>
        <v>150.37</v>
      </c>
      <c r="D11" s="462">
        <f>VLOOKUP(B11,AT148:AU160,2,FALSE)</f>
        <v>51</v>
      </c>
      <c r="E11" s="462">
        <f>VLOOKUP(B11,BD148:BE160,2,FALSE)</f>
        <v>0</v>
      </c>
      <c r="F11" s="462">
        <f>VLOOKUP(B11,AV148:AW160,2,FALSE)</f>
        <v>0</v>
      </c>
      <c r="G11" s="462">
        <f>VLOOKUP(B11,AX148:AY160,2,FALSE)</f>
        <v>35</v>
      </c>
      <c r="H11" s="462">
        <f>VLOOKUP(B11,AR148:AS160,2,FALSE)</f>
        <v>0</v>
      </c>
      <c r="I11" s="462">
        <f>VLOOKUP(B11,BB148:BC160,2,FALSE)</f>
        <v>0</v>
      </c>
      <c r="J11" s="462">
        <f>VLOOKUP(B11,AZ148:BA160,2,FALSE)</f>
        <v>0</v>
      </c>
      <c r="K11" s="462">
        <f>VLOOKUP(B11,AN148:AO160,2,FALSE)</f>
        <v>350</v>
      </c>
      <c r="L11" s="461">
        <f>VLOOKUP(B11,AN373:AO385,2,FALSE)</f>
        <v>0</v>
      </c>
      <c r="M11" s="461">
        <f>VLOOKUP(B11,AP373:AQ385,2,FALSE)</f>
        <v>0</v>
      </c>
      <c r="N11" s="461">
        <f>VLOOKUP(B11,AR373:AS385,2,FALSE)</f>
        <v>0</v>
      </c>
      <c r="O11" s="463" t="str">
        <f>VLOOKUP(B11,AT373:AU385,2,FALSE)</f>
        <v/>
      </c>
      <c r="P11" s="468"/>
      <c r="Q11" s="465">
        <f>VLOOKUP(B11,AV373:AW385,2,FALSE)</f>
        <v>0</v>
      </c>
      <c r="R11" s="465">
        <f>VLOOKUP(B11,AX373:AY385,2,FALSE)</f>
        <v>0</v>
      </c>
      <c r="S11" s="465">
        <f>VLOOKUP(B11,AZ373:BA385,2,FALSE)</f>
        <v>0</v>
      </c>
      <c r="T11" s="465">
        <f>VLOOKUP(B11,BB373:BC385,2,FALSE)</f>
        <v>0</v>
      </c>
      <c r="U11" s="465">
        <f>VLOOKUP(B11,BD373:BE385,2,FALSE)</f>
        <v>0</v>
      </c>
      <c r="V11" s="466">
        <f>VLOOKUP(B11,AN588:AO600,2,FALSE)</f>
        <v>0</v>
      </c>
      <c r="W11" s="466">
        <f>VLOOKUP(B11,AP588:AQ600,2,FALSE)</f>
        <v>0</v>
      </c>
      <c r="X11" s="226"/>
      <c r="Y11" s="693" t="s">
        <v>2048</v>
      </c>
      <c r="Z11" s="694">
        <v>475.0</v>
      </c>
      <c r="AA11" s="662"/>
      <c r="AB11" s="476"/>
      <c r="AC11" s="458" t="s">
        <v>2436</v>
      </c>
      <c r="AD11" s="476"/>
      <c r="AE11" s="226"/>
      <c r="AF11" s="665" t="s">
        <v>2437</v>
      </c>
      <c r="AG11" s="666">
        <v>7700.0</v>
      </c>
      <c r="AH11" s="226"/>
      <c r="AI11" s="690" t="s">
        <v>2438</v>
      </c>
      <c r="AJ11" s="691">
        <v>7700.0</v>
      </c>
      <c r="AK11" s="465">
        <v>0.0</v>
      </c>
      <c r="AL11" s="692" t="s">
        <v>2439</v>
      </c>
      <c r="AM11" s="670">
        <v>7100.0</v>
      </c>
      <c r="AN11" s="226"/>
      <c r="AO11" s="671" t="s">
        <v>2440</v>
      </c>
      <c r="AP11" s="672">
        <v>7700.0</v>
      </c>
      <c r="AQ11" s="226"/>
      <c r="AR11" s="671" t="s">
        <v>2441</v>
      </c>
      <c r="AS11" s="672">
        <v>6200.0</v>
      </c>
      <c r="AT11" s="226"/>
      <c r="AU11" s="226"/>
      <c r="AW11" s="456" t="s">
        <v>694</v>
      </c>
      <c r="AX11" s="456">
        <v>105.0</v>
      </c>
      <c r="AY11" s="457" t="s">
        <v>694</v>
      </c>
      <c r="AZ11" s="457">
        <v>121.75</v>
      </c>
      <c r="BA11" s="456" t="s">
        <v>694</v>
      </c>
      <c r="BB11" s="457">
        <v>0.0</v>
      </c>
      <c r="BC11" s="456" t="s">
        <v>694</v>
      </c>
      <c r="BD11" s="457">
        <v>38.0</v>
      </c>
      <c r="BE11" s="456" t="s">
        <v>694</v>
      </c>
      <c r="BF11" s="457">
        <v>38.0</v>
      </c>
      <c r="BG11" s="456" t="s">
        <v>694</v>
      </c>
      <c r="BH11" s="457">
        <v>20.0</v>
      </c>
      <c r="BI11" s="456" t="s">
        <v>694</v>
      </c>
      <c r="BJ11" s="457">
        <v>0.0</v>
      </c>
      <c r="BK11" s="456" t="s">
        <v>694</v>
      </c>
      <c r="BL11" s="457">
        <v>0.0</v>
      </c>
      <c r="BM11" s="456" t="s">
        <v>694</v>
      </c>
      <c r="BN11" s="457">
        <v>0.0</v>
      </c>
    </row>
    <row r="12">
      <c r="A12" s="458" t="s">
        <v>883</v>
      </c>
      <c r="B12" s="459" t="s">
        <v>885</v>
      </c>
      <c r="C12" s="467">
        <f>ROUND((D12*C104)+(E12*C105)+(F12*C106)+(C107*G12)+(C108*H12)+(I12*C110)+(C109*J12)+(K12*C111)+(C112*V12)+(C113*W12)+(Q12*C104)+(R12*C106)+(S12*C107)+(T12*C105)+(U12*C108), 2)</f>
        <v>97.8</v>
      </c>
      <c r="D12" s="462">
        <f>VLOOKUP(B12,AT164:AU173,2,FALSE)</f>
        <v>38</v>
      </c>
      <c r="E12" s="462">
        <f>VLOOKUP(B12,BD164:BE173,2,FALSE)</f>
        <v>0</v>
      </c>
      <c r="F12" s="462">
        <f>VLOOKUP(B12,AV164:AW173,2,FALSE)</f>
        <v>0</v>
      </c>
      <c r="G12" s="462">
        <f>VLOOKUP(B12,AX164:AY173,2,FALSE)</f>
        <v>30</v>
      </c>
      <c r="H12" s="462">
        <f>VLOOKUP(B12,AR164:AS173,2,FALSE)</f>
        <v>18</v>
      </c>
      <c r="I12" s="462">
        <f>VLOOKUP(B12,BB164:BC173,2,FALSE)</f>
        <v>0</v>
      </c>
      <c r="J12" s="462">
        <f>VLOOKUP(B12,AZ164:BA173,2,FALSE)</f>
        <v>0</v>
      </c>
      <c r="K12" s="462">
        <f>VLOOKUP(B12,AN164:AO173,2,FALSE)</f>
        <v>0</v>
      </c>
      <c r="L12" s="461">
        <f>VLOOKUP(B12,AN389:AO398,2,FALSE)</f>
        <v>0</v>
      </c>
      <c r="M12" s="461">
        <f>VLOOKUP(B12,AP389:AQ398,2,FALSE)</f>
        <v>2</v>
      </c>
      <c r="N12" s="461">
        <f>VLOOKUP(B12,AR389:AS398,2,FALSE)</f>
        <v>0</v>
      </c>
      <c r="O12" s="463" t="str">
        <f>VLOOKUP(B12,AT389:AU398,2,FALSE)</f>
        <v>3 Str</v>
      </c>
      <c r="P12" s="468"/>
      <c r="Q12" s="465">
        <f>VLOOKUP(B12,AV389:AW398,2,FALSE)</f>
        <v>3</v>
      </c>
      <c r="R12" s="465">
        <f>VLOOKUP(B12,AX389:AY398,2,FALSE)</f>
        <v>0</v>
      </c>
      <c r="S12" s="465">
        <f>VLOOKUP(B12,AZ389:BA398,2,FALSE)</f>
        <v>0</v>
      </c>
      <c r="T12" s="465">
        <f>VLOOKUP(B12,BB389:BC398,2,FALSE)</f>
        <v>0</v>
      </c>
      <c r="U12" s="465">
        <f>VLOOKUP(B12,BD389:BE398,2,FALSE)</f>
        <v>0</v>
      </c>
      <c r="V12" s="466">
        <f>VLOOKUP(B12,AN604:AO613,2,FALSE)</f>
        <v>0</v>
      </c>
      <c r="W12" s="466">
        <f>VLOOKUP(B12,AP604:AQ613,2,FALSE)</f>
        <v>2</v>
      </c>
      <c r="X12" s="226"/>
      <c r="Y12" s="693" t="s">
        <v>2051</v>
      </c>
      <c r="Z12" s="695">
        <v>0.0</v>
      </c>
      <c r="AA12" s="662"/>
      <c r="AB12" s="476"/>
      <c r="AC12" s="696" t="s">
        <v>2442</v>
      </c>
      <c r="AD12" s="697">
        <v>8800.0</v>
      </c>
      <c r="AE12" s="226"/>
      <c r="AF12" s="665" t="s">
        <v>2443</v>
      </c>
      <c r="AG12" s="666">
        <v>7700.0</v>
      </c>
      <c r="AH12" s="226"/>
      <c r="AI12" s="690" t="s">
        <v>2444</v>
      </c>
      <c r="AJ12" s="691">
        <v>7700.0</v>
      </c>
      <c r="AK12" s="226"/>
      <c r="AL12" s="692" t="s">
        <v>2445</v>
      </c>
      <c r="AM12" s="670">
        <v>6800.0</v>
      </c>
      <c r="AN12" s="226"/>
      <c r="AO12" s="671" t="s">
        <v>2446</v>
      </c>
      <c r="AP12" s="672">
        <v>7700.0</v>
      </c>
      <c r="AQ12" s="226"/>
      <c r="AR12" s="671" t="s">
        <v>2447</v>
      </c>
      <c r="AS12" s="672">
        <v>6700.0</v>
      </c>
      <c r="AT12" s="226"/>
      <c r="AU12" s="226"/>
      <c r="AW12" s="456" t="s">
        <v>696</v>
      </c>
      <c r="AX12" s="456">
        <v>154.0</v>
      </c>
      <c r="AY12" s="457" t="s">
        <v>696</v>
      </c>
      <c r="AZ12" s="457">
        <v>119.29</v>
      </c>
      <c r="BA12" s="456" t="s">
        <v>696</v>
      </c>
      <c r="BB12" s="457">
        <v>0.0</v>
      </c>
      <c r="BC12" s="456" t="s">
        <v>696</v>
      </c>
      <c r="BD12" s="457">
        <v>0.0</v>
      </c>
      <c r="BE12" s="456" t="s">
        <v>696</v>
      </c>
      <c r="BF12" s="457">
        <v>40.0</v>
      </c>
      <c r="BG12" s="456" t="s">
        <v>696</v>
      </c>
      <c r="BH12" s="457">
        <v>0.0</v>
      </c>
      <c r="BI12" s="456" t="s">
        <v>696</v>
      </c>
      <c r="BJ12" s="457">
        <v>0.0</v>
      </c>
      <c r="BK12" s="456" t="s">
        <v>696</v>
      </c>
      <c r="BL12" s="457">
        <v>0.0</v>
      </c>
      <c r="BM12" s="456" t="s">
        <v>696</v>
      </c>
      <c r="BN12" s="457">
        <v>90.0</v>
      </c>
    </row>
    <row r="13">
      <c r="A13" s="458" t="s">
        <v>1966</v>
      </c>
      <c r="B13" s="459" t="s">
        <v>908</v>
      </c>
      <c r="C13" s="467">
        <f>ROUND((D13*C104)+(E13*C105)+(F13*C106)+(C107*G13)+(C108*H13)+(I13*C110)+(C109*J13)+(K13*C111)+(C112*V13)+(C113*W13)+(S13*C107)+(T13*C105)+(U13*C108)+(D140*C105), 2)</f>
        <v>69.99</v>
      </c>
      <c r="D13" s="462">
        <f>VLOOKUP(B13,AT177:AU194,2,FALSE)</f>
        <v>0</v>
      </c>
      <c r="E13" s="462">
        <f>VLOOKUP(B13,BD177:BE194,2,FALSE)</f>
        <v>58</v>
      </c>
      <c r="F13" s="462">
        <f>VLOOKUP(B13,AV177:AW194,2,FALSE)</f>
        <v>29</v>
      </c>
      <c r="G13" s="462">
        <f>VLOOKUP(B13,AX177:AY194,2,FALSE)</f>
        <v>0</v>
      </c>
      <c r="H13" s="462">
        <f>VLOOKUP(B13,AR177:AS194,2,FALSE)</f>
        <v>0</v>
      </c>
      <c r="I13" s="462">
        <f>VLOOKUP(B13,BB177:BC194,2,FALSE)</f>
        <v>0</v>
      </c>
      <c r="J13" s="462">
        <f>VLOOKUP(B13,AZ177:BA194,2,FALSE)</f>
        <v>0</v>
      </c>
      <c r="K13" s="462">
        <f>VLOOKUP(B13,AN177:AO194,2,FALSE)</f>
        <v>126</v>
      </c>
      <c r="L13" s="461">
        <f>VLOOKUP(B13,AN402:AO419,2,FALSE)</f>
        <v>0</v>
      </c>
      <c r="M13" s="461">
        <f>VLOOKUP(B13,AP402:AQ419,2,FALSE)</f>
        <v>0</v>
      </c>
      <c r="N13" s="461">
        <f>VLOOKUP(B13,AR402:AS419,2,FALSE)</f>
        <v>0</v>
      </c>
      <c r="O13" s="470"/>
      <c r="P13" s="468"/>
      <c r="Q13" s="226"/>
      <c r="R13" s="226"/>
      <c r="S13" s="226"/>
      <c r="T13" s="226"/>
      <c r="U13" s="226"/>
      <c r="V13" s="226"/>
      <c r="W13" s="226"/>
      <c r="X13" s="226"/>
      <c r="Y13" s="693" t="s">
        <v>2048</v>
      </c>
      <c r="Z13" s="694">
        <v>200.0</v>
      </c>
      <c r="AA13" s="675"/>
      <c r="AB13" s="476"/>
      <c r="AC13" s="696" t="s">
        <v>2448</v>
      </c>
      <c r="AD13" s="697">
        <v>7700.0</v>
      </c>
      <c r="AE13" s="226"/>
      <c r="AF13" s="665" t="s">
        <v>2449</v>
      </c>
      <c r="AG13" s="666">
        <v>6200.0</v>
      </c>
      <c r="AH13" s="226"/>
      <c r="AI13" s="690" t="s">
        <v>2450</v>
      </c>
      <c r="AJ13" s="691">
        <v>7700.0</v>
      </c>
      <c r="AK13" s="226"/>
      <c r="AL13" s="685" t="s">
        <v>2451</v>
      </c>
      <c r="AM13" s="670">
        <v>6200.0</v>
      </c>
      <c r="AN13" s="226"/>
      <c r="AO13" s="226"/>
      <c r="AP13" s="226"/>
      <c r="AQ13" s="226"/>
      <c r="AR13" s="671" t="s">
        <v>2452</v>
      </c>
      <c r="AS13" s="672">
        <v>6200.0</v>
      </c>
      <c r="AT13" s="226"/>
      <c r="AU13" s="226"/>
      <c r="AW13" s="456" t="s">
        <v>697</v>
      </c>
      <c r="AX13" s="456">
        <v>0.0</v>
      </c>
      <c r="AY13" s="457" t="s">
        <v>697</v>
      </c>
      <c r="AZ13" s="457">
        <v>117.66</v>
      </c>
      <c r="BA13" s="456" t="s">
        <v>697</v>
      </c>
      <c r="BB13" s="457">
        <v>0.0</v>
      </c>
      <c r="BC13" s="456" t="s">
        <v>697</v>
      </c>
      <c r="BD13" s="457">
        <v>45.0</v>
      </c>
      <c r="BE13" s="456" t="s">
        <v>697</v>
      </c>
      <c r="BF13" s="457">
        <v>0.0</v>
      </c>
      <c r="BG13" s="456" t="s">
        <v>697</v>
      </c>
      <c r="BH13" s="457">
        <v>30.0</v>
      </c>
      <c r="BI13" s="456" t="s">
        <v>697</v>
      </c>
      <c r="BJ13" s="457">
        <v>27.0</v>
      </c>
      <c r="BK13" s="456" t="s">
        <v>697</v>
      </c>
      <c r="BL13" s="457">
        <v>0.0</v>
      </c>
      <c r="BM13" s="456" t="s">
        <v>697</v>
      </c>
      <c r="BN13" s="457">
        <v>0.0</v>
      </c>
    </row>
    <row r="14">
      <c r="A14" s="458" t="s">
        <v>1967</v>
      </c>
      <c r="B14" s="459" t="s">
        <v>912</v>
      </c>
      <c r="C14" s="467">
        <f>ROUND((D14*C104)+(E14*C105)+(F14*C106)+(C107*G14)+(C108*H14)+(I14*C110)+(C109*J14)+(K14*C111)+(C112*V14)+(C113*W14)+(S14*C107)+(T14*C105)+(U14*C108)+(D141*C105), 2)</f>
        <v>69.33</v>
      </c>
      <c r="D14" s="462">
        <f>VLOOKUP(B14,AT177:AU194,2,FALSE)</f>
        <v>0</v>
      </c>
      <c r="E14" s="462">
        <f>VLOOKUP(B14,BD177:BE194,2,FALSE)</f>
        <v>58</v>
      </c>
      <c r="F14" s="462">
        <f>VLOOKUP(B14,AV177:AW194,2,FALSE)</f>
        <v>28</v>
      </c>
      <c r="G14" s="462">
        <f>VLOOKUP(B14,AX177:AY194,2,FALSE)</f>
        <v>0</v>
      </c>
      <c r="H14" s="462">
        <f>VLOOKUP(B14,AR177:AS194,2,FALSE)</f>
        <v>0</v>
      </c>
      <c r="I14" s="462">
        <f>VLOOKUP(B14,BB177:BC194,2,FALSE)</f>
        <v>0</v>
      </c>
      <c r="J14" s="462">
        <f>VLOOKUP(B14,AZ177:BA194,2,FALSE)</f>
        <v>0</v>
      </c>
      <c r="K14" s="462">
        <f>VLOOKUP(B14,AN177:AO194,2,FALSE)</f>
        <v>126</v>
      </c>
      <c r="L14" s="461">
        <f>VLOOKUP(B14,AN402:AO419,2,FALSE)</f>
        <v>0</v>
      </c>
      <c r="M14" s="461">
        <f>VLOOKUP(B14,AP402:AQ419,2,FALSE)</f>
        <v>0</v>
      </c>
      <c r="N14" s="461">
        <f>VLOOKUP(B14,AR402:AS419,2,FALSE)</f>
        <v>0</v>
      </c>
      <c r="O14" s="470"/>
      <c r="P14" s="226"/>
      <c r="Q14" s="226"/>
      <c r="R14" s="226"/>
      <c r="S14" s="226"/>
      <c r="T14" s="226"/>
      <c r="U14" s="226"/>
      <c r="V14" s="226"/>
      <c r="W14" s="226"/>
      <c r="X14" s="226"/>
      <c r="Y14" s="698" t="s">
        <v>2051</v>
      </c>
      <c r="Z14" s="553">
        <v>0.0</v>
      </c>
      <c r="AA14" s="465" t="s">
        <v>2453</v>
      </c>
      <c r="AB14" s="226">
        <f>AB22</f>
        <v>5100</v>
      </c>
      <c r="AC14" s="696" t="s">
        <v>2454</v>
      </c>
      <c r="AD14" s="697">
        <v>6200.0</v>
      </c>
      <c r="AE14" s="226"/>
      <c r="AF14" s="665" t="s">
        <v>2455</v>
      </c>
      <c r="AG14" s="666">
        <v>6200.0</v>
      </c>
      <c r="AH14" s="226"/>
      <c r="AI14" s="690" t="s">
        <v>2456</v>
      </c>
      <c r="AJ14" s="699">
        <v>6200.0</v>
      </c>
      <c r="AK14" s="226"/>
      <c r="AL14" s="692" t="s">
        <v>2457</v>
      </c>
      <c r="AM14" s="670">
        <v>5900.0</v>
      </c>
      <c r="AN14" s="226"/>
      <c r="AO14" s="458" t="s">
        <v>1163</v>
      </c>
      <c r="AP14" s="476"/>
      <c r="AQ14" s="226"/>
      <c r="AR14" s="671" t="s">
        <v>2458</v>
      </c>
      <c r="AS14" s="672">
        <v>7700.0</v>
      </c>
      <c r="AT14" s="226"/>
      <c r="AU14" s="226"/>
      <c r="AW14" s="456" t="s">
        <v>700</v>
      </c>
      <c r="AX14" s="456">
        <v>91.0</v>
      </c>
      <c r="AY14" s="457" t="s">
        <v>700</v>
      </c>
      <c r="AZ14" s="457">
        <v>102.54</v>
      </c>
      <c r="BA14" s="456" t="s">
        <v>700</v>
      </c>
      <c r="BB14" s="457">
        <v>0.0</v>
      </c>
      <c r="BC14" s="456" t="s">
        <v>700</v>
      </c>
      <c r="BD14" s="457">
        <v>39.0</v>
      </c>
      <c r="BE14" s="456" t="s">
        <v>700</v>
      </c>
      <c r="BF14" s="457">
        <v>39.0</v>
      </c>
      <c r="BG14" s="456" t="s">
        <v>700</v>
      </c>
      <c r="BH14" s="457">
        <v>0.0</v>
      </c>
      <c r="BI14" s="456" t="s">
        <v>700</v>
      </c>
      <c r="BJ14" s="457">
        <v>0.0</v>
      </c>
      <c r="BK14" s="456" t="s">
        <v>700</v>
      </c>
      <c r="BL14" s="457">
        <v>0.0</v>
      </c>
      <c r="BM14" s="456" t="s">
        <v>700</v>
      </c>
      <c r="BN14" s="457">
        <v>0.0</v>
      </c>
    </row>
    <row r="15">
      <c r="A15" s="458" t="s">
        <v>1968</v>
      </c>
      <c r="B15" s="459" t="s">
        <v>936</v>
      </c>
      <c r="C15" s="467">
        <f>ROUND((D15*C104)+(E15*C105)+(F15*C106)+(C107*G15)+(C108*H15)+(I15*C110)+(C109*J15)+(K15*C111)+(C112*V15)+(C113*W15)+(S15*C107)+(T15*C105)+(U15*C108)+(A140*C105)+(B140*C109)+(C140*C111), 2)</f>
        <v>97.73</v>
      </c>
      <c r="D15" s="462">
        <f>VLOOKUP(B15,AT214:AU222,2,FALSE)</f>
        <v>0</v>
      </c>
      <c r="E15" s="462">
        <f>VLOOKUP(B15,BD214:BE222,2,FALSE)</f>
        <v>40</v>
      </c>
      <c r="F15" s="462">
        <f>VLOOKUP(B15,AV214:AW222,2,FALSE)</f>
        <v>0</v>
      </c>
      <c r="G15" s="462">
        <f>VLOOKUP(B15,AX214:AY222,2,FALSE)</f>
        <v>0</v>
      </c>
      <c r="H15" s="462">
        <f>VLOOKUP(B15,AR214:AS222,2,FALSE)</f>
        <v>0</v>
      </c>
      <c r="I15" s="462">
        <f>VLOOKUP(B15,BB214:BC222,2,FALSE)</f>
        <v>0</v>
      </c>
      <c r="J15" s="462">
        <f>VLOOKUP(B15,AZ214:BA222,2,FALSE)</f>
        <v>0</v>
      </c>
      <c r="K15" s="462">
        <f>VLOOKUP(B15,AN214:AO222,2,FALSE)</f>
        <v>0</v>
      </c>
      <c r="L15" s="461"/>
      <c r="M15" s="471"/>
      <c r="N15" s="471"/>
      <c r="O15" s="470"/>
      <c r="P15" s="226"/>
      <c r="Q15" s="226"/>
      <c r="R15" s="226"/>
      <c r="S15" s="226"/>
      <c r="T15" s="226"/>
      <c r="U15" s="226"/>
      <c r="V15" s="226"/>
      <c r="W15" s="226"/>
      <c r="X15" s="226"/>
      <c r="Y15" s="698" t="s">
        <v>2051</v>
      </c>
      <c r="Z15" s="553">
        <v>0.0</v>
      </c>
      <c r="AA15" s="465" t="s">
        <v>2459</v>
      </c>
      <c r="AB15" s="226">
        <f>AB24</f>
        <v>3600</v>
      </c>
      <c r="AC15" s="696" t="s">
        <v>2460</v>
      </c>
      <c r="AD15" s="697">
        <v>6200.0</v>
      </c>
      <c r="AE15" s="226"/>
      <c r="AF15" s="665" t="s">
        <v>2461</v>
      </c>
      <c r="AG15" s="666">
        <v>7700.0</v>
      </c>
      <c r="AH15" s="226"/>
      <c r="AI15" s="690" t="s">
        <v>2462</v>
      </c>
      <c r="AJ15" s="691">
        <v>7700.0</v>
      </c>
      <c r="AK15" s="226"/>
      <c r="AL15" s="692" t="s">
        <v>2463</v>
      </c>
      <c r="AM15" s="670">
        <v>5475.0</v>
      </c>
      <c r="AN15" s="226"/>
      <c r="AO15" s="543" t="s">
        <v>2464</v>
      </c>
      <c r="AP15" s="700">
        <v>7700.0</v>
      </c>
      <c r="AQ15" s="226"/>
      <c r="AR15" s="226"/>
      <c r="AS15" s="226"/>
      <c r="AT15" s="226"/>
      <c r="AU15" s="226"/>
      <c r="AW15" s="456" t="s">
        <v>1969</v>
      </c>
      <c r="AX15" s="456">
        <v>0.0</v>
      </c>
      <c r="AY15" s="457" t="s">
        <v>705</v>
      </c>
      <c r="AZ15" s="457">
        <v>89.43</v>
      </c>
      <c r="BA15" s="456" t="s">
        <v>1969</v>
      </c>
      <c r="BB15" s="457">
        <v>23.0</v>
      </c>
      <c r="BC15" s="456" t="s">
        <v>1969</v>
      </c>
      <c r="BD15" s="457">
        <v>47.0</v>
      </c>
      <c r="BE15" s="456" t="s">
        <v>1969</v>
      </c>
      <c r="BF15" s="457">
        <v>0.0</v>
      </c>
      <c r="BG15" s="456" t="s">
        <v>1969</v>
      </c>
      <c r="BH15" s="457">
        <v>32.0</v>
      </c>
      <c r="BI15" s="456" t="s">
        <v>1969</v>
      </c>
      <c r="BJ15" s="457">
        <v>0.0</v>
      </c>
      <c r="BK15" s="456" t="s">
        <v>1969</v>
      </c>
      <c r="BL15" s="457">
        <v>0.0</v>
      </c>
      <c r="BM15" s="456" t="s">
        <v>1969</v>
      </c>
      <c r="BN15" s="457">
        <v>0.0</v>
      </c>
    </row>
    <row r="16">
      <c r="A16" s="458" t="s">
        <v>1970</v>
      </c>
      <c r="B16" s="459" t="s">
        <v>938</v>
      </c>
      <c r="C16" s="467">
        <f>ROUND((D16*C104)+(E16*C105)+(F16*C106)+(C107*G16)+(C108*H16)+(I16*C110)+(C109*J16)+(K16*C111)+(C112*V16)+(C113*W16)+(S16*C107)+(T16*C105)+(U16*C108)+(A141*C105)+(B141*C109)+(C141*C111), 2)</f>
        <v>99.01</v>
      </c>
      <c r="D16" s="462">
        <f>VLOOKUP(B16,AT214:AU222,2,FALSE)</f>
        <v>0</v>
      </c>
      <c r="E16" s="462">
        <f>VLOOKUP(B16,BD214:BE222,2,FALSE)</f>
        <v>0</v>
      </c>
      <c r="F16" s="462">
        <f>VLOOKUP(B16,AV214:AW222,2,FALSE)</f>
        <v>0</v>
      </c>
      <c r="G16" s="462">
        <f>VLOOKUP(B16,AX214:AY222,2,FALSE)</f>
        <v>0</v>
      </c>
      <c r="H16" s="462">
        <f>VLOOKUP(B16,AR214:AS222,2,FALSE)</f>
        <v>0</v>
      </c>
      <c r="I16" s="462">
        <f>VLOOKUP(B16,BB214:BC222,2,FALSE)</f>
        <v>44</v>
      </c>
      <c r="J16" s="462">
        <f>VLOOKUP(B16,AZ214:BA222,2,FALSE)</f>
        <v>0</v>
      </c>
      <c r="K16" s="462">
        <f>VLOOKUP(B16,AN214:AO222,2,FALSE)</f>
        <v>0</v>
      </c>
      <c r="L16" s="471"/>
      <c r="M16" s="471"/>
      <c r="N16" s="471"/>
      <c r="O16" s="470"/>
      <c r="P16" s="226"/>
      <c r="Q16" s="226"/>
      <c r="R16" s="226"/>
      <c r="S16" s="226"/>
      <c r="T16" s="226"/>
      <c r="U16" s="226"/>
      <c r="V16" s="226"/>
      <c r="W16" s="226"/>
      <c r="X16" s="226"/>
      <c r="Y16" s="698" t="s">
        <v>2061</v>
      </c>
      <c r="Z16" s="553">
        <v>200.0</v>
      </c>
      <c r="AA16" s="451" t="s">
        <v>2465</v>
      </c>
      <c r="AB16" s="451">
        <v>0.0</v>
      </c>
      <c r="AC16" s="226"/>
      <c r="AD16" s="226"/>
      <c r="AE16" s="226"/>
      <c r="AF16" s="226"/>
      <c r="AG16" s="226"/>
      <c r="AH16" s="226"/>
      <c r="AI16" s="226"/>
      <c r="AJ16" s="226"/>
      <c r="AK16" s="226"/>
      <c r="AL16" s="473"/>
      <c r="AM16" s="226"/>
      <c r="AN16" s="226"/>
      <c r="AO16" s="226"/>
      <c r="AP16" s="226"/>
      <c r="AQ16" s="226"/>
      <c r="AR16" s="458" t="s">
        <v>2466</v>
      </c>
      <c r="AS16" s="476"/>
      <c r="AT16" s="226"/>
      <c r="AU16" s="226"/>
      <c r="AW16" s="456" t="s">
        <v>703</v>
      </c>
      <c r="AX16" s="456">
        <v>0.0</v>
      </c>
      <c r="AY16" s="457" t="s">
        <v>703</v>
      </c>
      <c r="AZ16" s="457">
        <v>92.18</v>
      </c>
      <c r="BA16" s="456" t="s">
        <v>703</v>
      </c>
      <c r="BB16" s="457">
        <v>0.0</v>
      </c>
      <c r="BC16" s="456" t="s">
        <v>703</v>
      </c>
      <c r="BD16" s="457">
        <v>38.0</v>
      </c>
      <c r="BE16" s="456" t="s">
        <v>703</v>
      </c>
      <c r="BF16" s="457">
        <v>0.0</v>
      </c>
      <c r="BG16" s="456" t="s">
        <v>703</v>
      </c>
      <c r="BH16" s="457">
        <v>35.0</v>
      </c>
      <c r="BI16" s="456" t="s">
        <v>703</v>
      </c>
      <c r="BJ16" s="457">
        <v>0.0</v>
      </c>
      <c r="BK16" s="456" t="s">
        <v>703</v>
      </c>
      <c r="BL16" s="457">
        <v>0.0</v>
      </c>
      <c r="BM16" s="456" t="s">
        <v>703</v>
      </c>
      <c r="BN16" s="457">
        <v>0.0</v>
      </c>
    </row>
    <row r="17">
      <c r="A17" s="458" t="s">
        <v>2079</v>
      </c>
      <c r="B17" s="459" t="s">
        <v>1018</v>
      </c>
      <c r="C17" s="467">
        <f>ROUND((D17*C104)+(E17*C105)+(F17*C106)+(C107*G17)+(C108*H17)+(I17*C110)+(C109*J17)+(K17*C111)+(C112*V17)+(C113*W17)+(S17*C107)+(T17*C105)+(U17*C108)+(B130*C116)+(B132*C119)+(B134*C109)+(K51*67%*C110), 2)</f>
        <v>561.81</v>
      </c>
      <c r="D17" s="462">
        <f>VLOOKUP(B17,BC64:BD79,2,FALSE)</f>
        <v>0</v>
      </c>
      <c r="E17" s="462">
        <f>VLOOKUP(B17,BM64:BN79,2,FALSE)</f>
        <v>34</v>
      </c>
      <c r="F17" s="462">
        <f>VLOOKUP(B17,BE64:BF79,2,FALSE)</f>
        <v>0</v>
      </c>
      <c r="G17" s="462">
        <f>VLOOKUP(B17,BG64:BH79,2,FALSE)</f>
        <v>21</v>
      </c>
      <c r="H17" s="462">
        <f>VLOOKUP(B17,BA64:BB79,2,FALSE)</f>
        <v>8</v>
      </c>
      <c r="I17" s="462">
        <f>VLOOKUP(B17,BK64:BL79,2,FALSE)</f>
        <v>0</v>
      </c>
      <c r="J17" s="462">
        <f>VLOOKUP(B17,BI64:BJ79,2,FALSE)</f>
        <v>0</v>
      </c>
      <c r="K17" s="462">
        <f>VLOOKUP(B17,AW64:AX79,2,FALSE)</f>
        <v>49</v>
      </c>
      <c r="L17" s="461">
        <f>VLOOKUP(B17,AN286:AO301,2,FALSE)</f>
        <v>0</v>
      </c>
      <c r="M17" s="461">
        <f>VLOOKUP(B17,AP286:AQ301,2,FALSE)</f>
        <v>0</v>
      </c>
      <c r="N17" s="461">
        <f>VLOOKUP(B17,AR286:AS301,2,FALSE)</f>
        <v>0</v>
      </c>
      <c r="O17" s="463" t="str">
        <f>VLOOKUP(B17,AT286:AU301,2,FALSE)</f>
        <v/>
      </c>
      <c r="P17" s="468"/>
      <c r="Q17" s="465">
        <f>VLOOKUP(B17,AV286:AW301,2,FALSE)</f>
        <v>0</v>
      </c>
      <c r="R17" s="465">
        <f>VLOOKUP(B17,AX286:AY301,2,FALSE)</f>
        <v>0</v>
      </c>
      <c r="S17" s="465">
        <f>VLOOKUP(B17,AZ286:BA301,2,FALSE)</f>
        <v>0</v>
      </c>
      <c r="T17" s="465">
        <f>VLOOKUP(B17,BB286:BC301,2,FALSE)</f>
        <v>0</v>
      </c>
      <c r="U17" s="465">
        <f>VLOOKUP(B17,BD286:BE301,2,FALSE)</f>
        <v>0</v>
      </c>
      <c r="V17" s="466">
        <f>VLOOKUP(B17,AN501:AO516,2,FALSE)</f>
        <v>0</v>
      </c>
      <c r="W17" s="466">
        <f>VLOOKUP(B17,AP501:AQ516,2,FALSE)</f>
        <v>0</v>
      </c>
      <c r="X17" s="226"/>
      <c r="Y17" s="698" t="s">
        <v>2071</v>
      </c>
      <c r="Z17" s="553">
        <v>400.0</v>
      </c>
      <c r="AA17" s="451" t="s">
        <v>2398</v>
      </c>
      <c r="AB17" s="451">
        <v>2600.0</v>
      </c>
      <c r="AC17" s="154" t="s">
        <v>2467</v>
      </c>
      <c r="AD17" s="25">
        <v>8800.0</v>
      </c>
      <c r="AE17" s="226"/>
      <c r="AF17" s="154" t="s">
        <v>2467</v>
      </c>
      <c r="AG17" s="25">
        <v>7700.0</v>
      </c>
      <c r="AH17" s="226"/>
      <c r="AI17" s="154" t="s">
        <v>2467</v>
      </c>
      <c r="AJ17" s="25">
        <v>7700.0</v>
      </c>
      <c r="AK17" s="226"/>
      <c r="AL17" s="154" t="s">
        <v>2467</v>
      </c>
      <c r="AM17" s="25">
        <v>7700.0</v>
      </c>
      <c r="AN17" s="226"/>
      <c r="AO17" s="154" t="s">
        <v>2467</v>
      </c>
      <c r="AP17" s="25">
        <v>10700.0</v>
      </c>
      <c r="AQ17" s="226"/>
      <c r="AR17" s="701" t="s">
        <v>2468</v>
      </c>
      <c r="AS17" s="702">
        <v>7700.0</v>
      </c>
      <c r="AT17" s="226"/>
      <c r="AU17" s="226"/>
      <c r="AW17" s="456" t="s">
        <v>707</v>
      </c>
      <c r="AX17" s="456">
        <v>0.0</v>
      </c>
      <c r="AY17" s="457" t="s">
        <v>707</v>
      </c>
      <c r="AZ17" s="457">
        <v>88.74</v>
      </c>
      <c r="BA17" s="456" t="s">
        <v>707</v>
      </c>
      <c r="BB17" s="457">
        <v>13.0</v>
      </c>
      <c r="BC17" s="456" t="s">
        <v>707</v>
      </c>
      <c r="BD17" s="457">
        <v>39.0</v>
      </c>
      <c r="BE17" s="456" t="s">
        <v>707</v>
      </c>
      <c r="BF17" s="457">
        <v>0.0</v>
      </c>
      <c r="BG17" s="456" t="s">
        <v>707</v>
      </c>
      <c r="BH17" s="457">
        <v>22.0</v>
      </c>
      <c r="BI17" s="456" t="s">
        <v>707</v>
      </c>
      <c r="BJ17" s="457">
        <v>0.0</v>
      </c>
      <c r="BK17" s="456" t="s">
        <v>707</v>
      </c>
      <c r="BL17" s="457">
        <v>0.0</v>
      </c>
      <c r="BM17" s="456" t="s">
        <v>707</v>
      </c>
      <c r="BN17" s="457">
        <v>0.0</v>
      </c>
    </row>
    <row r="18">
      <c r="A18" s="458" t="s">
        <v>2469</v>
      </c>
      <c r="B18" s="459" t="s">
        <v>1018</v>
      </c>
      <c r="C18" s="467">
        <f>ROUND((D18*C104)+(E18*C105)+(F18*C106)+(C107*G18)+(C108*H18)+(I18*C110)+(C109*J18)+(K18*C111)+(C112*V18)+(C113*W18)+(S18*C107)+(T18*C105)+(U18*C108)+(B131*C117)+(B133*C120)+(B135*C109)+(K53*33%*C110), 2)</f>
        <v>409.8</v>
      </c>
      <c r="D18" s="462">
        <f>VLOOKUP(B18,BC82:BD100,2,FALSE)</f>
        <v>0</v>
      </c>
      <c r="E18" s="462">
        <f>VLOOKUP(B18,BM82:BN100,2,FALSE)</f>
        <v>34</v>
      </c>
      <c r="F18" s="462">
        <f>VLOOKUP(B18,BE82:BF100,2,FALSE)</f>
        <v>0</v>
      </c>
      <c r="G18" s="462">
        <f>VLOOKUP(B18,BG82:BH100,2,FALSE)</f>
        <v>21</v>
      </c>
      <c r="H18" s="462">
        <f>VLOOKUP(B18,BA82:BB100,2,FALSE)</f>
        <v>8</v>
      </c>
      <c r="I18" s="462">
        <f>VLOOKUP(B18,BK82:BL100,2,FALSE)</f>
        <v>0</v>
      </c>
      <c r="J18" s="462">
        <f>VLOOKUP(B18,BI82:BJ100,2,FALSE)</f>
        <v>0</v>
      </c>
      <c r="K18" s="462">
        <f>VLOOKUP(B18,AW82:AX100,2,FALSE)</f>
        <v>49</v>
      </c>
      <c r="L18" s="461">
        <f>VLOOKUP(B18,AN305:AO325,2,FALSE)</f>
        <v>0</v>
      </c>
      <c r="M18" s="461">
        <f>VLOOKUP(B18,AP305:AQ325,2,FALSE)</f>
        <v>0</v>
      </c>
      <c r="N18" s="461">
        <f>VLOOKUP(B18,AR305:AS325,2,FALSE)</f>
        <v>0</v>
      </c>
      <c r="O18" s="463" t="str">
        <f>VLOOKUP(B18,AT305:AU325,2,FALSE)</f>
        <v/>
      </c>
      <c r="P18" s="468"/>
      <c r="Q18" s="465">
        <f>VLOOKUP(B18,AV305:AW325,2,FALSE)</f>
        <v>0</v>
      </c>
      <c r="R18" s="465">
        <f>VLOOKUP(B18,AX305:AY325,2,FALSE)</f>
        <v>0</v>
      </c>
      <c r="S18" s="465">
        <f>VLOOKUP(B18,AZ305:BA325,2,FALSE)</f>
        <v>0</v>
      </c>
      <c r="T18" s="465">
        <f>VLOOKUP(B18,BB305:BC325,2,FALSE)</f>
        <v>0</v>
      </c>
      <c r="U18" s="465">
        <f>VLOOKUP(B18,BD305:BE325,2,FALSE)</f>
        <v>0</v>
      </c>
      <c r="V18" s="466">
        <f>VLOOKUP(B18,AN520:AO540,2,FALSE)</f>
        <v>0</v>
      </c>
      <c r="W18" s="466">
        <f>VLOOKUP(B18,AP520:AQ540,2,FALSE)</f>
        <v>0</v>
      </c>
      <c r="X18" s="226"/>
      <c r="Y18" s="698" t="s">
        <v>2072</v>
      </c>
      <c r="Z18" s="553">
        <v>600.0</v>
      </c>
      <c r="AA18" s="465" t="s">
        <v>2045</v>
      </c>
      <c r="AB18" s="465">
        <v>3075.0</v>
      </c>
      <c r="AC18" s="154" t="s">
        <v>2470</v>
      </c>
      <c r="AD18" s="703">
        <f>average(AD4:AD9,AD12:AD15)</f>
        <v>7210</v>
      </c>
      <c r="AE18" s="226"/>
      <c r="AF18" s="154" t="s">
        <v>2471</v>
      </c>
      <c r="AG18" s="703">
        <f>average(AG4:AG15,AJ4:AJ8)</f>
        <v>6468.75</v>
      </c>
      <c r="AH18" s="226"/>
      <c r="AI18" s="154" t="s">
        <v>2472</v>
      </c>
      <c r="AJ18" s="703">
        <f>average(AJ10:AJ15)</f>
        <v>7450</v>
      </c>
      <c r="AK18" s="226"/>
      <c r="AL18" s="154" t="s">
        <v>2473</v>
      </c>
      <c r="AM18" s="703">
        <f>average(AM4:AM15)</f>
        <v>6447.916667</v>
      </c>
      <c r="AN18" s="226"/>
      <c r="AO18" s="154" t="s">
        <v>2474</v>
      </c>
      <c r="AP18" s="703">
        <f>average(AP4:AP12,AP15,AS6:AS14,AS17:AS19)</f>
        <v>6740.909091</v>
      </c>
      <c r="AQ18" s="226"/>
      <c r="AR18" s="701" t="s">
        <v>2475</v>
      </c>
      <c r="AS18" s="702">
        <v>6200.0</v>
      </c>
      <c r="AT18" s="226"/>
      <c r="AU18" s="226"/>
      <c r="AW18" s="456" t="s">
        <v>709</v>
      </c>
      <c r="AX18" s="456">
        <v>0.0</v>
      </c>
      <c r="AY18" s="457" t="s">
        <v>709</v>
      </c>
      <c r="AZ18" s="457">
        <v>88.14</v>
      </c>
      <c r="BA18" s="456" t="s">
        <v>709</v>
      </c>
      <c r="BB18" s="457">
        <v>0.0</v>
      </c>
      <c r="BC18" s="456" t="s">
        <v>709</v>
      </c>
      <c r="BD18" s="457">
        <v>0.0</v>
      </c>
      <c r="BE18" s="456" t="s">
        <v>709</v>
      </c>
      <c r="BF18" s="457">
        <v>33.0</v>
      </c>
      <c r="BG18" s="456" t="s">
        <v>709</v>
      </c>
      <c r="BH18" s="457">
        <v>16.0</v>
      </c>
      <c r="BI18" s="456" t="s">
        <v>709</v>
      </c>
      <c r="BJ18" s="457">
        <v>0.0</v>
      </c>
      <c r="BK18" s="456" t="s">
        <v>709</v>
      </c>
      <c r="BL18" s="457">
        <v>10.0</v>
      </c>
      <c r="BM18" s="456" t="s">
        <v>709</v>
      </c>
      <c r="BN18" s="457">
        <v>60.0</v>
      </c>
    </row>
    <row r="19">
      <c r="A19" s="458" t="s">
        <v>972</v>
      </c>
      <c r="B19" s="459" t="s">
        <v>976</v>
      </c>
      <c r="C19" s="704">
        <f>ROUND((D19*C104)+(E19*C105)+(F19*C106)+(C107*G19)+(C108*H19)+(I19*C110)+(C109*J19)+(K19*C111)+(C112*V19)+(C113*W19)+(Q19*C104)+(R19*C106)+(S19*C107)+(T19*C105)+(U19*C108), 2)</f>
        <v>41.59</v>
      </c>
      <c r="D19" s="705">
        <f>VLOOKUP(B19,AT198:AU210,2,FALSE)</f>
        <v>0</v>
      </c>
      <c r="E19" s="705">
        <f>VLOOKUP(B19,BD198:BE210,2,FALSE)</f>
        <v>38</v>
      </c>
      <c r="F19" s="705">
        <f>VLOOKUP(B19,AV198:AW210,2,FALSE)</f>
        <v>0</v>
      </c>
      <c r="G19" s="705">
        <f>VLOOKUP(B19,AX198:AY210,2,FALSE)</f>
        <v>0</v>
      </c>
      <c r="H19" s="705">
        <f>VLOOKUP(B19,AR198:AS210,2,FALSE)</f>
        <v>0</v>
      </c>
      <c r="I19" s="705">
        <f>VLOOKUP(B19,BB198:BC210,2,FALSE)</f>
        <v>0</v>
      </c>
      <c r="J19" s="705">
        <f>VLOOKUP(B19,AZ198:BA210,2,FALSE)</f>
        <v>0</v>
      </c>
      <c r="K19" s="705">
        <f>VLOOKUP(B19,AN198:AO210,2,FALSE)</f>
        <v>126</v>
      </c>
      <c r="L19" s="706">
        <f>VLOOKUP(B19,AN422:AO434,2,FALSE)</f>
        <v>0</v>
      </c>
      <c r="M19" s="706">
        <f>VLOOKUP(B19,AP422:AQ434,2,FALSE)</f>
        <v>0</v>
      </c>
      <c r="N19" s="706">
        <f>VLOOKUP(B19,AR422:AS434,2,FALSE)</f>
        <v>0</v>
      </c>
      <c r="O19" s="707" t="str">
        <f>VLOOKUP(B19,AT422:AU434,2,FALSE)</f>
        <v/>
      </c>
      <c r="P19" s="468"/>
      <c r="Q19" s="465">
        <f>VLOOKUP(B19,AV422:AW434,2,FALSE)</f>
        <v>0</v>
      </c>
      <c r="R19" s="465">
        <f>VLOOKUP(B19,AX422:AY434,2,FALSE)</f>
        <v>0</v>
      </c>
      <c r="S19" s="465">
        <f>VLOOKUP(B19,AZ422:BA434,2,FALSE)</f>
        <v>0</v>
      </c>
      <c r="T19" s="465">
        <f>VLOOKUP(B19,BB422:BC434,2,FALSE)</f>
        <v>0</v>
      </c>
      <c r="U19" s="465">
        <f>VLOOKUP(B19,BD422:BE434,2,FALSE)</f>
        <v>0</v>
      </c>
      <c r="V19" s="466">
        <f>VLOOKUP(B19,AN637:AO649,2,FALSE)</f>
        <v>0</v>
      </c>
      <c r="W19" s="466">
        <f>VLOOKUP(B19,AP637:AQ649,2,FALSE)</f>
        <v>0</v>
      </c>
      <c r="X19" s="226"/>
      <c r="Y19" s="677" t="s">
        <v>2453</v>
      </c>
      <c r="Z19" s="708">
        <f>sum(((1-(($AB22-B$31)/(($AB22-B$31)+11960)))/$AC22)-1)</f>
        <v>0.1340069131</v>
      </c>
      <c r="AA19" s="451" t="s">
        <v>2392</v>
      </c>
      <c r="AB19" s="451">
        <v>0.0</v>
      </c>
      <c r="AC19" s="154" t="s">
        <v>2476</v>
      </c>
      <c r="AD19" s="25">
        <v>6200.0</v>
      </c>
      <c r="AE19" s="226"/>
      <c r="AF19" s="154" t="s">
        <v>2476</v>
      </c>
      <c r="AG19" s="25">
        <v>6200.0</v>
      </c>
      <c r="AH19" s="226"/>
      <c r="AI19" s="154" t="s">
        <v>2476</v>
      </c>
      <c r="AJ19" s="25">
        <v>6200.0</v>
      </c>
      <c r="AK19" s="226"/>
      <c r="AL19" s="154" t="s">
        <v>2476</v>
      </c>
      <c r="AM19" s="25">
        <v>5475.0</v>
      </c>
      <c r="AN19" s="226"/>
      <c r="AO19" s="154" t="s">
        <v>2476</v>
      </c>
      <c r="AP19" s="25">
        <v>3400.0</v>
      </c>
      <c r="AQ19" s="226"/>
      <c r="AR19" s="701" t="s">
        <v>2477</v>
      </c>
      <c r="AS19" s="702">
        <v>7700.0</v>
      </c>
      <c r="AT19" s="226"/>
      <c r="AU19" s="226"/>
      <c r="AW19" s="456" t="s">
        <v>713</v>
      </c>
      <c r="AX19" s="456">
        <v>0.0</v>
      </c>
      <c r="AY19" s="457" t="s">
        <v>713</v>
      </c>
      <c r="AZ19" s="457">
        <v>87.56</v>
      </c>
      <c r="BA19" s="456" t="s">
        <v>713</v>
      </c>
      <c r="BB19" s="457">
        <v>19.0</v>
      </c>
      <c r="BC19" s="456" t="s">
        <v>713</v>
      </c>
      <c r="BD19" s="457">
        <v>47.0</v>
      </c>
      <c r="BE19" s="456" t="s">
        <v>713</v>
      </c>
      <c r="BF19" s="457">
        <v>0.0</v>
      </c>
      <c r="BG19" s="456" t="s">
        <v>713</v>
      </c>
      <c r="BH19" s="457">
        <v>0.0</v>
      </c>
      <c r="BI19" s="456" t="s">
        <v>713</v>
      </c>
      <c r="BJ19" s="457">
        <v>35.0</v>
      </c>
      <c r="BK19" s="456" t="s">
        <v>713</v>
      </c>
      <c r="BL19" s="457">
        <v>0.0</v>
      </c>
      <c r="BM19" s="456" t="s">
        <v>713</v>
      </c>
      <c r="BN19" s="457">
        <v>0.0</v>
      </c>
    </row>
    <row r="20">
      <c r="A20" s="458" t="s">
        <v>1972</v>
      </c>
      <c r="B20" s="473"/>
      <c r="C20" s="473"/>
      <c r="D20" s="456">
        <v>33.0</v>
      </c>
      <c r="E20" s="456">
        <v>114.0</v>
      </c>
      <c r="F20" s="456">
        <v>30.0</v>
      </c>
      <c r="G20" s="456">
        <v>22.0</v>
      </c>
      <c r="H20" s="456">
        <v>16.0</v>
      </c>
      <c r="I20" s="473"/>
      <c r="J20" s="473"/>
      <c r="K20" s="473"/>
      <c r="L20" s="473"/>
      <c r="M20" s="473"/>
      <c r="N20" s="473"/>
      <c r="O20" s="473"/>
      <c r="P20" s="473"/>
      <c r="Q20" s="473"/>
      <c r="R20" s="226"/>
      <c r="S20" s="226"/>
      <c r="T20" s="226"/>
      <c r="U20" s="226"/>
      <c r="V20" s="226"/>
      <c r="W20" s="226"/>
      <c r="X20" s="226"/>
      <c r="Y20" s="709" t="s">
        <v>2459</v>
      </c>
      <c r="Z20" s="710">
        <f>sum(((1-(($AB24-B$31)/(($AB24-B$31)+11960)))/$AC24)-1)</f>
        <v>0.1488481985</v>
      </c>
      <c r="AA20" s="451" t="s">
        <v>2478</v>
      </c>
      <c r="AB20" s="451">
        <v>800.0</v>
      </c>
      <c r="AC20" s="711"/>
      <c r="AD20" s="226"/>
      <c r="AE20" s="226"/>
      <c r="AF20" s="226"/>
      <c r="AG20" s="226"/>
      <c r="AH20" s="226"/>
      <c r="AI20" s="465"/>
      <c r="AJ20" s="712"/>
      <c r="AK20" s="226"/>
      <c r="AL20" s="226"/>
      <c r="AM20" s="226"/>
      <c r="AN20" s="226"/>
      <c r="AO20" s="226"/>
      <c r="AP20" s="226"/>
      <c r="AQ20" s="226"/>
      <c r="AR20" s="226"/>
      <c r="AS20" s="226"/>
      <c r="AT20" s="226"/>
      <c r="AU20" s="226"/>
      <c r="AW20" s="456" t="s">
        <v>719</v>
      </c>
      <c r="AX20" s="456">
        <v>0.0</v>
      </c>
      <c r="AY20" s="457" t="s">
        <v>719</v>
      </c>
      <c r="AZ20" s="457">
        <v>84.62</v>
      </c>
      <c r="BA20" s="456" t="s">
        <v>719</v>
      </c>
      <c r="BB20" s="457">
        <v>18.0</v>
      </c>
      <c r="BC20" s="456" t="s">
        <v>719</v>
      </c>
      <c r="BD20" s="457">
        <v>36.0</v>
      </c>
      <c r="BE20" s="456" t="s">
        <v>719</v>
      </c>
      <c r="BF20" s="457">
        <v>0.0</v>
      </c>
      <c r="BG20" s="456" t="s">
        <v>719</v>
      </c>
      <c r="BH20" s="457">
        <v>20.0</v>
      </c>
      <c r="BI20" s="456" t="s">
        <v>719</v>
      </c>
      <c r="BJ20" s="457">
        <v>0.0</v>
      </c>
      <c r="BK20" s="456" t="s">
        <v>719</v>
      </c>
      <c r="BL20" s="457">
        <v>0.0</v>
      </c>
      <c r="BM20" s="456" t="s">
        <v>719</v>
      </c>
      <c r="BN20" s="457">
        <v>0.0</v>
      </c>
    </row>
    <row r="21">
      <c r="A21" s="458" t="s">
        <v>1973</v>
      </c>
      <c r="B21" s="473"/>
      <c r="C21" s="473"/>
      <c r="D21" s="474">
        <f>ROUND((10*B35)+(5*B36)+(5*B37)+(5*B38), 2)</f>
        <v>100</v>
      </c>
      <c r="E21" s="456"/>
      <c r="F21" s="475">
        <f>ROUND(P3*12, 2)</f>
        <v>12</v>
      </c>
      <c r="G21" s="474">
        <f>ROUND((5*B36)+(10*B40), 2)</f>
        <v>20</v>
      </c>
      <c r="H21" s="476">
        <f>(B39*10)+(4*B38)</f>
        <v>0</v>
      </c>
      <c r="I21" s="473"/>
      <c r="J21" s="473"/>
      <c r="K21" s="473"/>
      <c r="L21" s="473"/>
      <c r="M21" s="473"/>
      <c r="N21" s="473"/>
      <c r="O21" s="473"/>
      <c r="P21" s="473"/>
      <c r="Q21" s="473"/>
      <c r="R21" s="226"/>
      <c r="S21" s="226"/>
      <c r="T21" s="226"/>
      <c r="U21" s="226"/>
      <c r="V21" s="226"/>
      <c r="W21" s="226"/>
      <c r="X21" s="226"/>
      <c r="Y21" s="112"/>
      <c r="Z21" s="615" t="s">
        <v>2479</v>
      </c>
      <c r="AA21" s="615" t="s">
        <v>2480</v>
      </c>
      <c r="AB21" s="615" t="s">
        <v>2481</v>
      </c>
      <c r="AC21" s="615" t="s">
        <v>2480</v>
      </c>
      <c r="AD21" s="112"/>
      <c r="AE21" s="112"/>
      <c r="AF21" s="202"/>
      <c r="AG21" s="703"/>
      <c r="AH21" s="112"/>
      <c r="AI21" s="112"/>
      <c r="AJ21" s="112"/>
      <c r="AK21" s="226"/>
      <c r="AL21" s="226"/>
      <c r="AM21" s="226"/>
      <c r="AN21" s="226"/>
      <c r="AO21" s="226"/>
      <c r="AP21" s="226"/>
      <c r="AQ21" s="226"/>
      <c r="AR21" s="226"/>
      <c r="AS21" s="226"/>
      <c r="AT21" s="226"/>
      <c r="AU21" s="226"/>
      <c r="AW21" s="456" t="s">
        <v>721</v>
      </c>
      <c r="AX21" s="456">
        <v>0.0</v>
      </c>
      <c r="AY21" s="457" t="s">
        <v>721</v>
      </c>
      <c r="AZ21" s="457">
        <v>84.36</v>
      </c>
      <c r="BA21" s="456" t="s">
        <v>721</v>
      </c>
      <c r="BB21" s="457">
        <v>0.0</v>
      </c>
      <c r="BC21" s="456" t="s">
        <v>721</v>
      </c>
      <c r="BD21" s="457">
        <v>38.0</v>
      </c>
      <c r="BE21" s="456" t="s">
        <v>721</v>
      </c>
      <c r="BF21" s="457">
        <v>0.0</v>
      </c>
      <c r="BG21" s="456" t="s">
        <v>721</v>
      </c>
      <c r="BH21" s="457">
        <v>29.0</v>
      </c>
      <c r="BI21" s="456" t="s">
        <v>721</v>
      </c>
      <c r="BJ21" s="457">
        <v>0.0</v>
      </c>
      <c r="BK21" s="456" t="s">
        <v>721</v>
      </c>
      <c r="BL21" s="457">
        <v>0.0</v>
      </c>
      <c r="BM21" s="456" t="s">
        <v>721</v>
      </c>
      <c r="BN21" s="457">
        <v>0.0</v>
      </c>
    </row>
    <row r="22">
      <c r="A22" s="458" t="s">
        <v>1974</v>
      </c>
      <c r="B22" s="449"/>
      <c r="C22" s="473"/>
      <c r="D22" s="474">
        <f>ROUND(Q3+Q4+Q5+Q6+Q7+Q8+Q9+Q10+Q11+Q12+Q13+Q17+Q18+Q19, 2)</f>
        <v>3</v>
      </c>
      <c r="E22" s="456">
        <f>ROUND(T3+T4+T5+T6+T7+T8+T9+T10+T11+T12+T13+T14+T15+T16+T17+T18+T19, 2)</f>
        <v>0</v>
      </c>
      <c r="F22" s="477">
        <f>ROUND(R3+R4+R5+R6+R7+R8+R9+R10+R11+R12+R13+R17+R18+R19, 2)</f>
        <v>0</v>
      </c>
      <c r="G22" s="456">
        <f>ROUND(S3+S4+S5+S6+S7+S8+S9+S10+S11+S12+S13+S14+S15+S16+S17+S18+S19, 2)</f>
        <v>7</v>
      </c>
      <c r="H22" s="476">
        <f>ROUND(U3+U4+U5+U6+U7+U8+U9+U10+U11+U12+U13+U14+U15+U16+U17+U18+U19, 2)</f>
        <v>0</v>
      </c>
      <c r="I22" s="473"/>
      <c r="J22" s="473"/>
      <c r="K22" s="473"/>
      <c r="L22" s="473"/>
      <c r="M22" s="473"/>
      <c r="N22" s="473"/>
      <c r="O22" s="473"/>
      <c r="P22" s="473"/>
      <c r="Q22" s="473"/>
      <c r="R22" s="226"/>
      <c r="S22" s="226"/>
      <c r="T22" s="226"/>
      <c r="U22" s="226"/>
      <c r="V22" s="226"/>
      <c r="W22" s="226"/>
      <c r="X22" s="226"/>
      <c r="Y22" s="615" t="s">
        <v>2467</v>
      </c>
      <c r="Z22" s="202">
        <v>7700.0</v>
      </c>
      <c r="AA22" s="713">
        <f t="shared" ref="AA22:AA24" si="4">sum(1-(Z22/(Z22+11960)))</f>
        <v>0.6083418108</v>
      </c>
      <c r="AB22" s="112">
        <f>sum(Z22-Z9)</f>
        <v>5100</v>
      </c>
      <c r="AC22" s="713">
        <f t="shared" ref="AC22:AC24" si="5">sum(1-(AB22/(AB22+11960)))</f>
        <v>0.7010550996</v>
      </c>
      <c r="AD22" s="112"/>
      <c r="AE22" s="112"/>
      <c r="AF22" s="202"/>
      <c r="AG22" s="202"/>
      <c r="AH22" s="714">
        <v>1147.0</v>
      </c>
      <c r="AI22" s="202" t="s">
        <v>2482</v>
      </c>
      <c r="AJ22" s="112"/>
      <c r="AK22" s="715" t="s">
        <v>2483</v>
      </c>
      <c r="AP22" s="226"/>
      <c r="AQ22" s="226"/>
      <c r="AR22" s="226"/>
      <c r="AS22" s="226"/>
      <c r="AT22" s="226"/>
      <c r="AU22" s="226"/>
      <c r="AW22" s="456" t="s">
        <v>1525</v>
      </c>
      <c r="AX22" s="456">
        <v>0.0</v>
      </c>
      <c r="AY22" s="457" t="s">
        <v>1525</v>
      </c>
      <c r="AZ22" s="457">
        <v>74.19</v>
      </c>
      <c r="BA22" s="456" t="s">
        <v>1525</v>
      </c>
      <c r="BB22" s="457">
        <v>13.0</v>
      </c>
      <c r="BC22" s="456" t="s">
        <v>1525</v>
      </c>
      <c r="BD22" s="457">
        <v>32.0</v>
      </c>
      <c r="BE22" s="456" t="s">
        <v>1525</v>
      </c>
      <c r="BF22" s="457">
        <v>22.0</v>
      </c>
      <c r="BG22" s="456" t="s">
        <v>1525</v>
      </c>
      <c r="BH22" s="457">
        <v>0.0</v>
      </c>
      <c r="BI22" s="456" t="s">
        <v>1525</v>
      </c>
      <c r="BJ22" s="457">
        <v>0.0</v>
      </c>
      <c r="BK22" s="456" t="s">
        <v>1525</v>
      </c>
      <c r="BL22" s="457">
        <v>0.0</v>
      </c>
      <c r="BM22" s="456" t="s">
        <v>1525</v>
      </c>
      <c r="BN22" s="457">
        <v>0.0</v>
      </c>
      <c r="BO22" s="112"/>
      <c r="BP22" s="112"/>
      <c r="BQ22" s="112"/>
    </row>
    <row r="23">
      <c r="A23" s="478" t="s">
        <v>1975</v>
      </c>
      <c r="B23" s="479"/>
      <c r="C23" s="480">
        <f>ROUND(C3+C4+C5+C6+C7+C8+C9+C10+C11+C12+C13+C14+C15+C16+C17+C18+C19+K43+K44+K45+K46+K47, 2)</f>
        <v>2428.88</v>
      </c>
      <c r="D23" s="480">
        <f t="shared" ref="D23:H23" si="1">ROUND(D3+D4+D5+D6+D7+D8+D9+D10+D11+D12+D13+D14+D15+D16+D17+D18+D19+D20+D21+D22+P25, 2)</f>
        <v>400</v>
      </c>
      <c r="E23" s="480">
        <f t="shared" si="1"/>
        <v>652</v>
      </c>
      <c r="F23" s="480">
        <f t="shared" si="1"/>
        <v>170</v>
      </c>
      <c r="G23" s="480">
        <f t="shared" si="1"/>
        <v>325</v>
      </c>
      <c r="H23" s="480">
        <f t="shared" si="1"/>
        <v>167</v>
      </c>
      <c r="I23" s="480">
        <f>ROUND(I3+I4+I5+I6+I7+I8+I9+I10+I11+I12+I13+I14+I15+I16+I17+I18+I19+I20+I21+V25, 2)</f>
        <v>69</v>
      </c>
      <c r="J23" s="480">
        <f>ROUND(J3+J4+J5+J6+J7+J8+J9+J10+J11+J12+J13+J14+J15+J16+J17+J18+J19+J20+J21+U25, 2)</f>
        <v>0</v>
      </c>
      <c r="K23" s="480">
        <f>ROUND(K3+K4+K5+K6+K7+K8+K9+K10+K11+K12+K13+K14+K15+K16+K17+K18+K19+K20+K21, 2)</f>
        <v>1176</v>
      </c>
      <c r="L23" s="480">
        <f t="shared" ref="L23:N23" si="2">ROUND(L3+L4+L5+L6+L7+L8+L9+L10+L11+L12+L13+L14+L15+L16+L17+L18+L19, 2)</f>
        <v>5</v>
      </c>
      <c r="M23" s="480">
        <f t="shared" si="2"/>
        <v>6</v>
      </c>
      <c r="N23" s="480">
        <f t="shared" si="2"/>
        <v>2</v>
      </c>
      <c r="O23" s="481"/>
      <c r="P23" s="226"/>
      <c r="Q23" s="226"/>
      <c r="R23" s="716" t="s">
        <v>1981</v>
      </c>
      <c r="S23" s="717"/>
      <c r="T23" s="226"/>
      <c r="U23" s="465" t="s">
        <v>1976</v>
      </c>
      <c r="V23" s="482">
        <f t="shared" ref="V23:W23" si="3">ROUND(V3+V4+V5+V6+V7+V8+V9+V10+V11+V12+V13+V14+V15+V16+V17+V18+V19, 2)</f>
        <v>10</v>
      </c>
      <c r="W23" s="482">
        <f t="shared" si="3"/>
        <v>3</v>
      </c>
      <c r="X23" s="226"/>
      <c r="Y23" s="615" t="s">
        <v>2484</v>
      </c>
      <c r="Z23" s="202">
        <v>6925.0</v>
      </c>
      <c r="AA23" s="713">
        <f t="shared" si="4"/>
        <v>0.6333068573</v>
      </c>
      <c r="AB23" s="112">
        <f>sum(Z23-Z9)</f>
        <v>4325</v>
      </c>
      <c r="AC23" s="713">
        <f t="shared" si="5"/>
        <v>0.7344181762</v>
      </c>
      <c r="AD23" s="112"/>
      <c r="AE23" s="112"/>
      <c r="AF23" s="112"/>
      <c r="AG23" s="615" t="s">
        <v>2467</v>
      </c>
      <c r="AH23" s="718">
        <f t="shared" ref="AH23:AH25" si="6">sum(((1-(($AB22-AH$22)/(($AB22-AH$22)+11960)))/$AC22)-1)</f>
        <v>0.07207943191</v>
      </c>
      <c r="AI23" s="202" t="s">
        <v>2485</v>
      </c>
      <c r="AJ23" s="112"/>
      <c r="AP23" s="226"/>
      <c r="AQ23" s="226"/>
      <c r="AR23" s="226"/>
      <c r="AS23" s="226"/>
      <c r="AT23" s="226"/>
      <c r="AU23" s="226"/>
      <c r="AW23" s="456" t="s">
        <v>1522</v>
      </c>
      <c r="AX23" s="456">
        <v>0.0</v>
      </c>
      <c r="AY23" s="457" t="s">
        <v>1522</v>
      </c>
      <c r="AZ23" s="457">
        <v>74.6</v>
      </c>
      <c r="BA23" s="456" t="s">
        <v>1522</v>
      </c>
      <c r="BB23" s="457">
        <v>9.0</v>
      </c>
      <c r="BC23" s="456" t="s">
        <v>1522</v>
      </c>
      <c r="BD23" s="457">
        <v>32.0</v>
      </c>
      <c r="BE23" s="456" t="s">
        <v>1522</v>
      </c>
      <c r="BF23" s="457">
        <v>0.0</v>
      </c>
      <c r="BG23" s="456" t="s">
        <v>1522</v>
      </c>
      <c r="BH23" s="457">
        <v>17.0</v>
      </c>
      <c r="BI23" s="456" t="s">
        <v>1522</v>
      </c>
      <c r="BJ23" s="457">
        <v>0.0</v>
      </c>
      <c r="BK23" s="456" t="s">
        <v>1522</v>
      </c>
      <c r="BL23" s="457">
        <v>0.0</v>
      </c>
      <c r="BM23" s="456" t="s">
        <v>1522</v>
      </c>
      <c r="BN23" s="457">
        <v>0.0</v>
      </c>
      <c r="BO23" s="112"/>
      <c r="BP23" s="112"/>
      <c r="BQ23" s="112"/>
    </row>
    <row r="24">
      <c r="A24" s="458" t="s">
        <v>1977</v>
      </c>
      <c r="B24" s="449" t="s">
        <v>1978</v>
      </c>
      <c r="C24" s="449" t="s">
        <v>1979</v>
      </c>
      <c r="D24" s="449"/>
      <c r="E24" s="449"/>
      <c r="F24" s="466">
        <f>ROUND(F23+91,0)</f>
        <v>261</v>
      </c>
      <c r="G24" s="449"/>
      <c r="H24" s="449"/>
      <c r="I24" s="449"/>
      <c r="J24" s="449"/>
      <c r="K24" s="226"/>
      <c r="L24" s="458"/>
      <c r="M24" s="386"/>
      <c r="N24" s="386"/>
      <c r="O24" s="386"/>
      <c r="P24" s="484" t="s">
        <v>328</v>
      </c>
      <c r="Q24" s="484" t="s">
        <v>327</v>
      </c>
      <c r="R24" s="484" t="s">
        <v>329</v>
      </c>
      <c r="S24" s="484" t="s">
        <v>330</v>
      </c>
      <c r="T24" s="484" t="s">
        <v>344</v>
      </c>
      <c r="U24" s="484" t="s">
        <v>356</v>
      </c>
      <c r="V24" s="484" t="s">
        <v>563</v>
      </c>
      <c r="W24" s="489" t="s">
        <v>2486</v>
      </c>
      <c r="X24" s="226"/>
      <c r="Y24" s="615" t="s">
        <v>2476</v>
      </c>
      <c r="Z24" s="202">
        <v>6200.0</v>
      </c>
      <c r="AA24" s="713">
        <f t="shared" si="4"/>
        <v>0.6585903084</v>
      </c>
      <c r="AB24" s="112">
        <f>sum(Z24-Z9)</f>
        <v>3600</v>
      </c>
      <c r="AC24" s="713">
        <f t="shared" si="5"/>
        <v>0.7686375321</v>
      </c>
      <c r="AD24" s="112"/>
      <c r="AE24" s="112"/>
      <c r="AF24" s="112"/>
      <c r="AG24" s="615" t="s">
        <v>2484</v>
      </c>
      <c r="AH24" s="718">
        <f t="shared" si="6"/>
        <v>0.07576958647</v>
      </c>
      <c r="AI24" s="202" t="s">
        <v>2485</v>
      </c>
      <c r="AJ24" s="112"/>
      <c r="AP24" s="226"/>
      <c r="AQ24" s="226"/>
      <c r="AR24" s="226"/>
      <c r="AS24" s="226"/>
      <c r="AT24" s="226"/>
      <c r="AU24" s="226"/>
      <c r="BO24" s="486"/>
      <c r="BP24" s="486"/>
      <c r="BQ24" s="486"/>
    </row>
    <row r="25">
      <c r="A25" s="719" t="s">
        <v>327</v>
      </c>
      <c r="B25" s="720">
        <f>ROUND((490+E23)+(D23*2), 2)</f>
        <v>1942</v>
      </c>
      <c r="C25" s="721">
        <f>ROUNDUP((B25*10%)+B25, 0)</f>
        <v>2137</v>
      </c>
      <c r="D25" s="476"/>
      <c r="E25" s="226"/>
      <c r="F25" s="456" t="s">
        <v>1980</v>
      </c>
      <c r="G25" s="476"/>
      <c r="H25" s="476"/>
      <c r="I25" s="476"/>
      <c r="J25" s="476"/>
      <c r="K25" s="473"/>
      <c r="L25" s="465"/>
      <c r="M25" s="473"/>
      <c r="N25" s="473"/>
      <c r="O25" s="473"/>
      <c r="P25" s="489">
        <v>0.0</v>
      </c>
      <c r="Q25" s="489">
        <v>0.0</v>
      </c>
      <c r="R25" s="489">
        <v>3.0</v>
      </c>
      <c r="S25" s="489">
        <v>3.0</v>
      </c>
      <c r="T25" s="489">
        <v>0.0</v>
      </c>
      <c r="U25" s="489">
        <v>0.0</v>
      </c>
      <c r="V25" s="489">
        <v>0.0</v>
      </c>
      <c r="W25" s="489">
        <v>0.0</v>
      </c>
      <c r="X25" s="226"/>
      <c r="Y25" s="112"/>
      <c r="Z25" s="112"/>
      <c r="AA25" s="112"/>
      <c r="AB25" s="202"/>
      <c r="AC25" s="112"/>
      <c r="AD25" s="112"/>
      <c r="AE25" s="112"/>
      <c r="AF25" s="112"/>
      <c r="AG25" s="615" t="s">
        <v>2476</v>
      </c>
      <c r="AH25" s="718">
        <f t="shared" si="6"/>
        <v>0.07958093388</v>
      </c>
      <c r="AI25" s="202" t="s">
        <v>2485</v>
      </c>
      <c r="AJ25" s="112"/>
      <c r="AK25" s="226"/>
      <c r="AL25" s="226"/>
      <c r="AM25" s="226"/>
      <c r="AN25" s="226"/>
      <c r="AO25" s="226"/>
      <c r="AP25" s="226"/>
      <c r="AQ25" s="226"/>
      <c r="AR25" s="226"/>
      <c r="AS25" s="226"/>
      <c r="AT25" s="226"/>
      <c r="AU25" s="226"/>
      <c r="AW25" s="449" t="s">
        <v>1982</v>
      </c>
      <c r="AX25" s="449" t="s">
        <v>1920</v>
      </c>
      <c r="AY25" s="450" t="s">
        <v>1982</v>
      </c>
      <c r="AZ25" s="490" t="s">
        <v>1922</v>
      </c>
      <c r="BA25" s="449" t="s">
        <v>1982</v>
      </c>
      <c r="BB25" s="450" t="s">
        <v>1983</v>
      </c>
      <c r="BC25" s="449" t="s">
        <v>1982</v>
      </c>
      <c r="BD25" s="450" t="s">
        <v>1984</v>
      </c>
      <c r="BE25" s="449" t="s">
        <v>1982</v>
      </c>
      <c r="BF25" s="450" t="s">
        <v>1985</v>
      </c>
      <c r="BG25" s="449" t="s">
        <v>1982</v>
      </c>
      <c r="BH25" s="450" t="s">
        <v>1986</v>
      </c>
      <c r="BI25" s="449" t="s">
        <v>1987</v>
      </c>
      <c r="BJ25" s="450" t="s">
        <v>1988</v>
      </c>
      <c r="BK25" s="449" t="s">
        <v>1989</v>
      </c>
      <c r="BL25" s="450" t="s">
        <v>1990</v>
      </c>
      <c r="BM25" s="449" t="s">
        <v>1991</v>
      </c>
      <c r="BN25" s="450" t="s">
        <v>1992</v>
      </c>
      <c r="BO25" s="340"/>
      <c r="BP25" s="340"/>
      <c r="BQ25" s="340"/>
    </row>
    <row r="26">
      <c r="A26" s="719" t="s">
        <v>1993</v>
      </c>
      <c r="B26" s="720">
        <f>ROUND((1.14+5)+(F24/33)+(G23/22.08), 2)</f>
        <v>28.77</v>
      </c>
      <c r="C26" s="722">
        <f>ROUND(B26+3, 2)</f>
        <v>31.77</v>
      </c>
      <c r="D26" s="476"/>
      <c r="E26" s="226"/>
      <c r="F26" s="456"/>
      <c r="G26" s="476"/>
      <c r="H26" s="476"/>
      <c r="I26" s="476"/>
      <c r="J26" s="476"/>
      <c r="K26" s="473"/>
      <c r="L26" s="473"/>
      <c r="M26" s="473"/>
      <c r="N26" s="473"/>
      <c r="O26" s="473"/>
      <c r="P26" s="226"/>
      <c r="Q26" s="226"/>
      <c r="R26" s="226"/>
      <c r="S26" s="226"/>
      <c r="T26" s="226"/>
      <c r="U26" s="226"/>
      <c r="V26" s="226"/>
      <c r="W26" s="226"/>
      <c r="X26" s="226"/>
      <c r="Y26" s="112"/>
      <c r="Z26" s="615" t="s">
        <v>2487</v>
      </c>
      <c r="AA26" s="112"/>
      <c r="AB26" s="112"/>
      <c r="AC26" s="112"/>
      <c r="AD26" s="112"/>
      <c r="AE26" s="112"/>
      <c r="AF26" s="112"/>
      <c r="AG26" s="112"/>
      <c r="AH26" s="112"/>
      <c r="AI26" s="112"/>
      <c r="AJ26" s="112"/>
      <c r="AK26" s="226"/>
      <c r="AL26" s="226"/>
      <c r="AM26" s="226"/>
      <c r="AN26" s="226"/>
      <c r="AO26" s="226"/>
      <c r="AP26" s="226"/>
      <c r="AQ26" s="226"/>
      <c r="AR26" s="226"/>
      <c r="AS26" s="226"/>
      <c r="AT26" s="226"/>
      <c r="AU26" s="226"/>
      <c r="AW26" s="456" t="s">
        <v>620</v>
      </c>
      <c r="AX26" s="456">
        <v>182.0</v>
      </c>
      <c r="AY26" s="457" t="s">
        <v>620</v>
      </c>
      <c r="AZ26" s="457">
        <v>207.64</v>
      </c>
      <c r="BA26" s="456" t="s">
        <v>620</v>
      </c>
      <c r="BB26" s="457">
        <v>0.0</v>
      </c>
      <c r="BC26" s="456" t="s">
        <v>620</v>
      </c>
      <c r="BD26" s="457">
        <v>0.0</v>
      </c>
      <c r="BE26" s="456" t="s">
        <v>620</v>
      </c>
      <c r="BF26" s="457">
        <v>43.0</v>
      </c>
      <c r="BG26" s="456" t="s">
        <v>620</v>
      </c>
      <c r="BH26" s="457">
        <v>34.0</v>
      </c>
      <c r="BI26" s="456" t="s">
        <v>620</v>
      </c>
      <c r="BJ26" s="457">
        <v>0.0</v>
      </c>
      <c r="BK26" s="456" t="s">
        <v>620</v>
      </c>
      <c r="BL26" s="457">
        <v>0.0</v>
      </c>
      <c r="BM26" s="456" t="s">
        <v>620</v>
      </c>
      <c r="BN26" s="457">
        <v>126.0</v>
      </c>
      <c r="BO26" s="340"/>
      <c r="BP26" s="340"/>
      <c r="BQ26" s="340"/>
    </row>
    <row r="27">
      <c r="A27" s="719" t="s">
        <v>1994</v>
      </c>
      <c r="B27" s="720">
        <f>ROUND(H23, 2)</f>
        <v>167</v>
      </c>
      <c r="C27" s="492" t="s">
        <v>1995</v>
      </c>
      <c r="D27" s="493">
        <f>ROUND((B27/15.77)+3, 2)</f>
        <v>13.59</v>
      </c>
      <c r="E27" s="476"/>
      <c r="F27" s="226"/>
      <c r="G27" s="476"/>
      <c r="H27" s="476"/>
      <c r="I27" s="476"/>
      <c r="J27" s="476"/>
      <c r="K27" s="473"/>
      <c r="L27" s="473"/>
      <c r="M27" s="473"/>
      <c r="N27" s="473"/>
      <c r="O27" s="473"/>
      <c r="P27" s="226"/>
      <c r="Q27" s="226"/>
      <c r="R27" s="226"/>
      <c r="S27" s="226"/>
      <c r="T27" s="226"/>
      <c r="U27" s="226"/>
      <c r="V27" s="226"/>
      <c r="W27" s="226"/>
      <c r="X27" s="226"/>
      <c r="Y27" s="112"/>
      <c r="Z27" s="202">
        <v>200.0</v>
      </c>
      <c r="AA27" s="202">
        <v>400.0</v>
      </c>
      <c r="AB27" s="202">
        <v>600.0</v>
      </c>
      <c r="AC27" s="202">
        <v>800.0</v>
      </c>
      <c r="AD27" s="25">
        <v>1000.0</v>
      </c>
      <c r="AE27" s="25">
        <v>1200.0</v>
      </c>
      <c r="AF27" s="25">
        <v>1400.0</v>
      </c>
      <c r="AG27" s="202"/>
      <c r="AH27" s="202"/>
      <c r="AI27" s="112"/>
      <c r="AJ27" s="112"/>
      <c r="AK27" s="226"/>
      <c r="AL27" s="226"/>
      <c r="AM27" s="226"/>
      <c r="AN27" s="226"/>
      <c r="AO27" s="226"/>
      <c r="AP27" s="226"/>
      <c r="AQ27" s="226"/>
      <c r="AR27" s="226"/>
      <c r="AS27" s="226"/>
      <c r="AT27" s="226"/>
      <c r="AU27" s="226"/>
      <c r="AW27" s="456" t="s">
        <v>623</v>
      </c>
      <c r="AX27" s="456">
        <v>231.0</v>
      </c>
      <c r="AY27" s="457" t="s">
        <v>623</v>
      </c>
      <c r="AZ27" s="457">
        <v>198.62</v>
      </c>
      <c r="BA27" s="456" t="s">
        <v>623</v>
      </c>
      <c r="BB27" s="457">
        <v>0.0</v>
      </c>
      <c r="BC27" s="456" t="s">
        <v>623</v>
      </c>
      <c r="BD27" s="457">
        <v>61.0</v>
      </c>
      <c r="BE27" s="456" t="s">
        <v>623</v>
      </c>
      <c r="BF27" s="457">
        <v>0.0</v>
      </c>
      <c r="BG27" s="456" t="s">
        <v>623</v>
      </c>
      <c r="BH27" s="457">
        <v>40.0</v>
      </c>
      <c r="BI27" s="456" t="s">
        <v>623</v>
      </c>
      <c r="BJ27" s="457">
        <v>0.0</v>
      </c>
      <c r="BK27" s="456" t="s">
        <v>623</v>
      </c>
      <c r="BL27" s="457">
        <v>0.0</v>
      </c>
      <c r="BM27" s="456" t="s">
        <v>623</v>
      </c>
      <c r="BN27" s="457">
        <v>0.0</v>
      </c>
      <c r="BO27" s="340"/>
      <c r="BP27" s="340"/>
      <c r="BQ27" s="340"/>
    </row>
    <row r="28">
      <c r="A28" s="719" t="s">
        <v>1996</v>
      </c>
      <c r="B28" s="723">
        <f>ROUND(J23/15.77, 2)</f>
        <v>0</v>
      </c>
      <c r="C28" s="496"/>
      <c r="D28" s="226"/>
      <c r="E28" s="476"/>
      <c r="F28" s="226"/>
      <c r="G28" s="226"/>
      <c r="H28" s="226"/>
      <c r="I28" s="226"/>
      <c r="J28" s="226"/>
      <c r="K28" s="226"/>
      <c r="L28" s="226"/>
      <c r="M28" s="226"/>
      <c r="N28" s="226"/>
      <c r="O28" s="226"/>
      <c r="P28" s="226"/>
      <c r="Q28" s="226"/>
      <c r="R28" s="226"/>
      <c r="S28" s="465" t="s">
        <v>2488</v>
      </c>
      <c r="T28" s="465">
        <v>0.0</v>
      </c>
      <c r="U28" s="226">
        <f>VLOOKUP(C31,S28:T30,2,FALSE)</f>
        <v>840</v>
      </c>
      <c r="V28" s="693" t="s">
        <v>2386</v>
      </c>
      <c r="W28" s="724">
        <v>0.0</v>
      </c>
      <c r="X28" s="226"/>
      <c r="Y28" s="154" t="s">
        <v>2467</v>
      </c>
      <c r="Z28" s="725">
        <f t="shared" ref="Z28:AF28" si="7">sum(((1-(($AB22-Z$27)/(($AB22-Z$27)+11960)))/$AC22)-1)</f>
        <v>0.0118623962</v>
      </c>
      <c r="AA28" s="725">
        <f t="shared" si="7"/>
        <v>0.02400960384</v>
      </c>
      <c r="AB28" s="725">
        <f t="shared" si="7"/>
        <v>0.03645200486</v>
      </c>
      <c r="AC28" s="725">
        <f t="shared" si="7"/>
        <v>0.049200492</v>
      </c>
      <c r="AD28" s="725">
        <f t="shared" si="7"/>
        <v>0.06226650062</v>
      </c>
      <c r="AE28" s="725">
        <f t="shared" si="7"/>
        <v>0.07566204288</v>
      </c>
      <c r="AF28" s="725">
        <f t="shared" si="7"/>
        <v>0.08939974457</v>
      </c>
      <c r="AG28" s="718"/>
      <c r="AH28" s="112"/>
      <c r="AI28" s="112"/>
      <c r="AJ28" s="112"/>
      <c r="AK28" s="226"/>
      <c r="AL28" s="226"/>
      <c r="AM28" s="226"/>
      <c r="AN28" s="226"/>
      <c r="AO28" s="226"/>
      <c r="AP28" s="226"/>
      <c r="AQ28" s="226"/>
      <c r="AR28" s="226"/>
      <c r="AS28" s="226"/>
      <c r="AT28" s="226"/>
      <c r="AU28" s="226"/>
      <c r="AW28" s="456" t="s">
        <v>631</v>
      </c>
      <c r="AX28" s="456">
        <v>0.0</v>
      </c>
      <c r="AY28" s="457" t="s">
        <v>631</v>
      </c>
      <c r="AZ28" s="457">
        <v>174.78</v>
      </c>
      <c r="BA28" s="456" t="s">
        <v>631</v>
      </c>
      <c r="BB28" s="457">
        <v>21.0</v>
      </c>
      <c r="BC28" s="456" t="s">
        <v>631</v>
      </c>
      <c r="BD28" s="457">
        <v>0.0</v>
      </c>
      <c r="BE28" s="456" t="s">
        <v>631</v>
      </c>
      <c r="BF28" s="457">
        <v>39.0</v>
      </c>
      <c r="BG28" s="456" t="s">
        <v>631</v>
      </c>
      <c r="BH28" s="457">
        <v>38.0</v>
      </c>
      <c r="BI28" s="456" t="s">
        <v>631</v>
      </c>
      <c r="BJ28" s="457">
        <v>0.0</v>
      </c>
      <c r="BK28" s="456" t="s">
        <v>631</v>
      </c>
      <c r="BL28" s="457">
        <v>0.0</v>
      </c>
      <c r="BM28" s="456" t="s">
        <v>631</v>
      </c>
      <c r="BN28" s="457">
        <v>108.0</v>
      </c>
      <c r="BO28" s="340"/>
      <c r="BP28" s="340"/>
      <c r="BQ28" s="340"/>
    </row>
    <row r="29">
      <c r="A29" s="726" t="s">
        <v>2489</v>
      </c>
      <c r="B29" s="727">
        <f>ROUNDDOWN((I23/3.9423)+(K51/3.9423),0)</f>
        <v>17</v>
      </c>
      <c r="C29" s="727">
        <f>ROUNDDOWN((I23/3.9423)+(K53/3.9423),0)</f>
        <v>17</v>
      </c>
      <c r="D29" s="476"/>
      <c r="E29" s="476"/>
      <c r="F29" s="456" t="s">
        <v>2490</v>
      </c>
      <c r="G29" s="226"/>
      <c r="H29" s="226"/>
      <c r="I29" s="226"/>
      <c r="J29" s="226"/>
      <c r="K29" s="226"/>
      <c r="L29" s="226"/>
      <c r="M29" s="226"/>
      <c r="N29" s="226"/>
      <c r="O29" s="226"/>
      <c r="P29" s="226"/>
      <c r="Q29" s="226"/>
      <c r="R29" s="226"/>
      <c r="S29" s="465" t="s">
        <v>2491</v>
      </c>
      <c r="T29" s="465">
        <v>840.0</v>
      </c>
      <c r="U29" s="226"/>
      <c r="V29" s="728" t="s">
        <v>2492</v>
      </c>
      <c r="W29" s="729">
        <v>610.0</v>
      </c>
      <c r="X29" s="226"/>
      <c r="Y29" s="154" t="s">
        <v>2484</v>
      </c>
      <c r="Z29" s="725">
        <f t="shared" ref="Z29:AF29" si="8">sum(((1-(($AB23-Z$27)/(($AB23-Z$27)+11960)))/$AC23)-1)</f>
        <v>0.01243394467</v>
      </c>
      <c r="AA29" s="725">
        <f t="shared" si="8"/>
        <v>0.02518098835</v>
      </c>
      <c r="AB29" s="725">
        <f t="shared" si="8"/>
        <v>0.03825310807</v>
      </c>
      <c r="AC29" s="725">
        <f t="shared" si="8"/>
        <v>0.05166289958</v>
      </c>
      <c r="AD29" s="725">
        <f t="shared" si="8"/>
        <v>0.06542361793</v>
      </c>
      <c r="AE29" s="725">
        <f t="shared" si="8"/>
        <v>0.07954922108</v>
      </c>
      <c r="AF29" s="725">
        <f t="shared" si="8"/>
        <v>0.0940544172</v>
      </c>
      <c r="AG29" s="718"/>
      <c r="AH29" s="112"/>
      <c r="AI29" s="112"/>
      <c r="AJ29" s="112"/>
      <c r="AK29" s="226"/>
      <c r="AL29" s="226"/>
      <c r="AM29" s="226"/>
      <c r="AN29" s="226"/>
      <c r="AO29" s="226"/>
      <c r="AP29" s="226"/>
      <c r="AQ29" s="226"/>
      <c r="AR29" s="226"/>
      <c r="AS29" s="226"/>
      <c r="AT29" s="226"/>
      <c r="AU29" s="226"/>
      <c r="AW29" s="456" t="s">
        <v>628</v>
      </c>
      <c r="AX29" s="456">
        <v>0.0</v>
      </c>
      <c r="AY29" s="457" t="s">
        <v>628</v>
      </c>
      <c r="AZ29" s="457">
        <v>178.44</v>
      </c>
      <c r="BA29" s="456" t="s">
        <v>628</v>
      </c>
      <c r="BB29" s="457">
        <v>26.0</v>
      </c>
      <c r="BC29" s="456" t="s">
        <v>628</v>
      </c>
      <c r="BD29" s="457">
        <v>62.0</v>
      </c>
      <c r="BE29" s="456" t="s">
        <v>628</v>
      </c>
      <c r="BF29" s="457">
        <v>0.0</v>
      </c>
      <c r="BG29" s="456" t="s">
        <v>628</v>
      </c>
      <c r="BH29" s="457">
        <v>51.0</v>
      </c>
      <c r="BI29" s="456" t="s">
        <v>628</v>
      </c>
      <c r="BJ29" s="457">
        <v>0.0</v>
      </c>
      <c r="BK29" s="456" t="s">
        <v>628</v>
      </c>
      <c r="BL29" s="457">
        <v>0.0</v>
      </c>
      <c r="BM29" s="456" t="s">
        <v>628</v>
      </c>
      <c r="BN29" s="457">
        <v>0.0</v>
      </c>
      <c r="BO29" s="112"/>
      <c r="BP29" s="112"/>
      <c r="BQ29" s="112"/>
    </row>
    <row r="30">
      <c r="A30" s="730" t="s">
        <v>2493</v>
      </c>
      <c r="B30" s="731">
        <f>Round(B29*0.25+H44, 2)
</f>
        <v>6.25</v>
      </c>
      <c r="C30" s="732">
        <f>Round(C29*0.25+H44, 2)
</f>
        <v>6.25</v>
      </c>
      <c r="D30" s="226"/>
      <c r="E30" s="226"/>
      <c r="F30" s="456" t="s">
        <v>2494</v>
      </c>
      <c r="G30" s="226"/>
      <c r="H30" s="226"/>
      <c r="I30" s="226"/>
      <c r="J30" s="226"/>
      <c r="K30" s="226"/>
      <c r="L30" s="226"/>
      <c r="M30" s="226"/>
      <c r="N30" s="226"/>
      <c r="O30" s="226"/>
      <c r="P30" s="226"/>
      <c r="Q30" s="226"/>
      <c r="R30" s="226"/>
      <c r="S30" s="465" t="s">
        <v>2495</v>
      </c>
      <c r="T30" s="465">
        <v>1680.0</v>
      </c>
      <c r="U30" s="226"/>
      <c r="V30" s="226"/>
      <c r="W30" s="226"/>
      <c r="X30" s="226"/>
      <c r="Y30" s="615" t="s">
        <v>2476</v>
      </c>
      <c r="Z30" s="725">
        <f t="shared" ref="Z30:AF30" si="9">sum(((1-(($AB24-Z$27)/(($AB24-Z$27)+11960)))/$AC24)-1)</f>
        <v>0.01302083333</v>
      </c>
      <c r="AA30" s="725">
        <f t="shared" si="9"/>
        <v>0.02638522427</v>
      </c>
      <c r="AB30" s="725">
        <f t="shared" si="9"/>
        <v>0.04010695187</v>
      </c>
      <c r="AC30" s="725">
        <f t="shared" si="9"/>
        <v>0.05420054201</v>
      </c>
      <c r="AD30" s="725">
        <f t="shared" si="9"/>
        <v>0.06868131868</v>
      </c>
      <c r="AE30" s="725">
        <f t="shared" si="9"/>
        <v>0.08356545961</v>
      </c>
      <c r="AF30" s="725">
        <f t="shared" si="9"/>
        <v>0.0988700565</v>
      </c>
      <c r="AG30" s="718"/>
      <c r="AH30" s="112"/>
      <c r="AI30" s="112"/>
      <c r="AJ30" s="112"/>
      <c r="AK30" s="226"/>
      <c r="AL30" s="226"/>
      <c r="AM30" s="226"/>
      <c r="AN30" s="226"/>
      <c r="AO30" s="226"/>
      <c r="AP30" s="226"/>
      <c r="AQ30" s="226"/>
      <c r="AR30" s="226"/>
      <c r="AS30" s="226"/>
      <c r="AT30" s="226"/>
      <c r="AU30" s="226"/>
      <c r="AW30" s="497" t="s">
        <v>636</v>
      </c>
      <c r="AX30" s="456">
        <v>84.0</v>
      </c>
      <c r="AY30" s="498" t="s">
        <v>636</v>
      </c>
      <c r="AZ30" s="457">
        <v>165.2</v>
      </c>
      <c r="BA30" s="497" t="s">
        <v>636</v>
      </c>
      <c r="BB30" s="457">
        <v>18.0</v>
      </c>
      <c r="BC30" s="497" t="s">
        <v>636</v>
      </c>
      <c r="BD30" s="457">
        <v>45.0</v>
      </c>
      <c r="BE30" s="497" t="s">
        <v>636</v>
      </c>
      <c r="BF30" s="457">
        <v>0.0</v>
      </c>
      <c r="BG30" s="497" t="s">
        <v>636</v>
      </c>
      <c r="BH30" s="457">
        <v>41.0</v>
      </c>
      <c r="BI30" s="497" t="s">
        <v>636</v>
      </c>
      <c r="BJ30" s="457">
        <v>0.0</v>
      </c>
      <c r="BK30" s="497" t="s">
        <v>636</v>
      </c>
      <c r="BL30" s="457">
        <v>0.0</v>
      </c>
      <c r="BM30" s="497" t="s">
        <v>636</v>
      </c>
      <c r="BN30" s="457">
        <v>0.0</v>
      </c>
      <c r="BO30" s="112"/>
      <c r="BP30" s="112"/>
      <c r="BQ30" s="112"/>
    </row>
    <row r="31">
      <c r="A31" s="733" t="s">
        <v>564</v>
      </c>
      <c r="B31" s="734">
        <f>ROUND(K23+U28+W25+U31, 2)</f>
        <v>2016</v>
      </c>
      <c r="C31" s="735" t="s">
        <v>2491</v>
      </c>
      <c r="D31" s="226"/>
      <c r="E31" s="226"/>
      <c r="F31" s="456" t="s">
        <v>2496</v>
      </c>
      <c r="G31" s="226"/>
      <c r="H31" s="226"/>
      <c r="I31" s="226"/>
      <c r="J31" s="226"/>
      <c r="K31" s="226"/>
      <c r="L31" s="226"/>
      <c r="M31" s="226"/>
      <c r="N31" s="226"/>
      <c r="O31" s="226"/>
      <c r="P31" s="226"/>
      <c r="Q31" s="226"/>
      <c r="R31" s="226"/>
      <c r="S31" s="465" t="s">
        <v>2497</v>
      </c>
      <c r="T31" s="465">
        <v>0.0</v>
      </c>
      <c r="U31" s="226">
        <f>VLOOKUP(C32,S31:T32,2,FALSE)</f>
        <v>0</v>
      </c>
      <c r="V31" s="226"/>
      <c r="W31" s="226"/>
      <c r="X31" s="226"/>
      <c r="Y31" s="112"/>
      <c r="Z31" s="112"/>
      <c r="AA31" s="112"/>
      <c r="AB31" s="112"/>
      <c r="AC31" s="112"/>
      <c r="AD31" s="112"/>
      <c r="AE31" s="112"/>
      <c r="AF31" s="112"/>
      <c r="AG31" s="112"/>
      <c r="AH31" s="112"/>
      <c r="AI31" s="112"/>
      <c r="AJ31" s="112"/>
      <c r="AK31" s="226"/>
      <c r="AL31" s="226"/>
      <c r="AM31" s="226"/>
      <c r="AN31" s="226"/>
      <c r="AO31" s="226"/>
      <c r="AP31" s="226"/>
      <c r="AQ31" s="226"/>
      <c r="AR31" s="226"/>
      <c r="AS31" s="226"/>
      <c r="AT31" s="226"/>
      <c r="AU31" s="226"/>
      <c r="AW31" s="456" t="s">
        <v>641</v>
      </c>
      <c r="AX31" s="456">
        <v>105.0</v>
      </c>
      <c r="AY31" s="457" t="s">
        <v>641</v>
      </c>
      <c r="AZ31" s="457">
        <v>158.57</v>
      </c>
      <c r="BA31" s="456" t="s">
        <v>641</v>
      </c>
      <c r="BB31" s="457">
        <v>0.0</v>
      </c>
      <c r="BC31" s="456" t="s">
        <v>641</v>
      </c>
      <c r="BD31" s="457">
        <v>54.0</v>
      </c>
      <c r="BE31" s="456" t="s">
        <v>641</v>
      </c>
      <c r="BF31" s="457">
        <v>41.0</v>
      </c>
      <c r="BG31" s="456" t="s">
        <v>641</v>
      </c>
      <c r="BH31" s="457">
        <v>0.0</v>
      </c>
      <c r="BI31" s="456" t="s">
        <v>641</v>
      </c>
      <c r="BJ31" s="457">
        <v>0.0</v>
      </c>
      <c r="BK31" s="456" t="s">
        <v>641</v>
      </c>
      <c r="BL31" s="457">
        <v>0.0</v>
      </c>
      <c r="BM31" s="456" t="s">
        <v>641</v>
      </c>
      <c r="BN31" s="457">
        <v>0.0</v>
      </c>
      <c r="BO31" s="112"/>
      <c r="BP31" s="112"/>
      <c r="BQ31" s="112"/>
    </row>
    <row r="32">
      <c r="A32" s="736" t="s">
        <v>2459</v>
      </c>
      <c r="B32" s="737">
        <f>VLOOKUP(A32,Y19:Z20,2,FALSE)</f>
        <v>0.1488481985</v>
      </c>
      <c r="C32" s="735" t="s">
        <v>2497</v>
      </c>
      <c r="D32" s="226"/>
      <c r="E32" s="226"/>
      <c r="F32" s="456" t="s">
        <v>2498</v>
      </c>
      <c r="G32" s="476"/>
      <c r="H32" s="476"/>
      <c r="I32" s="476"/>
      <c r="J32" s="476"/>
      <c r="K32" s="476"/>
      <c r="L32" s="476"/>
      <c r="M32" s="476"/>
      <c r="N32" s="476"/>
      <c r="O32" s="476"/>
      <c r="P32" s="476"/>
      <c r="Q32" s="476"/>
      <c r="R32" s="226"/>
      <c r="S32" s="465" t="s">
        <v>2499</v>
      </c>
      <c r="T32" s="465">
        <v>300.0</v>
      </c>
      <c r="U32" s="226"/>
      <c r="V32" s="226"/>
      <c r="W32" s="226"/>
      <c r="X32" s="226"/>
      <c r="Y32" s="112"/>
      <c r="Z32" s="615" t="s">
        <v>2500</v>
      </c>
      <c r="AA32" s="112"/>
      <c r="AB32" s="112"/>
      <c r="AC32" s="112"/>
      <c r="AD32" s="112"/>
      <c r="AE32" s="112"/>
      <c r="AF32" s="112"/>
      <c r="AG32" s="112"/>
      <c r="AH32" s="112"/>
      <c r="AI32" s="112"/>
      <c r="AJ32" s="112"/>
      <c r="AK32" s="226"/>
      <c r="AL32" s="226"/>
      <c r="AM32" s="226"/>
      <c r="AN32" s="226"/>
      <c r="AO32" s="226"/>
      <c r="AP32" s="226"/>
      <c r="AQ32" s="226"/>
      <c r="AR32" s="226"/>
      <c r="AS32" s="226"/>
      <c r="AT32" s="226"/>
      <c r="AU32" s="226"/>
      <c r="AW32" s="456" t="s">
        <v>645</v>
      </c>
      <c r="AX32" s="456">
        <v>84.0</v>
      </c>
      <c r="AY32" s="457" t="s">
        <v>645</v>
      </c>
      <c r="AZ32" s="457">
        <v>150.27</v>
      </c>
      <c r="BA32" s="456" t="s">
        <v>645</v>
      </c>
      <c r="BB32" s="457">
        <v>12.0</v>
      </c>
      <c r="BC32" s="456" t="s">
        <v>645</v>
      </c>
      <c r="BD32" s="457">
        <v>39.0</v>
      </c>
      <c r="BE32" s="456" t="s">
        <v>645</v>
      </c>
      <c r="BF32" s="457">
        <v>0.0</v>
      </c>
      <c r="BG32" s="456" t="s">
        <v>645</v>
      </c>
      <c r="BH32" s="457">
        <v>35.0</v>
      </c>
      <c r="BI32" s="456" t="s">
        <v>645</v>
      </c>
      <c r="BJ32" s="457">
        <v>0.0</v>
      </c>
      <c r="BK32" s="456" t="s">
        <v>645</v>
      </c>
      <c r="BL32" s="457">
        <v>0.0</v>
      </c>
      <c r="BM32" s="456" t="s">
        <v>645</v>
      </c>
      <c r="BN32" s="457">
        <v>0.0</v>
      </c>
      <c r="BO32" s="112"/>
      <c r="BP32" s="112"/>
      <c r="BQ32" s="112"/>
    </row>
    <row r="33">
      <c r="A33" s="736" t="s">
        <v>2501</v>
      </c>
      <c r="B33" s="738">
        <f>C33-B31</f>
        <v>1584</v>
      </c>
      <c r="C33" s="590">
        <f>VLOOKUP(A32,AA14:AB15,2,FALSE)</f>
        <v>3600</v>
      </c>
      <c r="D33" s="226"/>
      <c r="E33" s="226"/>
      <c r="F33" s="739" t="s">
        <v>2502</v>
      </c>
      <c r="G33" s="740"/>
      <c r="H33" s="740"/>
      <c r="I33" s="740"/>
      <c r="J33" s="740"/>
      <c r="K33" s="740"/>
      <c r="L33" s="740"/>
      <c r="M33" s="740"/>
      <c r="N33" s="740"/>
      <c r="O33" s="740"/>
      <c r="P33" s="740"/>
      <c r="Q33" s="740"/>
      <c r="R33" s="226"/>
      <c r="S33" s="226"/>
      <c r="T33" s="226"/>
      <c r="U33" s="226"/>
      <c r="V33" s="226"/>
      <c r="W33" s="226"/>
      <c r="X33" s="226"/>
      <c r="Y33" s="112"/>
      <c r="Z33" s="112">
        <f t="shared" ref="Z33:AG33" si="10">Z27</f>
        <v>200</v>
      </c>
      <c r="AA33" s="112">
        <f t="shared" si="10"/>
        <v>400</v>
      </c>
      <c r="AB33" s="112">
        <f t="shared" si="10"/>
        <v>600</v>
      </c>
      <c r="AC33" s="112">
        <f t="shared" si="10"/>
        <v>800</v>
      </c>
      <c r="AD33" s="112">
        <f t="shared" si="10"/>
        <v>1000</v>
      </c>
      <c r="AE33" s="112">
        <f t="shared" si="10"/>
        <v>1200</v>
      </c>
      <c r="AF33" s="112">
        <f t="shared" si="10"/>
        <v>1400</v>
      </c>
      <c r="AG33" s="112" t="str">
        <f t="shared" si="10"/>
        <v/>
      </c>
      <c r="AH33" s="112"/>
      <c r="AI33" s="112"/>
      <c r="AJ33" s="112"/>
      <c r="AK33" s="226"/>
      <c r="AL33" s="226"/>
      <c r="AM33" s="226"/>
      <c r="AN33" s="226"/>
      <c r="AO33" s="226"/>
      <c r="AP33" s="226"/>
      <c r="AQ33" s="226"/>
      <c r="AR33" s="226"/>
      <c r="AS33" s="226"/>
      <c r="AT33" s="226"/>
      <c r="AU33" s="226"/>
      <c r="AW33" s="505" t="s">
        <v>638</v>
      </c>
      <c r="AX33" s="506">
        <v>0.0</v>
      </c>
      <c r="AY33" s="507" t="s">
        <v>638</v>
      </c>
      <c r="AZ33" s="508">
        <v>161.9</v>
      </c>
      <c r="BA33" s="505" t="s">
        <v>638</v>
      </c>
      <c r="BB33" s="508">
        <v>34.0</v>
      </c>
      <c r="BC33" s="505" t="s">
        <v>638</v>
      </c>
      <c r="BD33" s="508">
        <v>51.0</v>
      </c>
      <c r="BE33" s="505" t="s">
        <v>638</v>
      </c>
      <c r="BF33" s="508">
        <v>0.0</v>
      </c>
      <c r="BG33" s="505" t="s">
        <v>638</v>
      </c>
      <c r="BH33" s="508">
        <v>42.0</v>
      </c>
      <c r="BI33" s="505" t="s">
        <v>638</v>
      </c>
      <c r="BJ33" s="508">
        <v>0.0</v>
      </c>
      <c r="BK33" s="505" t="s">
        <v>638</v>
      </c>
      <c r="BL33" s="508">
        <v>0.0</v>
      </c>
      <c r="BM33" s="505" t="s">
        <v>638</v>
      </c>
      <c r="BN33" s="508">
        <v>0.0</v>
      </c>
      <c r="BO33" s="112"/>
      <c r="BP33" s="112"/>
      <c r="BQ33" s="112"/>
    </row>
    <row r="34">
      <c r="A34" s="458" t="s">
        <v>1998</v>
      </c>
      <c r="B34" s="449" t="s">
        <v>1999</v>
      </c>
      <c r="C34" s="449" t="s">
        <v>2000</v>
      </c>
      <c r="D34" s="449" t="s">
        <v>2001</v>
      </c>
      <c r="E34" s="456"/>
      <c r="F34" s="226"/>
      <c r="G34" s="226"/>
      <c r="H34" s="226"/>
      <c r="I34" s="226"/>
      <c r="J34" s="226"/>
      <c r="K34" s="226"/>
      <c r="L34" s="226"/>
      <c r="M34" s="226"/>
      <c r="N34" s="226"/>
      <c r="O34" s="226"/>
      <c r="P34" s="226"/>
      <c r="Q34" s="226"/>
      <c r="R34" s="476"/>
      <c r="S34" s="226"/>
      <c r="T34" s="226"/>
      <c r="U34" s="226"/>
      <c r="V34" s="226"/>
      <c r="W34" s="226"/>
      <c r="X34" s="226"/>
      <c r="Y34" s="154" t="s">
        <v>2467</v>
      </c>
      <c r="Z34" s="725">
        <f t="shared" ref="Z34:Z36" si="12">Z28</f>
        <v>0.0118623962</v>
      </c>
      <c r="AA34" s="725">
        <f t="shared" ref="AA34:AF34" si="11">AA28-Z28</f>
        <v>0.01214720764</v>
      </c>
      <c r="AB34" s="725">
        <f t="shared" si="11"/>
        <v>0.01244240102</v>
      </c>
      <c r="AC34" s="725">
        <f t="shared" si="11"/>
        <v>0.01274848714</v>
      </c>
      <c r="AD34" s="725">
        <f t="shared" si="11"/>
        <v>0.01306600862</v>
      </c>
      <c r="AE34" s="725">
        <f t="shared" si="11"/>
        <v>0.01339554225</v>
      </c>
      <c r="AF34" s="725">
        <f t="shared" si="11"/>
        <v>0.0137377017</v>
      </c>
      <c r="AG34" s="112"/>
      <c r="AH34" s="112"/>
      <c r="AI34" s="112"/>
      <c r="AJ34" s="112"/>
      <c r="AK34" s="226"/>
      <c r="AL34" s="226"/>
      <c r="AM34" s="226"/>
      <c r="AN34" s="226"/>
      <c r="AO34" s="226"/>
      <c r="AP34" s="226"/>
      <c r="AQ34" s="226"/>
      <c r="AR34" s="226"/>
      <c r="AS34" s="226"/>
      <c r="AT34" s="226"/>
      <c r="AU34" s="226"/>
      <c r="AW34" s="510" t="s">
        <v>648</v>
      </c>
      <c r="AX34" s="506">
        <v>0.0</v>
      </c>
      <c r="AY34" s="511" t="s">
        <v>648</v>
      </c>
      <c r="AZ34" s="508">
        <v>145.9</v>
      </c>
      <c r="BA34" s="510" t="s">
        <v>648</v>
      </c>
      <c r="BB34" s="508">
        <v>21.0</v>
      </c>
      <c r="BC34" s="510" t="s">
        <v>648</v>
      </c>
      <c r="BD34" s="508">
        <v>47.0</v>
      </c>
      <c r="BE34" s="510" t="s">
        <v>648</v>
      </c>
      <c r="BF34" s="508">
        <v>0.0</v>
      </c>
      <c r="BG34" s="510" t="s">
        <v>648</v>
      </c>
      <c r="BH34" s="508">
        <v>36.0</v>
      </c>
      <c r="BI34" s="510" t="s">
        <v>648</v>
      </c>
      <c r="BJ34" s="508">
        <v>0.0</v>
      </c>
      <c r="BK34" s="510" t="s">
        <v>648</v>
      </c>
      <c r="BL34" s="508">
        <v>0.0</v>
      </c>
      <c r="BM34" s="510" t="s">
        <v>648</v>
      </c>
      <c r="BN34" s="508">
        <v>0.0</v>
      </c>
      <c r="BO34" s="112"/>
      <c r="BP34" s="112"/>
      <c r="BQ34" s="112"/>
    </row>
    <row r="35">
      <c r="A35" s="499" t="s">
        <v>2003</v>
      </c>
      <c r="B35" s="500">
        <f>Round(V23+D35,0)</f>
        <v>7</v>
      </c>
      <c r="C35" s="501" t="s">
        <v>2004</v>
      </c>
      <c r="D35" s="502">
        <v>-3.0</v>
      </c>
      <c r="E35" s="465"/>
      <c r="F35" s="456" t="s">
        <v>2002</v>
      </c>
      <c r="G35" s="226"/>
      <c r="H35" s="226"/>
      <c r="I35" s="226"/>
      <c r="J35" s="226"/>
      <c r="K35" s="226"/>
      <c r="L35" s="226"/>
      <c r="M35" s="226"/>
      <c r="N35" s="226"/>
      <c r="O35" s="226"/>
      <c r="P35" s="226"/>
      <c r="Q35" s="226"/>
      <c r="R35" s="226"/>
      <c r="S35" s="226"/>
      <c r="T35" s="226"/>
      <c r="U35" s="226"/>
      <c r="V35" s="226"/>
      <c r="W35" s="226"/>
      <c r="X35" s="226"/>
      <c r="Y35" s="154" t="s">
        <v>2484</v>
      </c>
      <c r="Z35" s="725">
        <f t="shared" si="12"/>
        <v>0.01243394467</v>
      </c>
      <c r="AA35" s="725">
        <f t="shared" ref="AA35:AF35" si="13">AA29-Z29</f>
        <v>0.01274704368</v>
      </c>
      <c r="AB35" s="725">
        <f t="shared" si="13"/>
        <v>0.01307211971</v>
      </c>
      <c r="AC35" s="725">
        <f t="shared" si="13"/>
        <v>0.01340979152</v>
      </c>
      <c r="AD35" s="725">
        <f t="shared" si="13"/>
        <v>0.01376071835</v>
      </c>
      <c r="AE35" s="725">
        <f t="shared" si="13"/>
        <v>0.01412560315</v>
      </c>
      <c r="AF35" s="725">
        <f t="shared" si="13"/>
        <v>0.01450519612</v>
      </c>
      <c r="AG35" s="112"/>
      <c r="AH35" s="112"/>
      <c r="AI35" s="112"/>
      <c r="AJ35" s="112"/>
      <c r="AK35" s="226"/>
      <c r="AL35" s="226"/>
      <c r="AM35" s="226"/>
      <c r="AN35" s="226"/>
      <c r="AO35" s="226"/>
      <c r="AP35" s="226"/>
      <c r="AQ35" s="226"/>
      <c r="AR35" s="226"/>
      <c r="AS35" s="226"/>
      <c r="AT35" s="226"/>
      <c r="AU35" s="226"/>
      <c r="AW35" s="510" t="s">
        <v>652</v>
      </c>
      <c r="AX35" s="506">
        <v>0.0</v>
      </c>
      <c r="AY35" s="511" t="s">
        <v>652</v>
      </c>
      <c r="AZ35" s="508">
        <v>144.08</v>
      </c>
      <c r="BA35" s="510" t="s">
        <v>652</v>
      </c>
      <c r="BB35" s="508">
        <v>13.0</v>
      </c>
      <c r="BC35" s="510" t="s">
        <v>652</v>
      </c>
      <c r="BD35" s="508">
        <v>48.0</v>
      </c>
      <c r="BE35" s="510" t="s">
        <v>652</v>
      </c>
      <c r="BF35" s="508">
        <v>0.0</v>
      </c>
      <c r="BG35" s="510" t="s">
        <v>652</v>
      </c>
      <c r="BH35" s="508">
        <v>38.0</v>
      </c>
      <c r="BI35" s="510" t="s">
        <v>652</v>
      </c>
      <c r="BJ35" s="508">
        <v>0.0</v>
      </c>
      <c r="BK35" s="510" t="s">
        <v>652</v>
      </c>
      <c r="BL35" s="508">
        <v>0.0</v>
      </c>
      <c r="BM35" s="510" t="s">
        <v>652</v>
      </c>
      <c r="BN35" s="508">
        <v>0.0</v>
      </c>
      <c r="BO35" s="112"/>
      <c r="BP35" s="112"/>
      <c r="BQ35" s="112"/>
    </row>
    <row r="36">
      <c r="A36" s="503" t="s">
        <v>2006</v>
      </c>
      <c r="B36" s="504">
        <f>ROUND(W23+D36,0)</f>
        <v>4</v>
      </c>
      <c r="C36" s="501" t="s">
        <v>2007</v>
      </c>
      <c r="D36" s="502">
        <v>1.0</v>
      </c>
      <c r="E36" s="465"/>
      <c r="F36" s="456" t="s">
        <v>2005</v>
      </c>
      <c r="G36" s="226"/>
      <c r="H36" s="226"/>
      <c r="I36" s="226"/>
      <c r="J36" s="226"/>
      <c r="K36" s="226"/>
      <c r="L36" s="226"/>
      <c r="M36" s="226"/>
      <c r="N36" s="226"/>
      <c r="O36" s="226"/>
      <c r="P36" s="226"/>
      <c r="Q36" s="226"/>
      <c r="R36" s="226"/>
      <c r="S36" s="226"/>
      <c r="T36" s="226"/>
      <c r="U36" s="226"/>
      <c r="V36" s="226"/>
      <c r="W36" s="226"/>
      <c r="X36" s="226"/>
      <c r="Y36" s="154" t="s">
        <v>2476</v>
      </c>
      <c r="Z36" s="725">
        <f t="shared" si="12"/>
        <v>0.01302083333</v>
      </c>
      <c r="AA36" s="725">
        <f t="shared" ref="AA36:AF36" si="14">AA30-Z30</f>
        <v>0.01336439094</v>
      </c>
      <c r="AB36" s="725">
        <f t="shared" si="14"/>
        <v>0.0137217276</v>
      </c>
      <c r="AC36" s="725">
        <f t="shared" si="14"/>
        <v>0.01409359013</v>
      </c>
      <c r="AD36" s="725">
        <f t="shared" si="14"/>
        <v>0.01448077668</v>
      </c>
      <c r="AE36" s="725">
        <f t="shared" si="14"/>
        <v>0.01488414093</v>
      </c>
      <c r="AF36" s="725">
        <f t="shared" si="14"/>
        <v>0.01530459689</v>
      </c>
      <c r="AG36" s="112"/>
      <c r="AH36" s="112"/>
      <c r="AI36" s="112"/>
      <c r="AJ36" s="112"/>
      <c r="AK36" s="226"/>
      <c r="AL36" s="226"/>
      <c r="AM36" s="226"/>
      <c r="AN36" s="226"/>
      <c r="AO36" s="226"/>
      <c r="AP36" s="226"/>
      <c r="AQ36" s="226"/>
      <c r="AR36" s="226"/>
      <c r="AS36" s="226"/>
      <c r="AT36" s="226"/>
      <c r="AU36" s="226"/>
      <c r="AW36" s="510" t="s">
        <v>655</v>
      </c>
      <c r="AX36" s="506">
        <v>0.0</v>
      </c>
      <c r="AY36" s="511" t="s">
        <v>655</v>
      </c>
      <c r="AZ36" s="508">
        <v>130.54</v>
      </c>
      <c r="BA36" s="510" t="s">
        <v>655</v>
      </c>
      <c r="BB36" s="508">
        <v>14.0</v>
      </c>
      <c r="BC36" s="510" t="s">
        <v>655</v>
      </c>
      <c r="BD36" s="508">
        <v>45.0</v>
      </c>
      <c r="BE36" s="510" t="s">
        <v>655</v>
      </c>
      <c r="BF36" s="508">
        <v>0.0</v>
      </c>
      <c r="BG36" s="510" t="s">
        <v>655</v>
      </c>
      <c r="BH36" s="508">
        <v>24.0</v>
      </c>
      <c r="BI36" s="510" t="s">
        <v>655</v>
      </c>
      <c r="BJ36" s="508">
        <v>0.0</v>
      </c>
      <c r="BK36" s="510" t="s">
        <v>655</v>
      </c>
      <c r="BL36" s="508">
        <v>0.0</v>
      </c>
      <c r="BM36" s="510" t="s">
        <v>655</v>
      </c>
      <c r="BN36" s="508">
        <v>0.0</v>
      </c>
      <c r="BO36" s="112"/>
      <c r="BP36" s="112"/>
      <c r="BQ36" s="112"/>
    </row>
    <row r="37">
      <c r="A37" s="512" t="s">
        <v>2012</v>
      </c>
      <c r="B37" s="502">
        <v>2.0</v>
      </c>
      <c r="C37" s="501" t="s">
        <v>2013</v>
      </c>
      <c r="D37" s="465">
        <v>0.0</v>
      </c>
      <c r="E37" s="465"/>
      <c r="F37" s="456" t="s">
        <v>2503</v>
      </c>
      <c r="G37" s="226"/>
      <c r="H37" s="226"/>
      <c r="I37" s="226"/>
      <c r="J37" s="226"/>
      <c r="K37" s="226"/>
      <c r="L37" s="226"/>
      <c r="M37" s="226"/>
      <c r="N37" s="226"/>
      <c r="O37" s="226"/>
      <c r="P37" s="226"/>
      <c r="Q37" s="226"/>
      <c r="R37" s="226"/>
      <c r="S37" s="226"/>
      <c r="T37" s="226"/>
      <c r="U37" s="226"/>
      <c r="V37" s="226"/>
      <c r="W37" s="226"/>
      <c r="X37" s="226"/>
      <c r="Y37" s="226"/>
      <c r="Z37" s="226"/>
      <c r="AA37" s="226"/>
      <c r="AB37" s="226"/>
      <c r="AC37" s="226"/>
      <c r="AD37" s="226"/>
      <c r="AE37" s="226"/>
      <c r="AF37" s="226"/>
      <c r="AG37" s="226"/>
      <c r="AH37" s="226"/>
      <c r="AI37" s="226"/>
      <c r="AJ37" s="226"/>
      <c r="AK37" s="226"/>
      <c r="AL37" s="226"/>
      <c r="AM37" s="226"/>
      <c r="AN37" s="226"/>
      <c r="AO37" s="226"/>
      <c r="AP37" s="226"/>
      <c r="AQ37" s="226"/>
      <c r="AR37" s="226"/>
      <c r="AS37" s="226"/>
      <c r="AT37" s="226"/>
      <c r="AU37" s="226"/>
      <c r="AW37" s="456" t="s">
        <v>1069</v>
      </c>
      <c r="AX37" s="456">
        <v>0.0</v>
      </c>
      <c r="AY37" s="511" t="s">
        <v>1069</v>
      </c>
      <c r="AZ37" s="508">
        <v>125.72</v>
      </c>
      <c r="BA37" s="456" t="s">
        <v>1069</v>
      </c>
      <c r="BB37" s="456">
        <v>14.0</v>
      </c>
      <c r="BC37" s="511" t="s">
        <v>1069</v>
      </c>
      <c r="BD37" s="508">
        <v>35.0</v>
      </c>
      <c r="BE37" s="456" t="s">
        <v>1069</v>
      </c>
      <c r="BF37" s="456">
        <v>0.0</v>
      </c>
      <c r="BG37" s="511" t="s">
        <v>1069</v>
      </c>
      <c r="BH37" s="508">
        <v>31.0</v>
      </c>
      <c r="BI37" s="456" t="s">
        <v>1069</v>
      </c>
      <c r="BJ37" s="456">
        <v>0.0</v>
      </c>
      <c r="BK37" s="511" t="s">
        <v>1069</v>
      </c>
      <c r="BL37" s="508">
        <v>0.0</v>
      </c>
      <c r="BM37" s="456" t="s">
        <v>1069</v>
      </c>
      <c r="BN37" s="456">
        <v>0.0</v>
      </c>
      <c r="BO37" s="511"/>
      <c r="BP37" s="508"/>
      <c r="BQ37" s="112"/>
    </row>
    <row r="38">
      <c r="A38" s="503" t="s">
        <v>2009</v>
      </c>
      <c r="B38" s="502">
        <v>0.0</v>
      </c>
      <c r="C38" s="501" t="s">
        <v>2010</v>
      </c>
      <c r="D38" s="465">
        <v>0.0</v>
      </c>
      <c r="E38" s="465"/>
      <c r="F38" s="509" t="s">
        <v>2504</v>
      </c>
      <c r="G38" s="465"/>
      <c r="H38" s="465"/>
      <c r="I38" s="465"/>
      <c r="J38" s="465"/>
      <c r="K38" s="465"/>
      <c r="L38" s="482"/>
      <c r="M38" s="226"/>
      <c r="N38" s="226"/>
      <c r="O38" s="226"/>
      <c r="P38" s="226"/>
      <c r="Q38" s="226"/>
      <c r="R38" s="226"/>
      <c r="S38" s="226"/>
      <c r="T38" s="226"/>
      <c r="U38" s="226"/>
      <c r="V38" s="226"/>
      <c r="W38" s="226"/>
      <c r="X38" s="226"/>
      <c r="Y38" s="226"/>
      <c r="Z38" s="226"/>
      <c r="AA38" s="226"/>
      <c r="AB38" s="226"/>
      <c r="AC38" s="226"/>
      <c r="AD38" s="226"/>
      <c r="AE38" s="226"/>
      <c r="AF38" s="226"/>
      <c r="AG38" s="226"/>
      <c r="AH38" s="226"/>
      <c r="AI38" s="226"/>
      <c r="AJ38" s="226"/>
      <c r="AK38" s="226"/>
      <c r="AL38" s="226"/>
      <c r="AM38" s="226"/>
      <c r="AN38" s="226"/>
      <c r="AO38" s="226"/>
      <c r="AP38" s="226"/>
      <c r="AQ38" s="226"/>
      <c r="AR38" s="226"/>
      <c r="AS38" s="226"/>
      <c r="AT38" s="226"/>
      <c r="AU38" s="226"/>
      <c r="BO38" s="112"/>
      <c r="BP38" s="112"/>
      <c r="BQ38" s="112"/>
    </row>
    <row r="39">
      <c r="A39" s="513" t="s">
        <v>2014</v>
      </c>
      <c r="B39" s="502">
        <v>0.0</v>
      </c>
      <c r="C39" s="501" t="s">
        <v>2015</v>
      </c>
      <c r="D39" s="226"/>
      <c r="E39" s="226"/>
      <c r="F39" s="522" t="s">
        <v>2505</v>
      </c>
      <c r="G39" s="465"/>
      <c r="H39" s="465"/>
      <c r="I39" s="465"/>
      <c r="J39" s="465"/>
      <c r="K39" s="465"/>
      <c r="L39" s="482"/>
      <c r="M39" s="523"/>
      <c r="N39" s="523"/>
      <c r="O39" s="523"/>
      <c r="P39" s="523"/>
      <c r="Q39" s="226"/>
      <c r="R39" s="226"/>
      <c r="S39" s="226"/>
      <c r="T39" s="226"/>
      <c r="U39" s="226"/>
      <c r="V39" s="226"/>
      <c r="W39" s="226"/>
      <c r="X39" s="226"/>
      <c r="Y39" s="226"/>
      <c r="Z39" s="226"/>
      <c r="AA39" s="226"/>
      <c r="AB39" s="226"/>
      <c r="AC39" s="226"/>
      <c r="AD39" s="226"/>
      <c r="AE39" s="226"/>
      <c r="AF39" s="226"/>
      <c r="AG39" s="226"/>
      <c r="AH39" s="226"/>
      <c r="AI39" s="226"/>
      <c r="AJ39" s="226"/>
      <c r="AK39" s="226"/>
      <c r="AL39" s="226"/>
      <c r="AM39" s="226"/>
      <c r="AN39" s="226"/>
      <c r="AO39" s="226"/>
      <c r="AP39" s="226"/>
      <c r="AQ39" s="226"/>
      <c r="AR39" s="226"/>
      <c r="AS39" s="226"/>
      <c r="AT39" s="226"/>
      <c r="AU39" s="226"/>
      <c r="AW39" s="449" t="s">
        <v>2020</v>
      </c>
      <c r="AX39" s="449" t="s">
        <v>1920</v>
      </c>
      <c r="AY39" s="450" t="s">
        <v>2021</v>
      </c>
      <c r="AZ39" s="450" t="s">
        <v>1922</v>
      </c>
      <c r="BA39" s="449" t="s">
        <v>2020</v>
      </c>
      <c r="BB39" s="450" t="s">
        <v>2022</v>
      </c>
      <c r="BC39" s="449" t="s">
        <v>2020</v>
      </c>
      <c r="BD39" s="450" t="s">
        <v>2023</v>
      </c>
      <c r="BE39" s="449" t="s">
        <v>2020</v>
      </c>
      <c r="BF39" s="450" t="s">
        <v>2024</v>
      </c>
      <c r="BG39" s="449" t="s">
        <v>2020</v>
      </c>
      <c r="BH39" s="450" t="s">
        <v>2025</v>
      </c>
      <c r="BI39" s="449" t="s">
        <v>2020</v>
      </c>
      <c r="BJ39" s="450" t="s">
        <v>2026</v>
      </c>
      <c r="BK39" s="449" t="s">
        <v>2020</v>
      </c>
      <c r="BL39" s="450" t="s">
        <v>2027</v>
      </c>
      <c r="BM39" s="449" t="s">
        <v>2020</v>
      </c>
      <c r="BN39" s="450" t="s">
        <v>2028</v>
      </c>
      <c r="BO39" s="112"/>
      <c r="BP39" s="112"/>
      <c r="BQ39" s="112"/>
    </row>
    <row r="40">
      <c r="A40" s="513" t="s">
        <v>2016</v>
      </c>
      <c r="B40" s="502">
        <v>0.0</v>
      </c>
      <c r="C40" s="501" t="s">
        <v>2017</v>
      </c>
      <c r="D40" s="226"/>
      <c r="E40" s="226"/>
      <c r="F40" s="741" t="s">
        <v>2506</v>
      </c>
      <c r="G40" s="226"/>
      <c r="H40" s="226"/>
      <c r="I40" s="226"/>
      <c r="J40" s="226"/>
      <c r="K40" s="226"/>
      <c r="L40" s="226"/>
      <c r="M40" s="226"/>
      <c r="N40" s="226"/>
      <c r="O40" s="226"/>
      <c r="P40" s="226"/>
      <c r="Q40" s="226"/>
      <c r="R40" s="226"/>
      <c r="S40" s="226"/>
      <c r="T40" s="226"/>
      <c r="U40" s="226"/>
      <c r="V40" s="226"/>
      <c r="W40" s="226"/>
      <c r="X40" s="226"/>
      <c r="Y40" s="226"/>
      <c r="Z40" s="226"/>
      <c r="AA40" s="226"/>
      <c r="AB40" s="226"/>
      <c r="AC40" s="226"/>
      <c r="AD40" s="226"/>
      <c r="AE40" s="226"/>
      <c r="AF40" s="226"/>
      <c r="AG40" s="226"/>
      <c r="AH40" s="226"/>
      <c r="AI40" s="226"/>
      <c r="AJ40" s="226"/>
      <c r="AK40" s="226"/>
      <c r="AL40" s="226"/>
      <c r="AM40" s="226"/>
      <c r="AN40" s="226"/>
      <c r="AO40" s="226"/>
      <c r="AP40" s="226"/>
      <c r="AQ40" s="226"/>
      <c r="AR40" s="226"/>
      <c r="AS40" s="226"/>
      <c r="AT40" s="226"/>
      <c r="AU40" s="226"/>
      <c r="AW40" s="454" t="s">
        <v>725</v>
      </c>
      <c r="AX40" s="454">
        <v>0.0</v>
      </c>
      <c r="AY40" s="515" t="s">
        <v>725</v>
      </c>
      <c r="AZ40" s="457">
        <v>88.45</v>
      </c>
      <c r="BA40" s="454" t="s">
        <v>725</v>
      </c>
      <c r="BB40" s="457">
        <v>0.0</v>
      </c>
      <c r="BC40" s="454" t="s">
        <v>725</v>
      </c>
      <c r="BD40" s="457">
        <v>0.0</v>
      </c>
      <c r="BE40" s="454" t="s">
        <v>725</v>
      </c>
      <c r="BF40" s="457">
        <v>26.0</v>
      </c>
      <c r="BG40" s="454" t="s">
        <v>725</v>
      </c>
      <c r="BH40" s="457">
        <v>0.0</v>
      </c>
      <c r="BI40" s="454" t="s">
        <v>725</v>
      </c>
      <c r="BJ40" s="457">
        <v>32.0</v>
      </c>
      <c r="BK40" s="454" t="s">
        <v>725</v>
      </c>
      <c r="BL40" s="457">
        <v>0.0</v>
      </c>
      <c r="BM40" s="454" t="s">
        <v>725</v>
      </c>
      <c r="BN40" s="457">
        <v>72.0</v>
      </c>
      <c r="BO40" s="112"/>
      <c r="BP40" s="112"/>
      <c r="BQ40" s="112"/>
    </row>
    <row r="41">
      <c r="A41" s="226"/>
      <c r="B41" s="226"/>
      <c r="C41" s="465" t="s">
        <v>2048</v>
      </c>
      <c r="D41" s="465">
        <v>9.0</v>
      </c>
      <c r="E41" s="226"/>
      <c r="F41" s="226"/>
      <c r="G41" s="226"/>
      <c r="H41" s="226"/>
      <c r="I41" s="226"/>
      <c r="J41" s="226"/>
      <c r="K41" s="226"/>
      <c r="L41" s="226"/>
      <c r="M41" s="226"/>
      <c r="N41" s="226"/>
      <c r="O41" s="226"/>
      <c r="P41" s="226"/>
      <c r="Q41" s="226"/>
      <c r="R41" s="226"/>
      <c r="S41" s="226"/>
      <c r="T41" s="226"/>
      <c r="U41" s="226"/>
      <c r="V41" s="226"/>
      <c r="W41" s="226"/>
      <c r="X41" s="226"/>
      <c r="Y41" s="226"/>
      <c r="Z41" s="226"/>
      <c r="AA41" s="226"/>
      <c r="AB41" s="226"/>
      <c r="AC41" s="226"/>
      <c r="AD41" s="226"/>
      <c r="AE41" s="226"/>
      <c r="AF41" s="226"/>
      <c r="AG41" s="226"/>
      <c r="AH41" s="226"/>
      <c r="AI41" s="226"/>
      <c r="AJ41" s="226"/>
      <c r="AK41" s="226"/>
      <c r="AL41" s="226"/>
      <c r="AM41" s="226"/>
      <c r="AN41" s="226"/>
      <c r="AO41" s="226"/>
      <c r="AP41" s="226"/>
      <c r="AQ41" s="226"/>
      <c r="AR41" s="226"/>
      <c r="AS41" s="226"/>
      <c r="AT41" s="226"/>
      <c r="AU41" s="226"/>
      <c r="AW41" s="454" t="s">
        <v>726</v>
      </c>
      <c r="AX41" s="454">
        <v>0.0</v>
      </c>
      <c r="AY41" s="515" t="s">
        <v>726</v>
      </c>
      <c r="AZ41" s="457">
        <v>64.4</v>
      </c>
      <c r="BA41" s="454" t="s">
        <v>726</v>
      </c>
      <c r="BB41" s="457">
        <v>17.0</v>
      </c>
      <c r="BC41" s="454" t="s">
        <v>726</v>
      </c>
      <c r="BD41" s="457">
        <v>0.0</v>
      </c>
      <c r="BE41" s="454" t="s">
        <v>726</v>
      </c>
      <c r="BF41" s="457">
        <v>0.0</v>
      </c>
      <c r="BG41" s="454" t="s">
        <v>726</v>
      </c>
      <c r="BH41" s="457">
        <v>24.0</v>
      </c>
      <c r="BI41" s="454" t="s">
        <v>726</v>
      </c>
      <c r="BJ41" s="457">
        <v>0.0</v>
      </c>
      <c r="BK41" s="454" t="s">
        <v>726</v>
      </c>
      <c r="BL41" s="457">
        <v>0.0</v>
      </c>
      <c r="BM41" s="454" t="s">
        <v>726</v>
      </c>
      <c r="BN41" s="457">
        <v>72.0</v>
      </c>
      <c r="BO41" s="112"/>
      <c r="BP41" s="112"/>
      <c r="BQ41" s="112"/>
    </row>
    <row r="42">
      <c r="A42" s="742" t="s">
        <v>2507</v>
      </c>
      <c r="B42" s="743" t="s">
        <v>2051</v>
      </c>
      <c r="C42" s="465" t="s">
        <v>2051</v>
      </c>
      <c r="D42" s="465">
        <v>0.0</v>
      </c>
      <c r="E42" s="226"/>
      <c r="F42" s="744" t="s">
        <v>2508</v>
      </c>
      <c r="G42" s="226"/>
      <c r="H42" s="226"/>
      <c r="I42" s="226"/>
      <c r="J42" s="226"/>
      <c r="K42" s="226"/>
      <c r="L42" s="226"/>
      <c r="M42" s="226"/>
      <c r="N42" s="226"/>
      <c r="O42" s="226"/>
      <c r="P42" s="226"/>
      <c r="Q42" s="226"/>
      <c r="R42" s="226"/>
      <c r="S42" s="226"/>
      <c r="T42" s="226"/>
      <c r="U42" s="226"/>
      <c r="V42" s="226"/>
      <c r="W42" s="226"/>
      <c r="X42" s="226"/>
      <c r="Y42" s="226"/>
      <c r="Z42" s="226"/>
      <c r="AA42" s="226"/>
      <c r="AB42" s="226"/>
      <c r="AC42" s="226"/>
      <c r="AD42" s="226"/>
      <c r="AE42" s="226"/>
      <c r="AF42" s="226"/>
      <c r="AG42" s="226"/>
      <c r="AH42" s="226"/>
      <c r="AI42" s="226"/>
      <c r="AJ42" s="226"/>
      <c r="AK42" s="226"/>
      <c r="AL42" s="226"/>
      <c r="AM42" s="226"/>
      <c r="AN42" s="226"/>
      <c r="AO42" s="226"/>
      <c r="AP42" s="226"/>
      <c r="AQ42" s="226"/>
      <c r="AR42" s="226"/>
      <c r="AS42" s="226"/>
      <c r="AT42" s="226"/>
      <c r="AU42" s="226"/>
      <c r="AW42" s="454" t="s">
        <v>728</v>
      </c>
      <c r="AX42" s="454">
        <v>112.0</v>
      </c>
      <c r="AY42" s="515" t="s">
        <v>728</v>
      </c>
      <c r="AZ42" s="457">
        <v>60.7</v>
      </c>
      <c r="BA42" s="454" t="s">
        <v>728</v>
      </c>
      <c r="BB42" s="457">
        <v>0.0</v>
      </c>
      <c r="BC42" s="454" t="s">
        <v>728</v>
      </c>
      <c r="BD42" s="457">
        <v>0.0</v>
      </c>
      <c r="BE42" s="454" t="s">
        <v>728</v>
      </c>
      <c r="BF42" s="457">
        <v>0.0</v>
      </c>
      <c r="BG42" s="454" t="s">
        <v>728</v>
      </c>
      <c r="BH42" s="457">
        <v>20.0</v>
      </c>
      <c r="BI42" s="454" t="s">
        <v>728</v>
      </c>
      <c r="BJ42" s="457">
        <v>0.0</v>
      </c>
      <c r="BK42" s="454" t="s">
        <v>728</v>
      </c>
      <c r="BL42" s="457">
        <v>0.0</v>
      </c>
      <c r="BM42" s="454" t="s">
        <v>728</v>
      </c>
      <c r="BN42" s="457">
        <v>46.0</v>
      </c>
      <c r="BO42" s="112"/>
      <c r="BP42" s="112"/>
      <c r="BQ42" s="112"/>
    </row>
    <row r="43">
      <c r="A43" s="742" t="s">
        <v>2509</v>
      </c>
      <c r="B43" s="743" t="s">
        <v>2051</v>
      </c>
      <c r="C43" s="465" t="s">
        <v>2048</v>
      </c>
      <c r="D43" s="465">
        <v>14.0</v>
      </c>
      <c r="E43" s="226"/>
      <c r="F43" s="744"/>
      <c r="G43" s="226"/>
      <c r="H43" s="226"/>
      <c r="I43" s="226"/>
      <c r="J43" s="226"/>
      <c r="K43" s="534">
        <f>VLOOKUP(B46,C41:D42,2,FALSE)</f>
        <v>0</v>
      </c>
      <c r="L43" s="226"/>
      <c r="M43" s="226"/>
      <c r="N43" s="226"/>
      <c r="O43" s="226"/>
      <c r="P43" s="226"/>
      <c r="Q43" s="226"/>
      <c r="R43" s="226"/>
      <c r="S43" s="226"/>
      <c r="T43" s="226"/>
      <c r="U43" s="226"/>
      <c r="V43" s="226"/>
      <c r="W43" s="226"/>
      <c r="X43" s="226"/>
      <c r="Y43" s="226"/>
      <c r="Z43" s="226"/>
      <c r="AA43" s="226"/>
      <c r="AB43" s="226"/>
      <c r="AC43" s="226"/>
      <c r="AD43" s="226"/>
      <c r="AE43" s="226"/>
      <c r="AF43" s="226"/>
      <c r="AG43" s="226"/>
      <c r="AH43" s="226"/>
      <c r="AI43" s="226"/>
      <c r="AJ43" s="226"/>
      <c r="AK43" s="226"/>
      <c r="AL43" s="226"/>
      <c r="AM43" s="226"/>
      <c r="AN43" s="226"/>
      <c r="AO43" s="226"/>
      <c r="AP43" s="226"/>
      <c r="AQ43" s="226"/>
      <c r="AR43" s="226"/>
      <c r="AS43" s="226"/>
      <c r="AT43" s="226"/>
      <c r="AU43" s="226"/>
      <c r="AW43" s="454" t="s">
        <v>729</v>
      </c>
      <c r="AX43" s="454">
        <v>0.0</v>
      </c>
      <c r="AY43" s="515" t="s">
        <v>729</v>
      </c>
      <c r="AZ43" s="457">
        <v>55.7</v>
      </c>
      <c r="BA43" s="454" t="s">
        <v>729</v>
      </c>
      <c r="BB43" s="457">
        <v>0.0</v>
      </c>
      <c r="BC43" s="454" t="s">
        <v>729</v>
      </c>
      <c r="BD43" s="457">
        <v>0.0</v>
      </c>
      <c r="BE43" s="454" t="s">
        <v>729</v>
      </c>
      <c r="BF43" s="457">
        <v>0.0</v>
      </c>
      <c r="BG43" s="454" t="s">
        <v>729</v>
      </c>
      <c r="BH43" s="457">
        <v>23.0</v>
      </c>
      <c r="BI43" s="454" t="s">
        <v>729</v>
      </c>
      <c r="BJ43" s="457">
        <v>0.0</v>
      </c>
      <c r="BK43" s="454" t="s">
        <v>729</v>
      </c>
      <c r="BL43" s="457">
        <v>0.0</v>
      </c>
      <c r="BM43" s="454" t="s">
        <v>729</v>
      </c>
      <c r="BN43" s="457">
        <v>52.0</v>
      </c>
      <c r="BO43" s="112"/>
      <c r="BP43" s="112"/>
      <c r="BQ43" s="112"/>
    </row>
    <row r="44">
      <c r="A44" s="226"/>
      <c r="B44" s="226"/>
      <c r="C44" s="465" t="s">
        <v>2051</v>
      </c>
      <c r="D44" s="465">
        <v>0.0</v>
      </c>
      <c r="E44" s="226"/>
      <c r="F44" s="557" t="s">
        <v>2051</v>
      </c>
      <c r="G44" s="557">
        <v>0.0</v>
      </c>
      <c r="H44" s="534">
        <f>VLOOKUP(A52,F44:H46,2,FALSE)</f>
        <v>2</v>
      </c>
      <c r="I44" s="226"/>
      <c r="J44" s="226"/>
      <c r="K44" s="534">
        <f>VLOOKUP(B47,C43:D44,2,FALSE)</f>
        <v>0</v>
      </c>
      <c r="L44" s="226"/>
      <c r="M44" s="226"/>
      <c r="N44" s="226"/>
      <c r="O44" s="226"/>
      <c r="P44" s="226"/>
      <c r="Q44" s="226"/>
      <c r="R44" s="226"/>
      <c r="S44" s="226"/>
      <c r="T44" s="226"/>
      <c r="U44" s="226"/>
      <c r="V44" s="226"/>
      <c r="W44" s="226"/>
      <c r="X44" s="226"/>
      <c r="Y44" s="226"/>
      <c r="Z44" s="226"/>
      <c r="AA44" s="226"/>
      <c r="AB44" s="226"/>
      <c r="AC44" s="226"/>
      <c r="AD44" s="226"/>
      <c r="AE44" s="226"/>
      <c r="AF44" s="226"/>
      <c r="AG44" s="226"/>
      <c r="AH44" s="226"/>
      <c r="AI44" s="226"/>
      <c r="AJ44" s="226"/>
      <c r="AK44" s="226"/>
      <c r="AL44" s="226"/>
      <c r="AM44" s="226"/>
      <c r="AN44" s="226"/>
      <c r="AO44" s="226"/>
      <c r="AP44" s="226"/>
      <c r="AQ44" s="226"/>
      <c r="AR44" s="226"/>
      <c r="AS44" s="226"/>
      <c r="AT44" s="226"/>
      <c r="AU44" s="226"/>
      <c r="AW44" s="454" t="s">
        <v>732</v>
      </c>
      <c r="AX44" s="454">
        <v>0.0</v>
      </c>
      <c r="AY44" s="515" t="s">
        <v>732</v>
      </c>
      <c r="AZ44" s="457">
        <v>55.33</v>
      </c>
      <c r="BA44" s="454" t="s">
        <v>732</v>
      </c>
      <c r="BB44" s="457">
        <v>0.0</v>
      </c>
      <c r="BC44" s="454" t="s">
        <v>732</v>
      </c>
      <c r="BD44" s="457">
        <v>0.0</v>
      </c>
      <c r="BE44" s="454" t="s">
        <v>732</v>
      </c>
      <c r="BF44" s="457">
        <v>20.0</v>
      </c>
      <c r="BG44" s="454" t="s">
        <v>732</v>
      </c>
      <c r="BH44" s="457">
        <v>0.0</v>
      </c>
      <c r="BI44" s="454" t="s">
        <v>732</v>
      </c>
      <c r="BJ44" s="457">
        <v>25.0</v>
      </c>
      <c r="BK44" s="454" t="s">
        <v>732</v>
      </c>
      <c r="BL44" s="457">
        <v>0.0</v>
      </c>
      <c r="BM44" s="454" t="s">
        <v>732</v>
      </c>
      <c r="BN44" s="457">
        <v>46.0</v>
      </c>
      <c r="BO44" s="112"/>
      <c r="BP44" s="112"/>
      <c r="BQ44" s="112"/>
    </row>
    <row r="45">
      <c r="A45" s="541" t="s">
        <v>2049</v>
      </c>
      <c r="B45" s="542" t="s">
        <v>2171</v>
      </c>
      <c r="C45" s="549" t="s">
        <v>2048</v>
      </c>
      <c r="D45" s="535">
        <v>83.16</v>
      </c>
      <c r="E45" s="533"/>
      <c r="F45" s="556" t="s">
        <v>2510</v>
      </c>
      <c r="G45" s="745">
        <v>1.0</v>
      </c>
      <c r="H45" s="533"/>
      <c r="I45" s="533"/>
      <c r="J45" s="533"/>
      <c r="K45" s="534">
        <f>VLOOKUP(B48,C45:D46,2,FALSE)</f>
        <v>0</v>
      </c>
      <c r="L45" s="534"/>
      <c r="M45" s="535"/>
      <c r="N45" s="535"/>
      <c r="O45" s="535"/>
      <c r="P45" s="535"/>
      <c r="Q45" s="226"/>
      <c r="R45" s="226"/>
      <c r="S45" s="226"/>
      <c r="T45" s="226"/>
      <c r="U45" s="226"/>
      <c r="V45" s="226"/>
      <c r="W45" s="226"/>
      <c r="X45" s="226"/>
      <c r="Y45" s="226"/>
      <c r="Z45" s="226"/>
      <c r="AA45" s="226"/>
      <c r="AB45" s="226"/>
      <c r="AC45" s="226"/>
      <c r="AD45" s="226"/>
      <c r="AE45" s="226"/>
      <c r="AF45" s="226"/>
      <c r="AG45" s="226"/>
      <c r="AH45" s="226"/>
      <c r="AI45" s="226"/>
      <c r="AJ45" s="226"/>
      <c r="AK45" s="226"/>
      <c r="AL45" s="226"/>
      <c r="AM45" s="226"/>
      <c r="AN45" s="226"/>
      <c r="AO45" s="226"/>
      <c r="AP45" s="226"/>
      <c r="AQ45" s="226"/>
      <c r="AR45" s="226"/>
      <c r="AS45" s="226"/>
      <c r="AT45" s="226"/>
      <c r="AU45" s="226"/>
      <c r="AW45" s="454" t="s">
        <v>734</v>
      </c>
      <c r="AX45" s="454">
        <v>0.0</v>
      </c>
      <c r="AY45" s="515" t="s">
        <v>734</v>
      </c>
      <c r="AZ45" s="457">
        <v>54.82</v>
      </c>
      <c r="BA45" s="454" t="s">
        <v>734</v>
      </c>
      <c r="BB45" s="457">
        <v>0.0</v>
      </c>
      <c r="BC45" s="454" t="s">
        <v>734</v>
      </c>
      <c r="BD45" s="457">
        <v>23.0</v>
      </c>
      <c r="BE45" s="454" t="s">
        <v>734</v>
      </c>
      <c r="BF45" s="457">
        <v>0.0</v>
      </c>
      <c r="BG45" s="454" t="s">
        <v>734</v>
      </c>
      <c r="BH45" s="457">
        <v>24.0</v>
      </c>
      <c r="BI45" s="454" t="s">
        <v>734</v>
      </c>
      <c r="BJ45" s="457">
        <v>0.0</v>
      </c>
      <c r="BK45" s="454" t="s">
        <v>734</v>
      </c>
      <c r="BL45" s="457">
        <v>0.0</v>
      </c>
      <c r="BM45" s="454" t="s">
        <v>734</v>
      </c>
      <c r="BN45" s="457">
        <v>0.0</v>
      </c>
      <c r="BO45" s="112"/>
      <c r="BP45" s="112"/>
      <c r="BQ45" s="112"/>
    </row>
    <row r="46">
      <c r="A46" s="543" t="s">
        <v>2052</v>
      </c>
      <c r="B46" s="544" t="s">
        <v>2051</v>
      </c>
      <c r="C46" s="549" t="s">
        <v>2051</v>
      </c>
      <c r="D46" s="553">
        <v>0.0</v>
      </c>
      <c r="E46" s="533"/>
      <c r="F46" s="556" t="s">
        <v>2511</v>
      </c>
      <c r="G46" s="745">
        <v>2.0</v>
      </c>
      <c r="H46" s="533"/>
      <c r="I46" s="533"/>
      <c r="J46" s="533"/>
      <c r="K46" s="534">
        <f>VLOOKUP(B49,C47:D48,2,FALSE)</f>
        <v>8</v>
      </c>
      <c r="L46" s="534"/>
      <c r="M46" s="226"/>
      <c r="N46" s="535"/>
      <c r="O46" s="535"/>
      <c r="P46" s="535"/>
      <c r="Q46" s="226"/>
      <c r="R46" s="226"/>
      <c r="S46" s="226"/>
      <c r="T46" s="226"/>
      <c r="U46" s="226"/>
      <c r="V46" s="226"/>
      <c r="W46" s="226"/>
      <c r="X46" s="226"/>
      <c r="Y46" s="226"/>
      <c r="Z46" s="226"/>
      <c r="AA46" s="226"/>
      <c r="AB46" s="226"/>
      <c r="AC46" s="226"/>
      <c r="AD46" s="226"/>
      <c r="AE46" s="226"/>
      <c r="AF46" s="226"/>
      <c r="AG46" s="226"/>
      <c r="AH46" s="226"/>
      <c r="AI46" s="226"/>
      <c r="AJ46" s="226"/>
      <c r="AK46" s="226"/>
      <c r="AL46" s="226"/>
      <c r="AM46" s="226"/>
      <c r="AN46" s="226"/>
      <c r="AO46" s="226"/>
      <c r="AP46" s="226"/>
      <c r="AQ46" s="226"/>
      <c r="AR46" s="226"/>
      <c r="AS46" s="226"/>
      <c r="AT46" s="226"/>
      <c r="AU46" s="226"/>
      <c r="BO46" s="112"/>
      <c r="BP46" s="112"/>
      <c r="BQ46" s="112"/>
    </row>
    <row r="47">
      <c r="A47" s="545" t="s">
        <v>2053</v>
      </c>
      <c r="B47" s="546" t="s">
        <v>2051</v>
      </c>
      <c r="C47" s="556" t="s">
        <v>2048</v>
      </c>
      <c r="D47" s="557">
        <v>8.0</v>
      </c>
      <c r="E47" s="533"/>
      <c r="F47" s="533"/>
      <c r="G47" s="533"/>
      <c r="H47" s="533"/>
      <c r="I47" s="533"/>
      <c r="J47" s="533"/>
      <c r="K47" s="534">
        <f>VLOOKUP(B50,C49:D50,2,FALSE)</f>
        <v>0</v>
      </c>
      <c r="L47" s="534"/>
      <c r="M47" s="226"/>
      <c r="N47" s="553"/>
      <c r="O47" s="553"/>
      <c r="P47" s="553"/>
      <c r="Q47" s="226"/>
      <c r="R47" s="226"/>
      <c r="S47" s="226"/>
      <c r="T47" s="226"/>
      <c r="U47" s="226"/>
      <c r="V47" s="226"/>
      <c r="W47" s="226"/>
      <c r="X47" s="226"/>
      <c r="Y47" s="226"/>
      <c r="Z47" s="226"/>
      <c r="AA47" s="226"/>
      <c r="AB47" s="226"/>
      <c r="AC47" s="226"/>
      <c r="AD47" s="226"/>
      <c r="AE47" s="226"/>
      <c r="AF47" s="226"/>
      <c r="AG47" s="226"/>
      <c r="AH47" s="226"/>
      <c r="AI47" s="226"/>
      <c r="AJ47" s="226"/>
      <c r="AK47" s="226"/>
      <c r="AL47" s="226"/>
      <c r="AM47" s="226"/>
      <c r="AN47" s="226"/>
      <c r="AO47" s="226"/>
      <c r="AP47" s="226"/>
      <c r="AQ47" s="226"/>
      <c r="AR47" s="226"/>
      <c r="AS47" s="226"/>
      <c r="AT47" s="226"/>
      <c r="AU47" s="226"/>
      <c r="AW47" s="449" t="s">
        <v>2036</v>
      </c>
      <c r="AX47" s="449" t="s">
        <v>1920</v>
      </c>
      <c r="AY47" s="450" t="s">
        <v>2037</v>
      </c>
      <c r="AZ47" s="450" t="s">
        <v>1922</v>
      </c>
      <c r="BA47" s="449" t="s">
        <v>2036</v>
      </c>
      <c r="BB47" s="450" t="s">
        <v>2038</v>
      </c>
      <c r="BC47" s="449" t="s">
        <v>2036</v>
      </c>
      <c r="BD47" s="450" t="s">
        <v>2039</v>
      </c>
      <c r="BE47" s="449" t="s">
        <v>2036</v>
      </c>
      <c r="BF47" s="450" t="s">
        <v>2040</v>
      </c>
      <c r="BG47" s="449" t="s">
        <v>2036</v>
      </c>
      <c r="BH47" s="450" t="s">
        <v>2041</v>
      </c>
      <c r="BI47" s="449" t="s">
        <v>2036</v>
      </c>
      <c r="BJ47" s="450" t="s">
        <v>2042</v>
      </c>
      <c r="BK47" s="449" t="s">
        <v>2036</v>
      </c>
      <c r="BL47" s="450" t="s">
        <v>2043</v>
      </c>
      <c r="BM47" s="449" t="s">
        <v>2036</v>
      </c>
      <c r="BN47" s="450" t="s">
        <v>2044</v>
      </c>
      <c r="BO47" s="112"/>
      <c r="BP47" s="112"/>
      <c r="BQ47" s="112"/>
    </row>
    <row r="48">
      <c r="A48" s="746" t="s">
        <v>2512</v>
      </c>
      <c r="B48" s="747" t="s">
        <v>2051</v>
      </c>
      <c r="C48" s="556" t="s">
        <v>2051</v>
      </c>
      <c r="D48" s="557">
        <v>0.0</v>
      </c>
      <c r="E48" s="473"/>
      <c r="F48" s="473"/>
      <c r="G48" s="473"/>
      <c r="H48" s="473"/>
      <c r="I48" s="473"/>
      <c r="J48" s="473"/>
      <c r="K48" s="473"/>
      <c r="L48" s="534"/>
      <c r="M48" s="226"/>
      <c r="N48" s="557"/>
      <c r="O48" s="557"/>
      <c r="P48" s="557"/>
      <c r="Q48" s="226"/>
      <c r="R48" s="226"/>
      <c r="S48" s="226"/>
      <c r="T48" s="226"/>
      <c r="U48" s="226"/>
      <c r="V48" s="226"/>
      <c r="W48" s="226"/>
      <c r="X48" s="226"/>
      <c r="Y48" s="226"/>
      <c r="Z48" s="226"/>
      <c r="AA48" s="226"/>
      <c r="AB48" s="226"/>
      <c r="AC48" s="226"/>
      <c r="AD48" s="226"/>
      <c r="AE48" s="226"/>
      <c r="AF48" s="226"/>
      <c r="AG48" s="226"/>
      <c r="AH48" s="226"/>
      <c r="AI48" s="226"/>
      <c r="AJ48" s="226"/>
      <c r="AK48" s="226"/>
      <c r="AL48" s="226"/>
      <c r="AM48" s="226"/>
      <c r="AN48" s="226"/>
      <c r="AO48" s="226"/>
      <c r="AP48" s="226"/>
      <c r="AQ48" s="226"/>
      <c r="AR48" s="226"/>
      <c r="AS48" s="226"/>
      <c r="AT48" s="226"/>
      <c r="AU48" s="226"/>
      <c r="AW48" s="454" t="s">
        <v>743</v>
      </c>
      <c r="AX48" s="536">
        <v>210.0</v>
      </c>
      <c r="AY48" s="515" t="s">
        <v>743</v>
      </c>
      <c r="AZ48" s="537">
        <v>187.58</v>
      </c>
      <c r="BA48" s="454" t="s">
        <v>743</v>
      </c>
      <c r="BB48" s="537">
        <v>0.0</v>
      </c>
      <c r="BC48" s="454" t="s">
        <v>743</v>
      </c>
      <c r="BD48" s="537">
        <v>0.0</v>
      </c>
      <c r="BE48" s="454" t="s">
        <v>743</v>
      </c>
      <c r="BF48" s="537">
        <v>42.0</v>
      </c>
      <c r="BG48" s="454" t="s">
        <v>743</v>
      </c>
      <c r="BH48" s="537">
        <v>38.0</v>
      </c>
      <c r="BI48" s="454" t="s">
        <v>743</v>
      </c>
      <c r="BJ48" s="537">
        <v>0.0</v>
      </c>
      <c r="BK48" s="454" t="s">
        <v>743</v>
      </c>
      <c r="BL48" s="537">
        <v>0.0</v>
      </c>
      <c r="BM48" s="454" t="s">
        <v>743</v>
      </c>
      <c r="BN48" s="537">
        <v>120.0</v>
      </c>
      <c r="BO48" s="112"/>
      <c r="BP48" s="112"/>
      <c r="BQ48" s="112"/>
    </row>
    <row r="49">
      <c r="A49" s="551" t="s">
        <v>2055</v>
      </c>
      <c r="B49" s="552" t="s">
        <v>2048</v>
      </c>
      <c r="C49" s="556" t="s">
        <v>2048</v>
      </c>
      <c r="D49" s="557">
        <v>16.0</v>
      </c>
      <c r="E49" s="533"/>
      <c r="F49" s="533"/>
      <c r="G49" s="533"/>
      <c r="H49" s="533"/>
      <c r="I49" s="533"/>
      <c r="J49" s="533"/>
      <c r="K49" s="560">
        <f>VLOOKUP(B165,C51:D52,2,FALSE)</f>
        <v>0</v>
      </c>
      <c r="L49" s="473"/>
      <c r="M49" s="226"/>
      <c r="N49" s="557"/>
      <c r="O49" s="557"/>
      <c r="P49" s="557"/>
      <c r="Q49" s="226"/>
      <c r="R49" s="226"/>
      <c r="S49" s="226"/>
      <c r="T49" s="226"/>
      <c r="U49" s="226"/>
      <c r="V49" s="226"/>
      <c r="W49" s="226"/>
      <c r="X49" s="226"/>
      <c r="Y49" s="226"/>
      <c r="Z49" s="226"/>
      <c r="AA49" s="226"/>
      <c r="AB49" s="226"/>
      <c r="AC49" s="226"/>
      <c r="AD49" s="226"/>
      <c r="AE49" s="226"/>
      <c r="AF49" s="226"/>
      <c r="AG49" s="226"/>
      <c r="AH49" s="226"/>
      <c r="AI49" s="226"/>
      <c r="AJ49" s="226"/>
      <c r="AK49" s="226"/>
      <c r="AL49" s="226"/>
      <c r="AM49" s="226"/>
      <c r="AN49" s="226"/>
      <c r="AO49" s="226"/>
      <c r="AP49" s="226"/>
      <c r="AQ49" s="226"/>
      <c r="AR49" s="226"/>
      <c r="AS49" s="226"/>
      <c r="AT49" s="226"/>
      <c r="AU49" s="226"/>
      <c r="AW49" s="454" t="s">
        <v>746</v>
      </c>
      <c r="AX49" s="536">
        <v>280.0</v>
      </c>
      <c r="AY49" s="515" t="s">
        <v>746</v>
      </c>
      <c r="AZ49" s="537">
        <v>185.99</v>
      </c>
      <c r="BA49" s="454" t="s">
        <v>746</v>
      </c>
      <c r="BB49" s="537">
        <v>0.0</v>
      </c>
      <c r="BC49" s="454" t="s">
        <v>746</v>
      </c>
      <c r="BD49" s="537">
        <v>61.0</v>
      </c>
      <c r="BE49" s="454" t="s">
        <v>746</v>
      </c>
      <c r="BF49" s="537">
        <v>0.0</v>
      </c>
      <c r="BG49" s="454" t="s">
        <v>746</v>
      </c>
      <c r="BH49" s="537">
        <v>41.0</v>
      </c>
      <c r="BI49" s="454" t="s">
        <v>746</v>
      </c>
      <c r="BJ49" s="537">
        <v>0.0</v>
      </c>
      <c r="BK49" s="454" t="s">
        <v>746</v>
      </c>
      <c r="BL49" s="537">
        <v>0.0</v>
      </c>
      <c r="BM49" s="454" t="s">
        <v>746</v>
      </c>
      <c r="BN49" s="537">
        <v>0.0</v>
      </c>
      <c r="BO49" s="112"/>
      <c r="BP49" s="112"/>
      <c r="BQ49" s="112"/>
    </row>
    <row r="50">
      <c r="A50" s="554" t="s">
        <v>2056</v>
      </c>
      <c r="B50" s="555" t="s">
        <v>2051</v>
      </c>
      <c r="C50" s="556" t="s">
        <v>2051</v>
      </c>
      <c r="D50" s="557">
        <v>0.0</v>
      </c>
      <c r="E50" s="533"/>
      <c r="F50" s="533"/>
      <c r="G50" s="533"/>
      <c r="H50" s="533"/>
      <c r="I50" s="533"/>
      <c r="J50" s="533"/>
      <c r="K50" s="560">
        <f>VLOOKUP(B166,C53:D56,2,FALSE)</f>
        <v>600</v>
      </c>
      <c r="L50" s="560"/>
      <c r="M50" s="226"/>
      <c r="N50" s="557"/>
      <c r="O50" s="557"/>
      <c r="P50" s="557"/>
      <c r="Q50" s="226"/>
      <c r="R50" s="226"/>
      <c r="S50" s="226"/>
      <c r="T50" s="226"/>
      <c r="U50" s="226"/>
      <c r="V50" s="226"/>
      <c r="W50" s="226"/>
      <c r="X50" s="226"/>
      <c r="Y50" s="226"/>
      <c r="Z50" s="226"/>
      <c r="AA50" s="226"/>
      <c r="AB50" s="226"/>
      <c r="AC50" s="226"/>
      <c r="AD50" s="226"/>
      <c r="AE50" s="226"/>
      <c r="AF50" s="226"/>
      <c r="AG50" s="226"/>
      <c r="AH50" s="226"/>
      <c r="AI50" s="226"/>
      <c r="AJ50" s="226"/>
      <c r="AK50" s="226"/>
      <c r="AL50" s="226"/>
      <c r="AM50" s="226"/>
      <c r="AN50" s="226"/>
      <c r="AO50" s="226"/>
      <c r="AP50" s="226"/>
      <c r="AQ50" s="226"/>
      <c r="AR50" s="226"/>
      <c r="AS50" s="226"/>
      <c r="AT50" s="226"/>
      <c r="AU50" s="226"/>
      <c r="AW50" s="454" t="s">
        <v>749</v>
      </c>
      <c r="AX50" s="536">
        <v>0.0</v>
      </c>
      <c r="AY50" s="515" t="s">
        <v>749</v>
      </c>
      <c r="AZ50" s="537">
        <v>165.22</v>
      </c>
      <c r="BA50" s="454" t="s">
        <v>749</v>
      </c>
      <c r="BB50" s="537">
        <v>30.0</v>
      </c>
      <c r="BC50" s="454" t="s">
        <v>749</v>
      </c>
      <c r="BD50" s="537">
        <v>0.0</v>
      </c>
      <c r="BE50" s="454" t="s">
        <v>749</v>
      </c>
      <c r="BF50" s="537">
        <v>42.0</v>
      </c>
      <c r="BG50" s="454" t="s">
        <v>749</v>
      </c>
      <c r="BH50" s="537">
        <v>0.0</v>
      </c>
      <c r="BI50" s="454" t="s">
        <v>749</v>
      </c>
      <c r="BJ50" s="537">
        <v>38.0</v>
      </c>
      <c r="BK50" s="454" t="s">
        <v>749</v>
      </c>
      <c r="BL50" s="537">
        <v>0.0</v>
      </c>
      <c r="BM50" s="454" t="s">
        <v>749</v>
      </c>
      <c r="BN50" s="537">
        <v>120.0</v>
      </c>
      <c r="BO50" s="112"/>
      <c r="BP50" s="112"/>
      <c r="BQ50" s="112"/>
    </row>
    <row r="51">
      <c r="A51" s="226"/>
      <c r="B51" s="226"/>
      <c r="C51" s="556" t="s">
        <v>2048</v>
      </c>
      <c r="D51" s="565">
        <v>200.0</v>
      </c>
      <c r="E51" s="452" t="s">
        <v>2048</v>
      </c>
      <c r="F51" s="452">
        <v>19.7115</v>
      </c>
      <c r="G51" s="566"/>
      <c r="H51" s="566"/>
      <c r="I51" s="566"/>
      <c r="J51" s="566"/>
      <c r="K51" s="560">
        <f>VLOOKUP(B42,E51:F52,2,FALSE)</f>
        <v>0</v>
      </c>
      <c r="L51" s="560"/>
      <c r="M51" s="226"/>
      <c r="N51" s="557"/>
      <c r="O51" s="557"/>
      <c r="P51" s="557"/>
      <c r="Q51" s="226"/>
      <c r="R51" s="226"/>
      <c r="S51" s="226"/>
      <c r="T51" s="226"/>
      <c r="U51" s="226"/>
      <c r="V51" s="226"/>
      <c r="W51" s="226"/>
      <c r="X51" s="226"/>
      <c r="Y51" s="226"/>
      <c r="Z51" s="226"/>
      <c r="AA51" s="226"/>
      <c r="AB51" s="226"/>
      <c r="AC51" s="226"/>
      <c r="AD51" s="226"/>
      <c r="AE51" s="226"/>
      <c r="AF51" s="226"/>
      <c r="AG51" s="226"/>
      <c r="AH51" s="226"/>
      <c r="AI51" s="226"/>
      <c r="AJ51" s="226"/>
      <c r="AK51" s="226"/>
      <c r="AL51" s="226"/>
      <c r="AM51" s="226"/>
      <c r="AN51" s="226"/>
      <c r="AO51" s="226"/>
      <c r="AP51" s="226"/>
      <c r="AQ51" s="226"/>
      <c r="AR51" s="226"/>
      <c r="AS51" s="226"/>
      <c r="AT51" s="226"/>
      <c r="AU51" s="226"/>
      <c r="AW51" s="454" t="s">
        <v>751</v>
      </c>
      <c r="AX51" s="536">
        <v>0.0</v>
      </c>
      <c r="AY51" s="515" t="s">
        <v>751</v>
      </c>
      <c r="AZ51" s="537">
        <v>158.48</v>
      </c>
      <c r="BA51" s="454" t="s">
        <v>751</v>
      </c>
      <c r="BB51" s="537">
        <v>0.0</v>
      </c>
      <c r="BC51" s="454" t="s">
        <v>751</v>
      </c>
      <c r="BD51" s="537">
        <v>67.0</v>
      </c>
      <c r="BE51" s="454" t="s">
        <v>751</v>
      </c>
      <c r="BF51" s="537">
        <v>0.0</v>
      </c>
      <c r="BG51" s="454" t="s">
        <v>751</v>
      </c>
      <c r="BH51" s="537">
        <v>41.0</v>
      </c>
      <c r="BI51" s="454" t="s">
        <v>751</v>
      </c>
      <c r="BJ51" s="537">
        <v>32.0</v>
      </c>
      <c r="BK51" s="454" t="s">
        <v>751</v>
      </c>
      <c r="BL51" s="537">
        <v>0.0</v>
      </c>
      <c r="BM51" s="454" t="s">
        <v>751</v>
      </c>
      <c r="BN51" s="537">
        <v>0.0</v>
      </c>
      <c r="BO51" s="112"/>
      <c r="BP51" s="112"/>
      <c r="BQ51" s="112"/>
    </row>
    <row r="52">
      <c r="A52" s="748" t="s">
        <v>2511</v>
      </c>
      <c r="B52" s="226"/>
      <c r="C52" s="556" t="s">
        <v>2051</v>
      </c>
      <c r="D52" s="557">
        <v>0.0</v>
      </c>
      <c r="E52" s="452" t="s">
        <v>2051</v>
      </c>
      <c r="F52" s="452">
        <v>0.0</v>
      </c>
      <c r="G52" s="566"/>
      <c r="H52" s="566"/>
      <c r="I52" s="566"/>
      <c r="J52" s="566"/>
      <c r="K52" s="451"/>
      <c r="L52" s="451"/>
      <c r="M52" s="226"/>
      <c r="N52" s="557"/>
      <c r="O52" s="557"/>
      <c r="P52" s="557"/>
      <c r="Q52" s="226"/>
      <c r="R52" s="226"/>
      <c r="S52" s="226"/>
      <c r="T52" s="226"/>
      <c r="U52" s="226"/>
      <c r="V52" s="226"/>
      <c r="W52" s="226"/>
      <c r="X52" s="226"/>
      <c r="Y52" s="226"/>
      <c r="Z52" s="226"/>
      <c r="AA52" s="226"/>
      <c r="AB52" s="226"/>
      <c r="AC52" s="226"/>
      <c r="AD52" s="226"/>
      <c r="AE52" s="226"/>
      <c r="AF52" s="226"/>
      <c r="AG52" s="226"/>
      <c r="AH52" s="226"/>
      <c r="AI52" s="226"/>
      <c r="AJ52" s="226"/>
      <c r="AK52" s="226"/>
      <c r="AL52" s="226"/>
      <c r="AM52" s="226"/>
      <c r="AN52" s="226"/>
      <c r="AO52" s="226"/>
      <c r="AP52" s="226"/>
      <c r="AQ52" s="226"/>
      <c r="AR52" s="226"/>
      <c r="AS52" s="226"/>
      <c r="AT52" s="226"/>
      <c r="AU52" s="226"/>
      <c r="AW52" s="454" t="s">
        <v>754</v>
      </c>
      <c r="AX52" s="536">
        <v>84.0</v>
      </c>
      <c r="AY52" s="515" t="s">
        <v>754</v>
      </c>
      <c r="AZ52" s="537">
        <v>145.84</v>
      </c>
      <c r="BA52" s="454" t="s">
        <v>754</v>
      </c>
      <c r="BB52" s="537">
        <v>18.0</v>
      </c>
      <c r="BC52" s="454" t="s">
        <v>754</v>
      </c>
      <c r="BD52" s="537">
        <v>45.0</v>
      </c>
      <c r="BE52" s="454" t="s">
        <v>754</v>
      </c>
      <c r="BF52" s="537">
        <v>0.0</v>
      </c>
      <c r="BG52" s="454" t="s">
        <v>754</v>
      </c>
      <c r="BH52" s="537">
        <v>45.0</v>
      </c>
      <c r="BI52" s="454" t="s">
        <v>754</v>
      </c>
      <c r="BJ52" s="537">
        <v>0.0</v>
      </c>
      <c r="BK52" s="454" t="s">
        <v>754</v>
      </c>
      <c r="BL52" s="537">
        <v>0.0</v>
      </c>
      <c r="BM52" s="454" t="s">
        <v>754</v>
      </c>
      <c r="BN52" s="537">
        <v>0.0</v>
      </c>
      <c r="BO52" s="112"/>
      <c r="BP52" s="112"/>
      <c r="BQ52" s="112"/>
    </row>
    <row r="53">
      <c r="A53" s="226"/>
      <c r="B53" s="226"/>
      <c r="C53" s="569" t="s">
        <v>2051</v>
      </c>
      <c r="D53" s="465">
        <v>0.0</v>
      </c>
      <c r="E53" s="452" t="s">
        <v>2048</v>
      </c>
      <c r="F53" s="452">
        <v>19.7115</v>
      </c>
      <c r="G53" s="566"/>
      <c r="H53" s="566"/>
      <c r="I53" s="566"/>
      <c r="J53" s="566"/>
      <c r="K53" s="560">
        <f>VLOOKUP(B43,E53:F54,2,FALSE)</f>
        <v>0</v>
      </c>
      <c r="L53" s="451"/>
      <c r="M53" s="226"/>
      <c r="N53" s="557"/>
      <c r="O53" s="557"/>
      <c r="P53" s="557"/>
      <c r="Q53" s="226"/>
      <c r="R53" s="226"/>
      <c r="S53" s="226"/>
      <c r="T53" s="226"/>
      <c r="U53" s="226"/>
      <c r="V53" s="226"/>
      <c r="W53" s="226"/>
      <c r="X53" s="226"/>
      <c r="Y53" s="226"/>
      <c r="Z53" s="226"/>
      <c r="AA53" s="226"/>
      <c r="AB53" s="226"/>
      <c r="AC53" s="226"/>
      <c r="AD53" s="226"/>
      <c r="AE53" s="226"/>
      <c r="AF53" s="226"/>
      <c r="AG53" s="226"/>
      <c r="AH53" s="226"/>
      <c r="AI53" s="226"/>
      <c r="AJ53" s="226"/>
      <c r="AK53" s="226"/>
      <c r="AL53" s="226"/>
      <c r="AM53" s="226"/>
      <c r="AN53" s="226"/>
      <c r="AO53" s="226"/>
      <c r="AP53" s="226"/>
      <c r="AQ53" s="226"/>
      <c r="AR53" s="226"/>
      <c r="AS53" s="226"/>
      <c r="AT53" s="226"/>
      <c r="AU53" s="226"/>
      <c r="AW53" s="454" t="s">
        <v>757</v>
      </c>
      <c r="AX53" s="536">
        <v>126.0</v>
      </c>
      <c r="AY53" s="515" t="s">
        <v>757</v>
      </c>
      <c r="AZ53" s="537">
        <v>139.24</v>
      </c>
      <c r="BA53" s="454" t="s">
        <v>757</v>
      </c>
      <c r="BB53" s="537">
        <v>16.0</v>
      </c>
      <c r="BC53" s="454" t="s">
        <v>757</v>
      </c>
      <c r="BD53" s="537">
        <v>53.0</v>
      </c>
      <c r="BE53" s="454" t="s">
        <v>757</v>
      </c>
      <c r="BF53" s="537">
        <v>34.0</v>
      </c>
      <c r="BG53" s="454" t="s">
        <v>757</v>
      </c>
      <c r="BH53" s="537">
        <v>0.0</v>
      </c>
      <c r="BI53" s="454" t="s">
        <v>757</v>
      </c>
      <c r="BJ53" s="537">
        <v>0.0</v>
      </c>
      <c r="BK53" s="454" t="s">
        <v>757</v>
      </c>
      <c r="BL53" s="537">
        <v>0.0</v>
      </c>
      <c r="BM53" s="454" t="s">
        <v>757</v>
      </c>
      <c r="BN53" s="537">
        <v>0.0</v>
      </c>
      <c r="BO53" s="112"/>
      <c r="BP53" s="112"/>
      <c r="BQ53" s="112"/>
    </row>
    <row r="54">
      <c r="A54" s="226"/>
      <c r="B54" s="226"/>
      <c r="C54" s="569" t="s">
        <v>2061</v>
      </c>
      <c r="D54" s="465">
        <v>200.0</v>
      </c>
      <c r="E54" s="452" t="s">
        <v>2051</v>
      </c>
      <c r="F54" s="452">
        <v>0.0</v>
      </c>
      <c r="G54" s="566"/>
      <c r="H54" s="566"/>
      <c r="I54" s="566"/>
      <c r="J54" s="566"/>
      <c r="K54" s="451"/>
      <c r="L54" s="451"/>
      <c r="M54" s="226"/>
      <c r="N54" s="465"/>
      <c r="O54" s="465"/>
      <c r="P54" s="465"/>
      <c r="Q54" s="226"/>
      <c r="R54" s="226"/>
      <c r="S54" s="226"/>
      <c r="T54" s="226"/>
      <c r="U54" s="226"/>
      <c r="V54" s="226"/>
      <c r="W54" s="226"/>
      <c r="X54" s="226"/>
      <c r="Y54" s="226"/>
      <c r="Z54" s="226"/>
      <c r="AA54" s="226"/>
      <c r="AB54" s="226"/>
      <c r="AC54" s="226"/>
      <c r="AD54" s="226"/>
      <c r="AE54" s="226"/>
      <c r="AF54" s="226"/>
      <c r="AG54" s="226"/>
      <c r="AH54" s="226"/>
      <c r="AI54" s="226"/>
      <c r="AJ54" s="226"/>
      <c r="AK54" s="226"/>
      <c r="AL54" s="226"/>
      <c r="AM54" s="226"/>
      <c r="AN54" s="226"/>
      <c r="AO54" s="226"/>
      <c r="AP54" s="226"/>
      <c r="AQ54" s="226"/>
      <c r="AR54" s="226"/>
      <c r="AS54" s="226"/>
      <c r="AT54" s="226"/>
      <c r="AU54" s="226"/>
      <c r="AW54" s="454" t="s">
        <v>758</v>
      </c>
      <c r="AX54" s="536">
        <v>0.0</v>
      </c>
      <c r="AY54" s="515" t="s">
        <v>758</v>
      </c>
      <c r="AZ54" s="537">
        <v>136.81</v>
      </c>
      <c r="BA54" s="454" t="s">
        <v>758</v>
      </c>
      <c r="BB54" s="537">
        <v>29.0</v>
      </c>
      <c r="BC54" s="454" t="s">
        <v>758</v>
      </c>
      <c r="BD54" s="537">
        <v>0.0</v>
      </c>
      <c r="BE54" s="454" t="s">
        <v>758</v>
      </c>
      <c r="BF54" s="537">
        <v>0.0</v>
      </c>
      <c r="BG54" s="454" t="s">
        <v>758</v>
      </c>
      <c r="BH54" s="537">
        <v>46.0</v>
      </c>
      <c r="BI54" s="454" t="s">
        <v>758</v>
      </c>
      <c r="BJ54" s="537">
        <v>0.0</v>
      </c>
      <c r="BK54" s="454" t="s">
        <v>758</v>
      </c>
      <c r="BL54" s="537">
        <v>0.0</v>
      </c>
      <c r="BM54" s="454" t="s">
        <v>758</v>
      </c>
      <c r="BN54" s="537">
        <v>106.0</v>
      </c>
      <c r="BO54" s="112"/>
      <c r="BP54" s="112"/>
      <c r="BQ54" s="112"/>
    </row>
    <row r="55">
      <c r="A55" s="226"/>
      <c r="B55" s="226"/>
      <c r="C55" s="465" t="s">
        <v>2071</v>
      </c>
      <c r="D55" s="465">
        <v>400.0</v>
      </c>
      <c r="E55" s="566"/>
      <c r="F55" s="566"/>
      <c r="G55" s="566"/>
      <c r="H55" s="566"/>
      <c r="I55" s="566"/>
      <c r="J55" s="566"/>
      <c r="K55" s="451"/>
      <c r="L55" s="451"/>
      <c r="M55" s="226"/>
      <c r="N55" s="465"/>
      <c r="O55" s="465"/>
      <c r="P55" s="465"/>
      <c r="Q55" s="226"/>
      <c r="R55" s="226"/>
      <c r="S55" s="226"/>
      <c r="T55" s="226"/>
      <c r="U55" s="226"/>
      <c r="V55" s="226"/>
      <c r="W55" s="226"/>
      <c r="X55" s="226"/>
      <c r="Y55" s="226"/>
      <c r="Z55" s="226"/>
      <c r="AA55" s="226"/>
      <c r="AB55" s="226"/>
      <c r="AC55" s="226"/>
      <c r="AD55" s="226"/>
      <c r="AE55" s="226"/>
      <c r="AF55" s="226"/>
      <c r="AG55" s="226"/>
      <c r="AH55" s="226"/>
      <c r="AI55" s="226"/>
      <c r="AJ55" s="226"/>
      <c r="AK55" s="226"/>
      <c r="AL55" s="226"/>
      <c r="AM55" s="226"/>
      <c r="AN55" s="226"/>
      <c r="AO55" s="226"/>
      <c r="AP55" s="226"/>
      <c r="AQ55" s="226"/>
      <c r="AR55" s="226"/>
      <c r="AS55" s="226"/>
      <c r="AT55" s="226"/>
      <c r="AU55" s="226"/>
      <c r="AW55" s="454" t="s">
        <v>759</v>
      </c>
      <c r="AX55" s="536">
        <v>84.0</v>
      </c>
      <c r="AY55" s="515" t="s">
        <v>759</v>
      </c>
      <c r="AZ55" s="537">
        <v>130.9</v>
      </c>
      <c r="BA55" s="454" t="s">
        <v>759</v>
      </c>
      <c r="BB55" s="537">
        <v>12.0</v>
      </c>
      <c r="BC55" s="454" t="s">
        <v>759</v>
      </c>
      <c r="BD55" s="537">
        <v>39.0</v>
      </c>
      <c r="BE55" s="454" t="s">
        <v>759</v>
      </c>
      <c r="BF55" s="537">
        <v>0.0</v>
      </c>
      <c r="BG55" s="454" t="s">
        <v>759</v>
      </c>
      <c r="BH55" s="537">
        <v>39.0</v>
      </c>
      <c r="BI55" s="454" t="s">
        <v>759</v>
      </c>
      <c r="BJ55" s="537">
        <v>0.0</v>
      </c>
      <c r="BK55" s="454" t="s">
        <v>759</v>
      </c>
      <c r="BL55" s="537">
        <v>0.0</v>
      </c>
      <c r="BM55" s="454" t="s">
        <v>759</v>
      </c>
      <c r="BN55" s="537">
        <v>0.0</v>
      </c>
      <c r="BO55" s="112"/>
      <c r="BP55" s="112"/>
      <c r="BQ55" s="112"/>
    </row>
    <row r="56">
      <c r="A56" s="226"/>
      <c r="B56" s="226"/>
      <c r="C56" s="465" t="s">
        <v>2072</v>
      </c>
      <c r="D56" s="465">
        <v>600.0</v>
      </c>
      <c r="E56" s="566"/>
      <c r="F56" s="566"/>
      <c r="G56" s="566"/>
      <c r="H56" s="566"/>
      <c r="I56" s="566"/>
      <c r="J56" s="566"/>
      <c r="K56" s="451"/>
      <c r="L56" s="451"/>
      <c r="M56" s="226"/>
      <c r="N56" s="465"/>
      <c r="O56" s="465"/>
      <c r="P56" s="465"/>
      <c r="Q56" s="226"/>
      <c r="R56" s="226"/>
      <c r="S56" s="226"/>
      <c r="T56" s="226"/>
      <c r="U56" s="226"/>
      <c r="V56" s="226"/>
      <c r="W56" s="226"/>
      <c r="X56" s="226"/>
      <c r="Y56" s="226"/>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W56" s="454" t="s">
        <v>760</v>
      </c>
      <c r="AX56" s="536">
        <v>0.0</v>
      </c>
      <c r="AY56" s="515" t="s">
        <v>760</v>
      </c>
      <c r="AZ56" s="537">
        <v>121.77</v>
      </c>
      <c r="BA56" s="454" t="s">
        <v>760</v>
      </c>
      <c r="BB56" s="537">
        <v>25.0</v>
      </c>
      <c r="BC56" s="454" t="s">
        <v>760</v>
      </c>
      <c r="BD56" s="537">
        <v>40.0</v>
      </c>
      <c r="BE56" s="454" t="s">
        <v>760</v>
      </c>
      <c r="BF56" s="537">
        <v>0.0</v>
      </c>
      <c r="BG56" s="454" t="s">
        <v>760</v>
      </c>
      <c r="BH56" s="537">
        <v>41.0</v>
      </c>
      <c r="BI56" s="454" t="s">
        <v>760</v>
      </c>
      <c r="BJ56" s="537">
        <v>0.0</v>
      </c>
      <c r="BK56" s="454" t="s">
        <v>760</v>
      </c>
      <c r="BL56" s="537">
        <v>0.0</v>
      </c>
      <c r="BM56" s="454" t="s">
        <v>760</v>
      </c>
      <c r="BN56" s="537">
        <v>0.0</v>
      </c>
      <c r="BO56" s="112"/>
      <c r="BP56" s="112"/>
      <c r="BQ56" s="112"/>
    </row>
    <row r="57">
      <c r="V57" s="226"/>
      <c r="W57" s="226"/>
      <c r="X57" s="226"/>
      <c r="Y57" s="226"/>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W57" s="454" t="s">
        <v>763</v>
      </c>
      <c r="AX57" s="536">
        <v>0.0</v>
      </c>
      <c r="AY57" s="515" t="s">
        <v>763</v>
      </c>
      <c r="AZ57" s="537">
        <v>120.4</v>
      </c>
      <c r="BA57" s="454" t="s">
        <v>763</v>
      </c>
      <c r="BB57" s="537">
        <v>30.0</v>
      </c>
      <c r="BC57" s="454" t="s">
        <v>763</v>
      </c>
      <c r="BD57" s="537">
        <v>63.0</v>
      </c>
      <c r="BE57" s="454" t="s">
        <v>763</v>
      </c>
      <c r="BF57" s="537">
        <v>0.0</v>
      </c>
      <c r="BG57" s="454" t="s">
        <v>763</v>
      </c>
      <c r="BH57" s="537">
        <v>44.0</v>
      </c>
      <c r="BI57" s="454" t="s">
        <v>763</v>
      </c>
      <c r="BJ57" s="537">
        <v>0.0</v>
      </c>
      <c r="BK57" s="454" t="s">
        <v>763</v>
      </c>
      <c r="BL57" s="537">
        <v>0.0</v>
      </c>
      <c r="BM57" s="454" t="s">
        <v>763</v>
      </c>
      <c r="BN57" s="537">
        <v>0.0</v>
      </c>
      <c r="BO57" s="112"/>
      <c r="BP57" s="112"/>
      <c r="BQ57" s="112"/>
    </row>
    <row r="58">
      <c r="A58" s="749"/>
      <c r="B58" s="750"/>
      <c r="C58" s="751"/>
      <c r="D58" s="750"/>
      <c r="E58" s="750"/>
      <c r="F58" s="750"/>
      <c r="G58" s="750"/>
      <c r="H58" s="750"/>
      <c r="I58" s="750"/>
      <c r="J58" s="752"/>
      <c r="K58" s="573"/>
      <c r="V58" s="226"/>
      <c r="W58" s="226"/>
      <c r="X58" s="226"/>
      <c r="Y58" s="226"/>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W58" s="454" t="s">
        <v>764</v>
      </c>
      <c r="AX58" s="536">
        <v>0.0</v>
      </c>
      <c r="AY58" s="515" t="s">
        <v>764</v>
      </c>
      <c r="AZ58" s="537">
        <v>120.2</v>
      </c>
      <c r="BA58" s="454" t="s">
        <v>764</v>
      </c>
      <c r="BB58" s="537">
        <v>27.0</v>
      </c>
      <c r="BC58" s="454" t="s">
        <v>764</v>
      </c>
      <c r="BD58" s="537">
        <v>0.0</v>
      </c>
      <c r="BE58" s="454" t="s">
        <v>764</v>
      </c>
      <c r="BF58" s="537">
        <v>0.0</v>
      </c>
      <c r="BG58" s="454" t="s">
        <v>764</v>
      </c>
      <c r="BH58" s="537">
        <v>36.0</v>
      </c>
      <c r="BI58" s="454" t="s">
        <v>764</v>
      </c>
      <c r="BJ58" s="537">
        <v>0.0</v>
      </c>
      <c r="BK58" s="454" t="s">
        <v>764</v>
      </c>
      <c r="BL58" s="537">
        <v>0.0</v>
      </c>
      <c r="BM58" s="454" t="s">
        <v>764</v>
      </c>
      <c r="BN58" s="537">
        <v>92.0</v>
      </c>
      <c r="BO58" s="112"/>
      <c r="BP58" s="112"/>
      <c r="BQ58" s="112"/>
    </row>
    <row r="59">
      <c r="A59" s="577"/>
      <c r="B59" s="753" t="s">
        <v>2513</v>
      </c>
      <c r="C59" s="754"/>
      <c r="D59" s="754"/>
      <c r="E59" s="754"/>
      <c r="F59" s="755"/>
      <c r="G59" s="566"/>
      <c r="H59" s="756" t="s">
        <v>2514</v>
      </c>
      <c r="I59" s="757"/>
      <c r="J59" s="758"/>
      <c r="K59" s="573"/>
      <c r="V59" s="226"/>
      <c r="W59" s="226"/>
      <c r="X59" s="226"/>
      <c r="Y59" s="226"/>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W59" s="454" t="s">
        <v>2059</v>
      </c>
      <c r="AX59" s="536">
        <v>0.0</v>
      </c>
      <c r="AY59" s="515" t="s">
        <v>2059</v>
      </c>
      <c r="AZ59" s="537">
        <v>118.7</v>
      </c>
      <c r="BA59" s="454" t="s">
        <v>2059</v>
      </c>
      <c r="BB59" s="537">
        <v>15.0</v>
      </c>
      <c r="BC59" s="454" t="s">
        <v>2059</v>
      </c>
      <c r="BD59" s="537">
        <v>50.0</v>
      </c>
      <c r="BE59" s="454" t="s">
        <v>2059</v>
      </c>
      <c r="BF59" s="537">
        <v>0.0</v>
      </c>
      <c r="BG59" s="454" t="s">
        <v>2059</v>
      </c>
      <c r="BH59" s="537">
        <v>33.0</v>
      </c>
      <c r="BI59" s="454" t="s">
        <v>2059</v>
      </c>
      <c r="BJ59" s="537">
        <v>0.0</v>
      </c>
      <c r="BK59" s="454" t="s">
        <v>2059</v>
      </c>
      <c r="BL59" s="537">
        <v>0.0</v>
      </c>
      <c r="BM59" s="454" t="s">
        <v>2059</v>
      </c>
      <c r="BN59" s="537">
        <v>0.0</v>
      </c>
      <c r="BO59" s="112"/>
      <c r="BP59" s="112"/>
      <c r="BQ59" s="112"/>
    </row>
    <row r="60">
      <c r="A60" s="577"/>
      <c r="B60" s="759"/>
      <c r="C60" s="760"/>
      <c r="D60" s="760"/>
      <c r="E60" s="760"/>
      <c r="F60" s="761"/>
      <c r="G60" s="566"/>
      <c r="H60" s="762"/>
      <c r="I60" s="763"/>
      <c r="J60" s="758"/>
      <c r="K60" s="573"/>
      <c r="V60" s="226"/>
      <c r="W60" s="226"/>
      <c r="X60" s="226"/>
      <c r="Y60" s="226"/>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W60" s="454" t="s">
        <v>1420</v>
      </c>
      <c r="AX60" s="536">
        <v>0.0</v>
      </c>
      <c r="AY60" s="515" t="s">
        <v>1420</v>
      </c>
      <c r="AZ60" s="537">
        <v>97.63</v>
      </c>
      <c r="BA60" s="454" t="s">
        <v>1420</v>
      </c>
      <c r="BB60" s="537">
        <v>0.0</v>
      </c>
      <c r="BC60" s="454" t="s">
        <v>1420</v>
      </c>
      <c r="BD60" s="537">
        <v>44.0</v>
      </c>
      <c r="BE60" s="454" t="s">
        <v>1420</v>
      </c>
      <c r="BF60" s="537">
        <v>0.0</v>
      </c>
      <c r="BG60" s="454" t="s">
        <v>1420</v>
      </c>
      <c r="BH60" s="537">
        <v>26.0</v>
      </c>
      <c r="BI60" s="454" t="s">
        <v>1420</v>
      </c>
      <c r="BJ60" s="537">
        <v>0.0</v>
      </c>
      <c r="BK60" s="454" t="s">
        <v>1420</v>
      </c>
      <c r="BL60" s="537">
        <v>0.0</v>
      </c>
      <c r="BM60" s="454" t="s">
        <v>1420</v>
      </c>
      <c r="BN60" s="537">
        <v>0.0</v>
      </c>
      <c r="BO60" s="112"/>
      <c r="BP60" s="112"/>
      <c r="BQ60" s="112"/>
    </row>
    <row r="61">
      <c r="A61" s="764"/>
      <c r="B61" s="765"/>
      <c r="C61" s="766"/>
      <c r="D61" s="765"/>
      <c r="E61" s="765"/>
      <c r="F61" s="765"/>
      <c r="G61" s="566"/>
      <c r="H61" s="767"/>
      <c r="I61" s="768"/>
      <c r="J61" s="758"/>
      <c r="K61" s="573"/>
      <c r="V61" s="226"/>
      <c r="W61" s="226"/>
      <c r="X61" s="226"/>
      <c r="Y61" s="226"/>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W61" s="455"/>
      <c r="AX61" s="568"/>
      <c r="AY61" s="455"/>
      <c r="AZ61" s="568"/>
      <c r="BA61" s="455"/>
      <c r="BB61" s="568"/>
      <c r="BC61" s="455"/>
      <c r="BD61" s="568"/>
      <c r="BE61" s="455"/>
      <c r="BF61" s="568"/>
      <c r="BG61" s="455"/>
      <c r="BH61" s="568"/>
      <c r="BI61" s="455"/>
      <c r="BJ61" s="568"/>
      <c r="BK61" s="455"/>
      <c r="BL61" s="568"/>
      <c r="BM61" s="455"/>
      <c r="BN61" s="568"/>
      <c r="BO61" s="112"/>
      <c r="BP61" s="112"/>
      <c r="BQ61" s="112"/>
    </row>
    <row r="62">
      <c r="A62" s="578" t="s">
        <v>2074</v>
      </c>
      <c r="B62" s="579" t="s">
        <v>2075</v>
      </c>
      <c r="C62" s="579" t="s">
        <v>2076</v>
      </c>
      <c r="D62" s="579" t="s">
        <v>2515</v>
      </c>
      <c r="E62" s="769" t="s">
        <v>2516</v>
      </c>
      <c r="F62" s="770" t="s">
        <v>1004</v>
      </c>
      <c r="G62" s="566" t="s">
        <v>2517</v>
      </c>
      <c r="H62" s="226"/>
      <c r="I62" s="566"/>
      <c r="J62" s="758"/>
      <c r="K62" s="771"/>
      <c r="V62" s="226"/>
      <c r="W62" s="226"/>
      <c r="X62" s="226"/>
      <c r="Y62" s="226"/>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BO62" s="112"/>
      <c r="BP62" s="112"/>
      <c r="BQ62" s="112"/>
    </row>
    <row r="63">
      <c r="A63" s="582" t="s">
        <v>2079</v>
      </c>
      <c r="B63" s="583" t="s">
        <v>1009</v>
      </c>
      <c r="C63" s="584">
        <f>VLOOKUP(B63,AS494:AT520,2,FALSE)</f>
        <v>306</v>
      </c>
      <c r="D63" s="582">
        <f>Round(C63+G63*F68/14,0)</f>
        <v>992</v>
      </c>
      <c r="E63" s="772" t="str">
        <f>VLOOKUP(B63,AY440:AZ466,2,FALSE)</f>
        <v>Sword</v>
      </c>
      <c r="F63" s="773">
        <f>VLOOKUP(B63,AU440:AV466,2,FALSE)</f>
        <v>2.8</v>
      </c>
      <c r="G63" s="590">
        <f>VLOOKUP(B63,AU494:AV520,2,FALSE)</f>
        <v>2.4</v>
      </c>
      <c r="H63" s="226"/>
      <c r="I63" s="451"/>
      <c r="J63" s="774"/>
      <c r="K63" s="582"/>
      <c r="V63" s="226"/>
      <c r="W63" s="226"/>
      <c r="X63" s="226"/>
      <c r="Y63" s="226"/>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W63" s="449" t="s">
        <v>2062</v>
      </c>
      <c r="AX63" s="449" t="s">
        <v>1920</v>
      </c>
      <c r="AY63" s="450" t="s">
        <v>2063</v>
      </c>
      <c r="AZ63" s="450" t="s">
        <v>1922</v>
      </c>
      <c r="BA63" s="449" t="s">
        <v>2062</v>
      </c>
      <c r="BB63" s="450" t="s">
        <v>2064</v>
      </c>
      <c r="BC63" s="449" t="s">
        <v>2062</v>
      </c>
      <c r="BD63" s="450" t="s">
        <v>2065</v>
      </c>
      <c r="BE63" s="449" t="s">
        <v>2062</v>
      </c>
      <c r="BF63" s="450" t="s">
        <v>2066</v>
      </c>
      <c r="BG63" s="449" t="s">
        <v>2062</v>
      </c>
      <c r="BH63" s="450" t="s">
        <v>2067</v>
      </c>
      <c r="BI63" s="449" t="s">
        <v>2062</v>
      </c>
      <c r="BJ63" s="450" t="s">
        <v>2068</v>
      </c>
      <c r="BK63" s="449" t="s">
        <v>2062</v>
      </c>
      <c r="BL63" s="450" t="s">
        <v>2069</v>
      </c>
      <c r="BM63" s="449" t="s">
        <v>2062</v>
      </c>
      <c r="BN63" s="450" t="s">
        <v>2070</v>
      </c>
      <c r="BO63" s="112"/>
      <c r="BP63" s="112"/>
      <c r="BQ63" s="112"/>
    </row>
    <row r="64">
      <c r="A64" s="582" t="s">
        <v>2469</v>
      </c>
      <c r="B64" s="583" t="s">
        <v>1009</v>
      </c>
      <c r="C64" s="584">
        <f>VLOOKUP(B64,AS524:AT554,2,FALSE)</f>
        <v>153</v>
      </c>
      <c r="D64" s="582">
        <f>Round((C64+G64*F68/14)*62.5%,0)</f>
        <v>524</v>
      </c>
      <c r="E64" s="772" t="str">
        <f>VLOOKUP(B64,BA440:BB468,2,FALSE)</f>
        <v>Sword</v>
      </c>
      <c r="F64" s="775">
        <f>VLOOKUP(B64,AW440:AX468,2,FALSE)</f>
        <v>1.4</v>
      </c>
      <c r="G64" s="473">
        <f>VLOOKUP(B64,AU524:AV554,2,FALSE)</f>
        <v>2.4</v>
      </c>
      <c r="H64" s="226"/>
      <c r="I64" s="473"/>
      <c r="J64" s="776"/>
      <c r="K64" s="582"/>
      <c r="V64" s="226"/>
      <c r="W64" s="226"/>
      <c r="X64" s="226"/>
      <c r="Y64" s="226"/>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W64" s="454" t="s">
        <v>1008</v>
      </c>
      <c r="AX64" s="456">
        <v>196.0</v>
      </c>
      <c r="AY64" s="515" t="s">
        <v>1008</v>
      </c>
      <c r="AZ64" s="457">
        <v>650.58</v>
      </c>
      <c r="BA64" s="454" t="s">
        <v>1008</v>
      </c>
      <c r="BB64" s="457">
        <v>0.0</v>
      </c>
      <c r="BC64" s="454" t="s">
        <v>1008</v>
      </c>
      <c r="BD64" s="457">
        <v>0.0</v>
      </c>
      <c r="BE64" s="454" t="s">
        <v>1008</v>
      </c>
      <c r="BF64" s="457">
        <v>0.0</v>
      </c>
      <c r="BG64" s="454" t="s">
        <v>1008</v>
      </c>
      <c r="BH64" s="457">
        <v>0.0</v>
      </c>
      <c r="BI64" s="454" t="s">
        <v>1008</v>
      </c>
      <c r="BJ64" s="457">
        <v>0.0</v>
      </c>
      <c r="BK64" s="454" t="s">
        <v>1008</v>
      </c>
      <c r="BL64" s="457">
        <v>0.0</v>
      </c>
      <c r="BM64" s="454" t="s">
        <v>1008</v>
      </c>
      <c r="BN64" s="457">
        <v>54.0</v>
      </c>
      <c r="BO64" s="112"/>
      <c r="BP64" s="112"/>
      <c r="BQ64" s="112"/>
    </row>
    <row r="65">
      <c r="A65" s="582" t="s">
        <v>2080</v>
      </c>
      <c r="B65" s="587" t="s">
        <v>2518</v>
      </c>
      <c r="C65" s="588">
        <f>D63+D64</f>
        <v>1516</v>
      </c>
      <c r="D65" s="226"/>
      <c r="E65" s="226"/>
      <c r="F65" s="226"/>
      <c r="G65" s="226"/>
      <c r="H65" s="566"/>
      <c r="I65" s="566"/>
      <c r="J65" s="758"/>
      <c r="K65" s="777"/>
      <c r="L65" s="573"/>
      <c r="M65" s="572"/>
      <c r="N65" s="572"/>
      <c r="O65" s="57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W65" s="454" t="s">
        <v>1009</v>
      </c>
      <c r="AX65" s="456">
        <v>0.0</v>
      </c>
      <c r="AY65" s="515" t="s">
        <v>1009</v>
      </c>
      <c r="AZ65" s="457">
        <v>591.34</v>
      </c>
      <c r="BA65" s="454" t="s">
        <v>1009</v>
      </c>
      <c r="BB65" s="457">
        <v>21.0</v>
      </c>
      <c r="BC65" s="454" t="s">
        <v>1009</v>
      </c>
      <c r="BD65" s="457">
        <v>0.0</v>
      </c>
      <c r="BE65" s="454" t="s">
        <v>1009</v>
      </c>
      <c r="BF65" s="457">
        <v>22.0</v>
      </c>
      <c r="BG65" s="454" t="s">
        <v>1009</v>
      </c>
      <c r="BH65" s="457">
        <v>0.0</v>
      </c>
      <c r="BI65" s="454" t="s">
        <v>1009</v>
      </c>
      <c r="BJ65" s="457">
        <v>0.0</v>
      </c>
      <c r="BK65" s="454" t="s">
        <v>1009</v>
      </c>
      <c r="BL65" s="457">
        <v>0.0</v>
      </c>
      <c r="BM65" s="454" t="s">
        <v>1009</v>
      </c>
      <c r="BN65" s="457">
        <v>44.0</v>
      </c>
      <c r="BO65" s="112"/>
      <c r="BP65" s="112"/>
      <c r="BQ65" s="112"/>
    </row>
    <row r="66">
      <c r="A66" s="226"/>
      <c r="B66" s="591" t="s">
        <v>2083</v>
      </c>
      <c r="C66" s="592">
        <f>Round((26*C65)/240,0)</f>
        <v>164</v>
      </c>
      <c r="D66" s="226"/>
      <c r="E66" s="226"/>
      <c r="F66" s="226"/>
      <c r="G66" s="226"/>
      <c r="H66" s="566"/>
      <c r="I66" s="566"/>
      <c r="J66" s="758"/>
      <c r="K66" s="778"/>
      <c r="L66" s="573"/>
      <c r="M66" s="572"/>
      <c r="N66" s="572"/>
      <c r="O66" s="572"/>
      <c r="P66" s="112"/>
      <c r="Q66" s="112"/>
      <c r="R66" s="112"/>
      <c r="S66" s="112"/>
      <c r="T66" s="112"/>
      <c r="U66" s="112"/>
      <c r="V66" s="112"/>
      <c r="W66" s="112"/>
      <c r="X66" s="112"/>
      <c r="Y66" s="112"/>
      <c r="Z66" s="112"/>
      <c r="AA66" s="112"/>
      <c r="AB66" s="112"/>
      <c r="AC66" s="112"/>
      <c r="AD66" s="112"/>
      <c r="AE66" s="112"/>
      <c r="AF66" s="112"/>
      <c r="AG66" s="112"/>
      <c r="AH66" s="112"/>
      <c r="AI66" s="112"/>
      <c r="AJ66" s="112"/>
      <c r="AK66" s="112"/>
      <c r="AL66" s="112"/>
      <c r="AM66" s="112"/>
      <c r="AW66" s="454" t="s">
        <v>1011</v>
      </c>
      <c r="AX66" s="456">
        <v>49.0</v>
      </c>
      <c r="AY66" s="515" t="s">
        <v>1011</v>
      </c>
      <c r="AZ66" s="457">
        <v>587.68</v>
      </c>
      <c r="BA66" s="454" t="s">
        <v>1011</v>
      </c>
      <c r="BB66" s="457">
        <v>9.0</v>
      </c>
      <c r="BC66" s="454" t="s">
        <v>1011</v>
      </c>
      <c r="BD66" s="457">
        <v>0.0</v>
      </c>
      <c r="BE66" s="454" t="s">
        <v>1011</v>
      </c>
      <c r="BF66" s="457">
        <v>0.0</v>
      </c>
      <c r="BG66" s="454" t="s">
        <v>1011</v>
      </c>
      <c r="BH66" s="457">
        <v>22.0</v>
      </c>
      <c r="BI66" s="454" t="s">
        <v>1011</v>
      </c>
      <c r="BJ66" s="457">
        <v>0.0</v>
      </c>
      <c r="BK66" s="454" t="s">
        <v>1011</v>
      </c>
      <c r="BL66" s="457">
        <v>0.0</v>
      </c>
      <c r="BM66" s="454" t="s">
        <v>1011</v>
      </c>
      <c r="BN66" s="457">
        <v>38.0</v>
      </c>
      <c r="BO66" s="112"/>
      <c r="BP66" s="112"/>
      <c r="BQ66" s="112"/>
    </row>
    <row r="67">
      <c r="A67" s="226"/>
      <c r="B67" s="591" t="s">
        <v>2093</v>
      </c>
      <c r="C67" s="592">
        <f>Round(C65/H76, 2)</f>
        <v>60.64</v>
      </c>
      <c r="D67" s="226"/>
      <c r="E67" s="226"/>
      <c r="F67" s="779" t="s">
        <v>327</v>
      </c>
      <c r="G67" s="780"/>
      <c r="H67" s="566"/>
      <c r="I67" s="566"/>
      <c r="J67" s="758"/>
      <c r="K67" s="778"/>
      <c r="L67" s="573"/>
      <c r="M67" s="572"/>
      <c r="N67" s="572"/>
      <c r="O67" s="57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W67" s="454" t="s">
        <v>1012</v>
      </c>
      <c r="AX67" s="456">
        <v>0.0</v>
      </c>
      <c r="AY67" s="515" t="s">
        <v>1012</v>
      </c>
      <c r="AZ67" s="457">
        <v>575.13</v>
      </c>
      <c r="BA67" s="454" t="s">
        <v>1012</v>
      </c>
      <c r="BB67" s="457">
        <v>17.0</v>
      </c>
      <c r="BC67" s="454" t="s">
        <v>1012</v>
      </c>
      <c r="BD67" s="457">
        <v>0.0</v>
      </c>
      <c r="BE67" s="454" t="s">
        <v>1012</v>
      </c>
      <c r="BF67" s="457">
        <v>0.0</v>
      </c>
      <c r="BG67" s="454" t="s">
        <v>1012</v>
      </c>
      <c r="BH67" s="457">
        <v>0.0</v>
      </c>
      <c r="BI67" s="454" t="s">
        <v>1012</v>
      </c>
      <c r="BJ67" s="457">
        <v>35.0</v>
      </c>
      <c r="BK67" s="454" t="s">
        <v>1012</v>
      </c>
      <c r="BL67" s="457">
        <v>0.0</v>
      </c>
      <c r="BM67" s="454" t="s">
        <v>1012</v>
      </c>
      <c r="BN67" s="457">
        <v>0.0</v>
      </c>
      <c r="BO67" s="112"/>
      <c r="BP67" s="112"/>
      <c r="BQ67" s="112"/>
    </row>
    <row r="68">
      <c r="A68" s="25" t="s">
        <v>2095</v>
      </c>
      <c r="B68" s="593" t="s">
        <v>2519</v>
      </c>
      <c r="C68" s="594">
        <f>Round(H72+I73,0)</f>
        <v>1801</v>
      </c>
      <c r="D68" s="226"/>
      <c r="E68" s="226"/>
      <c r="F68" s="781">
        <v>4000.0</v>
      </c>
      <c r="G68" s="757"/>
      <c r="H68" s="566"/>
      <c r="I68" s="566"/>
      <c r="J68" s="758"/>
      <c r="K68" s="573"/>
      <c r="L68" s="573"/>
      <c r="M68" s="572"/>
      <c r="N68" s="572"/>
      <c r="O68" s="572"/>
      <c r="P68" s="112"/>
      <c r="Q68" s="112"/>
      <c r="R68" s="112"/>
      <c r="S68" s="112"/>
      <c r="T68" s="112"/>
      <c r="U68" s="112"/>
      <c r="V68" s="112"/>
      <c r="W68" s="112"/>
      <c r="X68" s="112"/>
      <c r="Y68" s="112"/>
      <c r="Z68" s="112"/>
      <c r="AA68" s="112"/>
      <c r="AB68" s="112"/>
      <c r="AC68" s="112"/>
      <c r="AD68" s="112"/>
      <c r="AE68" s="112"/>
      <c r="AF68" s="112"/>
      <c r="AG68" s="112"/>
      <c r="AH68" s="112"/>
      <c r="AI68" s="112"/>
      <c r="AJ68" s="112"/>
      <c r="AK68" s="112"/>
      <c r="AL68" s="112"/>
      <c r="AM68" s="112"/>
      <c r="AW68" s="454" t="s">
        <v>1013</v>
      </c>
      <c r="AX68" s="456">
        <v>0.0</v>
      </c>
      <c r="AY68" s="515" t="s">
        <v>1013</v>
      </c>
      <c r="AZ68" s="457">
        <v>564.64</v>
      </c>
      <c r="BA68" s="454" t="s">
        <v>1013</v>
      </c>
      <c r="BB68" s="457">
        <v>0.0</v>
      </c>
      <c r="BC68" s="454" t="s">
        <v>1013</v>
      </c>
      <c r="BD68" s="457">
        <v>0.0</v>
      </c>
      <c r="BE68" s="454" t="s">
        <v>1013</v>
      </c>
      <c r="BF68" s="457">
        <v>23.0</v>
      </c>
      <c r="BG68" s="454" t="s">
        <v>1013</v>
      </c>
      <c r="BH68" s="457">
        <v>0.0</v>
      </c>
      <c r="BI68" s="454" t="s">
        <v>1013</v>
      </c>
      <c r="BJ68" s="457">
        <v>21.0</v>
      </c>
      <c r="BK68" s="454" t="s">
        <v>1013</v>
      </c>
      <c r="BL68" s="457">
        <v>0.0</v>
      </c>
      <c r="BM68" s="454" t="s">
        <v>1013</v>
      </c>
      <c r="BN68" s="457">
        <v>44.0</v>
      </c>
      <c r="BO68" s="112"/>
      <c r="BP68" s="112"/>
      <c r="BQ68" s="112"/>
    </row>
    <row r="69">
      <c r="A69" s="202" t="s">
        <v>2097</v>
      </c>
      <c r="B69" s="595" t="s">
        <v>2520</v>
      </c>
      <c r="C69" s="596">
        <f>Round((40*C68)/240,0)</f>
        <v>300</v>
      </c>
      <c r="D69" s="226"/>
      <c r="E69" s="226"/>
      <c r="F69" s="767"/>
      <c r="G69" s="768"/>
      <c r="H69" s="566"/>
      <c r="I69" s="566"/>
      <c r="J69" s="758"/>
      <c r="K69" s="573"/>
      <c r="L69" s="573"/>
      <c r="M69" s="572"/>
      <c r="N69" s="572"/>
      <c r="O69" s="57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W69" s="454" t="s">
        <v>1018</v>
      </c>
      <c r="AX69" s="456">
        <v>49.0</v>
      </c>
      <c r="AY69" s="515" t="s">
        <v>1018</v>
      </c>
      <c r="AZ69" s="457">
        <v>561.61</v>
      </c>
      <c r="BA69" s="454" t="s">
        <v>1018</v>
      </c>
      <c r="BB69" s="457">
        <v>8.0</v>
      </c>
      <c r="BC69" s="454" t="s">
        <v>1018</v>
      </c>
      <c r="BD69" s="457">
        <v>0.0</v>
      </c>
      <c r="BE69" s="454" t="s">
        <v>1018</v>
      </c>
      <c r="BF69" s="457">
        <v>0.0</v>
      </c>
      <c r="BG69" s="454" t="s">
        <v>1018</v>
      </c>
      <c r="BH69" s="457">
        <v>21.0</v>
      </c>
      <c r="BI69" s="454" t="s">
        <v>1018</v>
      </c>
      <c r="BJ69" s="457">
        <v>0.0</v>
      </c>
      <c r="BK69" s="454" t="s">
        <v>1018</v>
      </c>
      <c r="BL69" s="457">
        <v>0.0</v>
      </c>
      <c r="BM69" s="454" t="s">
        <v>1018</v>
      </c>
      <c r="BN69" s="457">
        <v>34.0</v>
      </c>
      <c r="BO69" s="112"/>
      <c r="BP69" s="112"/>
      <c r="BQ69" s="112"/>
    </row>
    <row r="70">
      <c r="A70" s="226"/>
      <c r="B70" s="595" t="s">
        <v>2093</v>
      </c>
      <c r="C70" s="597">
        <f>Round(C68/H78, 2)</f>
        <v>60.03</v>
      </c>
      <c r="D70" s="226"/>
      <c r="E70" s="566"/>
      <c r="F70" s="566"/>
      <c r="G70" s="566"/>
      <c r="H70" s="566"/>
      <c r="I70" s="566"/>
      <c r="J70" s="758"/>
      <c r="K70" s="573"/>
      <c r="L70" s="573"/>
      <c r="M70" s="572"/>
      <c r="N70" s="572"/>
      <c r="O70" s="572"/>
      <c r="Q70" s="112"/>
      <c r="R70" s="112"/>
      <c r="S70" s="112"/>
      <c r="T70" s="112"/>
      <c r="U70" s="112"/>
      <c r="V70" s="112"/>
      <c r="W70" s="112"/>
      <c r="X70" s="112"/>
      <c r="Y70" s="112"/>
      <c r="Z70" s="112"/>
      <c r="AA70" s="112"/>
      <c r="AB70" s="112"/>
      <c r="AC70" s="112"/>
      <c r="AD70" s="112"/>
      <c r="AE70" s="112"/>
      <c r="AF70" s="112"/>
      <c r="AG70" s="112"/>
      <c r="AH70" s="112"/>
      <c r="AI70" s="112"/>
      <c r="AJ70" s="112"/>
      <c r="AK70" s="112"/>
      <c r="AL70" s="112"/>
      <c r="AM70" s="112"/>
      <c r="AW70" s="454" t="s">
        <v>1055</v>
      </c>
      <c r="AX70" s="456">
        <v>0.0</v>
      </c>
      <c r="AY70" s="515" t="s">
        <v>1055</v>
      </c>
      <c r="AZ70" s="457">
        <v>556.41</v>
      </c>
      <c r="BA70" s="454" t="s">
        <v>1055</v>
      </c>
      <c r="BB70" s="457">
        <v>0.0</v>
      </c>
      <c r="BC70" s="454" t="s">
        <v>1055</v>
      </c>
      <c r="BD70" s="457">
        <v>0.0</v>
      </c>
      <c r="BE70" s="454" t="s">
        <v>1055</v>
      </c>
      <c r="BF70" s="457">
        <v>0.0</v>
      </c>
      <c r="BG70" s="454" t="s">
        <v>1055</v>
      </c>
      <c r="BH70" s="457">
        <v>0.0</v>
      </c>
      <c r="BI70" s="454" t="s">
        <v>1055</v>
      </c>
      <c r="BJ70" s="457">
        <v>0.0</v>
      </c>
      <c r="BK70" s="454" t="s">
        <v>1055</v>
      </c>
      <c r="BL70" s="457">
        <v>0.0</v>
      </c>
      <c r="BM70" s="454" t="s">
        <v>1055</v>
      </c>
      <c r="BN70" s="457">
        <v>0.0</v>
      </c>
    </row>
    <row r="71">
      <c r="A71" s="566"/>
      <c r="B71" s="226"/>
      <c r="C71" s="226"/>
      <c r="D71" s="566"/>
      <c r="E71" s="566"/>
      <c r="F71" s="566"/>
      <c r="G71" s="566"/>
      <c r="H71" s="566"/>
      <c r="I71" s="566"/>
      <c r="J71" s="758"/>
      <c r="K71" s="573"/>
      <c r="L71" s="782"/>
      <c r="M71" s="572"/>
      <c r="N71" s="572"/>
      <c r="O71" s="57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W71" s="454" t="s">
        <v>1019</v>
      </c>
      <c r="AX71" s="536">
        <v>0.0</v>
      </c>
      <c r="AY71" s="515" t="s">
        <v>1019</v>
      </c>
      <c r="AZ71" s="457">
        <v>543.64</v>
      </c>
      <c r="BA71" s="454" t="s">
        <v>1019</v>
      </c>
      <c r="BB71" s="457">
        <v>0.0</v>
      </c>
      <c r="BC71" s="454" t="s">
        <v>1019</v>
      </c>
      <c r="BD71" s="457">
        <v>0.0</v>
      </c>
      <c r="BE71" s="454" t="s">
        <v>1019</v>
      </c>
      <c r="BF71" s="457">
        <v>28.0</v>
      </c>
      <c r="BG71" s="454" t="s">
        <v>1019</v>
      </c>
      <c r="BH71" s="457">
        <v>0.0</v>
      </c>
      <c r="BI71" s="454" t="s">
        <v>1019</v>
      </c>
      <c r="BJ71" s="457">
        <v>0.0</v>
      </c>
      <c r="BK71" s="454" t="s">
        <v>1019</v>
      </c>
      <c r="BL71" s="457">
        <v>0.0</v>
      </c>
      <c r="BM71" s="454" t="s">
        <v>1019</v>
      </c>
      <c r="BN71" s="457">
        <v>56.0</v>
      </c>
    </row>
    <row r="72">
      <c r="A72" s="602" t="s">
        <v>2101</v>
      </c>
      <c r="B72" s="602" t="s">
        <v>2102</v>
      </c>
      <c r="C72" s="602" t="s">
        <v>2103</v>
      </c>
      <c r="D72" s="603" t="s">
        <v>1976</v>
      </c>
      <c r="E72" s="604" t="s">
        <v>2104</v>
      </c>
      <c r="F72" s="566"/>
      <c r="G72" s="556"/>
      <c r="H72" s="534">
        <f>Round(F68*0.450199,2)</f>
        <v>1800.8</v>
      </c>
      <c r="I72" s="556"/>
      <c r="J72" s="758"/>
      <c r="K72" s="573"/>
      <c r="L72" s="572"/>
      <c r="M72" s="572"/>
      <c r="N72" s="572"/>
      <c r="O72" s="572"/>
      <c r="Q72" s="112"/>
      <c r="R72" s="112"/>
      <c r="S72" s="112"/>
      <c r="T72" s="112"/>
      <c r="U72" s="112"/>
      <c r="V72" s="112"/>
      <c r="W72" s="112"/>
      <c r="X72" s="112"/>
      <c r="Y72" s="112"/>
      <c r="Z72" s="112"/>
      <c r="AA72" s="112"/>
      <c r="AB72" s="112"/>
      <c r="AC72" s="112"/>
      <c r="AD72" s="112"/>
      <c r="AE72" s="112"/>
      <c r="AF72" s="112"/>
      <c r="AG72" s="112"/>
      <c r="AH72" s="112"/>
      <c r="AI72" s="112"/>
      <c r="AJ72" s="112"/>
      <c r="AK72" s="112"/>
      <c r="AL72" s="112"/>
      <c r="AM72" s="112"/>
      <c r="AW72" s="454" t="s">
        <v>1026</v>
      </c>
      <c r="AX72" s="536">
        <v>0.0</v>
      </c>
      <c r="AY72" s="515" t="s">
        <v>1026</v>
      </c>
      <c r="AZ72" s="457">
        <v>531.72</v>
      </c>
      <c r="BA72" s="454" t="s">
        <v>1026</v>
      </c>
      <c r="BB72" s="457">
        <v>21.0</v>
      </c>
      <c r="BC72" s="454" t="s">
        <v>1026</v>
      </c>
      <c r="BD72" s="457">
        <v>0.0</v>
      </c>
      <c r="BE72" s="454" t="s">
        <v>1026</v>
      </c>
      <c r="BF72" s="457">
        <v>0.0</v>
      </c>
      <c r="BG72" s="454" t="s">
        <v>1026</v>
      </c>
      <c r="BH72" s="457">
        <v>0.0</v>
      </c>
      <c r="BI72" s="454" t="s">
        <v>1026</v>
      </c>
      <c r="BJ72" s="457">
        <v>0.0</v>
      </c>
      <c r="BK72" s="454" t="s">
        <v>1026</v>
      </c>
      <c r="BL72" s="457">
        <v>0.0</v>
      </c>
      <c r="BM72" s="454" t="s">
        <v>1026</v>
      </c>
      <c r="BN72" s="457">
        <v>44.0</v>
      </c>
    </row>
    <row r="73">
      <c r="A73" s="605">
        <v>925.0</v>
      </c>
      <c r="B73" s="606">
        <f>(B77-B76)</f>
        <v>13</v>
      </c>
      <c r="C73" s="605">
        <f>B73*21</f>
        <v>273</v>
      </c>
      <c r="D73" s="783">
        <f>A73+C73</f>
        <v>1198</v>
      </c>
      <c r="E73" s="605">
        <f>Round(D73/B77,0)</f>
        <v>48</v>
      </c>
      <c r="F73" s="566"/>
      <c r="G73" s="556" t="s">
        <v>2099</v>
      </c>
      <c r="H73" s="534">
        <f>Round((F68*0.450199)/100*5,2)</f>
        <v>90.04</v>
      </c>
      <c r="I73" s="534">
        <f>VLOOKUP(A68,G73:H74,2,FALSE)</f>
        <v>0</v>
      </c>
      <c r="J73" s="758"/>
      <c r="K73" s="573"/>
      <c r="L73" s="472"/>
      <c r="M73" s="572"/>
      <c r="N73" s="572"/>
      <c r="O73" s="57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W73" s="454" t="s">
        <v>1024</v>
      </c>
      <c r="AX73" s="536">
        <v>0.0</v>
      </c>
      <c r="AY73" s="515" t="s">
        <v>1024</v>
      </c>
      <c r="AZ73" s="457">
        <v>532.86</v>
      </c>
      <c r="BA73" s="454" t="s">
        <v>1024</v>
      </c>
      <c r="BB73" s="457">
        <v>15.0</v>
      </c>
      <c r="BC73" s="454" t="s">
        <v>1024</v>
      </c>
      <c r="BD73" s="457">
        <v>0.0</v>
      </c>
      <c r="BE73" s="454" t="s">
        <v>1024</v>
      </c>
      <c r="BF73" s="457">
        <v>0.0</v>
      </c>
      <c r="BG73" s="454" t="s">
        <v>1024</v>
      </c>
      <c r="BH73" s="457">
        <v>19.0</v>
      </c>
      <c r="BI73" s="454" t="s">
        <v>1024</v>
      </c>
      <c r="BJ73" s="457">
        <v>0.0</v>
      </c>
      <c r="BK73" s="454" t="s">
        <v>1024</v>
      </c>
      <c r="BL73" s="457">
        <v>0.0</v>
      </c>
      <c r="BM73" s="454" t="s">
        <v>1024</v>
      </c>
      <c r="BN73" s="457">
        <v>52.0</v>
      </c>
    </row>
    <row r="74">
      <c r="A74" s="608" t="s">
        <v>2105</v>
      </c>
      <c r="B74" s="784" t="s">
        <v>2051</v>
      </c>
      <c r="C74" s="451"/>
      <c r="D74" s="451"/>
      <c r="E74" s="452">
        <f>B73+E76-E79</f>
        <v>10</v>
      </c>
      <c r="F74" s="566"/>
      <c r="G74" s="556" t="s">
        <v>2095</v>
      </c>
      <c r="H74" s="745">
        <v>0.0</v>
      </c>
      <c r="I74" s="556"/>
      <c r="J74" s="785"/>
      <c r="K74" s="573"/>
      <c r="L74" s="573"/>
      <c r="M74" s="572"/>
      <c r="N74" s="572"/>
      <c r="O74" s="572"/>
      <c r="P74" s="112"/>
      <c r="Q74" s="112"/>
      <c r="R74" s="112"/>
      <c r="S74" s="112"/>
      <c r="T74" s="112"/>
      <c r="U74" s="112"/>
      <c r="V74" s="112"/>
      <c r="W74" s="112"/>
      <c r="X74" s="112"/>
      <c r="Y74" s="112"/>
      <c r="Z74" s="112"/>
      <c r="AA74" s="112"/>
      <c r="AB74" s="112"/>
      <c r="AC74" s="112"/>
      <c r="AD74" s="112"/>
      <c r="AE74" s="112"/>
      <c r="AF74" s="112"/>
      <c r="AG74" s="112"/>
      <c r="AH74" s="112"/>
      <c r="AI74" s="112"/>
      <c r="AJ74" s="112"/>
      <c r="AK74" s="112"/>
      <c r="AL74" s="112"/>
      <c r="AM74" s="112"/>
      <c r="AW74" s="454" t="s">
        <v>1020</v>
      </c>
      <c r="AX74" s="536">
        <v>0.0</v>
      </c>
      <c r="AY74" s="515" t="s">
        <v>1020</v>
      </c>
      <c r="AZ74" s="457">
        <v>524.27</v>
      </c>
      <c r="BA74" s="454" t="s">
        <v>1020</v>
      </c>
      <c r="BB74" s="457">
        <v>0.0</v>
      </c>
      <c r="BC74" s="454" t="s">
        <v>1020</v>
      </c>
      <c r="BD74" s="457">
        <v>0.0</v>
      </c>
      <c r="BE74" s="454" t="s">
        <v>1020</v>
      </c>
      <c r="BF74" s="457">
        <v>0.0</v>
      </c>
      <c r="BG74" s="454" t="s">
        <v>1020</v>
      </c>
      <c r="BH74" s="457">
        <v>0.0</v>
      </c>
      <c r="BI74" s="454" t="s">
        <v>1020</v>
      </c>
      <c r="BJ74" s="457">
        <v>0.0</v>
      </c>
      <c r="BK74" s="454" t="s">
        <v>1020</v>
      </c>
      <c r="BL74" s="457">
        <v>0.0</v>
      </c>
      <c r="BM74" s="454" t="s">
        <v>1020</v>
      </c>
      <c r="BN74" s="457">
        <v>52.0</v>
      </c>
    </row>
    <row r="75">
      <c r="A75" s="582" t="s">
        <v>2055</v>
      </c>
      <c r="B75" s="786" t="s">
        <v>2048</v>
      </c>
      <c r="C75" s="451"/>
      <c r="D75" s="581"/>
      <c r="E75" s="566">
        <f>(E76+E79)</f>
        <v>3</v>
      </c>
      <c r="F75" s="566"/>
      <c r="G75" s="449"/>
      <c r="H75" s="449"/>
      <c r="I75" s="449"/>
      <c r="J75" s="785"/>
      <c r="K75" s="573"/>
      <c r="L75" s="573"/>
      <c r="M75" s="572"/>
      <c r="N75" s="572"/>
      <c r="O75" s="57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W75" s="454" t="s">
        <v>1022</v>
      </c>
      <c r="AX75" s="536">
        <v>0.0</v>
      </c>
      <c r="AY75" s="515" t="s">
        <v>1022</v>
      </c>
      <c r="AZ75" s="457">
        <v>524.47</v>
      </c>
      <c r="BA75" s="454" t="s">
        <v>1022</v>
      </c>
      <c r="BB75" s="457">
        <v>0.0</v>
      </c>
      <c r="BC75" s="454" t="s">
        <v>1022</v>
      </c>
      <c r="BD75" s="457">
        <v>0.0</v>
      </c>
      <c r="BE75" s="454" t="s">
        <v>1022</v>
      </c>
      <c r="BF75" s="457">
        <v>0.0</v>
      </c>
      <c r="BG75" s="454" t="s">
        <v>1022</v>
      </c>
      <c r="BH75" s="457">
        <v>0.0</v>
      </c>
      <c r="BI75" s="454" t="s">
        <v>1022</v>
      </c>
      <c r="BJ75" s="457">
        <v>0.0</v>
      </c>
      <c r="BK75" s="454" t="s">
        <v>1022</v>
      </c>
      <c r="BL75" s="457">
        <v>0.0</v>
      </c>
      <c r="BM75" s="454" t="s">
        <v>1022</v>
      </c>
      <c r="BN75" s="457">
        <v>50.0</v>
      </c>
    </row>
    <row r="76">
      <c r="A76" s="608" t="s">
        <v>2106</v>
      </c>
      <c r="B76" s="787">
        <f>(15-E75)</f>
        <v>12</v>
      </c>
      <c r="C76" s="451" t="s">
        <v>2051</v>
      </c>
      <c r="D76" s="451">
        <v>0.0</v>
      </c>
      <c r="E76" s="534">
        <f>VLOOKUP(B74,C76:D78,2,FALSE)</f>
        <v>0</v>
      </c>
      <c r="F76" s="788" t="s">
        <v>2082</v>
      </c>
      <c r="G76" s="789">
        <v>20.0</v>
      </c>
      <c r="H76" s="534">
        <f>VLOOKUP(A65,F76:G77,2,FALSE)</f>
        <v>25</v>
      </c>
      <c r="I76" s="449"/>
      <c r="J76" s="785"/>
      <c r="K76" s="573"/>
      <c r="L76" s="573"/>
      <c r="M76" s="572"/>
      <c r="N76" s="572"/>
      <c r="O76" s="572"/>
      <c r="P76" s="112"/>
      <c r="Q76" s="112"/>
      <c r="R76" s="112"/>
      <c r="S76" s="112"/>
      <c r="T76" s="112"/>
      <c r="U76" s="112"/>
      <c r="V76" s="112"/>
      <c r="W76" s="112"/>
      <c r="X76" s="112"/>
      <c r="Y76" s="112"/>
      <c r="Z76" s="112"/>
      <c r="AA76" s="112"/>
      <c r="AB76" s="112"/>
      <c r="AC76" s="112"/>
      <c r="AD76" s="112"/>
      <c r="AE76" s="112"/>
      <c r="AF76" s="112"/>
      <c r="AG76" s="112"/>
      <c r="AH76" s="112"/>
      <c r="AI76" s="112"/>
      <c r="AJ76" s="112"/>
      <c r="AK76" s="112"/>
      <c r="AL76" s="112"/>
      <c r="AM76" s="112"/>
      <c r="AW76" s="454" t="s">
        <v>1028</v>
      </c>
      <c r="AX76" s="536">
        <v>0.0</v>
      </c>
      <c r="AY76" s="515" t="s">
        <v>1028</v>
      </c>
      <c r="AZ76" s="457">
        <v>531.23</v>
      </c>
      <c r="BA76" s="454" t="s">
        <v>1028</v>
      </c>
      <c r="BB76" s="457">
        <v>0.0</v>
      </c>
      <c r="BC76" s="454" t="s">
        <v>1028</v>
      </c>
      <c r="BD76" s="457">
        <v>0.0</v>
      </c>
      <c r="BE76" s="454" t="s">
        <v>1028</v>
      </c>
      <c r="BF76" s="457">
        <v>20.0</v>
      </c>
      <c r="BG76" s="454" t="s">
        <v>1028</v>
      </c>
      <c r="BH76" s="457">
        <v>0.0</v>
      </c>
      <c r="BI76" s="454" t="s">
        <v>1028</v>
      </c>
      <c r="BJ76" s="457">
        <v>0.0</v>
      </c>
      <c r="BK76" s="454" t="s">
        <v>1028</v>
      </c>
      <c r="BL76" s="457">
        <v>0.0</v>
      </c>
      <c r="BM76" s="454" t="s">
        <v>1028</v>
      </c>
      <c r="BN76" s="457">
        <v>38.0</v>
      </c>
    </row>
    <row r="77">
      <c r="A77" s="608" t="s">
        <v>2107</v>
      </c>
      <c r="B77" s="586">
        <v>25.0</v>
      </c>
      <c r="C77" s="451" t="s">
        <v>2108</v>
      </c>
      <c r="D77" s="451">
        <v>3.0</v>
      </c>
      <c r="E77" s="566"/>
      <c r="F77" s="698" t="s">
        <v>2080</v>
      </c>
      <c r="G77" s="789">
        <v>25.0</v>
      </c>
      <c r="H77" s="556"/>
      <c r="I77" s="449"/>
      <c r="J77" s="785"/>
      <c r="K77" s="573"/>
      <c r="L77" s="573"/>
      <c r="M77" s="572"/>
      <c r="N77" s="572"/>
      <c r="O77" s="572"/>
      <c r="P77" s="112"/>
      <c r="Q77" s="112"/>
      <c r="R77" s="112"/>
      <c r="S77" s="112"/>
      <c r="T77" s="112"/>
      <c r="U77" s="112"/>
      <c r="V77" s="112"/>
      <c r="W77" s="112"/>
      <c r="X77" s="112"/>
      <c r="Y77" s="112"/>
      <c r="Z77" s="112"/>
      <c r="AA77" s="112"/>
      <c r="AB77" s="112"/>
      <c r="AC77" s="112"/>
      <c r="AD77" s="112"/>
      <c r="AE77" s="112"/>
      <c r="AF77" s="112"/>
      <c r="AG77" s="112"/>
      <c r="AH77" s="112"/>
      <c r="AI77" s="112"/>
      <c r="AJ77" s="112"/>
      <c r="AK77" s="112"/>
      <c r="AL77" s="112"/>
      <c r="AM77" s="112"/>
      <c r="AW77" s="454" t="s">
        <v>1031</v>
      </c>
      <c r="AX77" s="536">
        <v>0.0</v>
      </c>
      <c r="AY77" s="515" t="s">
        <v>1031</v>
      </c>
      <c r="AZ77" s="457">
        <v>531.14</v>
      </c>
      <c r="BA77" s="454" t="s">
        <v>1031</v>
      </c>
      <c r="BB77" s="457">
        <v>0.0</v>
      </c>
      <c r="BC77" s="454" t="s">
        <v>1031</v>
      </c>
      <c r="BD77" s="457">
        <v>0.0</v>
      </c>
      <c r="BE77" s="454" t="s">
        <v>1031</v>
      </c>
      <c r="BF77" s="457">
        <v>0.0</v>
      </c>
      <c r="BG77" s="454" t="s">
        <v>1031</v>
      </c>
      <c r="BH77" s="457">
        <v>23.0</v>
      </c>
      <c r="BI77" s="454" t="s">
        <v>1031</v>
      </c>
      <c r="BJ77" s="457">
        <v>0.0</v>
      </c>
      <c r="BK77" s="454" t="s">
        <v>1031</v>
      </c>
      <c r="BL77" s="457">
        <v>0.0</v>
      </c>
      <c r="BM77" s="454" t="s">
        <v>1031</v>
      </c>
      <c r="BN77" s="457">
        <v>48.0</v>
      </c>
    </row>
    <row r="78">
      <c r="A78" s="226"/>
      <c r="B78" s="226"/>
      <c r="C78" s="581" t="s">
        <v>2109</v>
      </c>
      <c r="D78" s="451">
        <v>5.0</v>
      </c>
      <c r="E78" s="473"/>
      <c r="F78" s="788" t="s">
        <v>2094</v>
      </c>
      <c r="G78" s="789">
        <v>25.0</v>
      </c>
      <c r="H78" s="534">
        <f>VLOOKUP(A69,F78:G79,2,FALSE)</f>
        <v>30</v>
      </c>
      <c r="I78" s="449"/>
      <c r="J78" s="785"/>
      <c r="K78" s="573"/>
      <c r="L78" s="573"/>
      <c r="M78" s="572"/>
      <c r="N78" s="572"/>
      <c r="O78" s="572"/>
      <c r="P78" s="112"/>
      <c r="Q78" s="112"/>
      <c r="R78" s="112"/>
      <c r="S78" s="112"/>
      <c r="T78" s="112"/>
      <c r="U78" s="112"/>
      <c r="V78" s="112"/>
      <c r="W78" s="112"/>
      <c r="X78" s="112"/>
      <c r="Y78" s="112"/>
      <c r="Z78" s="112"/>
      <c r="AA78" s="112"/>
      <c r="AB78" s="112"/>
      <c r="AC78" s="112"/>
      <c r="AD78" s="112"/>
      <c r="AE78" s="112"/>
      <c r="AF78" s="112"/>
      <c r="AG78" s="112"/>
      <c r="AH78" s="112"/>
      <c r="AI78" s="112"/>
      <c r="AJ78" s="112"/>
      <c r="AK78" s="112"/>
      <c r="AL78" s="112"/>
      <c r="AM78" s="112"/>
      <c r="AW78" s="454" t="s">
        <v>1033</v>
      </c>
      <c r="AX78" s="536">
        <v>0.0</v>
      </c>
      <c r="AY78" s="515" t="s">
        <v>1033</v>
      </c>
      <c r="AZ78" s="457">
        <v>524.5</v>
      </c>
      <c r="BA78" s="454" t="s">
        <v>1033</v>
      </c>
      <c r="BB78" s="457">
        <v>10.0</v>
      </c>
      <c r="BC78" s="454" t="s">
        <v>1033</v>
      </c>
      <c r="BD78" s="457">
        <v>0.0</v>
      </c>
      <c r="BE78" s="454" t="s">
        <v>1033</v>
      </c>
      <c r="BF78" s="457">
        <v>0.0</v>
      </c>
      <c r="BG78" s="454" t="s">
        <v>1033</v>
      </c>
      <c r="BH78" s="457">
        <v>19.0</v>
      </c>
      <c r="BI78" s="454" t="s">
        <v>1033</v>
      </c>
      <c r="BJ78" s="457">
        <v>0.0</v>
      </c>
      <c r="BK78" s="454" t="s">
        <v>1033</v>
      </c>
      <c r="BL78" s="457">
        <v>0.0</v>
      </c>
      <c r="BM78" s="454" t="s">
        <v>1033</v>
      </c>
      <c r="BN78" s="457">
        <v>30.0</v>
      </c>
    </row>
    <row r="79">
      <c r="A79" s="226"/>
      <c r="B79" s="790" t="s">
        <v>2521</v>
      </c>
      <c r="C79" s="451" t="s">
        <v>2051</v>
      </c>
      <c r="D79" s="451">
        <v>0.0</v>
      </c>
      <c r="E79" s="534">
        <f>VLOOKUP(B75,C79:D80,2,FALSE)</f>
        <v>3</v>
      </c>
      <c r="F79" s="698" t="s">
        <v>2097</v>
      </c>
      <c r="G79" s="789">
        <v>30.0</v>
      </c>
      <c r="H79" s="556"/>
      <c r="I79" s="449"/>
      <c r="J79" s="785"/>
      <c r="K79" s="573"/>
      <c r="L79" s="573"/>
      <c r="M79" s="572"/>
      <c r="N79" s="572"/>
      <c r="O79" s="572"/>
      <c r="P79" s="112"/>
      <c r="Q79" s="112"/>
      <c r="R79" s="112"/>
      <c r="S79" s="112"/>
      <c r="T79" s="112"/>
      <c r="U79" s="112"/>
      <c r="V79" s="112"/>
      <c r="W79" s="112"/>
      <c r="X79" s="112"/>
      <c r="Y79" s="112"/>
      <c r="Z79" s="112"/>
      <c r="AA79" s="112"/>
      <c r="AB79" s="112"/>
      <c r="AC79" s="112"/>
      <c r="AD79" s="112"/>
      <c r="AE79" s="112"/>
      <c r="AF79" s="112"/>
      <c r="AG79" s="112"/>
      <c r="AH79" s="112"/>
      <c r="AI79" s="112"/>
      <c r="AJ79" s="112"/>
      <c r="AK79" s="112"/>
      <c r="AL79" s="112"/>
      <c r="AM79" s="112"/>
      <c r="AW79" s="454" t="s">
        <v>1035</v>
      </c>
      <c r="AX79" s="536">
        <v>0.0</v>
      </c>
      <c r="AY79" s="515" t="s">
        <v>1035</v>
      </c>
      <c r="AZ79" s="457">
        <v>523.02</v>
      </c>
      <c r="BA79" s="454" t="s">
        <v>1035</v>
      </c>
      <c r="BB79" s="457">
        <v>20.0</v>
      </c>
      <c r="BC79" s="454" t="s">
        <v>1035</v>
      </c>
      <c r="BD79" s="457">
        <v>0.0</v>
      </c>
      <c r="BE79" s="454" t="s">
        <v>1035</v>
      </c>
      <c r="BF79" s="457">
        <v>15.0</v>
      </c>
      <c r="BG79" s="454" t="s">
        <v>1035</v>
      </c>
      <c r="BH79" s="457">
        <v>0.0</v>
      </c>
      <c r="BI79" s="454" t="s">
        <v>1035</v>
      </c>
      <c r="BJ79" s="457">
        <v>0.0</v>
      </c>
      <c r="BK79" s="454" t="s">
        <v>1035</v>
      </c>
      <c r="BL79" s="457">
        <v>0.0</v>
      </c>
      <c r="BM79" s="454" t="s">
        <v>1035</v>
      </c>
      <c r="BN79" s="457">
        <v>40.0</v>
      </c>
    </row>
    <row r="80">
      <c r="A80" s="226"/>
      <c r="B80" s="790" t="s">
        <v>2522</v>
      </c>
      <c r="C80" s="451" t="s">
        <v>2048</v>
      </c>
      <c r="D80" s="451">
        <v>3.0</v>
      </c>
      <c r="E80" s="566"/>
      <c r="F80" s="566"/>
      <c r="G80" s="449"/>
      <c r="H80" s="449"/>
      <c r="I80" s="449"/>
      <c r="J80" s="785"/>
      <c r="K80" s="573"/>
      <c r="L80" s="573"/>
      <c r="M80" s="572"/>
      <c r="N80" s="572"/>
      <c r="O80" s="57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c r="AM80" s="112"/>
    </row>
    <row r="81">
      <c r="A81" s="791"/>
      <c r="B81" s="790" t="s">
        <v>2523</v>
      </c>
      <c r="C81" s="792"/>
      <c r="D81" s="792"/>
      <c r="E81" s="792"/>
      <c r="F81" s="792"/>
      <c r="G81" s="793"/>
      <c r="H81" s="793"/>
      <c r="I81" s="793"/>
      <c r="J81" s="794"/>
      <c r="K81" s="112"/>
      <c r="L81" s="573"/>
      <c r="M81" s="572"/>
      <c r="N81" s="572"/>
      <c r="O81" s="57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c r="AM81" s="112"/>
      <c r="AW81" s="449" t="s">
        <v>2084</v>
      </c>
      <c r="AX81" s="449" t="s">
        <v>1920</v>
      </c>
      <c r="AY81" s="450" t="s">
        <v>2085</v>
      </c>
      <c r="AZ81" s="450" t="s">
        <v>1922</v>
      </c>
      <c r="BA81" s="449" t="s">
        <v>2084</v>
      </c>
      <c r="BB81" s="450" t="s">
        <v>2086</v>
      </c>
      <c r="BC81" s="449" t="s">
        <v>2084</v>
      </c>
      <c r="BD81" s="450" t="s">
        <v>2087</v>
      </c>
      <c r="BE81" s="449" t="s">
        <v>2084</v>
      </c>
      <c r="BF81" s="450" t="s">
        <v>2088</v>
      </c>
      <c r="BG81" s="449" t="s">
        <v>2084</v>
      </c>
      <c r="BH81" s="450" t="s">
        <v>2089</v>
      </c>
      <c r="BI81" s="449" t="s">
        <v>2084</v>
      </c>
      <c r="BJ81" s="450" t="s">
        <v>2090</v>
      </c>
      <c r="BK81" s="449" t="s">
        <v>2084</v>
      </c>
      <c r="BL81" s="450" t="s">
        <v>2091</v>
      </c>
      <c r="BM81" s="449" t="s">
        <v>2084</v>
      </c>
      <c r="BN81" s="450" t="s">
        <v>2092</v>
      </c>
    </row>
    <row r="82">
      <c r="C82" s="226"/>
      <c r="D82" s="226"/>
      <c r="E82" s="226"/>
      <c r="F82" s="226"/>
      <c r="G82" s="226"/>
      <c r="L82" s="573"/>
      <c r="M82" s="572"/>
      <c r="N82" s="572"/>
      <c r="O82" s="57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c r="AM82" s="112"/>
      <c r="AW82" s="454" t="s">
        <v>1041</v>
      </c>
      <c r="AX82" s="456">
        <v>140.0</v>
      </c>
      <c r="AY82" s="515" t="s">
        <v>1041</v>
      </c>
      <c r="AZ82" s="457">
        <v>446.44</v>
      </c>
      <c r="BA82" s="454" t="s">
        <v>1041</v>
      </c>
      <c r="BB82" s="457">
        <v>0.0</v>
      </c>
      <c r="BC82" s="454" t="s">
        <v>1041</v>
      </c>
      <c r="BD82" s="457">
        <v>0.0</v>
      </c>
      <c r="BE82" s="454" t="s">
        <v>1041</v>
      </c>
      <c r="BF82" s="457">
        <v>0.0</v>
      </c>
      <c r="BG82" s="454" t="s">
        <v>1041</v>
      </c>
      <c r="BH82" s="457">
        <v>0.0</v>
      </c>
      <c r="BI82" s="454" t="s">
        <v>1041</v>
      </c>
      <c r="BJ82" s="457">
        <v>0.0</v>
      </c>
      <c r="BK82" s="454" t="s">
        <v>1041</v>
      </c>
      <c r="BL82" s="457">
        <v>0.0</v>
      </c>
      <c r="BM82" s="454" t="s">
        <v>1041</v>
      </c>
      <c r="BN82" s="457">
        <v>46.0</v>
      </c>
    </row>
    <row r="83">
      <c r="C83" s="226"/>
      <c r="D83" s="226"/>
      <c r="E83" s="226"/>
      <c r="F83" s="226"/>
      <c r="G83" s="226"/>
      <c r="L83" s="573"/>
      <c r="M83" s="572"/>
      <c r="N83" s="572"/>
      <c r="O83" s="57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c r="AM83" s="112"/>
      <c r="AW83" s="454" t="s">
        <v>1009</v>
      </c>
      <c r="AX83" s="456">
        <v>0.0</v>
      </c>
      <c r="AY83" s="515" t="s">
        <v>1009</v>
      </c>
      <c r="AZ83" s="457">
        <v>432.78</v>
      </c>
      <c r="BA83" s="454" t="s">
        <v>1009</v>
      </c>
      <c r="BB83" s="457">
        <v>0.0</v>
      </c>
      <c r="BC83" s="454" t="s">
        <v>1009</v>
      </c>
      <c r="BD83" s="457">
        <v>0.0</v>
      </c>
      <c r="BE83" s="454" t="s">
        <v>1009</v>
      </c>
      <c r="BF83" s="457">
        <v>21.0</v>
      </c>
      <c r="BG83" s="454" t="s">
        <v>1009</v>
      </c>
      <c r="BH83" s="457">
        <v>23.0</v>
      </c>
      <c r="BI83" s="454" t="s">
        <v>1009</v>
      </c>
      <c r="BJ83" s="457">
        <v>0.0</v>
      </c>
      <c r="BK83" s="454" t="s">
        <v>1009</v>
      </c>
      <c r="BL83" s="457">
        <v>0.0</v>
      </c>
      <c r="BM83" s="454" t="s">
        <v>1009</v>
      </c>
      <c r="BN83" s="457">
        <v>44.0</v>
      </c>
    </row>
    <row r="84">
      <c r="C84" s="226"/>
      <c r="D84" s="226"/>
      <c r="E84" s="226"/>
      <c r="F84" s="226"/>
      <c r="G84" s="226"/>
      <c r="L84" s="573"/>
      <c r="M84" s="572"/>
      <c r="N84" s="572"/>
      <c r="O84" s="57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W84" s="454" t="s">
        <v>1042</v>
      </c>
      <c r="AX84" s="456">
        <v>0.0</v>
      </c>
      <c r="AY84" s="515" t="s">
        <v>1042</v>
      </c>
      <c r="AZ84" s="457">
        <v>432.59</v>
      </c>
      <c r="BA84" s="454" t="s">
        <v>1042</v>
      </c>
      <c r="BB84" s="457">
        <v>20.0</v>
      </c>
      <c r="BC84" s="454" t="s">
        <v>1042</v>
      </c>
      <c r="BD84" s="457">
        <v>0.0</v>
      </c>
      <c r="BE84" s="454" t="s">
        <v>1042</v>
      </c>
      <c r="BF84" s="457">
        <v>0.0</v>
      </c>
      <c r="BG84" s="454" t="s">
        <v>1042</v>
      </c>
      <c r="BH84" s="457">
        <v>0.0</v>
      </c>
      <c r="BI84" s="454" t="s">
        <v>1042</v>
      </c>
      <c r="BJ84" s="457">
        <v>31.0</v>
      </c>
      <c r="BK84" s="454" t="s">
        <v>1042</v>
      </c>
      <c r="BL84" s="457">
        <v>0.0</v>
      </c>
      <c r="BM84" s="454" t="s">
        <v>1042</v>
      </c>
      <c r="BN84" s="457">
        <v>46.0</v>
      </c>
    </row>
    <row r="85">
      <c r="L85" s="573"/>
      <c r="M85" s="572"/>
      <c r="N85" s="572"/>
      <c r="O85" s="57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c r="AM85" s="112"/>
      <c r="AW85" s="454" t="s">
        <v>1011</v>
      </c>
      <c r="AX85" s="456">
        <v>49.0</v>
      </c>
      <c r="AY85" s="515" t="s">
        <v>1011</v>
      </c>
      <c r="AZ85" s="457">
        <v>430.45</v>
      </c>
      <c r="BA85" s="454" t="s">
        <v>1011</v>
      </c>
      <c r="BB85" s="457">
        <v>9.0</v>
      </c>
      <c r="BC85" s="454" t="s">
        <v>1011</v>
      </c>
      <c r="BD85" s="457">
        <v>0.0</v>
      </c>
      <c r="BE85" s="454" t="s">
        <v>1011</v>
      </c>
      <c r="BF85" s="457">
        <v>0.0</v>
      </c>
      <c r="BG85" s="454" t="s">
        <v>1011</v>
      </c>
      <c r="BH85" s="457">
        <v>22.0</v>
      </c>
      <c r="BI85" s="454" t="s">
        <v>1011</v>
      </c>
      <c r="BJ85" s="457">
        <v>0.0</v>
      </c>
      <c r="BK85" s="454" t="s">
        <v>1011</v>
      </c>
      <c r="BL85" s="457">
        <v>0.0</v>
      </c>
      <c r="BM85" s="454" t="s">
        <v>1011</v>
      </c>
      <c r="BN85" s="457">
        <v>38.0</v>
      </c>
    </row>
    <row r="86">
      <c r="L86" s="573"/>
      <c r="M86" s="572"/>
      <c r="N86" s="572"/>
      <c r="O86" s="57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c r="AM86" s="112"/>
      <c r="AW86" s="454" t="s">
        <v>1043</v>
      </c>
      <c r="AX86" s="456">
        <v>0.0</v>
      </c>
      <c r="AY86" s="515" t="s">
        <v>1043</v>
      </c>
      <c r="AZ86" s="457">
        <v>427.52</v>
      </c>
      <c r="BA86" s="454" t="s">
        <v>1043</v>
      </c>
      <c r="BB86" s="457">
        <v>0.0</v>
      </c>
      <c r="BC86" s="454" t="s">
        <v>1043</v>
      </c>
      <c r="BD86" s="457">
        <v>0.0</v>
      </c>
      <c r="BE86" s="454" t="s">
        <v>1043</v>
      </c>
      <c r="BF86" s="457">
        <v>0.0</v>
      </c>
      <c r="BG86" s="454" t="s">
        <v>1043</v>
      </c>
      <c r="BH86" s="457">
        <v>0.0</v>
      </c>
      <c r="BI86" s="454" t="s">
        <v>1043</v>
      </c>
      <c r="BJ86" s="457">
        <v>25.0</v>
      </c>
      <c r="BK86" s="454" t="s">
        <v>1043</v>
      </c>
      <c r="BL86" s="457">
        <v>25.0</v>
      </c>
      <c r="BM86" s="454" t="s">
        <v>1043</v>
      </c>
      <c r="BN86" s="457">
        <v>0.0</v>
      </c>
    </row>
    <row r="87">
      <c r="L87" s="573"/>
      <c r="M87" s="572"/>
      <c r="N87" s="572"/>
      <c r="O87" s="57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c r="AM87" s="112"/>
      <c r="AW87" s="454" t="s">
        <v>1012</v>
      </c>
      <c r="AX87" s="456">
        <v>0.0</v>
      </c>
      <c r="AY87" s="515" t="s">
        <v>1012</v>
      </c>
      <c r="AZ87" s="457">
        <v>417.91</v>
      </c>
      <c r="BA87" s="454" t="s">
        <v>1012</v>
      </c>
      <c r="BB87" s="457">
        <v>17.0</v>
      </c>
      <c r="BC87" s="454" t="s">
        <v>1012</v>
      </c>
      <c r="BD87" s="457">
        <v>0.0</v>
      </c>
      <c r="BE87" s="454" t="s">
        <v>1012</v>
      </c>
      <c r="BF87" s="457">
        <v>0.0</v>
      </c>
      <c r="BG87" s="454" t="s">
        <v>1012</v>
      </c>
      <c r="BH87" s="457">
        <v>0.0</v>
      </c>
      <c r="BI87" s="454" t="s">
        <v>1012</v>
      </c>
      <c r="BJ87" s="457">
        <v>35.0</v>
      </c>
      <c r="BK87" s="454" t="s">
        <v>1012</v>
      </c>
      <c r="BL87" s="457">
        <v>0.0</v>
      </c>
      <c r="BM87" s="454" t="s">
        <v>1012</v>
      </c>
      <c r="BN87" s="457">
        <v>0.0</v>
      </c>
    </row>
    <row r="88">
      <c r="L88" s="573"/>
      <c r="M88" s="572"/>
      <c r="N88" s="572"/>
      <c r="O88" s="57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c r="AM88" s="112"/>
      <c r="AW88" s="454" t="s">
        <v>1046</v>
      </c>
      <c r="AX88" s="456">
        <v>0.0</v>
      </c>
      <c r="AY88" s="515" t="s">
        <v>1046</v>
      </c>
      <c r="AZ88" s="457">
        <v>412.99</v>
      </c>
      <c r="BA88" s="454" t="s">
        <v>1046</v>
      </c>
      <c r="BB88" s="457">
        <v>21.0</v>
      </c>
      <c r="BC88" s="454" t="s">
        <v>1046</v>
      </c>
      <c r="BD88" s="457">
        <v>0.0</v>
      </c>
      <c r="BE88" s="454" t="s">
        <v>1046</v>
      </c>
      <c r="BF88" s="457">
        <v>0.0</v>
      </c>
      <c r="BG88" s="454" t="s">
        <v>1046</v>
      </c>
      <c r="BH88" s="457">
        <v>0.0</v>
      </c>
      <c r="BI88" s="454" t="s">
        <v>1046</v>
      </c>
      <c r="BJ88" s="457">
        <v>23.0</v>
      </c>
      <c r="BK88" s="454" t="s">
        <v>1046</v>
      </c>
      <c r="BL88" s="457">
        <v>0.0</v>
      </c>
      <c r="BM88" s="454" t="s">
        <v>1046</v>
      </c>
      <c r="BN88" s="457">
        <v>44.0</v>
      </c>
    </row>
    <row r="89">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c r="AM89" s="112"/>
      <c r="AW89" s="454" t="s">
        <v>1018</v>
      </c>
      <c r="AX89" s="456">
        <v>49.0</v>
      </c>
      <c r="AY89" s="515" t="s">
        <v>1018</v>
      </c>
      <c r="AZ89" s="457">
        <v>410.83</v>
      </c>
      <c r="BA89" s="454" t="s">
        <v>1018</v>
      </c>
      <c r="BB89" s="457">
        <v>8.0</v>
      </c>
      <c r="BC89" s="454" t="s">
        <v>1018</v>
      </c>
      <c r="BD89" s="457">
        <v>0.0</v>
      </c>
      <c r="BE89" s="454" t="s">
        <v>1018</v>
      </c>
      <c r="BF89" s="457">
        <v>0.0</v>
      </c>
      <c r="BG89" s="454" t="s">
        <v>1018</v>
      </c>
      <c r="BH89" s="457">
        <v>21.0</v>
      </c>
      <c r="BI89" s="454" t="s">
        <v>1018</v>
      </c>
      <c r="BJ89" s="457">
        <v>0.0</v>
      </c>
      <c r="BK89" s="454" t="s">
        <v>1018</v>
      </c>
      <c r="BL89" s="457">
        <v>0.0</v>
      </c>
      <c r="BM89" s="454" t="s">
        <v>1018</v>
      </c>
      <c r="BN89" s="457">
        <v>34.0</v>
      </c>
    </row>
    <row r="90">
      <c r="A90" s="575"/>
      <c r="B90" s="795"/>
      <c r="C90" s="782"/>
      <c r="D90" s="795"/>
      <c r="E90" s="795"/>
      <c r="F90" s="795"/>
      <c r="G90" s="795"/>
      <c r="H90" s="795"/>
      <c r="I90" s="795"/>
      <c r="J90" s="795"/>
      <c r="K90" s="782"/>
      <c r="L90" s="782"/>
      <c r="M90" s="572"/>
      <c r="N90" s="572"/>
      <c r="O90" s="572"/>
      <c r="P90" s="112"/>
      <c r="AW90" s="454" t="s">
        <v>1019</v>
      </c>
      <c r="AX90" s="536">
        <v>0.0</v>
      </c>
      <c r="AY90" s="515" t="s">
        <v>1019</v>
      </c>
      <c r="AZ90" s="457">
        <v>396.43</v>
      </c>
      <c r="BA90" s="454" t="s">
        <v>1019</v>
      </c>
      <c r="BB90" s="457">
        <v>0.0</v>
      </c>
      <c r="BC90" s="454" t="s">
        <v>1019</v>
      </c>
      <c r="BD90" s="457">
        <v>0.0</v>
      </c>
      <c r="BE90" s="454" t="s">
        <v>1019</v>
      </c>
      <c r="BF90" s="457">
        <v>28.0</v>
      </c>
      <c r="BG90" s="454" t="s">
        <v>1019</v>
      </c>
      <c r="BH90" s="457">
        <v>0.0</v>
      </c>
      <c r="BI90" s="454" t="s">
        <v>1019</v>
      </c>
      <c r="BJ90" s="457">
        <v>0.0</v>
      </c>
      <c r="BK90" s="454" t="s">
        <v>1019</v>
      </c>
      <c r="BL90" s="457">
        <v>0.0</v>
      </c>
      <c r="BM90" s="454" t="s">
        <v>1019</v>
      </c>
      <c r="BN90" s="457">
        <v>56.0</v>
      </c>
    </row>
    <row r="91">
      <c r="A91" s="575"/>
      <c r="B91" s="472"/>
      <c r="C91" s="572"/>
      <c r="D91" s="472"/>
      <c r="E91" s="472"/>
      <c r="F91" s="472"/>
      <c r="G91" s="472"/>
      <c r="H91" s="472"/>
      <c r="I91" s="472"/>
      <c r="J91" s="472"/>
      <c r="K91" s="572"/>
      <c r="L91" s="572"/>
      <c r="M91" s="572"/>
      <c r="N91" s="572"/>
      <c r="O91" s="572"/>
      <c r="P91" s="112"/>
      <c r="AW91" s="454" t="s">
        <v>1026</v>
      </c>
      <c r="AX91" s="536">
        <v>0.0</v>
      </c>
      <c r="AY91" s="515" t="s">
        <v>1026</v>
      </c>
      <c r="AZ91" s="457">
        <v>384.51</v>
      </c>
      <c r="BA91" s="454" t="s">
        <v>1026</v>
      </c>
      <c r="BB91" s="457">
        <v>21.0</v>
      </c>
      <c r="BC91" s="454" t="s">
        <v>1026</v>
      </c>
      <c r="BD91" s="457">
        <v>0.0</v>
      </c>
      <c r="BE91" s="454" t="s">
        <v>1026</v>
      </c>
      <c r="BF91" s="457">
        <v>0.0</v>
      </c>
      <c r="BG91" s="454" t="s">
        <v>1026</v>
      </c>
      <c r="BH91" s="457">
        <v>0.0</v>
      </c>
      <c r="BI91" s="454" t="s">
        <v>1026</v>
      </c>
      <c r="BJ91" s="457">
        <v>0.0</v>
      </c>
      <c r="BK91" s="454" t="s">
        <v>1026</v>
      </c>
      <c r="BL91" s="457">
        <v>0.0</v>
      </c>
      <c r="BM91" s="454" t="s">
        <v>1026</v>
      </c>
      <c r="BN91" s="457">
        <v>44.0</v>
      </c>
    </row>
    <row r="92">
      <c r="A92" s="575"/>
      <c r="B92" s="782"/>
      <c r="C92" s="572"/>
      <c r="D92" s="782"/>
      <c r="E92" s="782"/>
      <c r="F92" s="782"/>
      <c r="G92" s="782"/>
      <c r="H92" s="782"/>
      <c r="I92" s="782"/>
      <c r="J92" s="782"/>
      <c r="K92" s="572"/>
      <c r="L92" s="572"/>
      <c r="M92" s="572"/>
      <c r="N92" s="572"/>
      <c r="O92" s="572"/>
      <c r="P92" s="112"/>
      <c r="AW92" s="454" t="s">
        <v>1048</v>
      </c>
      <c r="AX92" s="456">
        <v>0.0</v>
      </c>
      <c r="AY92" s="613" t="s">
        <v>1048</v>
      </c>
      <c r="AZ92" s="457">
        <v>408.51</v>
      </c>
      <c r="BA92" s="614" t="s">
        <v>1048</v>
      </c>
      <c r="BB92" s="457">
        <v>21.0</v>
      </c>
      <c r="BC92" s="614" t="s">
        <v>1048</v>
      </c>
      <c r="BD92" s="457">
        <v>0.0</v>
      </c>
      <c r="BE92" s="614" t="s">
        <v>1048</v>
      </c>
      <c r="BF92" s="457">
        <v>0.0</v>
      </c>
      <c r="BG92" s="614" t="s">
        <v>1048</v>
      </c>
      <c r="BH92" s="457">
        <v>0.0</v>
      </c>
      <c r="BI92" s="614" t="s">
        <v>1048</v>
      </c>
      <c r="BJ92" s="457">
        <v>23.0</v>
      </c>
      <c r="BK92" s="614" t="s">
        <v>1048</v>
      </c>
      <c r="BL92" s="457">
        <v>0.0</v>
      </c>
      <c r="BM92" s="614" t="s">
        <v>1048</v>
      </c>
      <c r="BN92" s="457">
        <v>44.0</v>
      </c>
    </row>
    <row r="93">
      <c r="A93" s="575"/>
      <c r="B93" s="782"/>
      <c r="C93" s="573"/>
      <c r="D93" s="782"/>
      <c r="E93" s="782"/>
      <c r="F93" s="782"/>
      <c r="G93" s="782"/>
      <c r="H93" s="782"/>
      <c r="I93" s="782"/>
      <c r="J93" s="782"/>
      <c r="K93" s="572"/>
      <c r="L93" s="572"/>
      <c r="M93" s="572"/>
      <c r="N93" s="572"/>
      <c r="O93" s="572"/>
      <c r="P93" s="112"/>
      <c r="AW93" s="454" t="s">
        <v>1052</v>
      </c>
      <c r="AX93" s="456">
        <v>0.0</v>
      </c>
      <c r="AY93" s="613" t="s">
        <v>1052</v>
      </c>
      <c r="AZ93" s="457">
        <v>399.73</v>
      </c>
      <c r="BA93" s="614" t="s">
        <v>1052</v>
      </c>
      <c r="BB93" s="457">
        <v>19.0</v>
      </c>
      <c r="BC93" s="614" t="s">
        <v>1052</v>
      </c>
      <c r="BD93" s="457">
        <v>0.0</v>
      </c>
      <c r="BE93" s="614" t="s">
        <v>1052</v>
      </c>
      <c r="BF93" s="457">
        <v>0.0</v>
      </c>
      <c r="BG93" s="614" t="s">
        <v>1052</v>
      </c>
      <c r="BH93" s="457">
        <v>0.0</v>
      </c>
      <c r="BI93" s="614" t="s">
        <v>1052</v>
      </c>
      <c r="BJ93" s="457">
        <v>27.0</v>
      </c>
      <c r="BK93" s="614" t="s">
        <v>1052</v>
      </c>
      <c r="BL93" s="457">
        <v>0.0</v>
      </c>
      <c r="BM93" s="614" t="s">
        <v>1052</v>
      </c>
      <c r="BN93" s="457">
        <v>40.0</v>
      </c>
    </row>
    <row r="94">
      <c r="A94" s="575"/>
      <c r="B94" s="796"/>
      <c r="C94" s="472"/>
      <c r="D94" s="472"/>
      <c r="E94" s="472"/>
      <c r="F94" s="472"/>
      <c r="G94" s="472"/>
      <c r="H94" s="472"/>
      <c r="I94" s="472"/>
      <c r="J94" s="472"/>
      <c r="K94" s="472"/>
      <c r="L94" s="472"/>
      <c r="M94" s="572"/>
      <c r="N94" s="572"/>
      <c r="O94" s="572"/>
      <c r="P94" s="112"/>
      <c r="AW94" s="454" t="s">
        <v>1053</v>
      </c>
      <c r="AX94" s="456">
        <v>0.0</v>
      </c>
      <c r="AY94" s="613" t="s">
        <v>1053</v>
      </c>
      <c r="AZ94" s="457">
        <v>396.33</v>
      </c>
      <c r="BA94" s="614" t="s">
        <v>1053</v>
      </c>
      <c r="BB94" s="457">
        <v>15.0</v>
      </c>
      <c r="BC94" s="614" t="s">
        <v>1053</v>
      </c>
      <c r="BD94" s="457">
        <v>0.0</v>
      </c>
      <c r="BE94" s="614" t="s">
        <v>1053</v>
      </c>
      <c r="BF94" s="457">
        <v>0.0</v>
      </c>
      <c r="BG94" s="614" t="s">
        <v>1053</v>
      </c>
      <c r="BH94" s="457">
        <v>22.0</v>
      </c>
      <c r="BI94" s="614" t="s">
        <v>1053</v>
      </c>
      <c r="BJ94" s="457">
        <v>0.0</v>
      </c>
      <c r="BK94" s="614" t="s">
        <v>1053</v>
      </c>
      <c r="BL94" s="457">
        <v>0.0</v>
      </c>
      <c r="BM94" s="614" t="s">
        <v>1053</v>
      </c>
      <c r="BN94" s="457">
        <v>44.0</v>
      </c>
    </row>
    <row r="95">
      <c r="A95" s="575"/>
      <c r="B95" s="573"/>
      <c r="C95" s="782"/>
      <c r="D95" s="573"/>
      <c r="E95" s="573"/>
      <c r="F95" s="573"/>
      <c r="G95" s="573"/>
      <c r="H95" s="573"/>
      <c r="I95" s="573"/>
      <c r="J95" s="573"/>
      <c r="K95" s="782"/>
      <c r="L95" s="782"/>
      <c r="M95" s="572"/>
      <c r="N95" s="572"/>
      <c r="O95" s="572"/>
      <c r="P95" s="112"/>
      <c r="AW95" s="454" t="s">
        <v>1020</v>
      </c>
      <c r="AX95" s="536">
        <v>0.0</v>
      </c>
      <c r="AY95" s="515" t="s">
        <v>1020</v>
      </c>
      <c r="AZ95" s="457">
        <v>376.41</v>
      </c>
      <c r="BA95" s="454" t="s">
        <v>1020</v>
      </c>
      <c r="BB95" s="457">
        <v>0.0</v>
      </c>
      <c r="BC95" s="454" t="s">
        <v>1020</v>
      </c>
      <c r="BD95" s="457">
        <v>0.0</v>
      </c>
      <c r="BE95" s="454" t="s">
        <v>1020</v>
      </c>
      <c r="BF95" s="457">
        <v>0.0</v>
      </c>
      <c r="BG95" s="454" t="s">
        <v>1020</v>
      </c>
      <c r="BH95" s="457">
        <v>0.0</v>
      </c>
      <c r="BI95" s="454" t="s">
        <v>1020</v>
      </c>
      <c r="BJ95" s="457">
        <v>0.0</v>
      </c>
      <c r="BK95" s="454" t="s">
        <v>1020</v>
      </c>
      <c r="BL95" s="457">
        <v>0.0</v>
      </c>
      <c r="BM95" s="454" t="s">
        <v>1020</v>
      </c>
      <c r="BN95" s="457">
        <v>52.0</v>
      </c>
    </row>
    <row r="96">
      <c r="A96" s="615"/>
      <c r="B96" s="202"/>
      <c r="C96" s="611"/>
      <c r="D96" s="202"/>
      <c r="E96" s="202"/>
      <c r="F96" s="202"/>
      <c r="G96" s="202"/>
      <c r="H96" s="202"/>
      <c r="I96" s="202"/>
      <c r="J96" s="202"/>
      <c r="K96" s="611"/>
      <c r="L96" s="611"/>
      <c r="M96" s="112"/>
      <c r="N96" s="112"/>
      <c r="O96" s="112"/>
      <c r="P96" s="112"/>
      <c r="AW96" s="454" t="s">
        <v>1022</v>
      </c>
      <c r="AX96" s="536">
        <v>0.0</v>
      </c>
      <c r="AY96" s="515" t="s">
        <v>1022</v>
      </c>
      <c r="AZ96" s="457">
        <v>375.95</v>
      </c>
      <c r="BA96" s="454" t="s">
        <v>1022</v>
      </c>
      <c r="BB96" s="457">
        <v>0.0</v>
      </c>
      <c r="BC96" s="454" t="s">
        <v>1022</v>
      </c>
      <c r="BD96" s="457">
        <v>0.0</v>
      </c>
      <c r="BE96" s="454" t="s">
        <v>1022</v>
      </c>
      <c r="BF96" s="457">
        <v>0.0</v>
      </c>
      <c r="BG96" s="454" t="s">
        <v>1022</v>
      </c>
      <c r="BH96" s="457">
        <v>0.0</v>
      </c>
      <c r="BI96" s="454" t="s">
        <v>1022</v>
      </c>
      <c r="BJ96" s="457">
        <v>0.0</v>
      </c>
      <c r="BK96" s="454" t="s">
        <v>1022</v>
      </c>
      <c r="BL96" s="457">
        <v>0.0</v>
      </c>
      <c r="BM96" s="454" t="s">
        <v>1022</v>
      </c>
      <c r="BN96" s="457">
        <v>50.0</v>
      </c>
    </row>
    <row r="97">
      <c r="A97" s="615"/>
      <c r="B97" s="202"/>
      <c r="C97" s="611"/>
      <c r="D97" s="202"/>
      <c r="E97" s="202"/>
      <c r="F97" s="202"/>
      <c r="G97" s="202"/>
      <c r="H97" s="202"/>
      <c r="I97" s="202"/>
      <c r="J97" s="202"/>
      <c r="K97" s="611"/>
      <c r="L97" s="611"/>
      <c r="M97" s="112"/>
      <c r="N97" s="112"/>
      <c r="O97" s="112"/>
      <c r="P97" s="112"/>
      <c r="AW97" s="454" t="s">
        <v>1031</v>
      </c>
      <c r="AX97" s="536">
        <v>0.0</v>
      </c>
      <c r="AY97" s="515" t="s">
        <v>1031</v>
      </c>
      <c r="AZ97" s="457">
        <v>386.66</v>
      </c>
      <c r="BA97" s="454" t="s">
        <v>1031</v>
      </c>
      <c r="BB97" s="457">
        <v>0.0</v>
      </c>
      <c r="BC97" s="454" t="s">
        <v>1031</v>
      </c>
      <c r="BD97" s="457">
        <v>0.0</v>
      </c>
      <c r="BE97" s="454" t="s">
        <v>1031</v>
      </c>
      <c r="BF97" s="457">
        <v>0.0</v>
      </c>
      <c r="BG97" s="454" t="s">
        <v>1031</v>
      </c>
      <c r="BH97" s="457">
        <v>23.0</v>
      </c>
      <c r="BI97" s="454" t="s">
        <v>1031</v>
      </c>
      <c r="BJ97" s="457">
        <v>0.0</v>
      </c>
      <c r="BK97" s="454" t="s">
        <v>1031</v>
      </c>
      <c r="BL97" s="457">
        <v>0.0</v>
      </c>
      <c r="BM97" s="454" t="s">
        <v>1031</v>
      </c>
      <c r="BN97" s="457">
        <v>48.0</v>
      </c>
    </row>
    <row r="98">
      <c r="A98" s="615"/>
      <c r="B98" s="202"/>
      <c r="C98" s="611"/>
      <c r="D98" s="202"/>
      <c r="E98" s="202"/>
      <c r="F98" s="202"/>
      <c r="G98" s="202"/>
      <c r="H98" s="202"/>
      <c r="I98" s="202"/>
      <c r="J98" s="202"/>
      <c r="K98" s="611"/>
      <c r="L98" s="611"/>
      <c r="M98" s="112"/>
      <c r="N98" s="112"/>
      <c r="O98" s="112"/>
      <c r="P98" s="112"/>
      <c r="AW98" s="454" t="s">
        <v>1033</v>
      </c>
      <c r="AX98" s="536">
        <v>0.0</v>
      </c>
      <c r="AY98" s="515" t="s">
        <v>1033</v>
      </c>
      <c r="AZ98" s="457">
        <v>380.53</v>
      </c>
      <c r="BA98" s="454" t="s">
        <v>1033</v>
      </c>
      <c r="BB98" s="457">
        <v>10.0</v>
      </c>
      <c r="BC98" s="454" t="s">
        <v>1033</v>
      </c>
      <c r="BD98" s="457">
        <v>0.0</v>
      </c>
      <c r="BE98" s="454" t="s">
        <v>1033</v>
      </c>
      <c r="BF98" s="457">
        <v>0.0</v>
      </c>
      <c r="BG98" s="454" t="s">
        <v>1033</v>
      </c>
      <c r="BH98" s="457">
        <v>19.0</v>
      </c>
      <c r="BI98" s="454" t="s">
        <v>1033</v>
      </c>
      <c r="BJ98" s="457">
        <v>0.0</v>
      </c>
      <c r="BK98" s="454" t="s">
        <v>1033</v>
      </c>
      <c r="BL98" s="457">
        <v>0.0</v>
      </c>
      <c r="BM98" s="454" t="s">
        <v>1033</v>
      </c>
      <c r="BN98" s="457">
        <v>30.0</v>
      </c>
    </row>
    <row r="99">
      <c r="A99" s="112"/>
      <c r="B99" s="112"/>
      <c r="C99" s="112"/>
      <c r="D99" s="112"/>
      <c r="E99" s="112"/>
      <c r="F99" s="112"/>
      <c r="G99" s="112"/>
      <c r="H99" s="112"/>
      <c r="I99" s="112"/>
      <c r="J99" s="112"/>
      <c r="K99" s="112"/>
      <c r="L99" s="112"/>
      <c r="M99" s="112"/>
      <c r="N99" s="112"/>
      <c r="O99" s="112"/>
      <c r="P99" s="112"/>
      <c r="AW99" s="454" t="s">
        <v>1035</v>
      </c>
      <c r="AX99" s="536">
        <v>0.0</v>
      </c>
      <c r="AY99" s="515" t="s">
        <v>1035</v>
      </c>
      <c r="AZ99" s="457">
        <v>379.97</v>
      </c>
      <c r="BA99" s="454" t="s">
        <v>1035</v>
      </c>
      <c r="BB99" s="457">
        <v>20.0</v>
      </c>
      <c r="BC99" s="454" t="s">
        <v>1035</v>
      </c>
      <c r="BD99" s="457">
        <v>0.0</v>
      </c>
      <c r="BE99" s="454" t="s">
        <v>1035</v>
      </c>
      <c r="BF99" s="457">
        <v>15.0</v>
      </c>
      <c r="BG99" s="454" t="s">
        <v>1035</v>
      </c>
      <c r="BH99" s="457">
        <v>0.0</v>
      </c>
      <c r="BI99" s="454" t="s">
        <v>1035</v>
      </c>
      <c r="BJ99" s="457">
        <v>0.0</v>
      </c>
      <c r="BK99" s="454" t="s">
        <v>1035</v>
      </c>
      <c r="BL99" s="457">
        <v>0.0</v>
      </c>
      <c r="BM99" s="454" t="s">
        <v>1035</v>
      </c>
      <c r="BN99" s="457">
        <v>40.0</v>
      </c>
    </row>
    <row r="100">
      <c r="A100" s="112"/>
      <c r="B100" s="112"/>
      <c r="C100" s="112"/>
      <c r="D100" s="112"/>
      <c r="E100" s="112"/>
      <c r="F100" s="112"/>
      <c r="G100" s="112"/>
      <c r="H100" s="112"/>
      <c r="I100" s="112"/>
      <c r="J100" s="112"/>
      <c r="K100" s="112"/>
      <c r="L100" s="112"/>
      <c r="M100" s="112"/>
      <c r="N100" s="112"/>
      <c r="O100" s="112"/>
      <c r="P100" s="112"/>
      <c r="AW100" s="454" t="s">
        <v>1055</v>
      </c>
      <c r="AX100" s="456">
        <v>0.0</v>
      </c>
      <c r="AY100" s="515" t="s">
        <v>1055</v>
      </c>
      <c r="AZ100" s="457">
        <v>0.0</v>
      </c>
      <c r="BA100" s="454" t="s">
        <v>1055</v>
      </c>
      <c r="BB100" s="457">
        <v>0.0</v>
      </c>
      <c r="BC100" s="454" t="s">
        <v>1055</v>
      </c>
      <c r="BD100" s="457">
        <v>0.0</v>
      </c>
      <c r="BE100" s="454" t="s">
        <v>1055</v>
      </c>
      <c r="BF100" s="457">
        <v>0.0</v>
      </c>
      <c r="BG100" s="454" t="s">
        <v>1055</v>
      </c>
      <c r="BH100" s="457">
        <v>0.0</v>
      </c>
      <c r="BI100" s="454" t="s">
        <v>1055</v>
      </c>
      <c r="BJ100" s="457">
        <v>0.0</v>
      </c>
      <c r="BK100" s="454" t="s">
        <v>1055</v>
      </c>
      <c r="BL100" s="457">
        <v>0.0</v>
      </c>
      <c r="BM100" s="454" t="s">
        <v>1055</v>
      </c>
      <c r="BN100" s="457">
        <v>0.0</v>
      </c>
    </row>
    <row r="101">
      <c r="A101" s="616"/>
      <c r="B101" s="617"/>
      <c r="C101" s="618"/>
      <c r="D101" s="617"/>
      <c r="E101" s="617"/>
      <c r="F101" s="617"/>
      <c r="G101" s="617"/>
      <c r="H101" s="617"/>
      <c r="I101" s="617"/>
      <c r="J101" s="617"/>
      <c r="K101" s="618"/>
      <c r="L101" s="618"/>
      <c r="M101" s="618"/>
      <c r="N101" s="618"/>
      <c r="O101" s="618"/>
      <c r="P101" s="618"/>
    </row>
    <row r="102">
      <c r="A102" s="449"/>
      <c r="B102" s="449"/>
      <c r="C102" s="449"/>
      <c r="D102" s="449"/>
      <c r="E102" s="449"/>
      <c r="F102" s="449"/>
      <c r="G102" s="449"/>
      <c r="H102" s="449"/>
      <c r="I102" s="449"/>
      <c r="J102" s="449"/>
      <c r="K102" s="449"/>
      <c r="L102" s="449"/>
      <c r="M102" s="226"/>
      <c r="N102" s="618"/>
      <c r="O102" s="618"/>
      <c r="P102" s="618"/>
      <c r="AO102" s="449" t="s">
        <v>2110</v>
      </c>
      <c r="AP102" s="449" t="s">
        <v>1920</v>
      </c>
      <c r="AQ102" s="450" t="s">
        <v>2111</v>
      </c>
      <c r="AR102" s="450" t="s">
        <v>1922</v>
      </c>
      <c r="AS102" s="449" t="s">
        <v>2110</v>
      </c>
      <c r="AT102" s="450" t="s">
        <v>2112</v>
      </c>
      <c r="AU102" s="449" t="s">
        <v>2110</v>
      </c>
      <c r="AV102" s="450" t="s">
        <v>2113</v>
      </c>
      <c r="AW102" s="449" t="s">
        <v>2110</v>
      </c>
      <c r="AX102" s="450" t="s">
        <v>2114</v>
      </c>
      <c r="AY102" s="449" t="s">
        <v>2110</v>
      </c>
      <c r="AZ102" s="450" t="s">
        <v>2115</v>
      </c>
      <c r="BA102" s="449" t="s">
        <v>2110</v>
      </c>
      <c r="BB102" s="450" t="s">
        <v>2116</v>
      </c>
      <c r="BC102" s="449" t="s">
        <v>2110</v>
      </c>
      <c r="BD102" s="450" t="s">
        <v>2117</v>
      </c>
      <c r="BE102" s="449" t="s">
        <v>2110</v>
      </c>
      <c r="BF102" s="450" t="s">
        <v>2118</v>
      </c>
    </row>
    <row r="103">
      <c r="A103" s="458"/>
      <c r="B103" s="619"/>
      <c r="C103" s="619" t="s">
        <v>2119</v>
      </c>
      <c r="D103" s="797"/>
      <c r="E103" s="797"/>
      <c r="F103" s="226"/>
      <c r="G103" s="226"/>
      <c r="H103" s="226"/>
      <c r="I103" s="570"/>
      <c r="J103" s="465" t="s">
        <v>2524</v>
      </c>
      <c r="K103" s="226"/>
      <c r="L103" s="465"/>
      <c r="M103" s="226"/>
      <c r="N103" s="618"/>
      <c r="O103" s="618"/>
      <c r="P103" s="618"/>
      <c r="AO103" s="454" t="s">
        <v>1126</v>
      </c>
      <c r="AP103" s="456">
        <v>0.0</v>
      </c>
      <c r="AQ103" s="515" t="s">
        <v>1126</v>
      </c>
      <c r="AR103" s="798"/>
      <c r="AS103" s="454" t="s">
        <v>1126</v>
      </c>
      <c r="AT103" s="457">
        <v>0.0</v>
      </c>
      <c r="AU103" s="454" t="s">
        <v>1126</v>
      </c>
      <c r="AV103" s="457">
        <v>0.0</v>
      </c>
      <c r="AW103" s="454" t="s">
        <v>1126</v>
      </c>
      <c r="AX103" s="457">
        <v>0.0</v>
      </c>
      <c r="AY103" s="454" t="s">
        <v>1126</v>
      </c>
      <c r="AZ103" s="457">
        <v>0.0</v>
      </c>
      <c r="BA103" s="454" t="s">
        <v>1126</v>
      </c>
      <c r="BB103" s="457">
        <v>0.0</v>
      </c>
      <c r="BC103" s="454" t="s">
        <v>1126</v>
      </c>
      <c r="BD103" s="457">
        <v>0.0</v>
      </c>
      <c r="BE103" s="454" t="s">
        <v>1126</v>
      </c>
      <c r="BF103" s="457">
        <v>0.0</v>
      </c>
    </row>
    <row r="104">
      <c r="A104" s="458"/>
      <c r="B104" s="620" t="s">
        <v>560</v>
      </c>
      <c r="C104" s="621">
        <f>VLOOKUP(B45,A146:B149,2,FALSE)</f>
        <v>1</v>
      </c>
      <c r="D104" s="452"/>
      <c r="E104" s="452"/>
      <c r="F104" s="226"/>
      <c r="G104" s="226"/>
      <c r="H104" s="226"/>
      <c r="I104" s="570"/>
      <c r="J104" s="452">
        <v>1.0</v>
      </c>
      <c r="K104" s="465"/>
      <c r="L104" s="465"/>
      <c r="M104" s="226"/>
      <c r="N104" s="618"/>
      <c r="O104" s="618"/>
      <c r="P104" s="618"/>
      <c r="AO104" s="454" t="s">
        <v>1127</v>
      </c>
      <c r="AP104" s="456">
        <v>98.0</v>
      </c>
      <c r="AQ104" s="515" t="s">
        <v>1127</v>
      </c>
      <c r="AR104" s="798"/>
      <c r="AS104" s="454" t="s">
        <v>1127</v>
      </c>
      <c r="AT104" s="457">
        <v>19.0</v>
      </c>
      <c r="AU104" s="454" t="s">
        <v>1127</v>
      </c>
      <c r="AV104" s="457">
        <v>19.0</v>
      </c>
      <c r="AW104" s="454" t="s">
        <v>1127</v>
      </c>
      <c r="AX104" s="457">
        <v>19.0</v>
      </c>
      <c r="AY104" s="454" t="s">
        <v>1127</v>
      </c>
      <c r="AZ104" s="457">
        <v>19.0</v>
      </c>
      <c r="BA104" s="454" t="s">
        <v>1127</v>
      </c>
      <c r="BB104" s="457">
        <v>19.0</v>
      </c>
      <c r="BC104" s="454" t="s">
        <v>1127</v>
      </c>
      <c r="BD104" s="457">
        <v>19.0</v>
      </c>
      <c r="BE104" s="454" t="s">
        <v>1127</v>
      </c>
      <c r="BF104" s="457">
        <v>19.0</v>
      </c>
    </row>
    <row r="105">
      <c r="A105" s="458"/>
      <c r="B105" s="620" t="s">
        <v>562</v>
      </c>
      <c r="C105" s="620">
        <f>VLOOKUP(B45,C146:D149,2,FALSE)</f>
        <v>0.4545</v>
      </c>
      <c r="D105" s="452"/>
      <c r="E105" s="452"/>
      <c r="F105" s="226"/>
      <c r="G105" s="226"/>
      <c r="H105" s="226"/>
      <c r="I105" s="570"/>
      <c r="J105" s="452">
        <v>0.4545</v>
      </c>
      <c r="K105" s="465"/>
      <c r="L105" s="465"/>
      <c r="M105" s="226"/>
      <c r="N105" s="618"/>
      <c r="O105" s="618"/>
      <c r="P105" s="618"/>
      <c r="AO105" s="454" t="s">
        <v>1130</v>
      </c>
      <c r="AP105" s="456">
        <v>0.0</v>
      </c>
      <c r="AQ105" s="515" t="s">
        <v>1130</v>
      </c>
      <c r="AR105" s="798"/>
      <c r="AS105" s="454" t="s">
        <v>1130</v>
      </c>
      <c r="AT105" s="457">
        <v>0.0</v>
      </c>
      <c r="AU105" s="454" t="s">
        <v>1130</v>
      </c>
      <c r="AV105" s="457">
        <v>0.0</v>
      </c>
      <c r="AW105" s="454" t="s">
        <v>1130</v>
      </c>
      <c r="AX105" s="457">
        <v>0.0</v>
      </c>
      <c r="AY105" s="454" t="s">
        <v>1130</v>
      </c>
      <c r="AZ105" s="457">
        <v>0.0</v>
      </c>
      <c r="BA105" s="454" t="s">
        <v>1130</v>
      </c>
      <c r="BB105" s="457">
        <v>0.0</v>
      </c>
      <c r="BC105" s="454" t="s">
        <v>1130</v>
      </c>
      <c r="BD105" s="457">
        <v>0.0</v>
      </c>
      <c r="BE105" s="454" t="s">
        <v>1130</v>
      </c>
      <c r="BF105" s="457">
        <v>0.0</v>
      </c>
    </row>
    <row r="106">
      <c r="A106" s="458"/>
      <c r="B106" s="620" t="s">
        <v>561</v>
      </c>
      <c r="C106" s="620">
        <f>VLOOKUP(B45,E146:F149,2,FALSE)</f>
        <v>0.666</v>
      </c>
      <c r="D106" s="452"/>
      <c r="E106" s="452"/>
      <c r="F106" s="226"/>
      <c r="G106" s="226"/>
      <c r="H106" s="226"/>
      <c r="I106" s="570"/>
      <c r="J106" s="452">
        <v>0.667</v>
      </c>
      <c r="K106" s="465"/>
      <c r="L106" s="465"/>
      <c r="M106" s="226"/>
      <c r="N106" s="618"/>
      <c r="O106" s="618"/>
      <c r="P106" s="618"/>
      <c r="AO106" s="454" t="s">
        <v>1128</v>
      </c>
      <c r="AP106" s="456">
        <v>335.0</v>
      </c>
      <c r="AQ106" s="515" t="s">
        <v>1128</v>
      </c>
      <c r="AR106" s="798"/>
      <c r="AS106" s="454" t="s">
        <v>1128</v>
      </c>
      <c r="AT106" s="457">
        <v>0.0</v>
      </c>
      <c r="AU106" s="454" t="s">
        <v>1128</v>
      </c>
      <c r="AV106" s="457">
        <v>0.0</v>
      </c>
      <c r="AW106" s="454" t="s">
        <v>1128</v>
      </c>
      <c r="AX106" s="457">
        <v>0.0</v>
      </c>
      <c r="AY106" s="454" t="s">
        <v>1128</v>
      </c>
      <c r="AZ106" s="457">
        <v>0.0</v>
      </c>
      <c r="BA106" s="454" t="s">
        <v>1128</v>
      </c>
      <c r="BB106" s="457">
        <v>0.0</v>
      </c>
      <c r="BC106" s="454" t="s">
        <v>1128</v>
      </c>
      <c r="BD106" s="457">
        <v>0.0</v>
      </c>
      <c r="BE106" s="454" t="s">
        <v>1128</v>
      </c>
      <c r="BF106" s="457">
        <v>0.0</v>
      </c>
    </row>
    <row r="107">
      <c r="A107" s="458"/>
      <c r="B107" s="620" t="s">
        <v>330</v>
      </c>
      <c r="C107" s="620">
        <f>VLOOKUP(B45,G146:H149,2,FALSE)</f>
        <v>0.909</v>
      </c>
      <c r="D107" s="452"/>
      <c r="E107" s="452"/>
      <c r="F107" s="226"/>
      <c r="G107" s="226"/>
      <c r="H107" s="226"/>
      <c r="I107" s="570"/>
      <c r="J107" s="452">
        <v>0.92</v>
      </c>
      <c r="K107" s="465"/>
      <c r="L107" s="465"/>
      <c r="M107" s="226"/>
      <c r="N107" s="618"/>
      <c r="O107" s="618"/>
      <c r="P107" s="618"/>
      <c r="AO107" s="454" t="s">
        <v>1132</v>
      </c>
      <c r="AP107" s="456">
        <v>98.0</v>
      </c>
      <c r="AQ107" s="515" t="s">
        <v>1132</v>
      </c>
      <c r="AR107" s="798"/>
      <c r="AS107" s="454" t="s">
        <v>1132</v>
      </c>
      <c r="AT107" s="457">
        <v>15.0</v>
      </c>
      <c r="AU107" s="454" t="s">
        <v>1132</v>
      </c>
      <c r="AV107" s="457">
        <v>15.0</v>
      </c>
      <c r="AW107" s="454" t="s">
        <v>1132</v>
      </c>
      <c r="AX107" s="457">
        <v>15.0</v>
      </c>
      <c r="AY107" s="454" t="s">
        <v>1132</v>
      </c>
      <c r="AZ107" s="457">
        <v>15.0</v>
      </c>
      <c r="BA107" s="454" t="s">
        <v>1132</v>
      </c>
      <c r="BB107" s="457">
        <v>15.0</v>
      </c>
      <c r="BC107" s="454" t="s">
        <v>1132</v>
      </c>
      <c r="BD107" s="457">
        <v>15.0</v>
      </c>
      <c r="BE107" s="454" t="s">
        <v>1132</v>
      </c>
      <c r="BF107" s="457">
        <v>15.0</v>
      </c>
    </row>
    <row r="108">
      <c r="A108" s="458"/>
      <c r="B108" s="620" t="s">
        <v>344</v>
      </c>
      <c r="C108" s="620">
        <f>VLOOKUP(B45,I146:J149,2,FALSE)</f>
        <v>0.58</v>
      </c>
      <c r="D108" s="452"/>
      <c r="E108" s="452"/>
      <c r="F108" s="226"/>
      <c r="G108" s="226"/>
      <c r="H108" s="226"/>
      <c r="I108" s="570"/>
      <c r="J108" s="452">
        <v>0.68</v>
      </c>
      <c r="K108" s="465"/>
      <c r="L108" s="465"/>
      <c r="M108" s="226"/>
      <c r="N108" s="618"/>
      <c r="O108" s="618"/>
      <c r="P108" s="618"/>
      <c r="AO108" s="454" t="s">
        <v>1137</v>
      </c>
      <c r="AP108" s="456">
        <v>0.0</v>
      </c>
      <c r="AQ108" s="515" t="s">
        <v>1137</v>
      </c>
      <c r="AR108" s="798"/>
      <c r="AS108" s="454" t="s">
        <v>1137</v>
      </c>
      <c r="AT108" s="457">
        <v>0.0</v>
      </c>
      <c r="AU108" s="454" t="s">
        <v>1137</v>
      </c>
      <c r="AV108" s="457">
        <v>0.0</v>
      </c>
      <c r="AW108" s="454" t="s">
        <v>1137</v>
      </c>
      <c r="AX108" s="457">
        <v>0.0</v>
      </c>
      <c r="AY108" s="454" t="s">
        <v>1137</v>
      </c>
      <c r="AZ108" s="457">
        <v>0.0</v>
      </c>
      <c r="BA108" s="454" t="s">
        <v>1137</v>
      </c>
      <c r="BB108" s="457">
        <v>0.0</v>
      </c>
      <c r="BC108" s="454" t="s">
        <v>1137</v>
      </c>
      <c r="BD108" s="457">
        <v>0.0</v>
      </c>
      <c r="BE108" s="454" t="s">
        <v>1137</v>
      </c>
      <c r="BF108" s="457">
        <v>0.0</v>
      </c>
    </row>
    <row r="109">
      <c r="A109" s="458"/>
      <c r="B109" s="620" t="s">
        <v>356</v>
      </c>
      <c r="C109" s="620">
        <f>VLOOKUP(B45,K146:L149,2,FALSE)</f>
        <v>0.844</v>
      </c>
      <c r="D109" s="452"/>
      <c r="E109" s="452"/>
      <c r="F109" s="226"/>
      <c r="G109" s="226"/>
      <c r="H109" s="226"/>
      <c r="I109" s="570"/>
      <c r="J109" s="452">
        <v>0.54</v>
      </c>
      <c r="K109" s="465"/>
      <c r="L109" s="465"/>
      <c r="M109" s="226"/>
      <c r="N109" s="618"/>
      <c r="O109" s="618"/>
      <c r="P109" s="618"/>
      <c r="AO109" s="454" t="s">
        <v>1139</v>
      </c>
      <c r="AP109" s="456">
        <v>0.0</v>
      </c>
      <c r="AQ109" s="515" t="s">
        <v>1139</v>
      </c>
      <c r="AR109" s="798"/>
      <c r="AS109" s="454" t="s">
        <v>1139</v>
      </c>
      <c r="AT109" s="457">
        <v>0.0</v>
      </c>
      <c r="AU109" s="454" t="s">
        <v>1139</v>
      </c>
      <c r="AV109" s="457">
        <v>0.0</v>
      </c>
      <c r="AW109" s="454" t="s">
        <v>1139</v>
      </c>
      <c r="AX109" s="457">
        <v>0.0</v>
      </c>
      <c r="AY109" s="454" t="s">
        <v>1139</v>
      </c>
      <c r="AZ109" s="457">
        <v>0.0</v>
      </c>
      <c r="BA109" s="454" t="s">
        <v>1139</v>
      </c>
      <c r="BB109" s="457">
        <v>0.0</v>
      </c>
      <c r="BC109" s="454" t="s">
        <v>1139</v>
      </c>
      <c r="BD109" s="457">
        <v>0.0</v>
      </c>
      <c r="BE109" s="454" t="s">
        <v>1139</v>
      </c>
      <c r="BF109" s="457">
        <v>0.0</v>
      </c>
    </row>
    <row r="110">
      <c r="A110" s="458"/>
      <c r="B110" s="620" t="s">
        <v>2120</v>
      </c>
      <c r="C110" s="620">
        <f>VLOOKUP(B45,M146:N149,2,FALSE)</f>
        <v>1.3</v>
      </c>
      <c r="D110" s="452"/>
      <c r="E110" s="452"/>
      <c r="F110" s="226"/>
      <c r="G110" s="226"/>
      <c r="H110" s="226"/>
      <c r="I110" s="570"/>
      <c r="J110" s="452">
        <v>1.22</v>
      </c>
      <c r="K110" s="465"/>
      <c r="L110" s="465"/>
      <c r="M110" s="226"/>
      <c r="N110" s="618"/>
      <c r="O110" s="618"/>
      <c r="P110" s="618"/>
      <c r="AO110" s="454" t="s">
        <v>1145</v>
      </c>
      <c r="AP110" s="456">
        <v>0.0</v>
      </c>
      <c r="AQ110" s="515" t="s">
        <v>1145</v>
      </c>
      <c r="AR110" s="798"/>
      <c r="AS110" s="454" t="s">
        <v>1145</v>
      </c>
      <c r="AT110" s="457">
        <v>18.0</v>
      </c>
      <c r="AU110" s="454" t="s">
        <v>1145</v>
      </c>
      <c r="AV110" s="457">
        <v>18.0</v>
      </c>
      <c r="AW110" s="454" t="s">
        <v>1145</v>
      </c>
      <c r="AX110" s="457">
        <v>18.0</v>
      </c>
      <c r="AY110" s="454" t="s">
        <v>1145</v>
      </c>
      <c r="AZ110" s="457">
        <v>18.0</v>
      </c>
      <c r="BA110" s="454" t="s">
        <v>1145</v>
      </c>
      <c r="BB110" s="457">
        <v>18.0</v>
      </c>
      <c r="BC110" s="454" t="s">
        <v>1145</v>
      </c>
      <c r="BD110" s="457">
        <v>18.0</v>
      </c>
      <c r="BE110" s="454" t="s">
        <v>1145</v>
      </c>
      <c r="BF110" s="457">
        <v>18.0</v>
      </c>
    </row>
    <row r="111">
      <c r="A111" s="458"/>
      <c r="B111" s="620" t="s">
        <v>1920</v>
      </c>
      <c r="C111" s="620">
        <f>VLOOKUP(B45,O146:P149,2,FALSE)</f>
        <v>0.193</v>
      </c>
      <c r="D111" s="452"/>
      <c r="E111" s="452"/>
      <c r="F111" s="226"/>
      <c r="G111" s="226"/>
      <c r="H111" s="226"/>
      <c r="I111" s="570"/>
      <c r="J111" s="452">
        <v>0.181</v>
      </c>
      <c r="K111" s="465"/>
      <c r="L111" s="465"/>
      <c r="M111" s="226"/>
      <c r="N111" s="618"/>
      <c r="O111" s="618"/>
      <c r="P111" s="618"/>
      <c r="AO111" s="614" t="s">
        <v>1136</v>
      </c>
      <c r="AP111" s="456">
        <v>315.0</v>
      </c>
      <c r="AQ111" s="515" t="s">
        <v>1136</v>
      </c>
      <c r="AR111" s="798"/>
      <c r="AS111" s="614" t="s">
        <v>1136</v>
      </c>
      <c r="AT111" s="457">
        <v>0.0</v>
      </c>
      <c r="AU111" s="614" t="s">
        <v>1136</v>
      </c>
      <c r="AV111" s="457">
        <v>0.0</v>
      </c>
      <c r="AW111" s="614" t="s">
        <v>1136</v>
      </c>
      <c r="AX111" s="457">
        <v>0.0</v>
      </c>
      <c r="AY111" s="614" t="s">
        <v>1136</v>
      </c>
      <c r="AZ111" s="457">
        <v>0.0</v>
      </c>
      <c r="BA111" s="614" t="s">
        <v>1136</v>
      </c>
      <c r="BB111" s="457">
        <v>0.0</v>
      </c>
      <c r="BC111" s="614" t="s">
        <v>1136</v>
      </c>
      <c r="BD111" s="457">
        <v>0.0</v>
      </c>
      <c r="BE111" s="614" t="s">
        <v>1136</v>
      </c>
      <c r="BF111" s="457">
        <v>0.0</v>
      </c>
    </row>
    <row r="112">
      <c r="A112" s="458"/>
      <c r="B112" s="620" t="s">
        <v>566</v>
      </c>
      <c r="C112" s="620">
        <f>VLOOKUP(B45,Q146:R149,2,FALSE)</f>
        <v>10</v>
      </c>
      <c r="D112" s="452"/>
      <c r="E112" s="452"/>
      <c r="F112" s="226"/>
      <c r="G112" s="226"/>
      <c r="H112" s="226"/>
      <c r="I112" s="570"/>
      <c r="J112" s="452">
        <v>10.0</v>
      </c>
      <c r="K112" s="465"/>
      <c r="L112" s="465"/>
      <c r="M112" s="226"/>
      <c r="N112" s="618"/>
      <c r="O112" s="618"/>
      <c r="P112" s="618"/>
      <c r="AS112" s="112"/>
      <c r="AT112" s="112"/>
      <c r="AU112" s="112"/>
      <c r="AV112" s="112"/>
    </row>
    <row r="113">
      <c r="A113" s="458"/>
      <c r="B113" s="620" t="s">
        <v>567</v>
      </c>
      <c r="C113" s="620">
        <f>VLOOKUP(B45,S146:T149,2,FALSE)</f>
        <v>9.545</v>
      </c>
      <c r="D113" s="452"/>
      <c r="E113" s="452"/>
      <c r="F113" s="226"/>
      <c r="G113" s="226"/>
      <c r="H113" s="226"/>
      <c r="I113" s="570"/>
      <c r="J113" s="452">
        <v>9.6</v>
      </c>
      <c r="K113" s="465"/>
      <c r="L113" s="465"/>
      <c r="M113" s="226"/>
      <c r="N113" s="618"/>
      <c r="O113" s="618"/>
      <c r="P113" s="618"/>
      <c r="AS113" s="112"/>
      <c r="AT113" s="112"/>
      <c r="AU113" s="112"/>
      <c r="AV113" s="112"/>
    </row>
    <row r="114">
      <c r="A114" s="458"/>
      <c r="B114" s="620" t="s">
        <v>571</v>
      </c>
      <c r="C114" s="620">
        <f>VLOOKUP(B45,U146:V149,2,FALSE)</f>
        <v>5</v>
      </c>
      <c r="D114" s="452"/>
      <c r="E114" s="452"/>
      <c r="F114" s="226"/>
      <c r="G114" s="226"/>
      <c r="H114" s="226"/>
      <c r="I114" s="570"/>
      <c r="J114" s="452">
        <v>5.0</v>
      </c>
      <c r="K114" s="465"/>
      <c r="L114" s="465"/>
      <c r="M114" s="226"/>
      <c r="N114" s="618"/>
      <c r="O114" s="618"/>
      <c r="P114" s="618"/>
      <c r="AS114" s="112"/>
      <c r="AT114" s="112"/>
      <c r="AU114" s="112"/>
      <c r="AV114" s="112"/>
    </row>
    <row r="115">
      <c r="A115" s="458"/>
      <c r="B115" s="620" t="s">
        <v>565</v>
      </c>
      <c r="C115" s="622">
        <f>VLOOKUP(B45,W146:X149,2,FALSE)</f>
        <v>43</v>
      </c>
      <c r="D115" s="570"/>
      <c r="E115" s="570"/>
      <c r="F115" s="226"/>
      <c r="G115" s="226"/>
      <c r="H115" s="226"/>
      <c r="I115" s="570"/>
      <c r="J115" s="452">
        <v>45.0</v>
      </c>
      <c r="K115" s="465"/>
      <c r="L115" s="465"/>
      <c r="M115" s="226"/>
      <c r="N115" s="618"/>
      <c r="O115" s="618"/>
      <c r="P115" s="618"/>
      <c r="AS115" s="112"/>
      <c r="AT115" s="112"/>
      <c r="AU115" s="112"/>
      <c r="AV115" s="112"/>
    </row>
    <row r="116">
      <c r="A116" s="458"/>
      <c r="B116" s="620" t="s">
        <v>2374</v>
      </c>
      <c r="C116" s="620">
        <f>VLOOKUP(B45,Y146:Z149,2,FALSE)</f>
        <v>4.7</v>
      </c>
      <c r="D116" s="570"/>
      <c r="E116" s="570"/>
      <c r="F116" s="226"/>
      <c r="G116" s="570"/>
      <c r="H116" s="570"/>
      <c r="I116" s="570"/>
      <c r="J116" s="570"/>
      <c r="K116" s="465"/>
      <c r="L116" s="465"/>
      <c r="M116" s="226"/>
      <c r="N116" s="618"/>
      <c r="O116" s="618"/>
      <c r="P116" s="618"/>
      <c r="AN116" s="623" t="s">
        <v>2122</v>
      </c>
      <c r="AO116" s="623" t="s">
        <v>1920</v>
      </c>
      <c r="AP116" s="490" t="s">
        <v>2123</v>
      </c>
      <c r="AQ116" s="490" t="s">
        <v>1922</v>
      </c>
      <c r="AR116" s="623" t="s">
        <v>2122</v>
      </c>
      <c r="AS116" s="490" t="s">
        <v>344</v>
      </c>
      <c r="AT116" s="623" t="s">
        <v>2122</v>
      </c>
      <c r="AU116" s="490" t="s">
        <v>2124</v>
      </c>
      <c r="AV116" s="623" t="s">
        <v>2122</v>
      </c>
      <c r="AW116" s="490" t="s">
        <v>2125</v>
      </c>
      <c r="AX116" s="623" t="s">
        <v>2122</v>
      </c>
      <c r="AY116" s="623" t="s">
        <v>2126</v>
      </c>
      <c r="AZ116" s="623" t="s">
        <v>2122</v>
      </c>
      <c r="BA116" s="623" t="s">
        <v>2127</v>
      </c>
      <c r="BB116" s="623" t="s">
        <v>2122</v>
      </c>
      <c r="BC116" s="623" t="s">
        <v>2128</v>
      </c>
      <c r="BD116" s="623" t="s">
        <v>2122</v>
      </c>
      <c r="BE116" s="623" t="s">
        <v>2129</v>
      </c>
    </row>
    <row r="117">
      <c r="A117" s="458"/>
      <c r="B117" s="620" t="s">
        <v>594</v>
      </c>
      <c r="C117" s="620">
        <f>VLOOKUP(B45,AA146:AB149,2,FALSE)</f>
        <v>3.39</v>
      </c>
      <c r="D117" s="571"/>
      <c r="E117" s="571"/>
      <c r="F117" s="226"/>
      <c r="G117" s="571"/>
      <c r="H117" s="571"/>
      <c r="I117" s="571"/>
      <c r="J117" s="571"/>
      <c r="K117" s="465"/>
      <c r="L117" s="465"/>
      <c r="M117" s="226"/>
      <c r="N117" s="618"/>
      <c r="O117" s="618"/>
      <c r="P117" s="618"/>
      <c r="AN117" s="454" t="s">
        <v>780</v>
      </c>
      <c r="AO117" s="456">
        <v>140.0</v>
      </c>
      <c r="AP117" s="515" t="s">
        <v>780</v>
      </c>
      <c r="AQ117" s="457">
        <v>106.57</v>
      </c>
      <c r="AR117" s="454" t="s">
        <v>780</v>
      </c>
      <c r="AS117" s="457">
        <v>16.0</v>
      </c>
      <c r="AT117" s="454" t="s">
        <v>780</v>
      </c>
      <c r="AU117" s="457">
        <v>33.0</v>
      </c>
      <c r="AV117" s="454" t="s">
        <v>780</v>
      </c>
      <c r="AW117" s="457">
        <v>0.0</v>
      </c>
      <c r="AX117" s="454" t="s">
        <v>780</v>
      </c>
      <c r="AY117" s="456">
        <v>30.0</v>
      </c>
      <c r="AZ117" s="454" t="s">
        <v>780</v>
      </c>
      <c r="BA117" s="456">
        <v>0.0</v>
      </c>
      <c r="BB117" s="454" t="s">
        <v>780</v>
      </c>
      <c r="BC117" s="456">
        <v>0.0</v>
      </c>
      <c r="BD117" s="454" t="s">
        <v>780</v>
      </c>
      <c r="BE117" s="456">
        <v>0.0</v>
      </c>
    </row>
    <row r="118">
      <c r="A118" s="458"/>
      <c r="B118" s="620" t="s">
        <v>2121</v>
      </c>
      <c r="C118" s="620"/>
      <c r="D118" s="571"/>
      <c r="E118" s="571"/>
      <c r="F118" s="226"/>
      <c r="G118" s="571"/>
      <c r="H118" s="571"/>
      <c r="I118" s="571"/>
      <c r="J118" s="571"/>
      <c r="K118" s="465"/>
      <c r="L118" s="465"/>
      <c r="M118" s="226"/>
      <c r="N118" s="618"/>
      <c r="O118" s="618"/>
      <c r="P118" s="618"/>
      <c r="AN118" s="454" t="s">
        <v>782</v>
      </c>
      <c r="AO118" s="456">
        <v>0.0</v>
      </c>
      <c r="AP118" s="515" t="s">
        <v>782</v>
      </c>
      <c r="AQ118" s="457">
        <v>68.77</v>
      </c>
      <c r="AR118" s="454" t="s">
        <v>782</v>
      </c>
      <c r="AS118" s="457">
        <v>12.0</v>
      </c>
      <c r="AT118" s="454" t="s">
        <v>782</v>
      </c>
      <c r="AU118" s="457">
        <v>0.0</v>
      </c>
      <c r="AV118" s="454" t="s">
        <v>782</v>
      </c>
      <c r="AW118" s="457">
        <v>0.0</v>
      </c>
      <c r="AX118" s="454" t="s">
        <v>782</v>
      </c>
      <c r="AY118" s="456">
        <v>28.0</v>
      </c>
      <c r="AZ118" s="454" t="s">
        <v>782</v>
      </c>
      <c r="BA118" s="456">
        <v>0.0</v>
      </c>
      <c r="BB118" s="454" t="s">
        <v>782</v>
      </c>
      <c r="BC118" s="456">
        <v>0.0</v>
      </c>
      <c r="BD118" s="454" t="s">
        <v>782</v>
      </c>
      <c r="BE118" s="456">
        <v>58.0</v>
      </c>
    </row>
    <row r="119">
      <c r="A119" s="458"/>
      <c r="B119" s="620" t="s">
        <v>575</v>
      </c>
      <c r="C119" s="620">
        <f>VLOOKUP(B45,AC146:AD149,2,FALSE)</f>
        <v>11</v>
      </c>
      <c r="D119" s="570"/>
      <c r="E119" s="570"/>
      <c r="F119" s="226"/>
      <c r="G119" s="570"/>
      <c r="H119" s="570"/>
      <c r="I119" s="570"/>
      <c r="J119" s="570"/>
      <c r="K119" s="465"/>
      <c r="L119" s="465"/>
      <c r="M119" s="226"/>
      <c r="N119" s="618"/>
      <c r="O119" s="618"/>
      <c r="P119" s="618"/>
      <c r="AN119" s="454" t="s">
        <v>783</v>
      </c>
      <c r="AO119" s="456">
        <v>0.0</v>
      </c>
      <c r="AP119" s="515" t="s">
        <v>783</v>
      </c>
      <c r="AQ119" s="457">
        <v>66.68</v>
      </c>
      <c r="AR119" s="454" t="s">
        <v>783</v>
      </c>
      <c r="AS119" s="457">
        <v>17.0</v>
      </c>
      <c r="AT119" s="454" t="s">
        <v>783</v>
      </c>
      <c r="AU119" s="457">
        <v>25.0</v>
      </c>
      <c r="AV119" s="454" t="s">
        <v>783</v>
      </c>
      <c r="AW119" s="457">
        <v>0.0</v>
      </c>
      <c r="AX119" s="454" t="s">
        <v>783</v>
      </c>
      <c r="AY119" s="456">
        <v>24.0</v>
      </c>
      <c r="AZ119" s="454" t="s">
        <v>783</v>
      </c>
      <c r="BA119" s="456">
        <v>0.0</v>
      </c>
      <c r="BB119" s="454" t="s">
        <v>783</v>
      </c>
      <c r="BC119" s="456">
        <v>0.0</v>
      </c>
      <c r="BD119" s="454" t="s">
        <v>783</v>
      </c>
      <c r="BE119" s="456">
        <v>0.0</v>
      </c>
    </row>
    <row r="120">
      <c r="A120" s="458"/>
      <c r="B120" s="620" t="s">
        <v>2141</v>
      </c>
      <c r="C120" s="620">
        <f>VLOOKUP(B45,AE146:AF149,2,FALSE)</f>
        <v>4.48</v>
      </c>
      <c r="D120" s="447"/>
      <c r="E120" s="447"/>
      <c r="F120" s="226"/>
      <c r="G120" s="447"/>
      <c r="H120" s="447"/>
      <c r="I120" s="447"/>
      <c r="J120" s="447"/>
      <c r="K120" s="482"/>
      <c r="L120" s="482"/>
      <c r="M120" s="226"/>
      <c r="N120" s="618"/>
      <c r="O120" s="618"/>
      <c r="P120" s="618"/>
      <c r="AN120" s="454" t="s">
        <v>785</v>
      </c>
      <c r="AO120" s="456">
        <v>0.0</v>
      </c>
      <c r="AP120" s="515" t="s">
        <v>785</v>
      </c>
      <c r="AQ120" s="457">
        <v>62.92</v>
      </c>
      <c r="AR120" s="454" t="s">
        <v>785</v>
      </c>
      <c r="AS120" s="457">
        <v>12.0</v>
      </c>
      <c r="AT120" s="454" t="s">
        <v>785</v>
      </c>
      <c r="AU120" s="457">
        <v>0.0</v>
      </c>
      <c r="AV120" s="454" t="s">
        <v>785</v>
      </c>
      <c r="AW120" s="457">
        <v>28.0</v>
      </c>
      <c r="AX120" s="454" t="s">
        <v>785</v>
      </c>
      <c r="AY120" s="456">
        <v>0.0</v>
      </c>
      <c r="AZ120" s="454" t="s">
        <v>785</v>
      </c>
      <c r="BA120" s="456">
        <v>0.0</v>
      </c>
      <c r="BB120" s="454" t="s">
        <v>785</v>
      </c>
      <c r="BC120" s="456">
        <v>0.0</v>
      </c>
      <c r="BD120" s="454" t="s">
        <v>785</v>
      </c>
      <c r="BE120" s="456">
        <v>58.0</v>
      </c>
    </row>
    <row r="121">
      <c r="A121" s="458"/>
      <c r="B121" s="449"/>
      <c r="C121" s="226"/>
      <c r="D121" s="449"/>
      <c r="E121" s="449"/>
      <c r="F121" s="449"/>
      <c r="G121" s="449"/>
      <c r="H121" s="449"/>
      <c r="I121" s="449"/>
      <c r="J121" s="449"/>
      <c r="K121" s="226"/>
      <c r="L121" s="226"/>
      <c r="M121" s="226"/>
      <c r="N121" s="618"/>
      <c r="O121" s="618"/>
      <c r="P121" s="618"/>
      <c r="AN121" s="454" t="s">
        <v>786</v>
      </c>
      <c r="AO121" s="456">
        <v>0.0</v>
      </c>
      <c r="AP121" s="515" t="s">
        <v>786</v>
      </c>
      <c r="AQ121" s="457">
        <v>62.27</v>
      </c>
      <c r="AR121" s="454" t="s">
        <v>786</v>
      </c>
      <c r="AS121" s="457">
        <v>0.0</v>
      </c>
      <c r="AT121" s="454" t="s">
        <v>786</v>
      </c>
      <c r="AU121" s="457">
        <v>35.0</v>
      </c>
      <c r="AV121" s="454" t="s">
        <v>786</v>
      </c>
      <c r="AW121" s="457">
        <v>0.0</v>
      </c>
      <c r="AX121" s="454" t="s">
        <v>786</v>
      </c>
      <c r="AY121" s="456">
        <v>19.0</v>
      </c>
      <c r="AZ121" s="454" t="s">
        <v>786</v>
      </c>
      <c r="BA121" s="456">
        <v>0.0</v>
      </c>
      <c r="BB121" s="454" t="s">
        <v>786</v>
      </c>
      <c r="BC121" s="456">
        <v>0.0</v>
      </c>
      <c r="BD121" s="454" t="s">
        <v>786</v>
      </c>
      <c r="BE121" s="456">
        <v>0.0</v>
      </c>
    </row>
    <row r="122">
      <c r="A122" s="616"/>
      <c r="B122" s="626"/>
      <c r="C122" s="618"/>
      <c r="D122" s="626"/>
      <c r="E122" s="626"/>
      <c r="F122" s="626"/>
      <c r="G122" s="626"/>
      <c r="H122" s="626"/>
      <c r="I122" s="626"/>
      <c r="J122" s="626"/>
      <c r="K122" s="618"/>
      <c r="L122" s="618"/>
      <c r="M122" s="618"/>
      <c r="N122" s="618"/>
      <c r="O122" s="618"/>
      <c r="P122" s="618"/>
      <c r="AN122" s="454" t="s">
        <v>789</v>
      </c>
      <c r="AO122" s="456">
        <v>0.0</v>
      </c>
      <c r="AP122" s="515" t="s">
        <v>789</v>
      </c>
      <c r="AQ122" s="457">
        <v>61.82</v>
      </c>
      <c r="AR122" s="454" t="s">
        <v>789</v>
      </c>
      <c r="AS122" s="457">
        <v>0.0</v>
      </c>
      <c r="AT122" s="454" t="s">
        <v>789</v>
      </c>
      <c r="AU122" s="457">
        <v>20.0</v>
      </c>
      <c r="AV122" s="454" t="s">
        <v>789</v>
      </c>
      <c r="AW122" s="457">
        <v>0.0</v>
      </c>
      <c r="AX122" s="454" t="s">
        <v>789</v>
      </c>
      <c r="AY122" s="456">
        <v>24.0</v>
      </c>
      <c r="AZ122" s="454" t="s">
        <v>789</v>
      </c>
      <c r="BA122" s="456">
        <v>0.0</v>
      </c>
      <c r="BB122" s="454" t="s">
        <v>789</v>
      </c>
      <c r="BC122" s="456">
        <v>0.0</v>
      </c>
      <c r="BD122" s="454" t="s">
        <v>789</v>
      </c>
      <c r="BE122" s="456">
        <v>0.0</v>
      </c>
    </row>
    <row r="123">
      <c r="A123" s="616"/>
      <c r="B123" s="626"/>
      <c r="C123" s="618"/>
      <c r="D123" s="626"/>
      <c r="E123" s="626"/>
      <c r="F123" s="626"/>
      <c r="G123" s="626"/>
      <c r="H123" s="626"/>
      <c r="I123" s="626"/>
      <c r="J123" s="626"/>
      <c r="K123" s="618"/>
      <c r="L123" s="618"/>
      <c r="M123" s="618"/>
      <c r="N123" s="618"/>
      <c r="O123" s="618"/>
      <c r="P123" s="618"/>
    </row>
    <row r="124">
      <c r="A124" s="616"/>
      <c r="B124" s="627"/>
      <c r="C124" s="627"/>
      <c r="D124" s="627"/>
      <c r="E124" s="627"/>
      <c r="F124" s="627"/>
      <c r="G124" s="627"/>
      <c r="H124" s="627"/>
      <c r="I124" s="627"/>
      <c r="J124" s="627"/>
      <c r="K124" s="627"/>
      <c r="L124" s="627"/>
      <c r="M124" s="618"/>
      <c r="N124" s="618"/>
      <c r="O124" s="618"/>
      <c r="P124" s="618"/>
      <c r="AN124" s="449" t="s">
        <v>2130</v>
      </c>
      <c r="AO124" s="449" t="s">
        <v>1920</v>
      </c>
      <c r="AP124" s="450" t="s">
        <v>2131</v>
      </c>
      <c r="AQ124" s="450" t="s">
        <v>1922</v>
      </c>
      <c r="AR124" s="449" t="s">
        <v>2130</v>
      </c>
      <c r="AS124" s="450" t="s">
        <v>344</v>
      </c>
      <c r="AT124" s="449" t="s">
        <v>2130</v>
      </c>
      <c r="AU124" s="450" t="s">
        <v>2132</v>
      </c>
      <c r="AV124" s="449" t="s">
        <v>2130</v>
      </c>
      <c r="AW124" s="450" t="s">
        <v>2133</v>
      </c>
      <c r="AX124" s="449" t="s">
        <v>2130</v>
      </c>
      <c r="AY124" s="449" t="s">
        <v>2134</v>
      </c>
      <c r="AZ124" s="449" t="s">
        <v>2130</v>
      </c>
      <c r="BA124" s="449" t="s">
        <v>2135</v>
      </c>
      <c r="BB124" s="449" t="s">
        <v>2130</v>
      </c>
      <c r="BC124" s="449" t="s">
        <v>2136</v>
      </c>
      <c r="BD124" s="449" t="s">
        <v>2130</v>
      </c>
      <c r="BE124" s="449" t="s">
        <v>2137</v>
      </c>
    </row>
    <row r="125">
      <c r="A125" s="628"/>
      <c r="B125" s="629"/>
      <c r="C125" s="626"/>
      <c r="D125" s="629"/>
      <c r="E125" s="629"/>
      <c r="F125" s="629"/>
      <c r="G125" s="629"/>
      <c r="H125" s="629"/>
      <c r="I125" s="629"/>
      <c r="J125" s="629"/>
      <c r="K125" s="626"/>
      <c r="L125" s="626"/>
      <c r="M125" s="618"/>
      <c r="N125" s="618"/>
      <c r="O125" s="618"/>
      <c r="P125" s="618"/>
      <c r="AN125" s="454" t="s">
        <v>803</v>
      </c>
      <c r="AO125" s="456">
        <v>182.0</v>
      </c>
      <c r="AP125" s="515" t="s">
        <v>803</v>
      </c>
      <c r="AQ125" s="457">
        <v>141.06</v>
      </c>
      <c r="AR125" s="454" t="s">
        <v>803</v>
      </c>
      <c r="AS125" s="457">
        <v>0.0</v>
      </c>
      <c r="AT125" s="454" t="s">
        <v>803</v>
      </c>
      <c r="AU125" s="457">
        <v>0.0</v>
      </c>
      <c r="AV125" s="454" t="s">
        <v>803</v>
      </c>
      <c r="AW125" s="457">
        <v>40.0</v>
      </c>
      <c r="AX125" s="454" t="s">
        <v>803</v>
      </c>
      <c r="AY125" s="456">
        <v>23.0</v>
      </c>
      <c r="AZ125" s="454" t="s">
        <v>803</v>
      </c>
      <c r="BA125" s="456">
        <v>0.0</v>
      </c>
      <c r="BB125" s="454" t="s">
        <v>803</v>
      </c>
      <c r="BC125" s="456">
        <v>0.0</v>
      </c>
      <c r="BD125" s="454" t="s">
        <v>803</v>
      </c>
      <c r="BE125" s="456">
        <v>80.0</v>
      </c>
    </row>
    <row r="126">
      <c r="A126" s="628"/>
      <c r="B126" s="629"/>
      <c r="C126" s="626"/>
      <c r="D126" s="629"/>
      <c r="E126" s="629"/>
      <c r="F126" s="629"/>
      <c r="G126" s="629"/>
      <c r="H126" s="629"/>
      <c r="I126" s="629"/>
      <c r="J126" s="629"/>
      <c r="K126" s="626"/>
      <c r="L126" s="626"/>
      <c r="M126" s="618"/>
      <c r="N126" s="618"/>
      <c r="O126" s="618"/>
      <c r="P126" s="618"/>
      <c r="AN126" s="454" t="s">
        <v>801</v>
      </c>
      <c r="AO126" s="456">
        <v>154.0</v>
      </c>
      <c r="AP126" s="515" t="s">
        <v>801</v>
      </c>
      <c r="AQ126" s="457">
        <v>140.64</v>
      </c>
      <c r="AR126" s="454" t="s">
        <v>801</v>
      </c>
      <c r="AS126" s="457">
        <v>0.0</v>
      </c>
      <c r="AT126" s="454" t="s">
        <v>801</v>
      </c>
      <c r="AU126" s="457">
        <v>0.0</v>
      </c>
      <c r="AV126" s="454" t="s">
        <v>801</v>
      </c>
      <c r="AW126" s="457">
        <v>30.0</v>
      </c>
      <c r="AX126" s="454" t="s">
        <v>801</v>
      </c>
      <c r="AY126" s="456">
        <v>30.0</v>
      </c>
      <c r="AZ126" s="454" t="s">
        <v>801</v>
      </c>
      <c r="BA126" s="456">
        <v>0.0</v>
      </c>
      <c r="BB126" s="454" t="s">
        <v>801</v>
      </c>
      <c r="BC126" s="456">
        <v>0.0</v>
      </c>
      <c r="BD126" s="454" t="s">
        <v>801</v>
      </c>
      <c r="BE126" s="456">
        <v>90.0</v>
      </c>
    </row>
    <row r="127">
      <c r="A127" s="628"/>
      <c r="B127" s="629"/>
      <c r="C127" s="626"/>
      <c r="D127" s="629"/>
      <c r="E127" s="629"/>
      <c r="F127" s="629"/>
      <c r="G127" s="629"/>
      <c r="H127" s="629"/>
      <c r="I127" s="629"/>
      <c r="J127" s="629"/>
      <c r="K127" s="626"/>
      <c r="L127" s="626"/>
      <c r="M127" s="618"/>
      <c r="N127" s="618"/>
      <c r="O127" s="618"/>
      <c r="P127" s="618"/>
      <c r="AN127" s="454" t="s">
        <v>804</v>
      </c>
      <c r="AO127" s="456">
        <v>161.0</v>
      </c>
      <c r="AP127" s="515" t="s">
        <v>804</v>
      </c>
      <c r="AQ127" s="457">
        <v>133.52</v>
      </c>
      <c r="AR127" s="454" t="s">
        <v>804</v>
      </c>
      <c r="AS127" s="457">
        <v>0.0</v>
      </c>
      <c r="AT127" s="454" t="s">
        <v>804</v>
      </c>
      <c r="AU127" s="457">
        <v>47.0</v>
      </c>
      <c r="AV127" s="454" t="s">
        <v>804</v>
      </c>
      <c r="AW127" s="457">
        <v>0.0</v>
      </c>
      <c r="AX127" s="454" t="s">
        <v>804</v>
      </c>
      <c r="AY127" s="456">
        <v>39.0</v>
      </c>
      <c r="AZ127" s="454" t="s">
        <v>804</v>
      </c>
      <c r="BA127" s="456">
        <v>0.0</v>
      </c>
      <c r="BB127" s="454" t="s">
        <v>804</v>
      </c>
      <c r="BC127" s="456">
        <v>0.0</v>
      </c>
      <c r="BD127" s="454" t="s">
        <v>804</v>
      </c>
      <c r="BE127" s="456">
        <v>0.0</v>
      </c>
    </row>
    <row r="128">
      <c r="A128" s="628"/>
      <c r="B128" s="629"/>
      <c r="C128" s="626"/>
      <c r="D128" s="629"/>
      <c r="E128" s="629"/>
      <c r="F128" s="629"/>
      <c r="G128" s="629"/>
      <c r="H128" s="629"/>
      <c r="I128" s="629"/>
      <c r="J128" s="629"/>
      <c r="K128" s="626"/>
      <c r="L128" s="626"/>
      <c r="M128" s="226"/>
      <c r="N128" s="226"/>
      <c r="O128" s="226"/>
      <c r="P128" s="226"/>
      <c r="AN128" s="454" t="s">
        <v>805</v>
      </c>
      <c r="AO128" s="456">
        <v>0.0</v>
      </c>
      <c r="AP128" s="515" t="s">
        <v>805</v>
      </c>
      <c r="AQ128" s="457">
        <v>111.32</v>
      </c>
      <c r="AR128" s="454" t="s">
        <v>805</v>
      </c>
      <c r="AS128" s="457">
        <v>23.0</v>
      </c>
      <c r="AT128" s="454" t="s">
        <v>805</v>
      </c>
      <c r="AU128" s="457">
        <v>45.0</v>
      </c>
      <c r="AV128" s="454" t="s">
        <v>805</v>
      </c>
      <c r="AW128" s="457">
        <v>0.0</v>
      </c>
      <c r="AX128" s="454" t="s">
        <v>805</v>
      </c>
      <c r="AY128" s="456">
        <v>0.0</v>
      </c>
      <c r="AZ128" s="454" t="s">
        <v>805</v>
      </c>
      <c r="BA128" s="456">
        <v>36.0</v>
      </c>
      <c r="BB128" s="454" t="s">
        <v>805</v>
      </c>
      <c r="BC128" s="456">
        <v>0.0</v>
      </c>
      <c r="BD128" s="454" t="s">
        <v>805</v>
      </c>
      <c r="BE128" s="456">
        <v>0.0</v>
      </c>
    </row>
    <row r="129">
      <c r="A129" s="458" t="s">
        <v>2138</v>
      </c>
      <c r="B129" s="226"/>
      <c r="C129" s="226"/>
      <c r="D129" s="618"/>
      <c r="E129" s="618"/>
      <c r="F129" s="618"/>
      <c r="G129" s="618"/>
      <c r="H129" s="618"/>
      <c r="I129" s="618"/>
      <c r="J129" s="618"/>
      <c r="K129" s="618"/>
      <c r="L129" s="618"/>
      <c r="M129" s="226"/>
      <c r="N129" s="226"/>
      <c r="O129" s="226"/>
      <c r="P129" s="226"/>
      <c r="AN129" s="454" t="s">
        <v>811</v>
      </c>
      <c r="AO129" s="456">
        <v>175.0</v>
      </c>
      <c r="AP129" s="515" t="s">
        <v>811</v>
      </c>
      <c r="AQ129" s="457">
        <v>102.48</v>
      </c>
      <c r="AR129" s="454" t="s">
        <v>811</v>
      </c>
      <c r="AS129" s="457">
        <v>15.0</v>
      </c>
      <c r="AT129" s="454" t="s">
        <v>811</v>
      </c>
      <c r="AU129" s="457">
        <v>40.0</v>
      </c>
      <c r="AV129" s="454" t="s">
        <v>811</v>
      </c>
      <c r="AW129" s="457">
        <v>0.0</v>
      </c>
      <c r="AX129" s="454" t="s">
        <v>811</v>
      </c>
      <c r="AY129" s="456">
        <v>0.0</v>
      </c>
      <c r="AZ129" s="454" t="s">
        <v>811</v>
      </c>
      <c r="BA129" s="456">
        <v>0.0</v>
      </c>
      <c r="BB129" s="454" t="s">
        <v>811</v>
      </c>
      <c r="BC129" s="456">
        <v>0.0</v>
      </c>
      <c r="BD129" s="454" t="s">
        <v>811</v>
      </c>
      <c r="BE129" s="456">
        <v>0.0</v>
      </c>
    </row>
    <row r="130">
      <c r="A130" s="25" t="s">
        <v>1002</v>
      </c>
      <c r="B130" s="375">
        <f>VLOOKUP(B17,AS439:AT455,2,FALSE)</f>
        <v>103.1</v>
      </c>
      <c r="C130" s="226"/>
      <c r="D130" s="618"/>
      <c r="E130" s="618"/>
      <c r="F130" s="618"/>
      <c r="G130" s="618"/>
      <c r="H130" s="618"/>
      <c r="I130" s="618"/>
      <c r="J130" s="618"/>
      <c r="K130" s="618"/>
      <c r="L130" s="618"/>
      <c r="M130" s="226"/>
      <c r="N130" s="226"/>
      <c r="O130" s="226"/>
      <c r="P130" s="226"/>
      <c r="AN130" s="454" t="s">
        <v>813</v>
      </c>
      <c r="AO130" s="456">
        <v>91.0</v>
      </c>
      <c r="AP130" s="515" t="s">
        <v>813</v>
      </c>
      <c r="AQ130" s="457">
        <v>90.38</v>
      </c>
      <c r="AR130" s="454" t="s">
        <v>813</v>
      </c>
      <c r="AS130" s="457">
        <v>0.0</v>
      </c>
      <c r="AT130" s="454" t="s">
        <v>813</v>
      </c>
      <c r="AU130" s="457">
        <v>41.0</v>
      </c>
      <c r="AV130" s="454" t="s">
        <v>813</v>
      </c>
      <c r="AW130" s="457">
        <v>30.0</v>
      </c>
      <c r="AX130" s="454" t="s">
        <v>813</v>
      </c>
      <c r="AY130" s="456">
        <v>0.0</v>
      </c>
      <c r="AZ130" s="454" t="s">
        <v>813</v>
      </c>
      <c r="BA130" s="456">
        <v>0.0</v>
      </c>
      <c r="BB130" s="454" t="s">
        <v>813</v>
      </c>
      <c r="BC130" s="456">
        <v>0.0</v>
      </c>
      <c r="BD130" s="454" t="s">
        <v>813</v>
      </c>
      <c r="BE130" s="456">
        <v>0.0</v>
      </c>
    </row>
    <row r="131">
      <c r="A131" s="25" t="s">
        <v>1040</v>
      </c>
      <c r="B131">
        <f>VLOOKUP(B18,AS458:AT477,2,FALSE)</f>
        <v>103.1</v>
      </c>
      <c r="C131" s="226"/>
      <c r="D131" s="618"/>
      <c r="E131" s="618"/>
      <c r="F131" s="618"/>
      <c r="G131" s="618"/>
      <c r="H131" s="618"/>
      <c r="I131" s="618"/>
      <c r="J131" s="618"/>
      <c r="K131" s="618"/>
      <c r="L131" s="618"/>
      <c r="M131" s="226"/>
      <c r="N131" s="226"/>
      <c r="O131" s="226"/>
      <c r="P131" s="226"/>
      <c r="AN131" s="454" t="s">
        <v>820</v>
      </c>
      <c r="AO131" s="456">
        <v>0.0</v>
      </c>
      <c r="AP131" s="515" t="s">
        <v>820</v>
      </c>
      <c r="AQ131" s="457">
        <v>80.51</v>
      </c>
      <c r="AR131" s="454" t="s">
        <v>820</v>
      </c>
      <c r="AS131" s="457">
        <v>18.0</v>
      </c>
      <c r="AT131" s="454" t="s">
        <v>820</v>
      </c>
      <c r="AU131" s="457">
        <v>38.0</v>
      </c>
      <c r="AV131" s="454" t="s">
        <v>820</v>
      </c>
      <c r="AW131" s="457">
        <v>0.0</v>
      </c>
      <c r="AX131" s="454" t="s">
        <v>820</v>
      </c>
      <c r="AY131" s="456">
        <v>0.0</v>
      </c>
      <c r="AZ131" s="454" t="s">
        <v>820</v>
      </c>
      <c r="BA131" s="456">
        <v>38.0</v>
      </c>
      <c r="BB131" s="454" t="s">
        <v>820</v>
      </c>
      <c r="BC131" s="456">
        <v>0.0</v>
      </c>
      <c r="BD131" s="454" t="s">
        <v>820</v>
      </c>
      <c r="BE131" s="456">
        <v>0.0</v>
      </c>
    </row>
    <row r="132">
      <c r="A132" s="25" t="s">
        <v>2525</v>
      </c>
      <c r="B132">
        <f>VLOOKUP(B17,AU439:AV455,2,FALSE)</f>
        <v>2.6</v>
      </c>
      <c r="C132" s="226"/>
      <c r="D132" s="618"/>
      <c r="E132" s="618"/>
      <c r="F132" s="618"/>
      <c r="G132" s="618"/>
      <c r="H132" s="618"/>
      <c r="I132" s="618"/>
      <c r="J132" s="618"/>
      <c r="K132" s="618"/>
      <c r="L132" s="618"/>
      <c r="M132" s="226"/>
      <c r="N132" s="226"/>
      <c r="O132" s="226"/>
      <c r="P132" s="226"/>
      <c r="AN132" s="454" t="s">
        <v>822</v>
      </c>
      <c r="AO132" s="456">
        <v>0.0</v>
      </c>
      <c r="AP132" s="515" t="s">
        <v>822</v>
      </c>
      <c r="AQ132" s="457">
        <v>76.91</v>
      </c>
      <c r="AR132" s="454" t="s">
        <v>822</v>
      </c>
      <c r="AS132" s="457">
        <v>0.0</v>
      </c>
      <c r="AT132" s="454" t="s">
        <v>822</v>
      </c>
      <c r="AU132" s="457">
        <v>36.0</v>
      </c>
      <c r="AV132" s="454" t="s">
        <v>822</v>
      </c>
      <c r="AW132" s="457">
        <v>0.0</v>
      </c>
      <c r="AX132" s="454" t="s">
        <v>822</v>
      </c>
      <c r="AY132" s="456">
        <v>23.0</v>
      </c>
      <c r="AZ132" s="454" t="s">
        <v>822</v>
      </c>
      <c r="BA132" s="456">
        <v>0.0</v>
      </c>
      <c r="BB132" s="454" t="s">
        <v>822</v>
      </c>
      <c r="BC132" s="456">
        <v>0.0</v>
      </c>
      <c r="BD132" s="454" t="s">
        <v>822</v>
      </c>
      <c r="BE132" s="456">
        <v>0.0</v>
      </c>
    </row>
    <row r="133">
      <c r="A133" s="25" t="s">
        <v>2141</v>
      </c>
      <c r="B133" s="25">
        <f>VLOOKUP(B18,AW439:AX458,2,FALSE)</f>
        <v>2.6</v>
      </c>
      <c r="C133" s="226"/>
      <c r="D133" s="618"/>
      <c r="E133" s="618"/>
      <c r="F133" s="618"/>
      <c r="G133" s="618"/>
      <c r="H133" s="618"/>
      <c r="I133" s="618"/>
      <c r="J133" s="618"/>
      <c r="K133" s="618"/>
      <c r="L133" s="618"/>
      <c r="M133" s="226"/>
      <c r="N133" s="226"/>
      <c r="O133" s="226"/>
      <c r="P133" s="226"/>
      <c r="AN133" s="454" t="s">
        <v>1094</v>
      </c>
      <c r="AO133" s="456">
        <v>0.0</v>
      </c>
      <c r="AP133" s="515" t="s">
        <v>1094</v>
      </c>
      <c r="AQ133" s="457">
        <v>75.38</v>
      </c>
      <c r="AR133" s="454" t="s">
        <v>1094</v>
      </c>
      <c r="AS133" s="457">
        <v>0.0</v>
      </c>
      <c r="AT133" s="454" t="s">
        <v>1094</v>
      </c>
      <c r="AU133" s="457">
        <v>0.0</v>
      </c>
      <c r="AV133" s="454" t="s">
        <v>1094</v>
      </c>
      <c r="AW133" s="457">
        <v>33.0</v>
      </c>
      <c r="AX133" s="454" t="s">
        <v>1094</v>
      </c>
      <c r="AY133" s="456">
        <v>0.0</v>
      </c>
      <c r="AZ133" s="454" t="s">
        <v>1094</v>
      </c>
      <c r="BA133" s="456">
        <v>0.0</v>
      </c>
      <c r="BB133" s="454" t="s">
        <v>1094</v>
      </c>
      <c r="BC133" s="456">
        <v>18.0</v>
      </c>
      <c r="BD133" s="454" t="s">
        <v>1094</v>
      </c>
      <c r="BE133" s="456">
        <v>66.0</v>
      </c>
    </row>
    <row r="134">
      <c r="A134" s="25" t="s">
        <v>2526</v>
      </c>
      <c r="B134" s="25">
        <f>VLOOKUP(B17,A227:B242,2,FALSE)</f>
        <v>0</v>
      </c>
      <c r="C134" s="226"/>
      <c r="D134" s="618"/>
      <c r="E134" s="618"/>
      <c r="F134" s="618"/>
      <c r="G134" s="618"/>
      <c r="H134" s="618"/>
      <c r="I134" s="618"/>
      <c r="J134" s="618"/>
      <c r="K134" s="618"/>
      <c r="L134" s="618"/>
      <c r="M134" s="226"/>
      <c r="N134" s="226"/>
      <c r="O134" s="226"/>
      <c r="P134" s="226"/>
      <c r="AN134" s="454" t="s">
        <v>1098</v>
      </c>
      <c r="AO134" s="456">
        <v>0.0</v>
      </c>
      <c r="AP134" s="515" t="s">
        <v>1098</v>
      </c>
      <c r="AQ134" s="457">
        <v>71.27</v>
      </c>
      <c r="AR134" s="454" t="s">
        <v>1098</v>
      </c>
      <c r="AS134" s="457">
        <v>0.0</v>
      </c>
      <c r="AT134" s="454" t="s">
        <v>1098</v>
      </c>
      <c r="AU134" s="457">
        <v>44.0</v>
      </c>
      <c r="AV134" s="454" t="s">
        <v>1098</v>
      </c>
      <c r="AW134" s="457">
        <v>0.0</v>
      </c>
      <c r="AX134" s="454" t="s">
        <v>1098</v>
      </c>
      <c r="AY134" s="456">
        <v>30.0</v>
      </c>
      <c r="AZ134" s="454" t="s">
        <v>1098</v>
      </c>
      <c r="BA134" s="456">
        <v>0.0</v>
      </c>
      <c r="BB134" s="454" t="s">
        <v>1098</v>
      </c>
      <c r="BC134" s="456">
        <v>0.0</v>
      </c>
      <c r="BD134" s="454" t="s">
        <v>1098</v>
      </c>
      <c r="BE134" s="456">
        <v>0.0</v>
      </c>
    </row>
    <row r="135">
      <c r="A135" s="25" t="s">
        <v>2527</v>
      </c>
      <c r="B135" s="375">
        <f>VLOOKUP(B18,A246:B264,2,FALSE)</f>
        <v>0</v>
      </c>
      <c r="C135" s="226"/>
      <c r="D135" s="618"/>
      <c r="E135" s="618"/>
      <c r="F135" s="618"/>
      <c r="G135" s="618"/>
      <c r="H135" s="618"/>
      <c r="I135" s="618"/>
      <c r="J135" s="618"/>
      <c r="K135" s="618"/>
      <c r="L135" s="618"/>
      <c r="M135" s="226"/>
      <c r="N135" s="226"/>
      <c r="O135" s="226"/>
      <c r="P135" s="226"/>
      <c r="AN135" s="454" t="s">
        <v>824</v>
      </c>
      <c r="AO135" s="456">
        <v>0.0</v>
      </c>
      <c r="AP135" s="515" t="s">
        <v>824</v>
      </c>
      <c r="AQ135" s="457">
        <v>76.36</v>
      </c>
      <c r="AR135" s="454" t="s">
        <v>824</v>
      </c>
      <c r="AS135" s="457">
        <v>0.0</v>
      </c>
      <c r="AT135" s="454" t="s">
        <v>824</v>
      </c>
      <c r="AU135" s="457">
        <v>0.0</v>
      </c>
      <c r="AV135" s="454" t="s">
        <v>824</v>
      </c>
      <c r="AW135" s="457">
        <v>0.0</v>
      </c>
      <c r="AX135" s="454" t="s">
        <v>824</v>
      </c>
      <c r="AY135" s="456">
        <v>26.0</v>
      </c>
      <c r="AZ135" s="454" t="s">
        <v>824</v>
      </c>
      <c r="BA135" s="456">
        <v>0.0</v>
      </c>
      <c r="BB135" s="454" t="s">
        <v>824</v>
      </c>
      <c r="BC135" s="456">
        <v>0.0</v>
      </c>
      <c r="BD135" s="454" t="s">
        <v>824</v>
      </c>
      <c r="BE135" s="456">
        <v>72.0</v>
      </c>
    </row>
    <row r="136">
      <c r="A136" s="226"/>
      <c r="B136" s="226"/>
      <c r="C136" s="226"/>
      <c r="D136" s="618"/>
      <c r="E136" s="618"/>
      <c r="F136" s="618"/>
      <c r="G136" s="618"/>
      <c r="H136" s="618"/>
      <c r="I136" s="618"/>
      <c r="J136" s="618"/>
      <c r="K136" s="618"/>
      <c r="L136" s="618"/>
      <c r="M136" s="226"/>
      <c r="N136" s="226"/>
      <c r="O136" s="226"/>
      <c r="P136" s="226"/>
    </row>
    <row r="137">
      <c r="A137" s="618"/>
      <c r="B137" s="618"/>
      <c r="C137" s="618"/>
      <c r="D137" s="618"/>
      <c r="E137" s="618"/>
      <c r="F137" s="618"/>
      <c r="G137" s="618"/>
      <c r="H137" s="618"/>
      <c r="I137" s="618"/>
      <c r="J137" s="618"/>
      <c r="K137" s="618"/>
      <c r="L137" s="618"/>
      <c r="M137" s="226"/>
      <c r="N137" s="226"/>
      <c r="O137" s="226"/>
      <c r="P137" s="226"/>
      <c r="AN137" s="449" t="s">
        <v>2144</v>
      </c>
      <c r="AO137" s="449" t="s">
        <v>1920</v>
      </c>
      <c r="AP137" s="450" t="s">
        <v>2145</v>
      </c>
      <c r="AQ137" s="450" t="s">
        <v>1922</v>
      </c>
      <c r="AR137" s="449" t="s">
        <v>2144</v>
      </c>
      <c r="AS137" s="450" t="s">
        <v>344</v>
      </c>
      <c r="AT137" s="449" t="s">
        <v>2144</v>
      </c>
      <c r="AU137" s="450" t="s">
        <v>2146</v>
      </c>
      <c r="AV137" s="449" t="s">
        <v>2144</v>
      </c>
      <c r="AW137" s="450" t="s">
        <v>2147</v>
      </c>
      <c r="AX137" s="449" t="s">
        <v>2144</v>
      </c>
      <c r="AY137" s="449" t="s">
        <v>2148</v>
      </c>
      <c r="AZ137" s="449" t="s">
        <v>2144</v>
      </c>
      <c r="BA137" s="449" t="s">
        <v>2149</v>
      </c>
      <c r="BB137" s="449" t="s">
        <v>2144</v>
      </c>
      <c r="BC137" s="449" t="s">
        <v>2150</v>
      </c>
      <c r="BD137" s="449" t="s">
        <v>2144</v>
      </c>
      <c r="BE137" s="449" t="s">
        <v>2151</v>
      </c>
    </row>
    <row r="138">
      <c r="A138" s="618"/>
      <c r="B138" s="618"/>
      <c r="C138" s="618"/>
      <c r="D138" s="618"/>
      <c r="E138" s="618"/>
      <c r="F138" s="618"/>
      <c r="G138" s="618"/>
      <c r="H138" s="618"/>
      <c r="I138" s="618"/>
      <c r="J138" s="618"/>
      <c r="K138" s="618"/>
      <c r="L138" s="618"/>
      <c r="M138" s="226"/>
      <c r="N138" s="226"/>
      <c r="O138" s="226"/>
      <c r="P138" s="226"/>
      <c r="AN138" s="454" t="s">
        <v>829</v>
      </c>
      <c r="AO138" s="456">
        <v>0.0</v>
      </c>
      <c r="AP138" s="515" t="s">
        <v>829</v>
      </c>
      <c r="AQ138" s="457">
        <v>146.7</v>
      </c>
      <c r="AR138" s="454" t="s">
        <v>829</v>
      </c>
      <c r="AS138" s="457">
        <v>0.0</v>
      </c>
      <c r="AT138" s="454" t="s">
        <v>829</v>
      </c>
      <c r="AU138" s="457">
        <v>43.0</v>
      </c>
      <c r="AV138" s="454" t="s">
        <v>829</v>
      </c>
      <c r="AW138" s="457">
        <v>0.0</v>
      </c>
      <c r="AX138" s="454" t="s">
        <v>829</v>
      </c>
      <c r="AY138" s="456">
        <v>40.0</v>
      </c>
      <c r="AZ138" s="454" t="s">
        <v>829</v>
      </c>
      <c r="BA138" s="456">
        <v>26.0</v>
      </c>
      <c r="BB138" s="454" t="s">
        <v>829</v>
      </c>
      <c r="BC138" s="456">
        <v>26.0</v>
      </c>
      <c r="BD138" s="454" t="s">
        <v>829</v>
      </c>
      <c r="BE138" s="456">
        <v>0.0</v>
      </c>
    </row>
    <row r="139">
      <c r="A139" s="799" t="s">
        <v>2152</v>
      </c>
      <c r="B139" s="800" t="s">
        <v>2153</v>
      </c>
      <c r="C139" s="800" t="s">
        <v>2154</v>
      </c>
      <c r="D139" s="801" t="s">
        <v>2155</v>
      </c>
      <c r="E139" s="226"/>
      <c r="F139" s="618"/>
      <c r="G139" s="618"/>
      <c r="H139" s="618"/>
      <c r="I139" s="618"/>
      <c r="J139" s="618"/>
      <c r="K139" s="618"/>
      <c r="L139" s="618"/>
      <c r="M139" s="226"/>
      <c r="N139" s="226"/>
      <c r="O139" s="226"/>
      <c r="P139" s="226"/>
      <c r="AN139" s="454" t="s">
        <v>830</v>
      </c>
      <c r="AO139" s="456">
        <v>0.0</v>
      </c>
      <c r="AP139" s="515" t="s">
        <v>830</v>
      </c>
      <c r="AQ139" s="457">
        <v>105.45</v>
      </c>
      <c r="AR139" s="454" t="s">
        <v>830</v>
      </c>
      <c r="AS139" s="457">
        <v>0.0</v>
      </c>
      <c r="AT139" s="454" t="s">
        <v>830</v>
      </c>
      <c r="AU139" s="457">
        <v>0.0</v>
      </c>
      <c r="AV139" s="454" t="s">
        <v>830</v>
      </c>
      <c r="AW139" s="457">
        <v>29.0</v>
      </c>
      <c r="AX139" s="454" t="s">
        <v>830</v>
      </c>
      <c r="AY139" s="456">
        <v>0.0</v>
      </c>
      <c r="AZ139" s="454" t="s">
        <v>830</v>
      </c>
      <c r="BA139" s="456">
        <v>0.0</v>
      </c>
      <c r="BB139" s="454" t="s">
        <v>830</v>
      </c>
      <c r="BC139" s="456">
        <v>25.0</v>
      </c>
      <c r="BD139" s="454" t="s">
        <v>830</v>
      </c>
      <c r="BE139" s="456">
        <v>74.0</v>
      </c>
    </row>
    <row r="140">
      <c r="A140" s="631">
        <f>VLOOKUP(B15,A214:B222,2,FALSE)</f>
        <v>0</v>
      </c>
      <c r="B140" s="375">
        <f>VLOOKUP(B15,C214:D222,2,FALSE)</f>
        <v>94.25</v>
      </c>
      <c r="C140" s="112">
        <f>VLOOKUP(B15,E214:F222,2,FALSE)</f>
        <v>0</v>
      </c>
      <c r="D140" s="375">
        <f>VLOOKUP(B13,A270:B287,2,FALSE)</f>
        <v>0</v>
      </c>
      <c r="E140" s="226"/>
      <c r="F140" s="618"/>
      <c r="G140" s="618"/>
      <c r="H140" s="618"/>
      <c r="I140" s="618"/>
      <c r="J140" s="618"/>
      <c r="K140" s="618"/>
      <c r="L140" s="618"/>
      <c r="M140" s="226"/>
      <c r="N140" s="226"/>
      <c r="O140" s="226"/>
      <c r="P140" s="226"/>
      <c r="AN140" s="454" t="s">
        <v>831</v>
      </c>
      <c r="AO140" s="456">
        <v>154.0</v>
      </c>
      <c r="AP140" s="515" t="s">
        <v>831</v>
      </c>
      <c r="AQ140" s="457">
        <v>91.84</v>
      </c>
      <c r="AR140" s="454" t="s">
        <v>831</v>
      </c>
      <c r="AS140" s="457">
        <v>14.0</v>
      </c>
      <c r="AT140" s="454" t="s">
        <v>831</v>
      </c>
      <c r="AU140" s="457">
        <v>34.0</v>
      </c>
      <c r="AV140" s="454" t="s">
        <v>831</v>
      </c>
      <c r="AW140" s="457">
        <v>0.0</v>
      </c>
      <c r="AX140" s="454" t="s">
        <v>831</v>
      </c>
      <c r="AY140" s="456">
        <v>0.0</v>
      </c>
      <c r="AZ140" s="454" t="s">
        <v>831</v>
      </c>
      <c r="BA140" s="456">
        <v>0.0</v>
      </c>
      <c r="BB140" s="454" t="s">
        <v>831</v>
      </c>
      <c r="BC140" s="456">
        <v>0.0</v>
      </c>
      <c r="BD140" s="454" t="s">
        <v>831</v>
      </c>
      <c r="BE140" s="456">
        <v>0.0</v>
      </c>
    </row>
    <row r="141">
      <c r="A141" s="202">
        <f>VLOOKUP(B16,A214:B222,2,FALSE)</f>
        <v>92</v>
      </c>
      <c r="B141" s="112">
        <f>VLOOKUP(B16,C214:D222,2,FALSE)</f>
        <v>0</v>
      </c>
      <c r="C141" s="112">
        <f>VLOOKUP(B16,E214:F222,2,FALSE)</f>
        <v>0</v>
      </c>
      <c r="D141" s="375">
        <f>VLOOKUP(B14,A270:B287,2,FALSE)</f>
        <v>0</v>
      </c>
      <c r="E141" s="226"/>
      <c r="F141" s="618"/>
      <c r="G141" s="618"/>
      <c r="H141" s="618"/>
      <c r="I141" s="618"/>
      <c r="J141" s="618"/>
      <c r="K141" s="618"/>
      <c r="L141" s="618"/>
      <c r="M141" s="226"/>
      <c r="N141" s="226"/>
      <c r="O141" s="226"/>
      <c r="P141" s="226"/>
      <c r="AN141" s="454" t="s">
        <v>833</v>
      </c>
      <c r="AO141" s="456">
        <v>0.0</v>
      </c>
      <c r="AP141" s="515" t="s">
        <v>833</v>
      </c>
      <c r="AQ141" s="457">
        <v>91.53</v>
      </c>
      <c r="AR141" s="454" t="s">
        <v>833</v>
      </c>
      <c r="AS141" s="457">
        <v>17.0</v>
      </c>
      <c r="AT141" s="454" t="s">
        <v>833</v>
      </c>
      <c r="AU141" s="457">
        <v>0.0</v>
      </c>
      <c r="AV141" s="454" t="s">
        <v>833</v>
      </c>
      <c r="AW141" s="457">
        <v>38.0</v>
      </c>
      <c r="AX141" s="454" t="s">
        <v>833</v>
      </c>
      <c r="AY141" s="456">
        <v>24.0</v>
      </c>
      <c r="AZ141" s="454" t="s">
        <v>833</v>
      </c>
      <c r="BA141" s="456">
        <v>0.0</v>
      </c>
      <c r="BB141" s="454" t="s">
        <v>833</v>
      </c>
      <c r="BC141" s="456">
        <v>0.0</v>
      </c>
      <c r="BD141" s="454" t="s">
        <v>833</v>
      </c>
      <c r="BE141" s="456">
        <v>76.0</v>
      </c>
    </row>
    <row r="142">
      <c r="A142" s="226"/>
      <c r="B142" s="226"/>
      <c r="C142" s="226"/>
      <c r="D142" s="226"/>
      <c r="E142" s="226"/>
      <c r="F142" s="618"/>
      <c r="G142" s="618"/>
      <c r="H142" s="618"/>
      <c r="I142" s="618"/>
      <c r="J142" s="618"/>
      <c r="K142" s="618"/>
      <c r="L142" s="618"/>
      <c r="M142" s="226"/>
      <c r="N142" s="226"/>
      <c r="O142" s="226"/>
      <c r="P142" s="226"/>
      <c r="AN142" s="454" t="s">
        <v>834</v>
      </c>
      <c r="AO142" s="456">
        <v>0.0</v>
      </c>
      <c r="AP142" s="515" t="s">
        <v>834</v>
      </c>
      <c r="AQ142" s="457">
        <v>91.13</v>
      </c>
      <c r="AR142" s="454" t="s">
        <v>834</v>
      </c>
      <c r="AS142" s="457">
        <v>0.0</v>
      </c>
      <c r="AT142" s="454" t="s">
        <v>834</v>
      </c>
      <c r="AU142" s="457">
        <v>0.0</v>
      </c>
      <c r="AV142" s="454" t="s">
        <v>834</v>
      </c>
      <c r="AW142" s="457">
        <v>29.0</v>
      </c>
      <c r="AX142" s="454" t="s">
        <v>834</v>
      </c>
      <c r="AY142" s="456">
        <v>19.0</v>
      </c>
      <c r="AZ142" s="454" t="s">
        <v>834</v>
      </c>
      <c r="BA142" s="456">
        <v>0.0</v>
      </c>
      <c r="BB142" s="454" t="s">
        <v>834</v>
      </c>
      <c r="BC142" s="456">
        <v>0.0</v>
      </c>
      <c r="BD142" s="454" t="s">
        <v>834</v>
      </c>
      <c r="BE142" s="456">
        <v>76.0</v>
      </c>
    </row>
    <row r="143">
      <c r="A143" s="618"/>
      <c r="B143" s="618"/>
      <c r="C143" s="618"/>
      <c r="D143" s="618"/>
      <c r="E143" s="618"/>
      <c r="F143" s="618"/>
      <c r="G143" s="618"/>
      <c r="H143" s="618"/>
      <c r="I143" s="618"/>
      <c r="J143" s="618"/>
      <c r="K143" s="618"/>
      <c r="L143" s="618"/>
      <c r="M143" s="226"/>
      <c r="N143" s="226"/>
      <c r="O143" s="226"/>
      <c r="P143" s="226"/>
      <c r="AN143" s="454" t="s">
        <v>836</v>
      </c>
      <c r="AO143" s="456">
        <v>0.0</v>
      </c>
      <c r="AP143" s="515" t="s">
        <v>836</v>
      </c>
      <c r="AQ143" s="457">
        <v>90.94</v>
      </c>
      <c r="AR143" s="454" t="s">
        <v>836</v>
      </c>
      <c r="AS143" s="457">
        <v>14.0</v>
      </c>
      <c r="AT143" s="454" t="s">
        <v>836</v>
      </c>
      <c r="AU143" s="457">
        <v>41.0</v>
      </c>
      <c r="AV143" s="454" t="s">
        <v>836</v>
      </c>
      <c r="AW143" s="457">
        <v>0.0</v>
      </c>
      <c r="AX143" s="454" t="s">
        <v>836</v>
      </c>
      <c r="AY143" s="456">
        <v>24.0</v>
      </c>
      <c r="AZ143" s="454" t="s">
        <v>836</v>
      </c>
      <c r="BA143" s="456">
        <v>0.0</v>
      </c>
      <c r="BB143" s="454" t="s">
        <v>836</v>
      </c>
      <c r="BC143" s="456">
        <v>0.0</v>
      </c>
      <c r="BD143" s="454" t="s">
        <v>836</v>
      </c>
      <c r="BE143" s="456">
        <v>0.0</v>
      </c>
    </row>
    <row r="144">
      <c r="A144" s="618"/>
      <c r="B144" s="618"/>
      <c r="C144" s="618"/>
      <c r="D144" s="618"/>
      <c r="E144" s="618"/>
      <c r="F144" s="618"/>
      <c r="G144" s="618"/>
      <c r="H144" s="618"/>
      <c r="I144" s="618"/>
      <c r="J144" s="618"/>
      <c r="K144" s="618"/>
      <c r="L144" s="618"/>
      <c r="M144" s="226"/>
      <c r="N144" s="226"/>
      <c r="O144" s="226"/>
      <c r="P144" s="226"/>
      <c r="AN144" s="454" t="s">
        <v>838</v>
      </c>
      <c r="AO144" s="456">
        <v>77.0</v>
      </c>
      <c r="AP144" s="515" t="s">
        <v>838</v>
      </c>
      <c r="AQ144" s="457">
        <v>86.96</v>
      </c>
      <c r="AR144" s="454" t="s">
        <v>838</v>
      </c>
      <c r="AS144" s="457">
        <v>0.0</v>
      </c>
      <c r="AT144" s="454" t="s">
        <v>838</v>
      </c>
      <c r="AU144" s="457">
        <v>0.0</v>
      </c>
      <c r="AV144" s="454" t="s">
        <v>838</v>
      </c>
      <c r="AW144" s="457">
        <v>25.0</v>
      </c>
      <c r="AX144" s="454" t="s">
        <v>838</v>
      </c>
      <c r="AY144" s="456">
        <v>21.0</v>
      </c>
      <c r="AZ144" s="454" t="s">
        <v>838</v>
      </c>
      <c r="BA144" s="456">
        <v>0.0</v>
      </c>
      <c r="BB144" s="454" t="s">
        <v>838</v>
      </c>
      <c r="BC144" s="456">
        <v>0.0</v>
      </c>
      <c r="BD144" s="454" t="s">
        <v>838</v>
      </c>
      <c r="BE144" s="456">
        <v>58.0</v>
      </c>
    </row>
    <row r="145">
      <c r="A145" s="451" t="s">
        <v>2156</v>
      </c>
      <c r="B145" s="451" t="s">
        <v>560</v>
      </c>
      <c r="C145" s="451" t="s">
        <v>2156</v>
      </c>
      <c r="D145" s="451" t="s">
        <v>562</v>
      </c>
      <c r="E145" s="451" t="s">
        <v>2156</v>
      </c>
      <c r="F145" s="451" t="s">
        <v>561</v>
      </c>
      <c r="G145" s="451" t="s">
        <v>2156</v>
      </c>
      <c r="H145" s="451" t="s">
        <v>330</v>
      </c>
      <c r="I145" s="451" t="s">
        <v>2156</v>
      </c>
      <c r="J145" s="451" t="s">
        <v>344</v>
      </c>
      <c r="K145" s="451" t="s">
        <v>2156</v>
      </c>
      <c r="L145" s="451" t="s">
        <v>356</v>
      </c>
      <c r="M145" s="451" t="s">
        <v>2156</v>
      </c>
      <c r="N145" s="451" t="s">
        <v>1005</v>
      </c>
      <c r="O145" s="451" t="s">
        <v>2156</v>
      </c>
      <c r="P145" s="451" t="s">
        <v>1920</v>
      </c>
      <c r="Q145" s="632" t="s">
        <v>2156</v>
      </c>
      <c r="R145" s="633" t="s">
        <v>566</v>
      </c>
      <c r="S145" s="632" t="s">
        <v>2156</v>
      </c>
      <c r="T145" s="633" t="s">
        <v>567</v>
      </c>
      <c r="U145" s="632" t="s">
        <v>2156</v>
      </c>
      <c r="V145" s="633" t="s">
        <v>571</v>
      </c>
      <c r="W145" s="632" t="s">
        <v>2156</v>
      </c>
      <c r="X145" s="633" t="s">
        <v>565</v>
      </c>
      <c r="Y145" s="632" t="s">
        <v>2156</v>
      </c>
      <c r="Z145" s="633" t="s">
        <v>2528</v>
      </c>
      <c r="AA145" s="632" t="s">
        <v>2156</v>
      </c>
      <c r="AB145" s="633" t="s">
        <v>2158</v>
      </c>
      <c r="AC145" s="632" t="s">
        <v>2156</v>
      </c>
      <c r="AD145" s="633" t="s">
        <v>2529</v>
      </c>
      <c r="AE145" s="632" t="s">
        <v>2156</v>
      </c>
      <c r="AF145" s="633" t="s">
        <v>2160</v>
      </c>
      <c r="AG145" s="634"/>
      <c r="AH145" s="634"/>
      <c r="AI145" s="634"/>
      <c r="AJ145" s="634"/>
      <c r="AK145" s="634"/>
      <c r="AN145" s="454" t="s">
        <v>847</v>
      </c>
      <c r="AO145" s="456">
        <v>0.0</v>
      </c>
      <c r="AP145" s="515" t="s">
        <v>847</v>
      </c>
      <c r="AQ145" s="457">
        <v>79.45</v>
      </c>
      <c r="AR145" s="454" t="s">
        <v>847</v>
      </c>
      <c r="AS145" s="457">
        <v>0.0</v>
      </c>
      <c r="AT145" s="454" t="s">
        <v>847</v>
      </c>
      <c r="AU145" s="457">
        <v>34.0</v>
      </c>
      <c r="AV145" s="454" t="s">
        <v>847</v>
      </c>
      <c r="AW145" s="457">
        <v>0.0</v>
      </c>
      <c r="AX145" s="454" t="s">
        <v>847</v>
      </c>
      <c r="AY145" s="456">
        <v>28.0</v>
      </c>
      <c r="AZ145" s="454" t="s">
        <v>847</v>
      </c>
      <c r="BA145" s="456">
        <v>0.0</v>
      </c>
      <c r="BB145" s="454" t="s">
        <v>847</v>
      </c>
      <c r="BC145" s="456">
        <v>0.0</v>
      </c>
      <c r="BD145" s="454" t="s">
        <v>847</v>
      </c>
      <c r="BE145" s="456">
        <v>0.0</v>
      </c>
    </row>
    <row r="146">
      <c r="A146" s="451" t="s">
        <v>2161</v>
      </c>
      <c r="B146" s="581">
        <v>1.0</v>
      </c>
      <c r="C146" s="451" t="s">
        <v>2161</v>
      </c>
      <c r="D146" s="581">
        <v>0.4545</v>
      </c>
      <c r="E146" s="451" t="s">
        <v>2161</v>
      </c>
      <c r="F146" s="581">
        <v>0.677</v>
      </c>
      <c r="G146" s="451" t="s">
        <v>2161</v>
      </c>
      <c r="H146" s="581">
        <v>0.92</v>
      </c>
      <c r="I146" s="451" t="s">
        <v>2161</v>
      </c>
      <c r="J146" s="581">
        <v>0.65</v>
      </c>
      <c r="K146" s="451" t="s">
        <v>2161</v>
      </c>
      <c r="L146" s="581">
        <v>0.76</v>
      </c>
      <c r="M146" s="451" t="s">
        <v>2161</v>
      </c>
      <c r="N146" s="581">
        <v>1.12</v>
      </c>
      <c r="O146" s="451" t="s">
        <v>2161</v>
      </c>
      <c r="P146" s="581">
        <v>0.15</v>
      </c>
      <c r="Q146" s="633" t="s">
        <v>2161</v>
      </c>
      <c r="R146" s="635">
        <v>10.0</v>
      </c>
      <c r="S146" s="633" t="s">
        <v>2161</v>
      </c>
      <c r="T146" s="635">
        <v>9.6</v>
      </c>
      <c r="U146" s="633" t="s">
        <v>2161</v>
      </c>
      <c r="V146" s="635">
        <v>5.0</v>
      </c>
      <c r="W146" s="633" t="s">
        <v>2161</v>
      </c>
      <c r="X146" s="633">
        <v>37.0</v>
      </c>
      <c r="Y146" s="633" t="s">
        <v>2161</v>
      </c>
      <c r="Z146" s="633">
        <v>4.5</v>
      </c>
      <c r="AA146" s="633" t="s">
        <v>2161</v>
      </c>
      <c r="AB146" s="633">
        <v>3.0</v>
      </c>
      <c r="AC146" s="633" t="s">
        <v>2161</v>
      </c>
      <c r="AD146" s="633">
        <v>8.0</v>
      </c>
      <c r="AE146" s="633" t="s">
        <v>2161</v>
      </c>
      <c r="AF146" s="633">
        <v>4.0</v>
      </c>
      <c r="AG146" s="637"/>
      <c r="AH146" s="637"/>
      <c r="AI146" s="637"/>
      <c r="AJ146" s="637"/>
      <c r="AK146" s="637"/>
      <c r="AN146" s="112"/>
      <c r="AO146" s="112"/>
      <c r="AP146" s="112"/>
      <c r="AQ146" s="112"/>
      <c r="AR146" s="112"/>
      <c r="AS146" s="112"/>
      <c r="AT146" s="112"/>
      <c r="AU146" s="112"/>
      <c r="AV146" s="112"/>
      <c r="AW146" s="112"/>
      <c r="AX146" s="112"/>
      <c r="AY146" s="112"/>
      <c r="AZ146" s="112"/>
      <c r="BA146" s="112"/>
      <c r="BB146" s="112"/>
      <c r="BC146" s="112"/>
      <c r="BD146" s="112"/>
      <c r="BE146" s="112"/>
    </row>
    <row r="147">
      <c r="A147" s="451" t="s">
        <v>2162</v>
      </c>
      <c r="B147" s="581">
        <v>1.0</v>
      </c>
      <c r="C147" s="581" t="s">
        <v>2162</v>
      </c>
      <c r="D147" s="581">
        <v>0.4545</v>
      </c>
      <c r="E147" s="581" t="s">
        <v>2162</v>
      </c>
      <c r="F147" s="581">
        <v>0.667</v>
      </c>
      <c r="G147" s="581" t="s">
        <v>2162</v>
      </c>
      <c r="H147" s="581">
        <v>0.91</v>
      </c>
      <c r="I147" s="581" t="s">
        <v>2162</v>
      </c>
      <c r="J147" s="581">
        <v>0.64</v>
      </c>
      <c r="K147" s="581" t="s">
        <v>2162</v>
      </c>
      <c r="L147" s="581">
        <v>0.77</v>
      </c>
      <c r="M147" s="581" t="s">
        <v>2162</v>
      </c>
      <c r="N147" s="581">
        <v>1.24</v>
      </c>
      <c r="O147" s="581" t="s">
        <v>2162</v>
      </c>
      <c r="P147" s="581">
        <v>0.171</v>
      </c>
      <c r="Q147" s="635" t="s">
        <v>2162</v>
      </c>
      <c r="R147" s="635">
        <v>10.0</v>
      </c>
      <c r="S147" s="635" t="s">
        <v>2162</v>
      </c>
      <c r="T147" s="635">
        <v>9.55</v>
      </c>
      <c r="U147" s="635" t="s">
        <v>2162</v>
      </c>
      <c r="V147" s="635">
        <v>5.0</v>
      </c>
      <c r="W147" s="635" t="s">
        <v>2162</v>
      </c>
      <c r="X147" s="635">
        <v>40.0</v>
      </c>
      <c r="Y147" s="635" t="s">
        <v>2162</v>
      </c>
      <c r="Z147" s="635">
        <v>4.5</v>
      </c>
      <c r="AA147" s="635" t="s">
        <v>2162</v>
      </c>
      <c r="AB147" s="635">
        <v>3.1</v>
      </c>
      <c r="AC147" s="635" t="s">
        <v>2162</v>
      </c>
      <c r="AD147" s="635">
        <v>9.0</v>
      </c>
      <c r="AE147" s="635" t="s">
        <v>2162</v>
      </c>
      <c r="AF147" s="635">
        <v>4.3</v>
      </c>
      <c r="AG147" s="638"/>
      <c r="AH147" s="637"/>
      <c r="AI147" s="637"/>
      <c r="AJ147" s="637"/>
      <c r="AK147" s="637"/>
      <c r="AN147" s="449" t="s">
        <v>2163</v>
      </c>
      <c r="AO147" s="449" t="s">
        <v>1920</v>
      </c>
      <c r="AP147" s="450" t="s">
        <v>2164</v>
      </c>
      <c r="AQ147" s="450" t="s">
        <v>1922</v>
      </c>
      <c r="AR147" s="449" t="s">
        <v>2163</v>
      </c>
      <c r="AS147" s="450" t="s">
        <v>344</v>
      </c>
      <c r="AT147" s="449" t="s">
        <v>2163</v>
      </c>
      <c r="AU147" s="450" t="s">
        <v>2165</v>
      </c>
      <c r="AV147" s="449" t="s">
        <v>2163</v>
      </c>
      <c r="AW147" s="449" t="s">
        <v>2166</v>
      </c>
      <c r="AX147" s="449" t="s">
        <v>2163</v>
      </c>
      <c r="AY147" s="449" t="s">
        <v>2167</v>
      </c>
      <c r="AZ147" s="449" t="s">
        <v>2163</v>
      </c>
      <c r="BA147" s="449" t="s">
        <v>2168</v>
      </c>
      <c r="BB147" s="449" t="s">
        <v>2163</v>
      </c>
      <c r="BC147" s="449" t="s">
        <v>2169</v>
      </c>
      <c r="BD147" s="449" t="s">
        <v>2163</v>
      </c>
      <c r="BE147" s="449" t="s">
        <v>2170</v>
      </c>
    </row>
    <row r="148">
      <c r="A148" s="451" t="s">
        <v>2050</v>
      </c>
      <c r="B148" s="581">
        <v>1.0</v>
      </c>
      <c r="C148" s="581" t="s">
        <v>2050</v>
      </c>
      <c r="D148" s="581">
        <v>0.4545</v>
      </c>
      <c r="E148" s="581" t="s">
        <v>2050</v>
      </c>
      <c r="F148" s="581">
        <v>0.667</v>
      </c>
      <c r="G148" s="581" t="s">
        <v>2050</v>
      </c>
      <c r="H148" s="581">
        <v>0.91</v>
      </c>
      <c r="I148" s="581" t="s">
        <v>2050</v>
      </c>
      <c r="J148" s="581">
        <v>0.621</v>
      </c>
      <c r="K148" s="581" t="s">
        <v>2050</v>
      </c>
      <c r="L148" s="581">
        <v>0.78</v>
      </c>
      <c r="M148" s="581" t="s">
        <v>2050</v>
      </c>
      <c r="N148" s="581">
        <v>1.25</v>
      </c>
      <c r="O148" s="581" t="s">
        <v>2050</v>
      </c>
      <c r="P148" s="581">
        <v>0.177</v>
      </c>
      <c r="Q148" s="635" t="s">
        <v>2050</v>
      </c>
      <c r="R148" s="635">
        <v>10.0</v>
      </c>
      <c r="S148" s="635" t="s">
        <v>2050</v>
      </c>
      <c r="T148" s="635">
        <v>9.55</v>
      </c>
      <c r="U148" s="635" t="s">
        <v>2050</v>
      </c>
      <c r="V148" s="635">
        <v>5.0</v>
      </c>
      <c r="W148" s="635" t="s">
        <v>2050</v>
      </c>
      <c r="X148" s="635">
        <v>41.0</v>
      </c>
      <c r="Y148" s="635" t="s">
        <v>2050</v>
      </c>
      <c r="Z148" s="635">
        <v>4.55</v>
      </c>
      <c r="AA148" s="635" t="s">
        <v>2050</v>
      </c>
      <c r="AB148" s="635">
        <v>3.13</v>
      </c>
      <c r="AC148" s="635" t="s">
        <v>2050</v>
      </c>
      <c r="AD148" s="635">
        <v>9.1</v>
      </c>
      <c r="AE148" s="635" t="s">
        <v>2050</v>
      </c>
      <c r="AF148" s="635">
        <v>4.3</v>
      </c>
      <c r="AG148" s="638"/>
      <c r="AH148" s="637"/>
      <c r="AI148" s="637"/>
      <c r="AJ148" s="637"/>
      <c r="AK148" s="637"/>
      <c r="AN148" s="454" t="s">
        <v>853</v>
      </c>
      <c r="AO148" s="456">
        <v>224.0</v>
      </c>
      <c r="AP148" s="515" t="s">
        <v>853</v>
      </c>
      <c r="AQ148" s="457">
        <v>178.16</v>
      </c>
      <c r="AR148" s="454" t="s">
        <v>853</v>
      </c>
      <c r="AS148" s="457">
        <v>32.0</v>
      </c>
      <c r="AT148" s="454" t="s">
        <v>853</v>
      </c>
      <c r="AU148" s="457">
        <v>0.0</v>
      </c>
      <c r="AV148" s="454" t="s">
        <v>853</v>
      </c>
      <c r="AW148" s="456">
        <v>41.0</v>
      </c>
      <c r="AX148" s="454" t="s">
        <v>853</v>
      </c>
      <c r="AY148" s="456">
        <v>0.0</v>
      </c>
      <c r="AZ148" s="454" t="s">
        <v>853</v>
      </c>
      <c r="BA148" s="456">
        <v>0.0</v>
      </c>
      <c r="BB148" s="454" t="s">
        <v>853</v>
      </c>
      <c r="BC148" s="456">
        <v>0.0</v>
      </c>
      <c r="BD148" s="454" t="s">
        <v>853</v>
      </c>
      <c r="BE148" s="456">
        <v>124.0</v>
      </c>
    </row>
    <row r="149">
      <c r="A149" s="451" t="s">
        <v>2171</v>
      </c>
      <c r="B149" s="581">
        <v>1.0</v>
      </c>
      <c r="C149" s="581" t="s">
        <v>2171</v>
      </c>
      <c r="D149" s="581">
        <v>0.4545</v>
      </c>
      <c r="E149" s="581" t="s">
        <v>2171</v>
      </c>
      <c r="F149" s="581">
        <v>0.666</v>
      </c>
      <c r="G149" s="581" t="s">
        <v>2171</v>
      </c>
      <c r="H149" s="581">
        <v>0.909</v>
      </c>
      <c r="I149" s="581" t="s">
        <v>2171</v>
      </c>
      <c r="J149" s="581">
        <v>0.58</v>
      </c>
      <c r="K149" s="581" t="s">
        <v>2171</v>
      </c>
      <c r="L149" s="581">
        <v>0.844</v>
      </c>
      <c r="M149" s="581" t="s">
        <v>2171</v>
      </c>
      <c r="N149" s="581">
        <v>1.3</v>
      </c>
      <c r="O149" s="581" t="s">
        <v>2171</v>
      </c>
      <c r="P149" s="581">
        <v>0.193</v>
      </c>
      <c r="Q149" s="635" t="s">
        <v>2171</v>
      </c>
      <c r="R149" s="635">
        <v>10.0</v>
      </c>
      <c r="S149" s="635" t="s">
        <v>2171</v>
      </c>
      <c r="T149" s="635">
        <v>9.545</v>
      </c>
      <c r="U149" s="635" t="s">
        <v>2171</v>
      </c>
      <c r="V149" s="635">
        <v>5.0</v>
      </c>
      <c r="W149" s="635" t="s">
        <v>2171</v>
      </c>
      <c r="X149" s="635">
        <v>43.0</v>
      </c>
      <c r="Y149" s="635" t="s">
        <v>2171</v>
      </c>
      <c r="Z149" s="635">
        <v>4.7</v>
      </c>
      <c r="AA149" s="635" t="s">
        <v>2171</v>
      </c>
      <c r="AB149" s="635">
        <v>3.39</v>
      </c>
      <c r="AC149" s="635" t="s">
        <v>2171</v>
      </c>
      <c r="AD149" s="635">
        <v>11.0</v>
      </c>
      <c r="AE149" s="635" t="s">
        <v>2171</v>
      </c>
      <c r="AF149" s="635">
        <v>4.48</v>
      </c>
      <c r="AG149" s="638"/>
      <c r="AH149" s="637"/>
      <c r="AI149" s="637"/>
      <c r="AJ149" s="637"/>
      <c r="AK149" s="637"/>
      <c r="AN149" s="454" t="s">
        <v>855</v>
      </c>
      <c r="AO149" s="456">
        <v>0.0</v>
      </c>
      <c r="AP149" s="515" t="s">
        <v>855</v>
      </c>
      <c r="AQ149" s="457">
        <v>164.11</v>
      </c>
      <c r="AR149" s="454" t="s">
        <v>855</v>
      </c>
      <c r="AS149" s="457">
        <v>0.0</v>
      </c>
      <c r="AT149" s="454" t="s">
        <v>855</v>
      </c>
      <c r="AU149" s="457">
        <v>61.0</v>
      </c>
      <c r="AV149" s="454" t="s">
        <v>855</v>
      </c>
      <c r="AW149" s="456">
        <v>0.0</v>
      </c>
      <c r="AX149" s="454" t="s">
        <v>855</v>
      </c>
      <c r="AY149" s="456">
        <v>34.0</v>
      </c>
      <c r="AZ149" s="454" t="s">
        <v>855</v>
      </c>
      <c r="BA149" s="456">
        <v>50.0</v>
      </c>
      <c r="BB149" s="454" t="s">
        <v>855</v>
      </c>
      <c r="BC149" s="456">
        <v>0.0</v>
      </c>
      <c r="BD149" s="454" t="s">
        <v>855</v>
      </c>
      <c r="BE149" s="456">
        <v>0.0</v>
      </c>
    </row>
    <row r="150">
      <c r="A150" s="473"/>
      <c r="B150" s="473"/>
      <c r="C150" s="473"/>
      <c r="D150" s="473"/>
      <c r="E150" s="473"/>
      <c r="F150" s="473"/>
      <c r="G150" s="473"/>
      <c r="H150" s="473"/>
      <c r="I150" s="473"/>
      <c r="J150" s="473"/>
      <c r="K150" s="473"/>
      <c r="L150" s="802"/>
      <c r="M150" s="802"/>
      <c r="N150" s="802"/>
      <c r="O150" s="802"/>
      <c r="P150" s="802"/>
      <c r="Q150" s="639"/>
      <c r="R150" s="637"/>
      <c r="S150" s="637"/>
      <c r="T150" s="637"/>
      <c r="U150" s="637"/>
      <c r="V150" s="637"/>
      <c r="W150" s="637"/>
      <c r="X150" s="637"/>
      <c r="Y150" s="637"/>
      <c r="Z150" s="637"/>
      <c r="AA150" s="637"/>
      <c r="AB150" s="637"/>
      <c r="AC150" s="637"/>
      <c r="AD150" s="637"/>
      <c r="AE150" s="637"/>
      <c r="AF150" s="637"/>
      <c r="AG150" s="637"/>
      <c r="AH150" s="637"/>
      <c r="AI150" s="637"/>
      <c r="AJ150" s="637"/>
      <c r="AK150" s="637"/>
      <c r="AN150" s="454" t="s">
        <v>856</v>
      </c>
      <c r="AO150" s="456">
        <v>350.0</v>
      </c>
      <c r="AP150" s="515" t="s">
        <v>856</v>
      </c>
      <c r="AQ150" s="457">
        <v>150.37</v>
      </c>
      <c r="AR150" s="454" t="s">
        <v>856</v>
      </c>
      <c r="AS150" s="457">
        <v>0.0</v>
      </c>
      <c r="AT150" s="454" t="s">
        <v>856</v>
      </c>
      <c r="AU150" s="457">
        <v>51.0</v>
      </c>
      <c r="AV150" s="454" t="s">
        <v>856</v>
      </c>
      <c r="AW150" s="456">
        <v>0.0</v>
      </c>
      <c r="AX150" s="454" t="s">
        <v>856</v>
      </c>
      <c r="AY150" s="456">
        <v>35.0</v>
      </c>
      <c r="AZ150" s="454" t="s">
        <v>856</v>
      </c>
      <c r="BA150" s="456">
        <v>0.0</v>
      </c>
      <c r="BB150" s="454" t="s">
        <v>856</v>
      </c>
      <c r="BC150" s="456">
        <v>0.0</v>
      </c>
      <c r="BD150" s="454" t="s">
        <v>856</v>
      </c>
      <c r="BE150" s="456">
        <v>0.0</v>
      </c>
    </row>
    <row r="151">
      <c r="A151" s="473"/>
      <c r="B151" s="473"/>
      <c r="C151" s="473"/>
      <c r="D151" s="473"/>
      <c r="E151" s="473"/>
      <c r="F151" s="473"/>
      <c r="G151" s="473"/>
      <c r="H151" s="473"/>
      <c r="I151" s="473"/>
      <c r="J151" s="473"/>
      <c r="K151" s="473"/>
      <c r="L151" s="473"/>
      <c r="M151" s="473"/>
      <c r="N151" s="473"/>
      <c r="O151" s="473"/>
      <c r="P151" s="473"/>
      <c r="AN151" s="454" t="s">
        <v>860</v>
      </c>
      <c r="AO151" s="456">
        <v>84.0</v>
      </c>
      <c r="AP151" s="515" t="s">
        <v>860</v>
      </c>
      <c r="AQ151" s="457">
        <v>131.83</v>
      </c>
      <c r="AR151" s="454" t="s">
        <v>860</v>
      </c>
      <c r="AS151" s="457">
        <v>18.0</v>
      </c>
      <c r="AT151" s="454" t="s">
        <v>860</v>
      </c>
      <c r="AU151" s="457">
        <v>57.0</v>
      </c>
      <c r="AV151" s="454" t="s">
        <v>860</v>
      </c>
      <c r="AW151" s="456">
        <v>0.0</v>
      </c>
      <c r="AX151" s="454" t="s">
        <v>860</v>
      </c>
      <c r="AY151" s="456">
        <v>53.0</v>
      </c>
      <c r="AZ151" s="454" t="s">
        <v>860</v>
      </c>
      <c r="BA151" s="456">
        <v>0.0</v>
      </c>
      <c r="BB151" s="454" t="s">
        <v>860</v>
      </c>
      <c r="BC151" s="456">
        <v>0.0</v>
      </c>
      <c r="BD151" s="454" t="s">
        <v>860</v>
      </c>
      <c r="BE151" s="456">
        <v>0.0</v>
      </c>
    </row>
    <row r="152">
      <c r="A152" s="458" t="s">
        <v>2530</v>
      </c>
      <c r="B152" s="449" t="s">
        <v>2019</v>
      </c>
      <c r="C152" s="449"/>
      <c r="D152" s="449"/>
      <c r="E152" s="449"/>
      <c r="F152" s="226"/>
      <c r="G152" s="226"/>
      <c r="H152" s="226"/>
      <c r="I152" s="226"/>
      <c r="J152" s="226"/>
      <c r="K152" s="226"/>
      <c r="L152" s="226"/>
      <c r="M152" s="226"/>
      <c r="N152" s="226"/>
      <c r="O152" s="226"/>
      <c r="P152" s="226"/>
      <c r="AN152" s="454" t="s">
        <v>862</v>
      </c>
      <c r="AO152" s="456">
        <v>105.0</v>
      </c>
      <c r="AP152" s="515" t="s">
        <v>862</v>
      </c>
      <c r="AQ152" s="457">
        <v>127.69</v>
      </c>
      <c r="AR152" s="454" t="s">
        <v>862</v>
      </c>
      <c r="AS152" s="457">
        <v>14.0</v>
      </c>
      <c r="AT152" s="454" t="s">
        <v>862</v>
      </c>
      <c r="AU152" s="457">
        <v>62.0</v>
      </c>
      <c r="AV152" s="454" t="s">
        <v>862</v>
      </c>
      <c r="AW152" s="456">
        <v>41.0</v>
      </c>
      <c r="AX152" s="454" t="s">
        <v>862</v>
      </c>
      <c r="AY152" s="456">
        <v>0.0</v>
      </c>
      <c r="AZ152" s="454" t="s">
        <v>862</v>
      </c>
      <c r="BA152" s="456">
        <v>0.0</v>
      </c>
      <c r="BB152" s="454" t="s">
        <v>862</v>
      </c>
      <c r="BC152" s="456">
        <v>0.0</v>
      </c>
      <c r="BD152" s="454" t="s">
        <v>862</v>
      </c>
      <c r="BE152" s="456">
        <v>0.0</v>
      </c>
    </row>
    <row r="153">
      <c r="A153" s="478" t="s">
        <v>2029</v>
      </c>
      <c r="B153" s="480">
        <f>ROUND(6200-K1-K3-K4-K5-K6-K7-K8-K9-K10-K11-K12-K13-K14-K15-K16-K17-K18-K19-K49-K50, 2)</f>
        <v>4424</v>
      </c>
      <c r="C153" s="226"/>
      <c r="D153" s="482"/>
      <c r="E153" s="482"/>
      <c r="F153" s="226"/>
      <c r="G153" s="226"/>
      <c r="H153" s="226"/>
      <c r="I153" s="226"/>
      <c r="J153" s="226"/>
      <c r="K153" s="226"/>
      <c r="L153" s="226"/>
      <c r="M153" s="226"/>
      <c r="N153" s="226"/>
      <c r="O153" s="226"/>
      <c r="P153" s="226"/>
      <c r="AN153" s="454" t="s">
        <v>863</v>
      </c>
      <c r="AO153" s="456">
        <v>0.0</v>
      </c>
      <c r="AP153" s="515" t="s">
        <v>863</v>
      </c>
      <c r="AQ153" s="537">
        <v>122.83</v>
      </c>
      <c r="AR153" s="454" t="s">
        <v>863</v>
      </c>
      <c r="AS153" s="457">
        <v>19.0</v>
      </c>
      <c r="AT153" s="454" t="s">
        <v>863</v>
      </c>
      <c r="AU153" s="457">
        <v>70.0</v>
      </c>
      <c r="AV153" s="454" t="s">
        <v>863</v>
      </c>
      <c r="AW153" s="456">
        <v>0.0</v>
      </c>
      <c r="AX153" s="454" t="s">
        <v>863</v>
      </c>
      <c r="AY153" s="456">
        <v>46.0</v>
      </c>
      <c r="AZ153" s="454" t="s">
        <v>863</v>
      </c>
      <c r="BA153" s="456">
        <v>0.0</v>
      </c>
      <c r="BB153" s="454" t="s">
        <v>863</v>
      </c>
      <c r="BC153" s="456">
        <v>0.0</v>
      </c>
      <c r="BD153" s="454" t="s">
        <v>863</v>
      </c>
      <c r="BE153" s="456">
        <v>0.0</v>
      </c>
    </row>
    <row r="154">
      <c r="A154" s="478" t="s">
        <v>2030</v>
      </c>
      <c r="B154" s="480">
        <f>ROUND(7700-K1-K3-K4-K5-K6-K7-K8-K9-K10-K11-K12-K13-K14-K15-K16-K17-K18-K19-K49-K50, 2)</f>
        <v>5924</v>
      </c>
      <c r="C154" s="226"/>
      <c r="D154" s="482"/>
      <c r="E154" s="482"/>
      <c r="F154" s="226"/>
      <c r="G154" s="226"/>
      <c r="H154" s="226"/>
      <c r="I154" s="226"/>
      <c r="J154" s="226"/>
      <c r="K154" s="226"/>
      <c r="L154" s="226"/>
      <c r="M154" s="226"/>
      <c r="N154" s="226"/>
      <c r="O154" s="226"/>
      <c r="P154" s="226"/>
      <c r="AN154" s="454" t="s">
        <v>867</v>
      </c>
      <c r="AO154" s="456">
        <v>84.0</v>
      </c>
      <c r="AP154" s="515" t="s">
        <v>867</v>
      </c>
      <c r="AQ154" s="537">
        <v>116.9</v>
      </c>
      <c r="AR154" s="454" t="s">
        <v>867</v>
      </c>
      <c r="AS154" s="457">
        <v>12.0</v>
      </c>
      <c r="AT154" s="454" t="s">
        <v>867</v>
      </c>
      <c r="AU154" s="457">
        <v>51.0</v>
      </c>
      <c r="AV154" s="454" t="s">
        <v>867</v>
      </c>
      <c r="AW154" s="456">
        <v>0.0</v>
      </c>
      <c r="AX154" s="454" t="s">
        <v>867</v>
      </c>
      <c r="AY154" s="456">
        <v>47.0</v>
      </c>
      <c r="AZ154" s="454" t="s">
        <v>867</v>
      </c>
      <c r="BA154" s="456">
        <v>0.0</v>
      </c>
      <c r="BB154" s="454" t="s">
        <v>867</v>
      </c>
      <c r="BC154" s="456">
        <v>0.0</v>
      </c>
      <c r="BD154" s="454" t="s">
        <v>867</v>
      </c>
      <c r="BE154" s="456">
        <v>0.0</v>
      </c>
    </row>
    <row r="155">
      <c r="A155" s="458" t="s">
        <v>1977</v>
      </c>
      <c r="B155" s="449" t="s">
        <v>2031</v>
      </c>
      <c r="C155" s="449" t="s">
        <v>2030</v>
      </c>
      <c r="D155" s="449" t="s">
        <v>2029</v>
      </c>
      <c r="E155" s="226"/>
      <c r="F155" s="226"/>
      <c r="G155" s="226"/>
      <c r="H155" s="226"/>
      <c r="I155" s="226"/>
      <c r="J155" s="226"/>
      <c r="K155" s="226"/>
      <c r="L155" s="226"/>
      <c r="M155" s="226"/>
      <c r="N155" s="226"/>
      <c r="O155" s="226"/>
      <c r="P155" s="226"/>
      <c r="AN155" s="454" t="s">
        <v>864</v>
      </c>
      <c r="AO155" s="456">
        <v>0.0</v>
      </c>
      <c r="AP155" s="515" t="s">
        <v>864</v>
      </c>
      <c r="AQ155" s="537">
        <v>122.79</v>
      </c>
      <c r="AR155" s="454" t="s">
        <v>864</v>
      </c>
      <c r="AS155" s="457">
        <v>25.0</v>
      </c>
      <c r="AT155" s="454" t="s">
        <v>864</v>
      </c>
      <c r="AU155" s="457">
        <v>52.0</v>
      </c>
      <c r="AV155" s="454" t="s">
        <v>864</v>
      </c>
      <c r="AW155" s="456">
        <v>0.0</v>
      </c>
      <c r="AX155" s="454" t="s">
        <v>864</v>
      </c>
      <c r="AY155" s="456">
        <v>0.0</v>
      </c>
      <c r="AZ155" s="454" t="s">
        <v>864</v>
      </c>
      <c r="BA155" s="456">
        <v>43.0</v>
      </c>
      <c r="BB155" s="454" t="s">
        <v>864</v>
      </c>
      <c r="BC155" s="456">
        <v>0.0</v>
      </c>
      <c r="BD155" s="454" t="s">
        <v>864</v>
      </c>
      <c r="BE155" s="456">
        <v>0.0</v>
      </c>
    </row>
    <row r="156">
      <c r="A156" s="516" t="s">
        <v>2032</v>
      </c>
      <c r="B156" s="517">
        <v>610.0</v>
      </c>
      <c r="C156" s="518">
        <f>ROUND(B154 - B156,2)</f>
        <v>5314</v>
      </c>
      <c r="D156" s="518">
        <f>ROUND(B153 - B156,2)</f>
        <v>3814</v>
      </c>
      <c r="E156" s="465"/>
      <c r="F156" s="226"/>
      <c r="G156" s="226"/>
      <c r="H156" s="226"/>
      <c r="I156" s="226"/>
      <c r="J156" s="226"/>
      <c r="K156" s="226"/>
      <c r="L156" s="226"/>
      <c r="M156" s="226"/>
      <c r="N156" s="226"/>
      <c r="O156" s="226"/>
      <c r="P156" s="226"/>
      <c r="AN156" s="454" t="s">
        <v>866</v>
      </c>
      <c r="AO156" s="456">
        <v>0.0</v>
      </c>
      <c r="AP156" s="515" t="s">
        <v>866</v>
      </c>
      <c r="AQ156" s="537">
        <v>121.6</v>
      </c>
      <c r="AR156" s="454" t="s">
        <v>866</v>
      </c>
      <c r="AS156" s="457">
        <v>0.0</v>
      </c>
      <c r="AT156" s="454" t="s">
        <v>866</v>
      </c>
      <c r="AU156" s="457">
        <v>0.0</v>
      </c>
      <c r="AV156" s="454" t="s">
        <v>866</v>
      </c>
      <c r="AW156" s="456">
        <v>42.0</v>
      </c>
      <c r="AX156" s="454" t="s">
        <v>866</v>
      </c>
      <c r="AY156" s="456">
        <v>20.0</v>
      </c>
      <c r="AZ156" s="454" t="s">
        <v>866</v>
      </c>
      <c r="BA156" s="456">
        <v>0.0</v>
      </c>
      <c r="BB156" s="454" t="s">
        <v>866</v>
      </c>
      <c r="BC156" s="456">
        <v>0.0</v>
      </c>
      <c r="BD156" s="454" t="s">
        <v>866</v>
      </c>
      <c r="BE156" s="456">
        <v>100.0</v>
      </c>
    </row>
    <row r="157">
      <c r="A157" s="516" t="s">
        <v>2033</v>
      </c>
      <c r="B157" s="517">
        <v>800.0</v>
      </c>
      <c r="C157" s="518">
        <f>ROUND(B154 - B156 - B157,2)</f>
        <v>4514</v>
      </c>
      <c r="D157" s="518">
        <f>ROUND(B153 - B156 - B157,2)</f>
        <v>3014</v>
      </c>
      <c r="E157" s="465"/>
      <c r="F157" s="226"/>
      <c r="G157" s="226"/>
      <c r="H157" s="226"/>
      <c r="I157" s="226"/>
      <c r="J157" s="226"/>
      <c r="K157" s="226"/>
      <c r="L157" s="226"/>
      <c r="M157" s="226"/>
      <c r="N157" s="226"/>
      <c r="O157" s="226"/>
      <c r="P157" s="226"/>
      <c r="AN157" s="454" t="s">
        <v>868</v>
      </c>
      <c r="AO157" s="456">
        <v>175.0</v>
      </c>
      <c r="AP157" s="515" t="s">
        <v>868</v>
      </c>
      <c r="AQ157" s="537">
        <v>113.43</v>
      </c>
      <c r="AR157" s="454" t="s">
        <v>868</v>
      </c>
      <c r="AS157" s="457">
        <v>0.0</v>
      </c>
      <c r="AT157" s="454" t="s">
        <v>868</v>
      </c>
      <c r="AU157" s="457">
        <v>0.0</v>
      </c>
      <c r="AV157" s="454" t="s">
        <v>868</v>
      </c>
      <c r="AW157" s="456">
        <v>50.0</v>
      </c>
      <c r="AX157" s="454" t="s">
        <v>868</v>
      </c>
      <c r="AY157" s="456">
        <v>0.0</v>
      </c>
      <c r="AZ157" s="454" t="s">
        <v>868</v>
      </c>
      <c r="BA157" s="456">
        <v>0.0</v>
      </c>
      <c r="BB157" s="454" t="s">
        <v>868</v>
      </c>
      <c r="BC157" s="456">
        <v>0.0</v>
      </c>
      <c r="BD157" s="454" t="s">
        <v>868</v>
      </c>
      <c r="BE157" s="456">
        <v>102.0</v>
      </c>
    </row>
    <row r="158">
      <c r="A158" s="519" t="s">
        <v>2034</v>
      </c>
      <c r="B158" s="520">
        <v>2600.0</v>
      </c>
      <c r="C158" s="521">
        <f>ROUND(B154 - B156 - B157 - B158,2)</f>
        <v>1914</v>
      </c>
      <c r="D158" s="521">
        <f>ROUND(B153 - B156 - B157 - B158,2)</f>
        <v>414</v>
      </c>
      <c r="E158" s="465"/>
      <c r="F158" s="226"/>
      <c r="G158" s="226"/>
      <c r="H158" s="226"/>
      <c r="I158" s="226"/>
      <c r="J158" s="226"/>
      <c r="K158" s="226"/>
      <c r="L158" s="226"/>
      <c r="M158" s="226"/>
      <c r="N158" s="226"/>
      <c r="O158" s="226"/>
      <c r="P158" s="226"/>
      <c r="AN158" s="454" t="s">
        <v>870</v>
      </c>
      <c r="AO158" s="456">
        <v>0.0</v>
      </c>
      <c r="AP158" s="515" t="s">
        <v>870</v>
      </c>
      <c r="AQ158" s="537">
        <v>107.18</v>
      </c>
      <c r="AR158" s="454" t="s">
        <v>870</v>
      </c>
      <c r="AS158" s="457">
        <v>0.0</v>
      </c>
      <c r="AT158" s="454" t="s">
        <v>870</v>
      </c>
      <c r="AU158" s="457">
        <v>49.0</v>
      </c>
      <c r="AV158" s="454" t="s">
        <v>870</v>
      </c>
      <c r="AW158" s="456">
        <v>0.0</v>
      </c>
      <c r="AX158" s="454" t="s">
        <v>870</v>
      </c>
      <c r="AY158" s="456">
        <v>31.0</v>
      </c>
      <c r="AZ158" s="454" t="s">
        <v>870</v>
      </c>
      <c r="BA158" s="456">
        <v>0.0</v>
      </c>
      <c r="BB158" s="454" t="s">
        <v>870</v>
      </c>
      <c r="BC158" s="456">
        <v>0.0</v>
      </c>
      <c r="BD158" s="454" t="s">
        <v>870</v>
      </c>
      <c r="BE158" s="456">
        <v>0.0</v>
      </c>
    </row>
    <row r="159">
      <c r="A159" s="524" t="s">
        <v>2035</v>
      </c>
      <c r="B159" s="525">
        <v>840.0</v>
      </c>
      <c r="C159" s="526">
        <f>ROUND(C158 - B159,2)</f>
        <v>1074</v>
      </c>
      <c r="D159" s="526">
        <f>ROUND(D158 - B159,2)</f>
        <v>-426</v>
      </c>
      <c r="E159" s="465"/>
      <c r="F159" s="226"/>
      <c r="G159" s="226"/>
      <c r="H159" s="226"/>
      <c r="I159" s="226"/>
      <c r="J159" s="226"/>
      <c r="K159" s="226"/>
      <c r="L159" s="226"/>
      <c r="M159" s="226"/>
      <c r="N159" s="226"/>
      <c r="O159" s="226"/>
      <c r="P159" s="226"/>
      <c r="AN159" s="454" t="s">
        <v>872</v>
      </c>
      <c r="AO159" s="456">
        <v>0.0</v>
      </c>
      <c r="AP159" s="515" t="s">
        <v>872</v>
      </c>
      <c r="AQ159" s="537">
        <v>105.69</v>
      </c>
      <c r="AR159" s="454" t="s">
        <v>872</v>
      </c>
      <c r="AS159" s="457">
        <v>22.0</v>
      </c>
      <c r="AT159" s="454" t="s">
        <v>872</v>
      </c>
      <c r="AU159" s="457">
        <v>52.0</v>
      </c>
      <c r="AV159" s="454" t="s">
        <v>872</v>
      </c>
      <c r="AW159" s="456">
        <v>0.0</v>
      </c>
      <c r="AX159" s="454" t="s">
        <v>872</v>
      </c>
      <c r="AY159" s="456">
        <v>32.0</v>
      </c>
      <c r="AZ159" s="454" t="s">
        <v>872</v>
      </c>
      <c r="BA159" s="456">
        <v>0.0</v>
      </c>
      <c r="BB159" s="454" t="s">
        <v>872</v>
      </c>
      <c r="BC159" s="456">
        <v>0.0</v>
      </c>
      <c r="BD159" s="454" t="s">
        <v>872</v>
      </c>
      <c r="BE159" s="456">
        <v>0.0</v>
      </c>
    </row>
    <row r="160">
      <c r="A160" s="226"/>
      <c r="B160" s="226"/>
      <c r="C160" s="226"/>
      <c r="D160" s="226"/>
      <c r="E160" s="528"/>
      <c r="F160" s="226"/>
      <c r="G160" s="226"/>
      <c r="H160" s="226"/>
      <c r="I160" s="226"/>
      <c r="J160" s="226"/>
      <c r="K160" s="226"/>
      <c r="L160" s="226"/>
      <c r="M160" s="226"/>
      <c r="N160" s="226"/>
      <c r="O160" s="226"/>
      <c r="P160" s="226"/>
      <c r="AN160" s="454" t="s">
        <v>874</v>
      </c>
      <c r="AO160" s="456">
        <v>0.0</v>
      </c>
      <c r="AP160" s="515" t="s">
        <v>874</v>
      </c>
      <c r="AQ160" s="537">
        <v>105.42</v>
      </c>
      <c r="AR160" s="454" t="s">
        <v>874</v>
      </c>
      <c r="AS160" s="457">
        <v>0.0</v>
      </c>
      <c r="AT160" s="454" t="s">
        <v>874</v>
      </c>
      <c r="AU160" s="457">
        <v>0.0</v>
      </c>
      <c r="AV160" s="454" t="s">
        <v>874</v>
      </c>
      <c r="AW160" s="456">
        <v>45.0</v>
      </c>
      <c r="AX160" s="454" t="s">
        <v>874</v>
      </c>
      <c r="AY160" s="456">
        <v>37.0</v>
      </c>
      <c r="AZ160" s="454" t="s">
        <v>874</v>
      </c>
      <c r="BA160" s="456">
        <v>0.0</v>
      </c>
      <c r="BB160" s="454" t="s">
        <v>874</v>
      </c>
      <c r="BC160" s="456">
        <v>0.0</v>
      </c>
      <c r="BD160" s="454" t="s">
        <v>874</v>
      </c>
      <c r="BE160" s="456">
        <v>92.0</v>
      </c>
    </row>
    <row r="161">
      <c r="A161" s="530" t="s">
        <v>2045</v>
      </c>
      <c r="B161" s="531">
        <v>3075.0</v>
      </c>
      <c r="C161" s="532">
        <f>ROUND(B154 - B156 - B157 - B161,2)</f>
        <v>1439</v>
      </c>
      <c r="D161" s="532">
        <f>ROUND(B153 - B156 - B157 - B161,2)</f>
        <v>-61</v>
      </c>
      <c r="E161" s="533"/>
      <c r="F161" s="226"/>
      <c r="G161" s="226"/>
      <c r="H161" s="226"/>
      <c r="I161" s="226"/>
      <c r="J161" s="226"/>
      <c r="K161" s="226"/>
      <c r="L161" s="226"/>
      <c r="M161" s="226"/>
      <c r="N161" s="226"/>
      <c r="O161" s="226"/>
      <c r="P161" s="226"/>
    </row>
    <row r="162">
      <c r="A162" s="538" t="s">
        <v>2047</v>
      </c>
      <c r="B162" s="539">
        <v>840.0</v>
      </c>
      <c r="C162" s="540">
        <f>ROUND(C161 - B162,2)</f>
        <v>599</v>
      </c>
      <c r="D162" s="540">
        <f>ROUND(D161 - B162,2)</f>
        <v>-901</v>
      </c>
      <c r="E162" s="226"/>
      <c r="F162" s="226"/>
      <c r="G162" s="226"/>
      <c r="H162" s="226"/>
      <c r="I162" s="226"/>
      <c r="J162" s="226"/>
      <c r="K162" s="226"/>
      <c r="L162" s="226"/>
      <c r="M162" s="226"/>
      <c r="N162" s="226"/>
      <c r="O162" s="226"/>
      <c r="P162" s="226"/>
    </row>
    <row r="163">
      <c r="A163" s="497" t="s">
        <v>2046</v>
      </c>
      <c r="B163" s="533"/>
      <c r="C163" s="533"/>
      <c r="D163" s="533"/>
      <c r="E163" s="533"/>
      <c r="F163" s="534"/>
      <c r="G163" s="534"/>
      <c r="H163" s="535"/>
      <c r="I163" s="535"/>
      <c r="J163" s="535"/>
      <c r="K163" s="535"/>
      <c r="L163" s="473"/>
      <c r="M163" s="226"/>
      <c r="N163" s="226"/>
      <c r="O163" s="226"/>
      <c r="P163" s="226"/>
      <c r="AN163" s="623" t="s">
        <v>2172</v>
      </c>
      <c r="AO163" s="623" t="s">
        <v>1920</v>
      </c>
      <c r="AP163" s="490" t="s">
        <v>2173</v>
      </c>
      <c r="AQ163" s="490" t="s">
        <v>1922</v>
      </c>
      <c r="AR163" s="623" t="s">
        <v>2172</v>
      </c>
      <c r="AS163" s="450" t="s">
        <v>344</v>
      </c>
      <c r="AT163" s="623" t="s">
        <v>2172</v>
      </c>
      <c r="AU163" s="450" t="s">
        <v>2174</v>
      </c>
      <c r="AV163" s="623" t="s">
        <v>2172</v>
      </c>
      <c r="AW163" s="449" t="s">
        <v>2175</v>
      </c>
      <c r="AX163" s="623" t="s">
        <v>2172</v>
      </c>
      <c r="AY163" s="449" t="s">
        <v>2176</v>
      </c>
      <c r="AZ163" s="623" t="s">
        <v>2172</v>
      </c>
      <c r="BA163" s="449" t="s">
        <v>2177</v>
      </c>
      <c r="BB163" s="623" t="s">
        <v>2172</v>
      </c>
      <c r="BC163" s="449" t="s">
        <v>2178</v>
      </c>
      <c r="BD163" s="623" t="s">
        <v>2172</v>
      </c>
      <c r="BE163" s="449" t="s">
        <v>2179</v>
      </c>
    </row>
    <row r="164">
      <c r="A164" s="226"/>
      <c r="B164" s="226"/>
      <c r="C164" s="226"/>
      <c r="D164" s="226"/>
      <c r="E164" s="226"/>
      <c r="F164" s="226"/>
      <c r="G164" s="226"/>
      <c r="H164" s="226"/>
      <c r="I164" s="226"/>
      <c r="J164" s="226"/>
      <c r="K164" s="226"/>
      <c r="L164" s="226"/>
      <c r="M164" s="226"/>
      <c r="N164" s="226"/>
      <c r="O164" s="226"/>
      <c r="P164" s="226"/>
      <c r="AN164" s="640" t="s">
        <v>884</v>
      </c>
      <c r="AO164" s="641">
        <v>0.0</v>
      </c>
      <c r="AP164" s="642" t="s">
        <v>884</v>
      </c>
      <c r="AQ164" s="490">
        <v>128.14</v>
      </c>
      <c r="AR164" s="640" t="s">
        <v>884</v>
      </c>
      <c r="AS164" s="643">
        <v>25.0</v>
      </c>
      <c r="AT164" s="640" t="s">
        <v>884</v>
      </c>
      <c r="AU164" s="643">
        <v>44.0</v>
      </c>
      <c r="AV164" s="640" t="s">
        <v>884</v>
      </c>
      <c r="AW164" s="641">
        <v>0.0</v>
      </c>
      <c r="AX164" s="640" t="s">
        <v>884</v>
      </c>
      <c r="AY164" s="641">
        <v>36.0</v>
      </c>
      <c r="AZ164" s="640" t="s">
        <v>884</v>
      </c>
      <c r="BA164" s="641">
        <v>30.0</v>
      </c>
      <c r="BB164" s="640" t="s">
        <v>884</v>
      </c>
      <c r="BC164" s="641">
        <v>0.0</v>
      </c>
      <c r="BD164" s="640" t="s">
        <v>884</v>
      </c>
      <c r="BE164" s="641">
        <v>0.0</v>
      </c>
    </row>
    <row r="165">
      <c r="A165" s="558" t="s">
        <v>2057</v>
      </c>
      <c r="B165" s="559" t="s">
        <v>2051</v>
      </c>
      <c r="C165" s="226"/>
      <c r="D165" s="226"/>
      <c r="E165" s="226"/>
      <c r="F165" s="226"/>
      <c r="G165" s="226"/>
      <c r="H165" s="226"/>
      <c r="I165" s="226"/>
      <c r="J165" s="226"/>
      <c r="K165" s="226"/>
      <c r="L165" s="226"/>
      <c r="M165" s="226"/>
      <c r="N165" s="226"/>
      <c r="O165" s="226"/>
      <c r="P165" s="226"/>
      <c r="AN165" s="640" t="s">
        <v>885</v>
      </c>
      <c r="AO165" s="641">
        <v>0.0</v>
      </c>
      <c r="AP165" s="642" t="s">
        <v>885</v>
      </c>
      <c r="AQ165" s="490">
        <v>97.91</v>
      </c>
      <c r="AR165" s="640" t="s">
        <v>885</v>
      </c>
      <c r="AS165" s="643">
        <v>18.0</v>
      </c>
      <c r="AT165" s="640" t="s">
        <v>885</v>
      </c>
      <c r="AU165" s="643">
        <v>38.0</v>
      </c>
      <c r="AV165" s="640" t="s">
        <v>885</v>
      </c>
      <c r="AW165" s="641">
        <v>0.0</v>
      </c>
      <c r="AX165" s="640" t="s">
        <v>885</v>
      </c>
      <c r="AY165" s="641">
        <v>30.0</v>
      </c>
      <c r="AZ165" s="640" t="s">
        <v>885</v>
      </c>
      <c r="BA165" s="641">
        <v>0.0</v>
      </c>
      <c r="BB165" s="640" t="s">
        <v>885</v>
      </c>
      <c r="BC165" s="641">
        <v>0.0</v>
      </c>
      <c r="BD165" s="640" t="s">
        <v>885</v>
      </c>
      <c r="BE165" s="641">
        <v>0.0</v>
      </c>
    </row>
    <row r="166">
      <c r="A166" s="561" t="s">
        <v>2058</v>
      </c>
      <c r="B166" s="562" t="s">
        <v>2072</v>
      </c>
      <c r="C166" s="226"/>
      <c r="D166" s="226"/>
      <c r="E166" s="226"/>
      <c r="F166" s="226"/>
      <c r="G166" s="226"/>
      <c r="H166" s="226"/>
      <c r="I166" s="226"/>
      <c r="J166" s="226"/>
      <c r="K166" s="226"/>
      <c r="L166" s="226"/>
      <c r="M166" s="226"/>
      <c r="N166" s="226"/>
      <c r="O166" s="226"/>
      <c r="P166" s="226"/>
      <c r="AN166" s="640" t="s">
        <v>2180</v>
      </c>
      <c r="AO166" s="641">
        <v>0.0</v>
      </c>
      <c r="AP166" s="642" t="s">
        <v>2180</v>
      </c>
      <c r="AQ166" s="490">
        <v>92.34</v>
      </c>
      <c r="AR166" s="640" t="s">
        <v>2180</v>
      </c>
      <c r="AS166" s="643">
        <v>0.0</v>
      </c>
      <c r="AT166" s="640" t="s">
        <v>2180</v>
      </c>
      <c r="AU166" s="643">
        <v>0.0</v>
      </c>
      <c r="AV166" s="640" t="s">
        <v>2180</v>
      </c>
      <c r="AW166" s="641">
        <v>30.0</v>
      </c>
      <c r="AX166" s="640" t="s">
        <v>2180</v>
      </c>
      <c r="AY166" s="641">
        <v>17.0</v>
      </c>
      <c r="AZ166" s="640" t="s">
        <v>2180</v>
      </c>
      <c r="BA166" s="641">
        <v>0.0</v>
      </c>
      <c r="BB166" s="640" t="s">
        <v>2180</v>
      </c>
      <c r="BC166" s="641">
        <v>0.0</v>
      </c>
      <c r="BD166" s="640" t="s">
        <v>2180</v>
      </c>
      <c r="BE166" s="641">
        <v>76.0</v>
      </c>
    </row>
    <row r="167">
      <c r="A167" s="226"/>
      <c r="B167" s="226"/>
      <c r="C167" s="226"/>
      <c r="D167" s="226"/>
      <c r="E167" s="226"/>
      <c r="F167" s="226"/>
      <c r="G167" s="226"/>
      <c r="H167" s="226"/>
      <c r="I167" s="226"/>
      <c r="J167" s="226"/>
      <c r="K167" s="226"/>
      <c r="L167" s="226"/>
      <c r="M167" s="226"/>
      <c r="N167" s="226"/>
      <c r="O167" s="226"/>
      <c r="P167" s="226"/>
      <c r="AN167" s="640" t="s">
        <v>887</v>
      </c>
      <c r="AO167" s="641">
        <v>0.0</v>
      </c>
      <c r="AP167" s="642" t="s">
        <v>887</v>
      </c>
      <c r="AQ167" s="490">
        <v>86.02</v>
      </c>
      <c r="AR167" s="640" t="s">
        <v>887</v>
      </c>
      <c r="AS167" s="643">
        <v>17.0</v>
      </c>
      <c r="AT167" s="640" t="s">
        <v>887</v>
      </c>
      <c r="AU167" s="643">
        <v>0.0</v>
      </c>
      <c r="AV167" s="640" t="s">
        <v>887</v>
      </c>
      <c r="AW167" s="641">
        <v>27.0</v>
      </c>
      <c r="AX167" s="640" t="s">
        <v>887</v>
      </c>
      <c r="AY167" s="641">
        <v>26.0</v>
      </c>
      <c r="AZ167" s="640" t="s">
        <v>887</v>
      </c>
      <c r="BA167" s="641">
        <v>0.0</v>
      </c>
      <c r="BB167" s="640" t="s">
        <v>887</v>
      </c>
      <c r="BC167" s="641">
        <v>0.0</v>
      </c>
      <c r="BD167" s="640" t="s">
        <v>887</v>
      </c>
      <c r="BE167" s="641">
        <v>76.0</v>
      </c>
    </row>
    <row r="168">
      <c r="M168" s="226"/>
      <c r="N168" s="226"/>
      <c r="O168" s="226"/>
      <c r="P168" s="226"/>
      <c r="AN168" s="640" t="s">
        <v>2181</v>
      </c>
      <c r="AO168" s="641">
        <v>0.0</v>
      </c>
      <c r="AP168" s="642" t="s">
        <v>2181</v>
      </c>
      <c r="AQ168" s="490">
        <v>79.34</v>
      </c>
      <c r="AR168" s="640" t="s">
        <v>2181</v>
      </c>
      <c r="AS168" s="643">
        <v>22.0</v>
      </c>
      <c r="AT168" s="640" t="s">
        <v>2181</v>
      </c>
      <c r="AU168" s="643">
        <v>0.0</v>
      </c>
      <c r="AV168" s="640" t="s">
        <v>2181</v>
      </c>
      <c r="AW168" s="641">
        <v>29.0</v>
      </c>
      <c r="AX168" s="640" t="s">
        <v>2181</v>
      </c>
      <c r="AY168" s="641">
        <v>0.0</v>
      </c>
      <c r="AZ168" s="640" t="s">
        <v>2181</v>
      </c>
      <c r="BA168" s="641">
        <v>0.0</v>
      </c>
      <c r="BB168" s="640" t="s">
        <v>2181</v>
      </c>
      <c r="BC168" s="641">
        <v>0.0</v>
      </c>
      <c r="BD168" s="640" t="s">
        <v>2181</v>
      </c>
      <c r="BE168" s="641">
        <v>60.0</v>
      </c>
    </row>
    <row r="169">
      <c r="M169" s="226"/>
      <c r="N169" s="226"/>
      <c r="O169" s="226"/>
      <c r="P169" s="226"/>
      <c r="AN169" s="640" t="s">
        <v>891</v>
      </c>
      <c r="AO169" s="641">
        <v>0.0</v>
      </c>
      <c r="AP169" s="642" t="s">
        <v>891</v>
      </c>
      <c r="AQ169" s="490">
        <v>76.36</v>
      </c>
      <c r="AR169" s="640" t="s">
        <v>891</v>
      </c>
      <c r="AS169" s="643">
        <v>0.0</v>
      </c>
      <c r="AT169" s="640" t="s">
        <v>891</v>
      </c>
      <c r="AU169" s="643">
        <v>40.0</v>
      </c>
      <c r="AV169" s="640" t="s">
        <v>891</v>
      </c>
      <c r="AW169" s="641">
        <v>0.0</v>
      </c>
      <c r="AX169" s="640" t="s">
        <v>891</v>
      </c>
      <c r="AY169" s="641">
        <v>40.0</v>
      </c>
      <c r="AZ169" s="640" t="s">
        <v>891</v>
      </c>
      <c r="BA169" s="641">
        <v>0.0</v>
      </c>
      <c r="BB169" s="640" t="s">
        <v>891</v>
      </c>
      <c r="BC169" s="641">
        <v>0.0</v>
      </c>
      <c r="BD169" s="640" t="s">
        <v>891</v>
      </c>
      <c r="BE169" s="641">
        <v>0.0</v>
      </c>
    </row>
    <row r="170">
      <c r="M170" s="226"/>
      <c r="N170" s="226"/>
      <c r="O170" s="226"/>
      <c r="P170" s="226"/>
      <c r="AN170" s="640" t="s">
        <v>893</v>
      </c>
      <c r="AO170" s="641">
        <v>0.0</v>
      </c>
      <c r="AP170" s="642" t="s">
        <v>893</v>
      </c>
      <c r="AQ170" s="490">
        <v>76.36</v>
      </c>
      <c r="AR170" s="640" t="s">
        <v>893</v>
      </c>
      <c r="AS170" s="643">
        <v>0.0</v>
      </c>
      <c r="AT170" s="640" t="s">
        <v>893</v>
      </c>
      <c r="AU170" s="643">
        <v>30.0</v>
      </c>
      <c r="AV170" s="640" t="s">
        <v>893</v>
      </c>
      <c r="AW170" s="641">
        <v>0.0</v>
      </c>
      <c r="AX170" s="640" t="s">
        <v>893</v>
      </c>
      <c r="AY170" s="641">
        <v>29.0</v>
      </c>
      <c r="AZ170" s="640" t="s">
        <v>893</v>
      </c>
      <c r="BA170" s="641">
        <v>0.0</v>
      </c>
      <c r="BB170" s="640" t="s">
        <v>893</v>
      </c>
      <c r="BC170" s="641">
        <v>0.0</v>
      </c>
      <c r="BD170" s="640" t="s">
        <v>893</v>
      </c>
      <c r="BE170" s="641">
        <v>0.0</v>
      </c>
    </row>
    <row r="171">
      <c r="M171" s="226"/>
      <c r="N171" s="226"/>
      <c r="O171" s="226"/>
      <c r="P171" s="226"/>
      <c r="AN171" s="640" t="s">
        <v>896</v>
      </c>
      <c r="AO171" s="641">
        <v>0.0</v>
      </c>
      <c r="AP171" s="642" t="s">
        <v>896</v>
      </c>
      <c r="AQ171" s="490">
        <v>75.33</v>
      </c>
      <c r="AR171" s="640" t="s">
        <v>896</v>
      </c>
      <c r="AS171" s="643">
        <v>15.0</v>
      </c>
      <c r="AT171" s="640" t="s">
        <v>896</v>
      </c>
      <c r="AU171" s="643">
        <v>0.0</v>
      </c>
      <c r="AV171" s="640" t="s">
        <v>896</v>
      </c>
      <c r="AW171" s="641">
        <v>28.0</v>
      </c>
      <c r="AX171" s="640" t="s">
        <v>896</v>
      </c>
      <c r="AY171" s="641">
        <v>0.0</v>
      </c>
      <c r="AZ171" s="640" t="s">
        <v>896</v>
      </c>
      <c r="BA171" s="641">
        <v>0.0</v>
      </c>
      <c r="BB171" s="640" t="s">
        <v>896</v>
      </c>
      <c r="BC171" s="641">
        <v>0.0</v>
      </c>
      <c r="BD171" s="640" t="s">
        <v>896</v>
      </c>
      <c r="BE171" s="641">
        <v>58.0</v>
      </c>
    </row>
    <row r="172">
      <c r="M172" s="226"/>
      <c r="N172" s="226"/>
      <c r="O172" s="226"/>
      <c r="P172" s="226"/>
      <c r="AN172" s="640" t="s">
        <v>897</v>
      </c>
      <c r="AO172" s="641">
        <v>0.0</v>
      </c>
      <c r="AP172" s="642" t="s">
        <v>897</v>
      </c>
      <c r="AQ172" s="490">
        <v>72.43</v>
      </c>
      <c r="AR172" s="640" t="s">
        <v>897</v>
      </c>
      <c r="AS172" s="643">
        <v>23.0</v>
      </c>
      <c r="AT172" s="640" t="s">
        <v>897</v>
      </c>
      <c r="AU172" s="643">
        <v>0.0</v>
      </c>
      <c r="AV172" s="640" t="s">
        <v>897</v>
      </c>
      <c r="AW172" s="641">
        <v>0.0</v>
      </c>
      <c r="AX172" s="640" t="s">
        <v>897</v>
      </c>
      <c r="AY172" s="641">
        <v>32.0</v>
      </c>
      <c r="AZ172" s="640" t="s">
        <v>897</v>
      </c>
      <c r="BA172" s="641">
        <v>0.0</v>
      </c>
      <c r="BB172" s="640" t="s">
        <v>897</v>
      </c>
      <c r="BC172" s="641">
        <v>0.0</v>
      </c>
      <c r="BD172" s="640" t="s">
        <v>897</v>
      </c>
      <c r="BE172" s="641">
        <v>66.0</v>
      </c>
    </row>
    <row r="173">
      <c r="M173" s="226"/>
      <c r="N173" s="226"/>
      <c r="O173" s="226"/>
      <c r="P173" s="226"/>
      <c r="AN173" s="640" t="s">
        <v>899</v>
      </c>
      <c r="AO173" s="641">
        <v>0.0</v>
      </c>
      <c r="AP173" s="642" t="s">
        <v>899</v>
      </c>
      <c r="AQ173" s="490">
        <v>72.18</v>
      </c>
      <c r="AR173" s="640" t="s">
        <v>899</v>
      </c>
      <c r="AS173" s="643">
        <v>0.0</v>
      </c>
      <c r="AT173" s="640" t="s">
        <v>899</v>
      </c>
      <c r="AU173" s="643">
        <v>44.0</v>
      </c>
      <c r="AV173" s="640" t="s">
        <v>899</v>
      </c>
      <c r="AW173" s="641">
        <v>0.0</v>
      </c>
      <c r="AX173" s="640" t="s">
        <v>899</v>
      </c>
      <c r="AY173" s="641">
        <v>31.0</v>
      </c>
      <c r="AZ173" s="640" t="s">
        <v>899</v>
      </c>
      <c r="BA173" s="641">
        <v>0.0</v>
      </c>
      <c r="BB173" s="640" t="s">
        <v>899</v>
      </c>
      <c r="BC173" s="641">
        <v>0.0</v>
      </c>
      <c r="BD173" s="640" t="s">
        <v>899</v>
      </c>
      <c r="BE173" s="641">
        <v>0.0</v>
      </c>
    </row>
    <row r="174">
      <c r="M174" s="226"/>
      <c r="N174" s="226"/>
      <c r="O174" s="226"/>
      <c r="P174" s="226"/>
    </row>
    <row r="175">
      <c r="M175" s="226"/>
      <c r="N175" s="226"/>
      <c r="O175" s="226"/>
      <c r="P175" s="226"/>
    </row>
    <row r="176">
      <c r="M176" s="226"/>
      <c r="N176" s="226"/>
      <c r="O176" s="226"/>
      <c r="P176" s="226"/>
      <c r="AN176" s="449" t="s">
        <v>2182</v>
      </c>
      <c r="AO176" s="449" t="s">
        <v>1920</v>
      </c>
      <c r="AP176" s="450" t="s">
        <v>2183</v>
      </c>
      <c r="AQ176" s="450" t="s">
        <v>1922</v>
      </c>
      <c r="AR176" s="449" t="s">
        <v>2182</v>
      </c>
      <c r="AS176" s="450" t="s">
        <v>344</v>
      </c>
      <c r="AT176" s="449" t="s">
        <v>2182</v>
      </c>
      <c r="AU176" s="450" t="s">
        <v>2184</v>
      </c>
      <c r="AV176" s="449" t="s">
        <v>2182</v>
      </c>
      <c r="AW176" s="449" t="s">
        <v>2185</v>
      </c>
      <c r="AX176" s="449" t="s">
        <v>2182</v>
      </c>
      <c r="AY176" s="449" t="s">
        <v>2186</v>
      </c>
      <c r="AZ176" s="449" t="s">
        <v>2182</v>
      </c>
      <c r="BA176" s="449" t="s">
        <v>2187</v>
      </c>
      <c r="BB176" s="449" t="s">
        <v>2182</v>
      </c>
      <c r="BC176" s="449" t="s">
        <v>2188</v>
      </c>
      <c r="BD176" s="449" t="s">
        <v>2182</v>
      </c>
      <c r="BE176" s="449" t="s">
        <v>2189</v>
      </c>
    </row>
    <row r="177">
      <c r="M177" s="226"/>
      <c r="N177" s="226"/>
      <c r="O177" s="226"/>
      <c r="P177" s="226"/>
      <c r="AN177" s="454" t="s">
        <v>906</v>
      </c>
      <c r="AO177" s="456">
        <v>161.0</v>
      </c>
      <c r="AP177" s="515" t="s">
        <v>906</v>
      </c>
      <c r="AQ177" s="450">
        <v>90.16</v>
      </c>
      <c r="AR177" s="454" t="s">
        <v>906</v>
      </c>
      <c r="AS177" s="457">
        <v>0.0</v>
      </c>
      <c r="AT177" s="454" t="s">
        <v>906</v>
      </c>
      <c r="AU177" s="457">
        <v>0.0</v>
      </c>
      <c r="AV177" s="454" t="s">
        <v>906</v>
      </c>
      <c r="AW177" s="456">
        <v>0.0</v>
      </c>
      <c r="AX177" s="454" t="s">
        <v>906</v>
      </c>
      <c r="AY177" s="456">
        <v>32.0</v>
      </c>
      <c r="AZ177" s="454" t="s">
        <v>906</v>
      </c>
      <c r="BA177" s="456">
        <v>0.0</v>
      </c>
      <c r="BB177" s="454" t="s">
        <v>906</v>
      </c>
      <c r="BC177" s="456">
        <v>0.0</v>
      </c>
      <c r="BD177" s="454" t="s">
        <v>906</v>
      </c>
      <c r="BE177" s="456">
        <v>66.0</v>
      </c>
    </row>
    <row r="178">
      <c r="M178" s="226"/>
      <c r="N178" s="226"/>
      <c r="O178" s="226"/>
      <c r="P178" s="226"/>
      <c r="AN178" s="454" t="s">
        <v>907</v>
      </c>
      <c r="AO178" s="456">
        <v>126.0</v>
      </c>
      <c r="AP178" s="515" t="s">
        <v>907</v>
      </c>
      <c r="AQ178" s="450">
        <v>71.72</v>
      </c>
      <c r="AR178" s="454" t="s">
        <v>907</v>
      </c>
      <c r="AS178" s="457">
        <v>30.0</v>
      </c>
      <c r="AT178" s="454" t="s">
        <v>907</v>
      </c>
      <c r="AU178" s="457">
        <v>0.0</v>
      </c>
      <c r="AV178" s="454" t="s">
        <v>907</v>
      </c>
      <c r="AW178" s="456">
        <v>0.0</v>
      </c>
      <c r="AX178" s="454" t="s">
        <v>907</v>
      </c>
      <c r="AY178" s="456">
        <v>0.0</v>
      </c>
      <c r="AZ178" s="454" t="s">
        <v>907</v>
      </c>
      <c r="BA178" s="456">
        <v>0.0</v>
      </c>
      <c r="BB178" s="454" t="s">
        <v>907</v>
      </c>
      <c r="BC178" s="456">
        <v>0.0</v>
      </c>
      <c r="BD178" s="454" t="s">
        <v>907</v>
      </c>
      <c r="BE178" s="456">
        <v>66.0</v>
      </c>
    </row>
    <row r="179">
      <c r="M179" s="226"/>
      <c r="N179" s="226"/>
      <c r="O179" s="226"/>
      <c r="P179" s="226"/>
      <c r="AN179" s="454" t="s">
        <v>908</v>
      </c>
      <c r="AO179" s="456">
        <v>126.0</v>
      </c>
      <c r="AP179" s="515" t="s">
        <v>908</v>
      </c>
      <c r="AQ179" s="450">
        <v>69.99</v>
      </c>
      <c r="AR179" s="454" t="s">
        <v>908</v>
      </c>
      <c r="AS179" s="457">
        <v>0.0</v>
      </c>
      <c r="AT179" s="454" t="s">
        <v>908</v>
      </c>
      <c r="AU179" s="457">
        <v>0.0</v>
      </c>
      <c r="AV179" s="454" t="s">
        <v>908</v>
      </c>
      <c r="AW179" s="456">
        <v>29.0</v>
      </c>
      <c r="AX179" s="454" t="s">
        <v>908</v>
      </c>
      <c r="AY179" s="456">
        <v>0.0</v>
      </c>
      <c r="AZ179" s="454" t="s">
        <v>908</v>
      </c>
      <c r="BA179" s="456">
        <v>0.0</v>
      </c>
      <c r="BB179" s="454" t="s">
        <v>908</v>
      </c>
      <c r="BC179" s="456">
        <v>0.0</v>
      </c>
      <c r="BD179" s="454" t="s">
        <v>908</v>
      </c>
      <c r="BE179" s="456">
        <v>58.0</v>
      </c>
    </row>
    <row r="180">
      <c r="M180" s="226"/>
      <c r="N180" s="226"/>
      <c r="O180" s="226"/>
      <c r="P180" s="226"/>
      <c r="AN180" s="454" t="s">
        <v>910</v>
      </c>
      <c r="AO180" s="456">
        <v>0.0</v>
      </c>
      <c r="AP180" s="515" t="s">
        <v>910</v>
      </c>
      <c r="AQ180" s="450">
        <v>69.97</v>
      </c>
      <c r="AR180" s="454" t="s">
        <v>910</v>
      </c>
      <c r="AS180" s="457">
        <v>0.0</v>
      </c>
      <c r="AT180" s="454" t="s">
        <v>910</v>
      </c>
      <c r="AU180" s="457">
        <v>0.0</v>
      </c>
      <c r="AV180" s="454" t="s">
        <v>910</v>
      </c>
      <c r="AW180" s="456">
        <v>30.0</v>
      </c>
      <c r="AX180" s="454" t="s">
        <v>910</v>
      </c>
      <c r="AY180" s="456">
        <v>0.0</v>
      </c>
      <c r="AZ180" s="454" t="s">
        <v>910</v>
      </c>
      <c r="BA180" s="456">
        <v>28.0</v>
      </c>
      <c r="BB180" s="454" t="s">
        <v>910</v>
      </c>
      <c r="BC180" s="456">
        <v>0.0</v>
      </c>
      <c r="BD180" s="454" t="s">
        <v>910</v>
      </c>
      <c r="BE180" s="456">
        <v>58.0</v>
      </c>
    </row>
    <row r="181">
      <c r="M181" s="226"/>
      <c r="N181" s="226"/>
      <c r="O181" s="226"/>
      <c r="P181" s="226"/>
      <c r="AN181" s="454" t="s">
        <v>912</v>
      </c>
      <c r="AO181" s="456">
        <v>126.0</v>
      </c>
      <c r="AP181" s="515" t="s">
        <v>912</v>
      </c>
      <c r="AQ181" s="450">
        <v>69.33</v>
      </c>
      <c r="AR181" s="454" t="s">
        <v>912</v>
      </c>
      <c r="AS181" s="457">
        <v>0.0</v>
      </c>
      <c r="AT181" s="454" t="s">
        <v>912</v>
      </c>
      <c r="AU181" s="457">
        <v>0.0</v>
      </c>
      <c r="AV181" s="454" t="s">
        <v>912</v>
      </c>
      <c r="AW181" s="456">
        <v>28.0</v>
      </c>
      <c r="AX181" s="454" t="s">
        <v>912</v>
      </c>
      <c r="AY181" s="456">
        <v>0.0</v>
      </c>
      <c r="AZ181" s="454" t="s">
        <v>912</v>
      </c>
      <c r="BA181" s="456">
        <v>0.0</v>
      </c>
      <c r="BB181" s="454" t="s">
        <v>912</v>
      </c>
      <c r="BC181" s="456">
        <v>0.0</v>
      </c>
      <c r="BD181" s="454" t="s">
        <v>912</v>
      </c>
      <c r="BE181" s="456">
        <v>58.0</v>
      </c>
    </row>
    <row r="182">
      <c r="M182" s="226"/>
      <c r="N182" s="226"/>
      <c r="O182" s="226"/>
      <c r="P182" s="226"/>
      <c r="AN182" s="454" t="s">
        <v>914</v>
      </c>
      <c r="AO182" s="456">
        <v>0.0</v>
      </c>
      <c r="AP182" s="515" t="s">
        <v>914</v>
      </c>
      <c r="AQ182" s="450">
        <v>63.27</v>
      </c>
      <c r="AR182" s="454" t="s">
        <v>914</v>
      </c>
      <c r="AS182" s="457">
        <v>0.0</v>
      </c>
      <c r="AT182" s="454" t="s">
        <v>914</v>
      </c>
      <c r="AU182" s="457">
        <v>36.0</v>
      </c>
      <c r="AV182" s="454" t="s">
        <v>914</v>
      </c>
      <c r="AW182" s="456">
        <v>0.0</v>
      </c>
      <c r="AX182" s="454" t="s">
        <v>914</v>
      </c>
      <c r="AY182" s="456">
        <v>30.0</v>
      </c>
      <c r="AZ182" s="454" t="s">
        <v>914</v>
      </c>
      <c r="BA182" s="456">
        <v>0.0</v>
      </c>
      <c r="BB182" s="454" t="s">
        <v>914</v>
      </c>
      <c r="BC182" s="456">
        <v>0.0</v>
      </c>
      <c r="BD182" s="454" t="s">
        <v>914</v>
      </c>
      <c r="BE182" s="456">
        <v>0.0</v>
      </c>
    </row>
    <row r="183">
      <c r="M183" s="226"/>
      <c r="N183" s="226"/>
      <c r="O183" s="226"/>
      <c r="P183" s="226"/>
      <c r="AN183" s="454" t="s">
        <v>915</v>
      </c>
      <c r="AO183" s="456">
        <v>56.0</v>
      </c>
      <c r="AP183" s="515" t="s">
        <v>915</v>
      </c>
      <c r="AQ183" s="450">
        <v>61.71</v>
      </c>
      <c r="AR183" s="454" t="s">
        <v>915</v>
      </c>
      <c r="AS183" s="457">
        <v>0.0</v>
      </c>
      <c r="AT183" s="454" t="s">
        <v>915</v>
      </c>
      <c r="AU183" s="457">
        <v>0.0</v>
      </c>
      <c r="AV183" s="454" t="s">
        <v>915</v>
      </c>
      <c r="AW183" s="456">
        <v>0.0</v>
      </c>
      <c r="AX183" s="454" t="s">
        <v>915</v>
      </c>
      <c r="AY183" s="456">
        <v>30.0</v>
      </c>
      <c r="AZ183" s="454" t="s">
        <v>915</v>
      </c>
      <c r="BA183" s="456">
        <v>0.0</v>
      </c>
      <c r="BB183" s="454" t="s">
        <v>915</v>
      </c>
      <c r="BC183" s="456">
        <v>0.0</v>
      </c>
      <c r="BD183" s="454" t="s">
        <v>915</v>
      </c>
      <c r="BE183" s="456">
        <v>52.0</v>
      </c>
    </row>
    <row r="184">
      <c r="M184" s="226"/>
      <c r="N184" s="226"/>
      <c r="O184" s="226"/>
      <c r="P184" s="226"/>
      <c r="AN184" s="454" t="s">
        <v>917</v>
      </c>
      <c r="AO184" s="456">
        <v>0.0</v>
      </c>
      <c r="AP184" s="515" t="s">
        <v>917</v>
      </c>
      <c r="AQ184" s="450">
        <v>61.34</v>
      </c>
      <c r="AR184" s="454" t="s">
        <v>917</v>
      </c>
      <c r="AS184" s="457">
        <v>18.0</v>
      </c>
      <c r="AT184" s="454" t="s">
        <v>917</v>
      </c>
      <c r="AU184" s="457">
        <v>0.0</v>
      </c>
      <c r="AV184" s="454" t="s">
        <v>917</v>
      </c>
      <c r="AW184" s="456">
        <v>0.0</v>
      </c>
      <c r="AX184" s="454" t="s">
        <v>917</v>
      </c>
      <c r="AY184" s="456">
        <v>28.0</v>
      </c>
      <c r="AZ184" s="454" t="s">
        <v>917</v>
      </c>
      <c r="BA184" s="456">
        <v>0.0</v>
      </c>
      <c r="BB184" s="454" t="s">
        <v>917</v>
      </c>
      <c r="BC184" s="456">
        <v>0.0</v>
      </c>
      <c r="BD184" s="454" t="s">
        <v>917</v>
      </c>
      <c r="BE184" s="456">
        <v>56.0</v>
      </c>
    </row>
    <row r="185">
      <c r="M185" s="226"/>
      <c r="N185" s="226"/>
      <c r="O185" s="226"/>
      <c r="P185" s="226"/>
      <c r="AN185" s="454" t="s">
        <v>918</v>
      </c>
      <c r="AO185" s="456">
        <v>0.0</v>
      </c>
      <c r="AP185" s="515" t="s">
        <v>918</v>
      </c>
      <c r="AQ185" s="450">
        <v>58.67</v>
      </c>
      <c r="AR185" s="454" t="s">
        <v>918</v>
      </c>
      <c r="AS185" s="457">
        <v>0.0</v>
      </c>
      <c r="AT185" s="454" t="s">
        <v>918</v>
      </c>
      <c r="AU185" s="457">
        <v>0.0</v>
      </c>
      <c r="AV185" s="454" t="s">
        <v>918</v>
      </c>
      <c r="AW185" s="456">
        <v>29.0</v>
      </c>
      <c r="AX185" s="454" t="s">
        <v>918</v>
      </c>
      <c r="AY185" s="456">
        <v>0.0</v>
      </c>
      <c r="AZ185" s="454" t="s">
        <v>918</v>
      </c>
      <c r="BA185" s="456">
        <v>0.0</v>
      </c>
      <c r="BB185" s="454" t="s">
        <v>918</v>
      </c>
      <c r="BC185" s="456">
        <v>0.0</v>
      </c>
      <c r="BD185" s="454" t="s">
        <v>918</v>
      </c>
      <c r="BE185" s="456">
        <v>60.0</v>
      </c>
    </row>
    <row r="186">
      <c r="M186" s="226"/>
      <c r="N186" s="226"/>
      <c r="O186" s="226"/>
      <c r="P186" s="226"/>
      <c r="AN186" s="454" t="s">
        <v>921</v>
      </c>
      <c r="AO186" s="456">
        <v>0.0</v>
      </c>
      <c r="AP186" s="515" t="s">
        <v>921</v>
      </c>
      <c r="AQ186" s="450">
        <v>56.16</v>
      </c>
      <c r="AR186" s="454" t="s">
        <v>921</v>
      </c>
      <c r="AS186" s="457">
        <v>0.0</v>
      </c>
      <c r="AT186" s="454" t="s">
        <v>921</v>
      </c>
      <c r="AU186" s="457">
        <v>0.0</v>
      </c>
      <c r="AV186" s="454" t="s">
        <v>921</v>
      </c>
      <c r="AW186" s="456">
        <v>0.0</v>
      </c>
      <c r="AX186" s="454" t="s">
        <v>921</v>
      </c>
      <c r="AY186" s="456">
        <v>0.0</v>
      </c>
      <c r="AZ186" s="454" t="s">
        <v>921</v>
      </c>
      <c r="BA186" s="456">
        <v>31.0</v>
      </c>
      <c r="BB186" s="454" t="s">
        <v>921</v>
      </c>
      <c r="BC186" s="456">
        <v>0.0</v>
      </c>
      <c r="BD186" s="454" t="s">
        <v>921</v>
      </c>
      <c r="BE186" s="456">
        <v>66.0</v>
      </c>
    </row>
    <row r="187">
      <c r="M187" s="226"/>
      <c r="N187" s="226"/>
      <c r="O187" s="226"/>
      <c r="P187" s="226"/>
      <c r="AN187" s="454" t="s">
        <v>922</v>
      </c>
      <c r="AO187" s="456">
        <v>0.0</v>
      </c>
      <c r="AP187" s="515" t="s">
        <v>922</v>
      </c>
      <c r="AQ187" s="450">
        <v>54.15</v>
      </c>
      <c r="AR187" s="454" t="s">
        <v>922</v>
      </c>
      <c r="AS187" s="457">
        <v>15.0</v>
      </c>
      <c r="AT187" s="454" t="s">
        <v>922</v>
      </c>
      <c r="AU187" s="457">
        <v>0.0</v>
      </c>
      <c r="AV187" s="454" t="s">
        <v>922</v>
      </c>
      <c r="AW187" s="456">
        <v>0.0</v>
      </c>
      <c r="AX187" s="454" t="s">
        <v>922</v>
      </c>
      <c r="AY187" s="456">
        <v>19.0</v>
      </c>
      <c r="AZ187" s="454" t="s">
        <v>922</v>
      </c>
      <c r="BA187" s="456">
        <v>0.0</v>
      </c>
      <c r="BB187" s="454" t="s">
        <v>922</v>
      </c>
      <c r="BC187" s="456">
        <v>0.0</v>
      </c>
      <c r="BD187" s="454" t="s">
        <v>922</v>
      </c>
      <c r="BE187" s="456">
        <v>62.0</v>
      </c>
    </row>
    <row r="188">
      <c r="M188" s="226"/>
      <c r="N188" s="226"/>
      <c r="O188" s="226"/>
      <c r="P188" s="226"/>
      <c r="AN188" s="454" t="s">
        <v>923</v>
      </c>
      <c r="AO188" s="456">
        <v>0.0</v>
      </c>
      <c r="AP188" s="515" t="s">
        <v>923</v>
      </c>
      <c r="AQ188" s="450">
        <v>51.93</v>
      </c>
      <c r="AR188" s="454" t="s">
        <v>923</v>
      </c>
      <c r="AS188" s="457">
        <v>19.0</v>
      </c>
      <c r="AT188" s="454" t="s">
        <v>923</v>
      </c>
      <c r="AU188" s="457">
        <v>0.0</v>
      </c>
      <c r="AV188" s="454" t="s">
        <v>923</v>
      </c>
      <c r="AW188" s="456">
        <v>0.0</v>
      </c>
      <c r="AX188" s="454" t="s">
        <v>923</v>
      </c>
      <c r="AY188" s="456">
        <v>23.0</v>
      </c>
      <c r="AZ188" s="454" t="s">
        <v>923</v>
      </c>
      <c r="BA188" s="456">
        <v>0.0</v>
      </c>
      <c r="BB188" s="454" t="s">
        <v>923</v>
      </c>
      <c r="BC188" s="456">
        <v>0.0</v>
      </c>
      <c r="BD188" s="454" t="s">
        <v>923</v>
      </c>
      <c r="BE188" s="456">
        <v>44.0</v>
      </c>
    </row>
    <row r="189">
      <c r="M189" s="226"/>
      <c r="N189" s="226"/>
      <c r="O189" s="226"/>
      <c r="P189" s="226"/>
      <c r="AN189" s="454" t="s">
        <v>924</v>
      </c>
      <c r="AO189" s="456">
        <v>0.0</v>
      </c>
      <c r="AP189" s="515" t="s">
        <v>924</v>
      </c>
      <c r="AQ189" s="450">
        <v>51.81</v>
      </c>
      <c r="AR189" s="454" t="s">
        <v>924</v>
      </c>
      <c r="AS189" s="457">
        <v>0.0</v>
      </c>
      <c r="AT189" s="454" t="s">
        <v>924</v>
      </c>
      <c r="AU189" s="457">
        <v>0.0</v>
      </c>
      <c r="AV189" s="454" t="s">
        <v>924</v>
      </c>
      <c r="AW189" s="456">
        <v>0.0</v>
      </c>
      <c r="AX189" s="454" t="s">
        <v>924</v>
      </c>
      <c r="AY189" s="456">
        <v>28.0</v>
      </c>
      <c r="AZ189" s="454" t="s">
        <v>924</v>
      </c>
      <c r="BA189" s="456">
        <v>0.0</v>
      </c>
      <c r="BB189" s="454" t="s">
        <v>924</v>
      </c>
      <c r="BC189" s="456">
        <v>0.0</v>
      </c>
      <c r="BD189" s="454" t="s">
        <v>924</v>
      </c>
      <c r="BE189" s="456">
        <v>58.0</v>
      </c>
    </row>
    <row r="190">
      <c r="M190" s="226"/>
      <c r="N190" s="226"/>
      <c r="O190" s="226"/>
      <c r="P190" s="226"/>
      <c r="AN190" s="454" t="s">
        <v>926</v>
      </c>
      <c r="AO190" s="456">
        <v>0.0</v>
      </c>
      <c r="AP190" s="515" t="s">
        <v>926</v>
      </c>
      <c r="AQ190" s="450">
        <v>51.37</v>
      </c>
      <c r="AR190" s="454" t="s">
        <v>926</v>
      </c>
      <c r="AS190" s="457">
        <v>19.0</v>
      </c>
      <c r="AT190" s="454" t="s">
        <v>926</v>
      </c>
      <c r="AU190" s="457">
        <v>0.0</v>
      </c>
      <c r="AV190" s="454" t="s">
        <v>926</v>
      </c>
      <c r="AW190" s="456">
        <v>21.0</v>
      </c>
      <c r="AX190" s="454" t="s">
        <v>926</v>
      </c>
      <c r="AY190" s="456">
        <v>0.0</v>
      </c>
      <c r="AZ190" s="454" t="s">
        <v>926</v>
      </c>
      <c r="BA190" s="456">
        <v>0.0</v>
      </c>
      <c r="BB190" s="454" t="s">
        <v>926</v>
      </c>
      <c r="BC190" s="456">
        <v>0.0</v>
      </c>
      <c r="BD190" s="454" t="s">
        <v>926</v>
      </c>
      <c r="BE190" s="456">
        <v>58.0</v>
      </c>
    </row>
    <row r="191">
      <c r="M191" s="226"/>
      <c r="N191" s="226"/>
      <c r="O191" s="226"/>
      <c r="P191" s="226"/>
      <c r="AN191" s="454" t="s">
        <v>927</v>
      </c>
      <c r="AO191" s="456">
        <v>0.0</v>
      </c>
      <c r="AP191" s="515" t="s">
        <v>927</v>
      </c>
      <c r="AQ191" s="450">
        <v>49.73</v>
      </c>
      <c r="AR191" s="454" t="s">
        <v>927</v>
      </c>
      <c r="AS191" s="457">
        <v>19.0</v>
      </c>
      <c r="AT191" s="454" t="s">
        <v>927</v>
      </c>
      <c r="AU191" s="457">
        <v>0.0</v>
      </c>
      <c r="AV191" s="454" t="s">
        <v>927</v>
      </c>
      <c r="AW191" s="456">
        <v>24.0</v>
      </c>
      <c r="AX191" s="454" t="s">
        <v>927</v>
      </c>
      <c r="AY191" s="456">
        <v>0.0</v>
      </c>
      <c r="AZ191" s="454" t="s">
        <v>927</v>
      </c>
      <c r="BA191" s="456">
        <v>0.0</v>
      </c>
      <c r="BB191" s="454" t="s">
        <v>927</v>
      </c>
      <c r="BC191" s="456">
        <v>0.0</v>
      </c>
      <c r="BD191" s="454" t="s">
        <v>927</v>
      </c>
      <c r="BE191" s="456">
        <v>50.0</v>
      </c>
    </row>
    <row r="192">
      <c r="M192" s="226"/>
      <c r="N192" s="226"/>
      <c r="O192" s="226"/>
      <c r="P192" s="226"/>
      <c r="AN192" s="454" t="s">
        <v>1115</v>
      </c>
      <c r="AO192" s="456">
        <v>0.0</v>
      </c>
      <c r="AP192" s="515" t="s">
        <v>1115</v>
      </c>
      <c r="AQ192" s="450">
        <v>41.94</v>
      </c>
      <c r="AR192" s="454" t="s">
        <v>1115</v>
      </c>
      <c r="AS192" s="457">
        <v>18.0</v>
      </c>
      <c r="AT192" s="454" t="s">
        <v>1115</v>
      </c>
      <c r="AU192" s="457">
        <v>0.0</v>
      </c>
      <c r="AV192" s="454" t="s">
        <v>1115</v>
      </c>
      <c r="AW192" s="456">
        <v>20.0</v>
      </c>
      <c r="AX192" s="454" t="s">
        <v>1115</v>
      </c>
      <c r="AY192" s="456">
        <v>0.0</v>
      </c>
      <c r="AZ192" s="454" t="s">
        <v>1115</v>
      </c>
      <c r="BA192" s="456">
        <v>0.0</v>
      </c>
      <c r="BB192" s="454" t="s">
        <v>1115</v>
      </c>
      <c r="BC192" s="456">
        <v>0.0</v>
      </c>
      <c r="BD192" s="454" t="s">
        <v>1115</v>
      </c>
      <c r="BE192" s="456">
        <v>40.0</v>
      </c>
    </row>
    <row r="193">
      <c r="M193" s="226"/>
      <c r="N193" s="226"/>
      <c r="O193" s="226"/>
      <c r="P193" s="226"/>
      <c r="AN193" s="454" t="s">
        <v>1244</v>
      </c>
      <c r="AO193" s="456">
        <v>0.0</v>
      </c>
      <c r="AP193" s="515" t="s">
        <v>1244</v>
      </c>
      <c r="AQ193" s="450">
        <v>42.65</v>
      </c>
      <c r="AR193" s="454" t="s">
        <v>1244</v>
      </c>
      <c r="AS193" s="457">
        <v>0.0</v>
      </c>
      <c r="AT193" s="454" t="s">
        <v>1244</v>
      </c>
      <c r="AU193" s="457">
        <v>0.0</v>
      </c>
      <c r="AV193" s="454" t="s">
        <v>1244</v>
      </c>
      <c r="AW193" s="456">
        <v>25.0</v>
      </c>
      <c r="AX193" s="454" t="s">
        <v>1244</v>
      </c>
      <c r="AY193" s="456">
        <v>0.0</v>
      </c>
      <c r="AZ193" s="454" t="s">
        <v>1244</v>
      </c>
      <c r="BA193" s="456">
        <v>0.0</v>
      </c>
      <c r="BB193" s="454" t="s">
        <v>1244</v>
      </c>
      <c r="BC193" s="456">
        <v>20.0</v>
      </c>
      <c r="BD193" s="454" t="s">
        <v>1244</v>
      </c>
      <c r="BE193" s="456">
        <v>0.0</v>
      </c>
    </row>
    <row r="194">
      <c r="M194" s="226"/>
      <c r="N194" s="226"/>
      <c r="O194" s="226"/>
      <c r="P194" s="226"/>
      <c r="AN194" s="454" t="s">
        <v>1111</v>
      </c>
      <c r="AO194" s="456">
        <v>0.0</v>
      </c>
      <c r="AP194" s="515" t="s">
        <v>1111</v>
      </c>
      <c r="AQ194" s="450">
        <v>47.38</v>
      </c>
      <c r="AR194" s="454" t="s">
        <v>1111</v>
      </c>
      <c r="AS194" s="457">
        <v>19.0</v>
      </c>
      <c r="AT194" s="454" t="s">
        <v>1111</v>
      </c>
      <c r="AU194" s="457">
        <v>0.0</v>
      </c>
      <c r="AV194" s="454" t="s">
        <v>1111</v>
      </c>
      <c r="AW194" s="456">
        <v>0.0</v>
      </c>
      <c r="AX194" s="454" t="s">
        <v>1111</v>
      </c>
      <c r="AY194" s="456">
        <v>20.0</v>
      </c>
      <c r="AZ194" s="454" t="s">
        <v>1111</v>
      </c>
      <c r="BA194" s="456">
        <v>0.0</v>
      </c>
      <c r="BB194" s="454" t="s">
        <v>1111</v>
      </c>
      <c r="BC194" s="456">
        <v>0.0</v>
      </c>
      <c r="BD194" s="454" t="s">
        <v>1111</v>
      </c>
      <c r="BE194" s="456">
        <v>40.0</v>
      </c>
    </row>
    <row r="195">
      <c r="M195" s="226"/>
      <c r="N195" s="226"/>
      <c r="O195" s="226"/>
      <c r="P195" s="226"/>
    </row>
    <row r="196">
      <c r="M196" s="226"/>
      <c r="N196" s="226"/>
      <c r="O196" s="226"/>
      <c r="P196" s="226"/>
    </row>
    <row r="197">
      <c r="M197" s="226"/>
      <c r="N197" s="226"/>
      <c r="O197" s="226"/>
      <c r="P197" s="226"/>
      <c r="AN197" s="449" t="s">
        <v>2191</v>
      </c>
      <c r="AO197" s="449" t="s">
        <v>1920</v>
      </c>
      <c r="AP197" s="450" t="s">
        <v>2192</v>
      </c>
      <c r="AQ197" s="450" t="s">
        <v>1922</v>
      </c>
      <c r="AR197" s="449" t="s">
        <v>2191</v>
      </c>
      <c r="AS197" s="450" t="s">
        <v>344</v>
      </c>
      <c r="AT197" s="449" t="s">
        <v>2191</v>
      </c>
      <c r="AU197" s="450" t="s">
        <v>2193</v>
      </c>
      <c r="AV197" s="449" t="s">
        <v>2191</v>
      </c>
      <c r="AW197" s="449" t="s">
        <v>2194</v>
      </c>
      <c r="AX197" s="449" t="s">
        <v>2191</v>
      </c>
      <c r="AY197" s="449" t="s">
        <v>2195</v>
      </c>
      <c r="AZ197" s="449" t="s">
        <v>2191</v>
      </c>
      <c r="BA197" s="449" t="s">
        <v>2196</v>
      </c>
      <c r="BB197" s="449" t="s">
        <v>2191</v>
      </c>
      <c r="BC197" s="449" t="s">
        <v>2197</v>
      </c>
      <c r="BD197" s="449" t="s">
        <v>2191</v>
      </c>
      <c r="BE197" s="449" t="s">
        <v>2198</v>
      </c>
    </row>
    <row r="198">
      <c r="M198" s="226"/>
      <c r="N198" s="226"/>
      <c r="O198" s="226"/>
      <c r="P198" s="226"/>
      <c r="AN198" s="454" t="s">
        <v>974</v>
      </c>
      <c r="AO198" s="456">
        <v>112.0</v>
      </c>
      <c r="AP198" s="515" t="s">
        <v>974</v>
      </c>
      <c r="AQ198" s="644">
        <v>62.94</v>
      </c>
      <c r="AR198" s="454" t="s">
        <v>974</v>
      </c>
      <c r="AS198" s="457">
        <v>0.0</v>
      </c>
      <c r="AT198" s="454" t="s">
        <v>974</v>
      </c>
      <c r="AU198" s="457">
        <v>0.0</v>
      </c>
      <c r="AV198" s="454" t="s">
        <v>974</v>
      </c>
      <c r="AW198" s="456">
        <v>17.0</v>
      </c>
      <c r="AX198" s="454" t="s">
        <v>974</v>
      </c>
      <c r="AY198" s="456">
        <v>16.0</v>
      </c>
      <c r="AZ198" s="454" t="s">
        <v>974</v>
      </c>
      <c r="BA198" s="456">
        <v>0.0</v>
      </c>
      <c r="BB198" s="454" t="s">
        <v>974</v>
      </c>
      <c r="BC198" s="456">
        <v>0.0</v>
      </c>
      <c r="BD198" s="454" t="s">
        <v>974</v>
      </c>
      <c r="BE198" s="456">
        <v>34.0</v>
      </c>
    </row>
    <row r="199">
      <c r="M199" s="226"/>
      <c r="N199" s="226"/>
      <c r="O199" s="226"/>
      <c r="P199" s="226"/>
      <c r="AN199" s="454" t="s">
        <v>975</v>
      </c>
      <c r="AO199" s="456">
        <v>175.0</v>
      </c>
      <c r="AP199" s="515" t="s">
        <v>975</v>
      </c>
      <c r="AQ199" s="644">
        <v>61.22</v>
      </c>
      <c r="AR199" s="454" t="s">
        <v>975</v>
      </c>
      <c r="AS199" s="457">
        <v>0.0</v>
      </c>
      <c r="AT199" s="454" t="s">
        <v>975</v>
      </c>
      <c r="AU199" s="457">
        <v>0.0</v>
      </c>
      <c r="AV199" s="454" t="s">
        <v>975</v>
      </c>
      <c r="AW199" s="456">
        <v>18.0</v>
      </c>
      <c r="AX199" s="454" t="s">
        <v>975</v>
      </c>
      <c r="AY199" s="456">
        <v>0.0</v>
      </c>
      <c r="AZ199" s="454" t="s">
        <v>975</v>
      </c>
      <c r="BA199" s="456">
        <v>0.0</v>
      </c>
      <c r="BB199" s="454" t="s">
        <v>975</v>
      </c>
      <c r="BC199" s="456">
        <v>0.0</v>
      </c>
      <c r="BD199" s="454" t="s">
        <v>975</v>
      </c>
      <c r="BE199" s="456">
        <v>34.0</v>
      </c>
    </row>
    <row r="200">
      <c r="M200" s="226"/>
      <c r="N200" s="226"/>
      <c r="O200" s="226"/>
      <c r="P200" s="226"/>
      <c r="AN200" s="454" t="s">
        <v>976</v>
      </c>
      <c r="AO200" s="456">
        <v>126.0</v>
      </c>
      <c r="AP200" s="515" t="s">
        <v>976</v>
      </c>
      <c r="AQ200" s="537">
        <v>41.59</v>
      </c>
      <c r="AR200" s="454" t="s">
        <v>976</v>
      </c>
      <c r="AS200" s="457">
        <v>0.0</v>
      </c>
      <c r="AT200" s="454" t="s">
        <v>976</v>
      </c>
      <c r="AU200" s="457">
        <v>0.0</v>
      </c>
      <c r="AV200" s="454" t="s">
        <v>976</v>
      </c>
      <c r="AW200" s="456">
        <v>0.0</v>
      </c>
      <c r="AX200" s="454" t="s">
        <v>976</v>
      </c>
      <c r="AY200" s="456">
        <v>0.0</v>
      </c>
      <c r="AZ200" s="454" t="s">
        <v>976</v>
      </c>
      <c r="BA200" s="456">
        <v>0.0</v>
      </c>
      <c r="BB200" s="454" t="s">
        <v>976</v>
      </c>
      <c r="BC200" s="456">
        <v>0.0</v>
      </c>
      <c r="BD200" s="454" t="s">
        <v>976</v>
      </c>
      <c r="BE200" s="456">
        <v>38.0</v>
      </c>
    </row>
    <row r="201">
      <c r="M201" s="226"/>
      <c r="N201" s="226"/>
      <c r="O201" s="226"/>
      <c r="P201" s="226"/>
      <c r="AN201" s="454" t="s">
        <v>977</v>
      </c>
      <c r="AO201" s="456">
        <v>0.0</v>
      </c>
      <c r="AP201" s="515" t="s">
        <v>977</v>
      </c>
      <c r="AQ201" s="457">
        <v>41.28</v>
      </c>
      <c r="AR201" s="454" t="s">
        <v>977</v>
      </c>
      <c r="AS201" s="457">
        <v>0.0</v>
      </c>
      <c r="AT201" s="454" t="s">
        <v>977</v>
      </c>
      <c r="AU201" s="457">
        <v>0.0</v>
      </c>
      <c r="AV201" s="454" t="s">
        <v>977</v>
      </c>
      <c r="AW201" s="456">
        <v>0.0</v>
      </c>
      <c r="AX201" s="454" t="s">
        <v>977</v>
      </c>
      <c r="AY201" s="456">
        <v>0.0</v>
      </c>
      <c r="AZ201" s="454" t="s">
        <v>977</v>
      </c>
      <c r="BA201" s="456">
        <v>16.0</v>
      </c>
      <c r="BB201" s="454" t="s">
        <v>977</v>
      </c>
      <c r="BC201" s="456">
        <v>0.0</v>
      </c>
      <c r="BD201" s="454" t="s">
        <v>977</v>
      </c>
      <c r="BE201" s="456">
        <v>36.0</v>
      </c>
    </row>
    <row r="202">
      <c r="M202" s="226"/>
      <c r="N202" s="226"/>
      <c r="O202" s="226"/>
      <c r="P202" s="226"/>
      <c r="AN202" s="454" t="s">
        <v>979</v>
      </c>
      <c r="AO202" s="456">
        <v>0.0</v>
      </c>
      <c r="AP202" s="515" t="s">
        <v>979</v>
      </c>
      <c r="AQ202" s="457">
        <v>39.03</v>
      </c>
      <c r="AR202" s="454" t="s">
        <v>979</v>
      </c>
      <c r="AS202" s="457">
        <v>14.0</v>
      </c>
      <c r="AT202" s="454" t="s">
        <v>979</v>
      </c>
      <c r="AU202" s="457">
        <v>0.0</v>
      </c>
      <c r="AV202" s="454" t="s">
        <v>979</v>
      </c>
      <c r="AW202" s="456">
        <v>0.0</v>
      </c>
      <c r="AX202" s="454" t="s">
        <v>979</v>
      </c>
      <c r="AY202" s="456">
        <v>18.0</v>
      </c>
      <c r="AZ202" s="454" t="s">
        <v>979</v>
      </c>
      <c r="BA202" s="456">
        <v>0.0</v>
      </c>
      <c r="BB202" s="454" t="s">
        <v>979</v>
      </c>
      <c r="BC202" s="456">
        <v>0.0</v>
      </c>
      <c r="BD202" s="454" t="s">
        <v>979</v>
      </c>
      <c r="BE202" s="456">
        <v>32.0</v>
      </c>
    </row>
    <row r="203">
      <c r="M203" s="226"/>
      <c r="N203" s="226"/>
      <c r="O203" s="226"/>
      <c r="P203" s="226"/>
      <c r="AN203" s="454" t="s">
        <v>981</v>
      </c>
      <c r="AO203" s="456">
        <v>0.0</v>
      </c>
      <c r="AP203" s="515" t="s">
        <v>981</v>
      </c>
      <c r="AQ203" s="457">
        <v>33.42</v>
      </c>
      <c r="AR203" s="454" t="s">
        <v>981</v>
      </c>
      <c r="AS203" s="457">
        <v>0.0</v>
      </c>
      <c r="AT203" s="454" t="s">
        <v>981</v>
      </c>
      <c r="AU203" s="457">
        <v>0.0</v>
      </c>
      <c r="AV203" s="454" t="s">
        <v>981</v>
      </c>
      <c r="AW203" s="456">
        <v>16.0</v>
      </c>
      <c r="AX203" s="454" t="s">
        <v>981</v>
      </c>
      <c r="AY203" s="456">
        <v>0.0</v>
      </c>
      <c r="AZ203" s="454" t="s">
        <v>981</v>
      </c>
      <c r="BA203" s="456">
        <v>0.0</v>
      </c>
      <c r="BB203" s="454" t="s">
        <v>981</v>
      </c>
      <c r="BC203" s="456">
        <v>0.0</v>
      </c>
      <c r="BD203" s="454" t="s">
        <v>981</v>
      </c>
      <c r="BE203" s="456">
        <v>0.0</v>
      </c>
    </row>
    <row r="204">
      <c r="M204" s="226"/>
      <c r="N204" s="226"/>
      <c r="O204" s="226"/>
      <c r="P204" s="226"/>
      <c r="AN204" s="454" t="s">
        <v>983</v>
      </c>
      <c r="AO204" s="456">
        <v>0.0</v>
      </c>
      <c r="AP204" s="515" t="s">
        <v>983</v>
      </c>
      <c r="AQ204" s="457">
        <v>32.46</v>
      </c>
      <c r="AR204" s="454" t="s">
        <v>983</v>
      </c>
      <c r="AS204" s="457">
        <v>0.0</v>
      </c>
      <c r="AT204" s="454" t="s">
        <v>983</v>
      </c>
      <c r="AU204" s="457">
        <v>0.0</v>
      </c>
      <c r="AV204" s="454" t="s">
        <v>983</v>
      </c>
      <c r="AW204" s="456">
        <v>0.0</v>
      </c>
      <c r="AX204" s="454" t="s">
        <v>983</v>
      </c>
      <c r="AY204" s="456">
        <v>0.0</v>
      </c>
      <c r="AZ204" s="454" t="s">
        <v>983</v>
      </c>
      <c r="BA204" s="456">
        <v>18.0</v>
      </c>
      <c r="BB204" s="454" t="s">
        <v>983</v>
      </c>
      <c r="BC204" s="456">
        <v>0.0</v>
      </c>
      <c r="BD204" s="454" t="s">
        <v>983</v>
      </c>
      <c r="BE204" s="456">
        <v>38.0</v>
      </c>
    </row>
    <row r="205">
      <c r="M205" s="226"/>
      <c r="N205" s="226"/>
      <c r="O205" s="226"/>
      <c r="P205" s="226"/>
      <c r="AN205" s="454" t="s">
        <v>985</v>
      </c>
      <c r="AO205" s="456">
        <v>0.0</v>
      </c>
      <c r="AP205" s="515" t="s">
        <v>985</v>
      </c>
      <c r="AQ205" s="457">
        <v>31.82</v>
      </c>
      <c r="AR205" s="454" t="s">
        <v>985</v>
      </c>
      <c r="AS205" s="457">
        <v>0.0</v>
      </c>
      <c r="AT205" s="454" t="s">
        <v>985</v>
      </c>
      <c r="AU205" s="457">
        <v>0.0</v>
      </c>
      <c r="AV205" s="454" t="s">
        <v>985</v>
      </c>
      <c r="AW205" s="456">
        <v>0.0</v>
      </c>
      <c r="AX205" s="454" t="s">
        <v>985</v>
      </c>
      <c r="AY205" s="456">
        <v>18.0</v>
      </c>
      <c r="AZ205" s="454" t="s">
        <v>985</v>
      </c>
      <c r="BA205" s="456">
        <v>0.0</v>
      </c>
      <c r="BB205" s="454" t="s">
        <v>985</v>
      </c>
      <c r="BC205" s="456">
        <v>0.0</v>
      </c>
      <c r="BD205" s="454" t="s">
        <v>985</v>
      </c>
      <c r="BE205" s="456">
        <v>34.0</v>
      </c>
    </row>
    <row r="206">
      <c r="M206" s="226"/>
      <c r="N206" s="226"/>
      <c r="O206" s="226"/>
      <c r="P206" s="226"/>
      <c r="AN206" s="454" t="s">
        <v>987</v>
      </c>
      <c r="AO206" s="456">
        <v>0.0</v>
      </c>
      <c r="AP206" s="515" t="s">
        <v>987</v>
      </c>
      <c r="AQ206" s="457">
        <v>31.82</v>
      </c>
      <c r="AR206" s="454" t="s">
        <v>987</v>
      </c>
      <c r="AS206" s="457">
        <v>0.0</v>
      </c>
      <c r="AT206" s="454" t="s">
        <v>987</v>
      </c>
      <c r="AU206" s="457">
        <v>0.0</v>
      </c>
      <c r="AV206" s="454" t="s">
        <v>987</v>
      </c>
      <c r="AW206" s="456">
        <v>0.0</v>
      </c>
      <c r="AX206" s="454" t="s">
        <v>987</v>
      </c>
      <c r="AY206" s="456">
        <v>16.0</v>
      </c>
      <c r="AZ206" s="454" t="s">
        <v>987</v>
      </c>
      <c r="BA206" s="456">
        <v>0.0</v>
      </c>
      <c r="BB206" s="454" t="s">
        <v>987</v>
      </c>
      <c r="BC206" s="456">
        <v>0.0</v>
      </c>
      <c r="BD206" s="454" t="s">
        <v>987</v>
      </c>
      <c r="BE206" s="456">
        <v>38.0</v>
      </c>
    </row>
    <row r="207">
      <c r="M207" s="226"/>
      <c r="N207" s="226"/>
      <c r="O207" s="226"/>
      <c r="P207" s="226"/>
      <c r="AN207" s="454" t="s">
        <v>988</v>
      </c>
      <c r="AO207" s="456">
        <v>0.0</v>
      </c>
      <c r="AP207" s="515" t="s">
        <v>988</v>
      </c>
      <c r="AQ207" s="457">
        <v>29.86</v>
      </c>
      <c r="AR207" s="454" t="s">
        <v>988</v>
      </c>
      <c r="AS207" s="457">
        <v>0.0</v>
      </c>
      <c r="AT207" s="454" t="s">
        <v>988</v>
      </c>
      <c r="AU207" s="457">
        <v>0.0</v>
      </c>
      <c r="AV207" s="454" t="s">
        <v>988</v>
      </c>
      <c r="AW207" s="456">
        <v>23.0</v>
      </c>
      <c r="AX207" s="454" t="s">
        <v>988</v>
      </c>
      <c r="AY207" s="456">
        <v>16.0</v>
      </c>
      <c r="AZ207" s="454" t="s">
        <v>988</v>
      </c>
      <c r="BA207" s="456">
        <v>0.0</v>
      </c>
      <c r="BB207" s="454" t="s">
        <v>988</v>
      </c>
      <c r="BC207" s="456">
        <v>0.0</v>
      </c>
      <c r="BD207" s="454" t="s">
        <v>988</v>
      </c>
      <c r="BE207" s="456">
        <v>0.0</v>
      </c>
    </row>
    <row r="208">
      <c r="M208" s="226"/>
      <c r="N208" s="226"/>
      <c r="O208" s="226"/>
      <c r="P208" s="226"/>
      <c r="AN208" s="454" t="s">
        <v>989</v>
      </c>
      <c r="AO208" s="456">
        <v>0.0</v>
      </c>
      <c r="AP208" s="515" t="s">
        <v>989</v>
      </c>
      <c r="AQ208" s="457">
        <v>29.58</v>
      </c>
      <c r="AR208" s="454" t="s">
        <v>989</v>
      </c>
      <c r="AS208" s="457">
        <v>0.0</v>
      </c>
      <c r="AT208" s="454" t="s">
        <v>989</v>
      </c>
      <c r="AU208" s="457">
        <v>0.0</v>
      </c>
      <c r="AV208" s="454" t="s">
        <v>989</v>
      </c>
      <c r="AW208" s="456">
        <v>14.0</v>
      </c>
      <c r="AX208" s="454" t="s">
        <v>989</v>
      </c>
      <c r="AY208" s="456">
        <v>0.0</v>
      </c>
      <c r="AZ208" s="454" t="s">
        <v>989</v>
      </c>
      <c r="BA208" s="456">
        <v>10.0</v>
      </c>
      <c r="BB208" s="454" t="s">
        <v>989</v>
      </c>
      <c r="BC208" s="456">
        <v>0.0</v>
      </c>
      <c r="BD208" s="454" t="s">
        <v>989</v>
      </c>
      <c r="BE208" s="456">
        <v>26.0</v>
      </c>
    </row>
    <row r="209">
      <c r="M209" s="226"/>
      <c r="N209" s="226"/>
      <c r="O209" s="226"/>
      <c r="P209" s="226"/>
      <c r="AN209" s="454" t="s">
        <v>992</v>
      </c>
      <c r="AO209" s="456">
        <v>0.0</v>
      </c>
      <c r="AP209" s="515" t="s">
        <v>992</v>
      </c>
      <c r="AQ209" s="457">
        <v>29.09</v>
      </c>
      <c r="AR209" s="454" t="s">
        <v>992</v>
      </c>
      <c r="AS209" s="457">
        <v>0.0</v>
      </c>
      <c r="AT209" s="454" t="s">
        <v>992</v>
      </c>
      <c r="AU209" s="457">
        <v>0.0</v>
      </c>
      <c r="AV209" s="454" t="s">
        <v>992</v>
      </c>
      <c r="AW209" s="456">
        <v>0.0</v>
      </c>
      <c r="AX209" s="454" t="s">
        <v>992</v>
      </c>
      <c r="AY209" s="456">
        <v>17.0</v>
      </c>
      <c r="AZ209" s="454" t="s">
        <v>992</v>
      </c>
      <c r="BA209" s="456">
        <v>0.0</v>
      </c>
      <c r="BB209" s="454" t="s">
        <v>992</v>
      </c>
      <c r="BC209" s="456">
        <v>0.0</v>
      </c>
      <c r="BD209" s="454" t="s">
        <v>992</v>
      </c>
      <c r="BE209" s="456">
        <v>30.0</v>
      </c>
    </row>
    <row r="210">
      <c r="M210" s="226"/>
      <c r="N210" s="226"/>
      <c r="O210" s="226"/>
      <c r="P210" s="226"/>
      <c r="AN210" s="454" t="s">
        <v>994</v>
      </c>
      <c r="AO210" s="456">
        <v>0.0</v>
      </c>
      <c r="AP210" s="515" t="s">
        <v>994</v>
      </c>
      <c r="AQ210" s="457">
        <v>28.11</v>
      </c>
      <c r="AR210" s="454" t="s">
        <v>994</v>
      </c>
      <c r="AS210" s="457">
        <v>0.0</v>
      </c>
      <c r="AT210" s="454" t="s">
        <v>994</v>
      </c>
      <c r="AU210" s="457">
        <v>0.0</v>
      </c>
      <c r="AV210" s="454" t="s">
        <v>994</v>
      </c>
      <c r="AW210" s="456">
        <v>19.0</v>
      </c>
      <c r="AX210" s="454" t="s">
        <v>994</v>
      </c>
      <c r="AY210" s="456">
        <v>0.0</v>
      </c>
      <c r="AZ210" s="454" t="s">
        <v>994</v>
      </c>
      <c r="BA210" s="456">
        <v>0.0</v>
      </c>
      <c r="BB210" s="454" t="s">
        <v>994</v>
      </c>
      <c r="BC210" s="456">
        <v>0.0</v>
      </c>
      <c r="BD210" s="454" t="s">
        <v>994</v>
      </c>
      <c r="BE210" s="456">
        <v>34.0</v>
      </c>
    </row>
    <row r="211">
      <c r="M211" s="226"/>
      <c r="N211" s="226"/>
      <c r="O211" s="226"/>
      <c r="P211" s="226"/>
      <c r="AN211" s="455"/>
      <c r="AO211" s="632"/>
      <c r="AP211" s="455"/>
      <c r="AQ211" s="632"/>
      <c r="AR211" s="455"/>
      <c r="AS211" s="632"/>
      <c r="AT211" s="455"/>
      <c r="AU211" s="632"/>
      <c r="AV211" s="455"/>
      <c r="AW211" s="632"/>
      <c r="AX211" s="455"/>
      <c r="AY211" s="632"/>
      <c r="AZ211" s="455"/>
      <c r="BA211" s="632"/>
      <c r="BB211" s="455"/>
      <c r="BC211" s="632"/>
      <c r="BD211" s="455"/>
      <c r="BE211" s="632"/>
    </row>
    <row r="212">
      <c r="A212" s="645"/>
      <c r="B212" s="645"/>
      <c r="C212" s="645"/>
      <c r="D212" s="645"/>
      <c r="E212" s="645"/>
      <c r="F212" s="645"/>
      <c r="G212" s="645"/>
      <c r="H212" s="645"/>
      <c r="I212" s="645"/>
      <c r="M212" s="226"/>
      <c r="N212" s="226"/>
      <c r="O212" s="226"/>
      <c r="P212" s="226"/>
    </row>
    <row r="213">
      <c r="A213" s="449" t="s">
        <v>2199</v>
      </c>
      <c r="B213" s="449" t="s">
        <v>327</v>
      </c>
      <c r="C213" s="450"/>
      <c r="D213" s="450" t="s">
        <v>356</v>
      </c>
      <c r="E213" s="449"/>
      <c r="F213" s="450" t="s">
        <v>1920</v>
      </c>
      <c r="G213" s="449"/>
      <c r="H213" s="450"/>
      <c r="I213" s="646"/>
      <c r="J213" s="574"/>
      <c r="K213" s="574"/>
      <c r="L213" s="574"/>
      <c r="M213" s="574"/>
      <c r="N213" s="574"/>
      <c r="O213" s="574"/>
      <c r="P213" s="574"/>
      <c r="Q213" s="574"/>
      <c r="R213" s="574"/>
      <c r="AN213" s="449" t="s">
        <v>2200</v>
      </c>
      <c r="AO213" s="449" t="s">
        <v>1920</v>
      </c>
      <c r="AP213" s="450" t="s">
        <v>2201</v>
      </c>
      <c r="AQ213" s="450" t="s">
        <v>1922</v>
      </c>
      <c r="AR213" s="449" t="s">
        <v>2200</v>
      </c>
      <c r="AS213" s="450" t="s">
        <v>344</v>
      </c>
      <c r="AT213" s="449" t="s">
        <v>2200</v>
      </c>
      <c r="AU213" s="450" t="s">
        <v>2202</v>
      </c>
      <c r="AV213" s="449" t="s">
        <v>2200</v>
      </c>
      <c r="AW213" s="449" t="s">
        <v>2203</v>
      </c>
      <c r="AX213" s="449" t="s">
        <v>2200</v>
      </c>
      <c r="AY213" s="449" t="s">
        <v>2204</v>
      </c>
      <c r="AZ213" s="449" t="s">
        <v>2200</v>
      </c>
      <c r="BA213" s="449" t="s">
        <v>2205</v>
      </c>
      <c r="BB213" s="449" t="s">
        <v>2200</v>
      </c>
      <c r="BC213" s="449" t="s">
        <v>2206</v>
      </c>
      <c r="BD213" s="449" t="s">
        <v>2200</v>
      </c>
      <c r="BE213" s="449" t="s">
        <v>2207</v>
      </c>
    </row>
    <row r="214">
      <c r="A214" s="454" t="s">
        <v>934</v>
      </c>
      <c r="B214" s="456">
        <v>132.0</v>
      </c>
      <c r="C214" s="515" t="s">
        <v>934</v>
      </c>
      <c r="D214" s="644">
        <v>0.0</v>
      </c>
      <c r="E214" s="454" t="s">
        <v>934</v>
      </c>
      <c r="F214" s="457">
        <v>0.0</v>
      </c>
      <c r="G214" s="454" t="s">
        <v>934</v>
      </c>
      <c r="H214" s="457">
        <v>0.0</v>
      </c>
      <c r="I214" s="647"/>
      <c r="J214" s="632"/>
      <c r="K214" s="455"/>
      <c r="L214" s="632"/>
      <c r="M214" s="455"/>
      <c r="N214" s="632"/>
      <c r="O214" s="455"/>
      <c r="P214" s="632"/>
      <c r="Q214" s="455"/>
      <c r="R214" s="632"/>
      <c r="AN214" s="454" t="s">
        <v>934</v>
      </c>
      <c r="AO214" s="456">
        <v>0.0</v>
      </c>
      <c r="AP214" s="515" t="s">
        <v>934</v>
      </c>
      <c r="AQ214" s="644">
        <v>105.57</v>
      </c>
      <c r="AR214" s="454" t="s">
        <v>934</v>
      </c>
      <c r="AS214" s="457">
        <v>0.0</v>
      </c>
      <c r="AT214" s="454" t="s">
        <v>934</v>
      </c>
      <c r="AU214" s="457">
        <v>0.0</v>
      </c>
      <c r="AV214" s="454" t="s">
        <v>934</v>
      </c>
      <c r="AW214" s="456">
        <v>0.0</v>
      </c>
      <c r="AX214" s="454" t="s">
        <v>934</v>
      </c>
      <c r="AY214" s="456">
        <v>0.0</v>
      </c>
      <c r="AZ214" s="454" t="s">
        <v>934</v>
      </c>
      <c r="BA214" s="456">
        <v>54.0</v>
      </c>
      <c r="BB214" s="454" t="s">
        <v>934</v>
      </c>
      <c r="BC214" s="456">
        <v>0.0</v>
      </c>
      <c r="BD214" s="454" t="s">
        <v>934</v>
      </c>
      <c r="BE214" s="456">
        <v>0.0</v>
      </c>
    </row>
    <row r="215">
      <c r="A215" s="454" t="s">
        <v>938</v>
      </c>
      <c r="B215" s="456">
        <v>92.0</v>
      </c>
      <c r="C215" s="515" t="s">
        <v>938</v>
      </c>
      <c r="D215" s="644">
        <v>0.0</v>
      </c>
      <c r="E215" s="454" t="s">
        <v>938</v>
      </c>
      <c r="F215" s="457">
        <v>0.0</v>
      </c>
      <c r="G215" s="454" t="s">
        <v>938</v>
      </c>
      <c r="H215" s="457">
        <v>0.0</v>
      </c>
      <c r="I215" s="647"/>
      <c r="J215" s="632"/>
      <c r="K215" s="455"/>
      <c r="L215" s="632"/>
      <c r="M215" s="455"/>
      <c r="N215" s="632"/>
      <c r="O215" s="455"/>
      <c r="P215" s="632"/>
      <c r="Q215" s="455"/>
      <c r="R215" s="632"/>
      <c r="AN215" s="454" t="s">
        <v>938</v>
      </c>
      <c r="AO215" s="456">
        <v>0.0</v>
      </c>
      <c r="AP215" s="515" t="s">
        <v>938</v>
      </c>
      <c r="AQ215" s="644">
        <v>99.01</v>
      </c>
      <c r="AR215" s="454" t="s">
        <v>938</v>
      </c>
      <c r="AS215" s="457">
        <v>0.0</v>
      </c>
      <c r="AT215" s="454" t="s">
        <v>938</v>
      </c>
      <c r="AU215" s="457">
        <v>0.0</v>
      </c>
      <c r="AV215" s="454" t="s">
        <v>938</v>
      </c>
      <c r="AW215" s="456">
        <v>0.0</v>
      </c>
      <c r="AX215" s="454" t="s">
        <v>938</v>
      </c>
      <c r="AY215" s="456">
        <v>0.0</v>
      </c>
      <c r="AZ215" s="454" t="s">
        <v>938</v>
      </c>
      <c r="BA215" s="456">
        <v>0.0</v>
      </c>
      <c r="BB215" s="454" t="s">
        <v>938</v>
      </c>
      <c r="BC215" s="456">
        <v>44.0</v>
      </c>
      <c r="BD215" s="454" t="s">
        <v>938</v>
      </c>
      <c r="BE215" s="456">
        <v>0.0</v>
      </c>
    </row>
    <row r="216">
      <c r="A216" s="454" t="s">
        <v>936</v>
      </c>
      <c r="B216" s="456">
        <v>0.0</v>
      </c>
      <c r="C216" s="515" t="s">
        <v>936</v>
      </c>
      <c r="D216" s="537">
        <v>94.25</v>
      </c>
      <c r="E216" s="454" t="s">
        <v>936</v>
      </c>
      <c r="F216" s="457">
        <v>0.0</v>
      </c>
      <c r="G216" s="454" t="s">
        <v>936</v>
      </c>
      <c r="H216" s="457">
        <v>0.0</v>
      </c>
      <c r="I216" s="647"/>
      <c r="J216" s="632"/>
      <c r="K216" s="455"/>
      <c r="L216" s="632"/>
      <c r="M216" s="455"/>
      <c r="N216" s="632"/>
      <c r="O216" s="455"/>
      <c r="P216" s="632"/>
      <c r="Q216" s="455"/>
      <c r="R216" s="632"/>
      <c r="AN216" s="454" t="s">
        <v>936</v>
      </c>
      <c r="AO216" s="456">
        <v>0.0</v>
      </c>
      <c r="AP216" s="515" t="s">
        <v>936</v>
      </c>
      <c r="AQ216" s="537">
        <v>97.73</v>
      </c>
      <c r="AR216" s="454" t="s">
        <v>936</v>
      </c>
      <c r="AS216" s="457">
        <v>0.0</v>
      </c>
      <c r="AT216" s="454" t="s">
        <v>936</v>
      </c>
      <c r="AU216" s="457">
        <v>0.0</v>
      </c>
      <c r="AV216" s="454" t="s">
        <v>936</v>
      </c>
      <c r="AW216" s="456">
        <v>0.0</v>
      </c>
      <c r="AX216" s="454" t="s">
        <v>936</v>
      </c>
      <c r="AY216" s="456">
        <v>0.0</v>
      </c>
      <c r="AZ216" s="454" t="s">
        <v>936</v>
      </c>
      <c r="BA216" s="456">
        <v>0.0</v>
      </c>
      <c r="BB216" s="454" t="s">
        <v>936</v>
      </c>
      <c r="BC216" s="456">
        <v>0.0</v>
      </c>
      <c r="BD216" s="454" t="s">
        <v>936</v>
      </c>
      <c r="BE216" s="456">
        <v>40.0</v>
      </c>
    </row>
    <row r="217">
      <c r="A217" s="454" t="s">
        <v>941</v>
      </c>
      <c r="B217" s="456">
        <v>0.0</v>
      </c>
      <c r="C217" s="515" t="s">
        <v>941</v>
      </c>
      <c r="D217" s="457">
        <v>0.0</v>
      </c>
      <c r="E217" s="454" t="s">
        <v>941</v>
      </c>
      <c r="F217" s="457">
        <v>120.0</v>
      </c>
      <c r="G217" s="454" t="s">
        <v>941</v>
      </c>
      <c r="H217" s="457">
        <v>0.0</v>
      </c>
      <c r="I217" s="647"/>
      <c r="J217" s="632"/>
      <c r="K217" s="455"/>
      <c r="L217" s="632"/>
      <c r="M217" s="455"/>
      <c r="N217" s="632"/>
      <c r="O217" s="455"/>
      <c r="P217" s="632"/>
      <c r="Q217" s="455"/>
      <c r="R217" s="632"/>
      <c r="AN217" s="454" t="s">
        <v>941</v>
      </c>
      <c r="AO217" s="456">
        <v>0.0</v>
      </c>
      <c r="AP217" s="515" t="s">
        <v>941</v>
      </c>
      <c r="AQ217" s="457">
        <v>72.94</v>
      </c>
      <c r="AR217" s="454" t="s">
        <v>941</v>
      </c>
      <c r="AS217" s="457">
        <v>20.0</v>
      </c>
      <c r="AT217" s="454" t="s">
        <v>941</v>
      </c>
      <c r="AU217" s="457">
        <v>0.0</v>
      </c>
      <c r="AV217" s="454" t="s">
        <v>941</v>
      </c>
      <c r="AW217" s="456">
        <v>0.0</v>
      </c>
      <c r="AX217" s="454" t="s">
        <v>941</v>
      </c>
      <c r="AY217" s="456">
        <v>0.0</v>
      </c>
      <c r="AZ217" s="454" t="s">
        <v>941</v>
      </c>
      <c r="BA217" s="456">
        <v>0.0</v>
      </c>
      <c r="BB217" s="454" t="s">
        <v>941</v>
      </c>
      <c r="BC217" s="456">
        <v>0.0</v>
      </c>
      <c r="BD217" s="454" t="s">
        <v>941</v>
      </c>
      <c r="BE217" s="456">
        <v>84.0</v>
      </c>
    </row>
    <row r="218">
      <c r="A218" s="454" t="s">
        <v>946</v>
      </c>
      <c r="B218" s="456">
        <v>60.0</v>
      </c>
      <c r="C218" s="515" t="s">
        <v>946</v>
      </c>
      <c r="D218" s="457">
        <v>0.0</v>
      </c>
      <c r="E218" s="454" t="s">
        <v>946</v>
      </c>
      <c r="F218" s="457">
        <v>0.0</v>
      </c>
      <c r="G218" s="454" t="s">
        <v>946</v>
      </c>
      <c r="H218" s="457">
        <v>0.0</v>
      </c>
      <c r="I218" s="647"/>
      <c r="J218" s="632"/>
      <c r="K218" s="455"/>
      <c r="L218" s="632"/>
      <c r="M218" s="455"/>
      <c r="N218" s="632"/>
      <c r="O218" s="455"/>
      <c r="P218" s="632"/>
      <c r="Q218" s="455"/>
      <c r="R218" s="632"/>
      <c r="AN218" s="454" t="s">
        <v>946</v>
      </c>
      <c r="AO218" s="456">
        <v>0.0</v>
      </c>
      <c r="AP218" s="515" t="s">
        <v>946</v>
      </c>
      <c r="AQ218" s="457">
        <v>68.18</v>
      </c>
      <c r="AR218" s="454" t="s">
        <v>946</v>
      </c>
      <c r="AS218" s="457">
        <v>0.0</v>
      </c>
      <c r="AT218" s="454" t="s">
        <v>946</v>
      </c>
      <c r="AU218" s="457">
        <v>0.0</v>
      </c>
      <c r="AV218" s="454" t="s">
        <v>946</v>
      </c>
      <c r="AW218" s="456">
        <v>0.0</v>
      </c>
      <c r="AX218" s="454" t="s">
        <v>946</v>
      </c>
      <c r="AY218" s="456">
        <v>0.0</v>
      </c>
      <c r="AZ218" s="454" t="s">
        <v>946</v>
      </c>
      <c r="BA218" s="456">
        <v>0.0</v>
      </c>
      <c r="BB218" s="454" t="s">
        <v>946</v>
      </c>
      <c r="BC218" s="456">
        <v>0.0</v>
      </c>
      <c r="BD218" s="454" t="s">
        <v>946</v>
      </c>
      <c r="BE218" s="456">
        <v>90.0</v>
      </c>
    </row>
    <row r="219">
      <c r="A219" s="454" t="s">
        <v>956</v>
      </c>
      <c r="B219" s="456">
        <v>44.0</v>
      </c>
      <c r="C219" s="515" t="s">
        <v>956</v>
      </c>
      <c r="D219" s="457">
        <v>0.0</v>
      </c>
      <c r="E219" s="454" t="s">
        <v>956</v>
      </c>
      <c r="F219" s="457">
        <v>0.0</v>
      </c>
      <c r="G219" s="454" t="s">
        <v>956</v>
      </c>
      <c r="H219" s="457">
        <v>0.0</v>
      </c>
      <c r="I219" s="647"/>
      <c r="J219" s="632"/>
      <c r="K219" s="455"/>
      <c r="L219" s="632"/>
      <c r="M219" s="455"/>
      <c r="N219" s="632"/>
      <c r="O219" s="455"/>
      <c r="P219" s="632"/>
      <c r="Q219" s="455"/>
      <c r="R219" s="632"/>
      <c r="AN219" s="454" t="s">
        <v>956</v>
      </c>
      <c r="AO219" s="456">
        <v>0.0</v>
      </c>
      <c r="AP219" s="515" t="s">
        <v>956</v>
      </c>
      <c r="AQ219" s="457">
        <v>60.34</v>
      </c>
      <c r="AR219" s="454" t="s">
        <v>956</v>
      </c>
      <c r="AS219" s="457">
        <v>10.0</v>
      </c>
      <c r="AT219" s="454" t="s">
        <v>956</v>
      </c>
      <c r="AU219" s="457">
        <v>0.0</v>
      </c>
      <c r="AV219" s="454" t="s">
        <v>956</v>
      </c>
      <c r="AW219" s="456">
        <v>0.0</v>
      </c>
      <c r="AX219" s="454" t="s">
        <v>956</v>
      </c>
      <c r="AY219" s="456">
        <v>38.0</v>
      </c>
      <c r="AZ219" s="454" t="s">
        <v>956</v>
      </c>
      <c r="BA219" s="456">
        <v>0.0</v>
      </c>
      <c r="BB219" s="454" t="s">
        <v>956</v>
      </c>
      <c r="BC219" s="456">
        <v>0.0</v>
      </c>
      <c r="BD219" s="454" t="s">
        <v>956</v>
      </c>
      <c r="BE219" s="456">
        <v>0.0</v>
      </c>
    </row>
    <row r="220">
      <c r="A220" s="454" t="s">
        <v>962</v>
      </c>
      <c r="B220" s="456">
        <v>46.0</v>
      </c>
      <c r="C220" s="515" t="s">
        <v>962</v>
      </c>
      <c r="D220" s="457">
        <v>0.0</v>
      </c>
      <c r="E220" s="454" t="s">
        <v>962</v>
      </c>
      <c r="F220" s="457">
        <v>0.0</v>
      </c>
      <c r="G220" s="454" t="s">
        <v>962</v>
      </c>
      <c r="H220" s="457">
        <v>0.0</v>
      </c>
      <c r="I220" s="647"/>
      <c r="J220" s="632"/>
      <c r="K220" s="455"/>
      <c r="L220" s="632"/>
      <c r="M220" s="455"/>
      <c r="N220" s="632"/>
      <c r="O220" s="455"/>
      <c r="P220" s="632"/>
      <c r="Q220" s="455"/>
      <c r="R220" s="632"/>
      <c r="AN220" s="454" t="s">
        <v>962</v>
      </c>
      <c r="AO220" s="456">
        <v>0.0</v>
      </c>
      <c r="AP220" s="515" t="s">
        <v>962</v>
      </c>
      <c r="AQ220" s="457">
        <v>53.63</v>
      </c>
      <c r="AR220" s="454" t="s">
        <v>962</v>
      </c>
      <c r="AS220" s="457">
        <v>0.0</v>
      </c>
      <c r="AT220" s="454" t="s">
        <v>962</v>
      </c>
      <c r="AU220" s="457">
        <v>0.0</v>
      </c>
      <c r="AV220" s="454" t="s">
        <v>962</v>
      </c>
      <c r="AW220" s="456">
        <v>0.0</v>
      </c>
      <c r="AX220" s="454" t="s">
        <v>962</v>
      </c>
      <c r="AY220" s="456">
        <v>0.0</v>
      </c>
      <c r="AZ220" s="454" t="s">
        <v>962</v>
      </c>
      <c r="BA220" s="456">
        <v>0.0</v>
      </c>
      <c r="BB220" s="454" t="s">
        <v>962</v>
      </c>
      <c r="BC220" s="456">
        <v>0.0</v>
      </c>
      <c r="BD220" s="454" t="s">
        <v>962</v>
      </c>
      <c r="BE220" s="456">
        <v>72.0</v>
      </c>
    </row>
    <row r="221">
      <c r="A221" s="454" t="s">
        <v>2208</v>
      </c>
      <c r="B221" s="456">
        <v>120.0</v>
      </c>
      <c r="C221" s="515" t="s">
        <v>2208</v>
      </c>
      <c r="D221" s="457">
        <v>0.0</v>
      </c>
      <c r="E221" s="454" t="s">
        <v>2208</v>
      </c>
      <c r="F221" s="457">
        <v>0.0</v>
      </c>
      <c r="G221" s="454" t="s">
        <v>2208</v>
      </c>
      <c r="H221" s="457">
        <v>0.0</v>
      </c>
      <c r="I221" s="647"/>
      <c r="J221" s="632"/>
      <c r="K221" s="455"/>
      <c r="L221" s="632"/>
      <c r="M221" s="455"/>
      <c r="N221" s="632"/>
      <c r="O221" s="455"/>
      <c r="P221" s="632"/>
      <c r="Q221" s="455"/>
      <c r="R221" s="632"/>
      <c r="AN221" s="454" t="s">
        <v>2208</v>
      </c>
      <c r="AO221" s="456">
        <v>0.0</v>
      </c>
      <c r="AP221" s="515" t="s">
        <v>2208</v>
      </c>
      <c r="AQ221" s="457">
        <v>54.54</v>
      </c>
      <c r="AR221" s="454" t="s">
        <v>2208</v>
      </c>
      <c r="AS221" s="457">
        <v>0.0</v>
      </c>
      <c r="AT221" s="454" t="s">
        <v>2208</v>
      </c>
      <c r="AU221" s="457">
        <v>0.0</v>
      </c>
      <c r="AV221" s="454" t="s">
        <v>2208</v>
      </c>
      <c r="AW221" s="456">
        <v>0.0</v>
      </c>
      <c r="AX221" s="454" t="s">
        <v>2208</v>
      </c>
      <c r="AY221" s="456">
        <v>0.0</v>
      </c>
      <c r="AZ221" s="454" t="s">
        <v>2208</v>
      </c>
      <c r="BA221" s="456">
        <v>0.0</v>
      </c>
      <c r="BB221" s="454" t="s">
        <v>2208</v>
      </c>
      <c r="BC221" s="456">
        <v>0.0</v>
      </c>
      <c r="BD221" s="454" t="s">
        <v>2208</v>
      </c>
      <c r="BE221" s="456">
        <v>0.0</v>
      </c>
    </row>
    <row r="222">
      <c r="A222" s="454" t="s">
        <v>969</v>
      </c>
      <c r="B222" s="456">
        <v>39.0</v>
      </c>
      <c r="C222" s="515" t="s">
        <v>969</v>
      </c>
      <c r="D222" s="457">
        <v>0.0</v>
      </c>
      <c r="E222" s="454" t="s">
        <v>969</v>
      </c>
      <c r="F222" s="457">
        <v>0.0</v>
      </c>
      <c r="G222" s="454" t="s">
        <v>969</v>
      </c>
      <c r="H222" s="457">
        <v>0.0</v>
      </c>
      <c r="I222" s="647"/>
      <c r="J222" s="632"/>
      <c r="K222" s="455"/>
      <c r="L222" s="632"/>
      <c r="M222" s="455"/>
      <c r="N222" s="632"/>
      <c r="O222" s="455"/>
      <c r="P222" s="632"/>
      <c r="Q222" s="455"/>
      <c r="R222" s="632"/>
      <c r="AN222" s="454" t="s">
        <v>969</v>
      </c>
      <c r="AO222" s="456">
        <v>0.0</v>
      </c>
      <c r="AP222" s="515" t="s">
        <v>969</v>
      </c>
      <c r="AQ222" s="457">
        <v>46.81</v>
      </c>
      <c r="AR222" s="454" t="s">
        <v>969</v>
      </c>
      <c r="AS222" s="457">
        <v>0.0</v>
      </c>
      <c r="AT222" s="454" t="s">
        <v>969</v>
      </c>
      <c r="AU222" s="457">
        <v>0.0</v>
      </c>
      <c r="AV222" s="454" t="s">
        <v>969</v>
      </c>
      <c r="AW222" s="456">
        <v>0.0</v>
      </c>
      <c r="AX222" s="454" t="s">
        <v>969</v>
      </c>
      <c r="AY222" s="456">
        <v>32.0</v>
      </c>
      <c r="AZ222" s="454" t="s">
        <v>969</v>
      </c>
      <c r="BA222" s="456">
        <v>0.0</v>
      </c>
      <c r="BB222" s="454" t="s">
        <v>969</v>
      </c>
      <c r="BC222" s="456">
        <v>0.0</v>
      </c>
      <c r="BD222" s="454" t="s">
        <v>969</v>
      </c>
      <c r="BE222" s="456">
        <v>0.0</v>
      </c>
    </row>
    <row r="223">
      <c r="A223" s="648"/>
      <c r="B223" s="648"/>
      <c r="C223" s="648"/>
      <c r="D223" s="648"/>
      <c r="E223" s="648"/>
      <c r="F223" s="648"/>
      <c r="G223" s="648"/>
      <c r="H223" s="648"/>
      <c r="I223" s="648"/>
      <c r="M223" s="226"/>
      <c r="N223" s="226"/>
      <c r="O223" s="226"/>
      <c r="P223" s="226"/>
      <c r="AS223" s="112"/>
      <c r="AT223" s="112"/>
      <c r="AU223" s="112"/>
    </row>
    <row r="224">
      <c r="A224" s="649"/>
      <c r="B224" s="649"/>
      <c r="C224" s="649"/>
      <c r="D224" s="649"/>
      <c r="E224" s="649"/>
      <c r="F224" s="649"/>
      <c r="G224" s="649"/>
      <c r="H224" s="649"/>
      <c r="I224" s="649"/>
      <c r="M224" s="226"/>
      <c r="N224" s="226"/>
      <c r="O224" s="226"/>
      <c r="P224" s="226"/>
      <c r="AN224" s="449" t="s">
        <v>2209</v>
      </c>
      <c r="AO224" s="450" t="s">
        <v>2210</v>
      </c>
      <c r="AP224" s="449" t="s">
        <v>2211</v>
      </c>
      <c r="AQ224" s="450" t="s">
        <v>2212</v>
      </c>
      <c r="AR224" s="449" t="s">
        <v>2213</v>
      </c>
      <c r="AS224" s="450" t="s">
        <v>2214</v>
      </c>
      <c r="AT224" s="449" t="s">
        <v>2215</v>
      </c>
      <c r="AU224" s="450" t="s">
        <v>2216</v>
      </c>
      <c r="AV224" s="449" t="s">
        <v>2215</v>
      </c>
      <c r="AW224" s="450" t="s">
        <v>2217</v>
      </c>
      <c r="AX224" s="449" t="s">
        <v>2215</v>
      </c>
      <c r="AY224" s="450" t="s">
        <v>2218</v>
      </c>
      <c r="AZ224" s="449" t="s">
        <v>2215</v>
      </c>
      <c r="BA224" s="450" t="s">
        <v>2219</v>
      </c>
      <c r="BB224" s="449" t="s">
        <v>2215</v>
      </c>
      <c r="BC224" s="450" t="s">
        <v>2220</v>
      </c>
      <c r="BD224" s="449" t="s">
        <v>2215</v>
      </c>
      <c r="BE224" s="450" t="s">
        <v>2221</v>
      </c>
    </row>
    <row r="225">
      <c r="A225" s="649"/>
      <c r="B225" s="649"/>
      <c r="C225" s="649"/>
      <c r="D225" s="649"/>
      <c r="E225" s="649"/>
      <c r="F225" s="649"/>
      <c r="G225" s="649"/>
      <c r="H225" s="649"/>
      <c r="I225" s="649"/>
      <c r="M225" s="226"/>
      <c r="N225" s="226"/>
      <c r="O225" s="226"/>
      <c r="P225" s="226"/>
      <c r="AN225" s="456" t="s">
        <v>658</v>
      </c>
      <c r="AO225" s="457">
        <v>0.0</v>
      </c>
      <c r="AP225" s="456" t="s">
        <v>658</v>
      </c>
      <c r="AQ225" s="457">
        <v>1.0</v>
      </c>
      <c r="AR225" s="456" t="s">
        <v>658</v>
      </c>
      <c r="AS225" s="457">
        <v>0.0</v>
      </c>
      <c r="AT225" s="456" t="s">
        <v>658</v>
      </c>
      <c r="AU225" s="537" t="s">
        <v>2222</v>
      </c>
      <c r="AV225" s="456" t="s">
        <v>658</v>
      </c>
      <c r="AW225" s="457">
        <v>0.0</v>
      </c>
      <c r="AX225" s="456" t="s">
        <v>658</v>
      </c>
      <c r="AY225" s="457">
        <v>0.0</v>
      </c>
      <c r="AZ225" s="456" t="s">
        <v>658</v>
      </c>
      <c r="BA225" s="457">
        <v>0.0</v>
      </c>
      <c r="BB225" s="456" t="s">
        <v>658</v>
      </c>
      <c r="BC225" s="457">
        <v>4.0</v>
      </c>
      <c r="BD225" s="456" t="s">
        <v>658</v>
      </c>
      <c r="BE225" s="457">
        <v>0.0</v>
      </c>
    </row>
    <row r="226">
      <c r="A226" s="449" t="s">
        <v>2223</v>
      </c>
      <c r="B226" s="450" t="s">
        <v>2224</v>
      </c>
      <c r="C226" s="449" t="s">
        <v>2062</v>
      </c>
      <c r="D226" s="450" t="s">
        <v>562</v>
      </c>
      <c r="E226" s="449"/>
      <c r="F226" s="450" t="s">
        <v>1920</v>
      </c>
      <c r="G226" s="618"/>
      <c r="H226" s="618"/>
      <c r="I226" s="618"/>
      <c r="M226" s="226"/>
      <c r="N226" s="226"/>
      <c r="O226" s="226"/>
      <c r="P226" s="226"/>
      <c r="AN226" s="456" t="s">
        <v>662</v>
      </c>
      <c r="AO226" s="457">
        <v>0.0</v>
      </c>
      <c r="AP226" s="456" t="s">
        <v>662</v>
      </c>
      <c r="AQ226" s="457">
        <v>0.0</v>
      </c>
      <c r="AR226" s="456" t="s">
        <v>662</v>
      </c>
      <c r="AS226" s="457">
        <v>0.0</v>
      </c>
      <c r="AT226" s="456" t="s">
        <v>662</v>
      </c>
      <c r="AU226" s="457"/>
      <c r="AV226" s="456" t="s">
        <v>662</v>
      </c>
      <c r="AW226" s="457">
        <v>0.0</v>
      </c>
      <c r="AX226" s="456" t="s">
        <v>662</v>
      </c>
      <c r="AY226" s="457">
        <v>0.0</v>
      </c>
      <c r="AZ226" s="456" t="s">
        <v>662</v>
      </c>
      <c r="BA226" s="457">
        <v>0.0</v>
      </c>
      <c r="BB226" s="456" t="s">
        <v>662</v>
      </c>
      <c r="BC226" s="457">
        <v>0.0</v>
      </c>
      <c r="BD226" s="456" t="s">
        <v>662</v>
      </c>
      <c r="BE226" s="457">
        <v>0.0</v>
      </c>
    </row>
    <row r="227">
      <c r="A227" s="454" t="s">
        <v>1008</v>
      </c>
      <c r="B227" s="457">
        <v>0.0</v>
      </c>
      <c r="C227" s="454" t="s">
        <v>1008</v>
      </c>
      <c r="D227" s="457">
        <v>0.0</v>
      </c>
      <c r="E227" s="454" t="s">
        <v>1008</v>
      </c>
      <c r="F227" s="457">
        <v>0.0</v>
      </c>
      <c r="G227" s="618"/>
      <c r="H227" s="618"/>
      <c r="I227" s="618"/>
      <c r="M227" s="226"/>
      <c r="N227" s="226"/>
      <c r="O227" s="226"/>
      <c r="P227" s="226"/>
      <c r="AN227" s="456" t="s">
        <v>664</v>
      </c>
      <c r="AO227" s="457">
        <v>0.0</v>
      </c>
      <c r="AP227" s="456" t="s">
        <v>664</v>
      </c>
      <c r="AQ227" s="457">
        <v>0.0</v>
      </c>
      <c r="AR227" s="456" t="s">
        <v>664</v>
      </c>
      <c r="AS227" s="457">
        <v>0.0</v>
      </c>
      <c r="AT227" s="456" t="s">
        <v>664</v>
      </c>
      <c r="AU227" s="457"/>
      <c r="AV227" s="456" t="s">
        <v>664</v>
      </c>
      <c r="AW227" s="457">
        <v>0.0</v>
      </c>
      <c r="AX227" s="456" t="s">
        <v>664</v>
      </c>
      <c r="AY227" s="457">
        <v>0.0</v>
      </c>
      <c r="AZ227" s="456" t="s">
        <v>664</v>
      </c>
      <c r="BA227" s="457">
        <v>0.0</v>
      </c>
      <c r="BB227" s="456" t="s">
        <v>664</v>
      </c>
      <c r="BC227" s="457">
        <v>0.0</v>
      </c>
      <c r="BD227" s="456" t="s">
        <v>664</v>
      </c>
      <c r="BE227" s="457">
        <v>0.0</v>
      </c>
    </row>
    <row r="228">
      <c r="A228" s="454" t="s">
        <v>1009</v>
      </c>
      <c r="B228" s="457">
        <v>0.0</v>
      </c>
      <c r="C228" s="454" t="s">
        <v>1009</v>
      </c>
      <c r="D228" s="457">
        <v>0.0</v>
      </c>
      <c r="E228" s="454" t="s">
        <v>1009</v>
      </c>
      <c r="F228" s="457">
        <v>0.0</v>
      </c>
      <c r="G228" s="618"/>
      <c r="H228" s="618"/>
      <c r="I228" s="618"/>
      <c r="M228" s="226"/>
      <c r="N228" s="226"/>
      <c r="O228" s="226"/>
      <c r="P228" s="226"/>
      <c r="AN228" s="456" t="s">
        <v>666</v>
      </c>
      <c r="AO228" s="457">
        <v>0.0</v>
      </c>
      <c r="AP228" s="456" t="s">
        <v>666</v>
      </c>
      <c r="AQ228" s="457">
        <v>0.0</v>
      </c>
      <c r="AR228" s="456" t="s">
        <v>666</v>
      </c>
      <c r="AS228" s="457">
        <v>0.0</v>
      </c>
      <c r="AT228" s="456" t="s">
        <v>666</v>
      </c>
      <c r="AU228" s="457"/>
      <c r="AV228" s="456" t="s">
        <v>666</v>
      </c>
      <c r="AW228" s="457">
        <v>0.0</v>
      </c>
      <c r="AX228" s="456" t="s">
        <v>666</v>
      </c>
      <c r="AY228" s="457">
        <v>0.0</v>
      </c>
      <c r="AZ228" s="456" t="s">
        <v>666</v>
      </c>
      <c r="BA228" s="457">
        <v>0.0</v>
      </c>
      <c r="BB228" s="456" t="s">
        <v>666</v>
      </c>
      <c r="BC228" s="457">
        <v>0.0</v>
      </c>
      <c r="BD228" s="456" t="s">
        <v>666</v>
      </c>
      <c r="BE228" s="457">
        <v>0.0</v>
      </c>
    </row>
    <row r="229">
      <c r="A229" s="454" t="s">
        <v>1011</v>
      </c>
      <c r="B229" s="457">
        <v>0.0</v>
      </c>
      <c r="C229" s="454" t="s">
        <v>1011</v>
      </c>
      <c r="D229" s="457">
        <v>0.0</v>
      </c>
      <c r="E229" s="454" t="s">
        <v>1011</v>
      </c>
      <c r="F229" s="457">
        <v>0.0</v>
      </c>
      <c r="G229" s="618"/>
      <c r="H229" s="618"/>
      <c r="I229" s="618"/>
      <c r="M229" s="226"/>
      <c r="N229" s="226"/>
      <c r="O229" s="226"/>
      <c r="P229" s="226"/>
      <c r="AN229" s="456" t="s">
        <v>668</v>
      </c>
      <c r="AO229" s="457">
        <v>0.0</v>
      </c>
      <c r="AP229" s="456" t="s">
        <v>668</v>
      </c>
      <c r="AQ229" s="457">
        <v>0.0</v>
      </c>
      <c r="AR229" s="456" t="s">
        <v>668</v>
      </c>
      <c r="AS229" s="457">
        <v>1.0</v>
      </c>
      <c r="AT229" s="456" t="s">
        <v>668</v>
      </c>
      <c r="AU229" s="537" t="s">
        <v>2225</v>
      </c>
      <c r="AV229" s="456" t="s">
        <v>668</v>
      </c>
      <c r="AW229" s="457">
        <v>0.0</v>
      </c>
      <c r="AX229" s="456" t="s">
        <v>668</v>
      </c>
      <c r="AY229" s="457">
        <v>0.0</v>
      </c>
      <c r="AZ229" s="456" t="s">
        <v>668</v>
      </c>
      <c r="BA229" s="457">
        <v>0.0</v>
      </c>
      <c r="BB229" s="456" t="s">
        <v>668</v>
      </c>
      <c r="BC229" s="457">
        <v>0.0</v>
      </c>
      <c r="BD229" s="456" t="s">
        <v>668</v>
      </c>
      <c r="BE229" s="457">
        <v>0.0</v>
      </c>
    </row>
    <row r="230">
      <c r="A230" s="454" t="s">
        <v>1012</v>
      </c>
      <c r="B230" s="457">
        <v>0.0</v>
      </c>
      <c r="C230" s="454" t="s">
        <v>1012</v>
      </c>
      <c r="D230" s="457">
        <v>0.0</v>
      </c>
      <c r="E230" s="454" t="s">
        <v>1012</v>
      </c>
      <c r="F230" s="457">
        <v>0.0</v>
      </c>
      <c r="G230" s="618"/>
      <c r="H230" s="618"/>
      <c r="I230" s="618"/>
      <c r="M230" s="226"/>
      <c r="N230" s="226"/>
      <c r="O230" s="226"/>
      <c r="P230" s="226"/>
      <c r="AN230" s="456" t="s">
        <v>672</v>
      </c>
      <c r="AO230" s="457">
        <v>0.0</v>
      </c>
      <c r="AP230" s="456" t="s">
        <v>672</v>
      </c>
      <c r="AQ230" s="457">
        <v>1.0</v>
      </c>
      <c r="AR230" s="456" t="s">
        <v>672</v>
      </c>
      <c r="AS230" s="457">
        <v>0.0</v>
      </c>
      <c r="AT230" s="456" t="s">
        <v>672</v>
      </c>
      <c r="AU230" s="537" t="s">
        <v>674</v>
      </c>
      <c r="AV230" s="456" t="s">
        <v>672</v>
      </c>
      <c r="AW230" s="457">
        <v>0.0</v>
      </c>
      <c r="AX230" s="456" t="s">
        <v>672</v>
      </c>
      <c r="AY230" s="457">
        <v>0.0</v>
      </c>
      <c r="AZ230" s="456" t="s">
        <v>672</v>
      </c>
      <c r="BA230" s="457">
        <v>0.0</v>
      </c>
      <c r="BB230" s="456" t="s">
        <v>672</v>
      </c>
      <c r="BC230" s="457">
        <v>0.0</v>
      </c>
      <c r="BD230" s="456" t="s">
        <v>672</v>
      </c>
      <c r="BE230" s="457">
        <v>0.0</v>
      </c>
    </row>
    <row r="231">
      <c r="A231" s="454" t="s">
        <v>1013</v>
      </c>
      <c r="B231" s="457">
        <v>0.0</v>
      </c>
      <c r="C231" s="454" t="s">
        <v>1013</v>
      </c>
      <c r="D231" s="457">
        <v>0.0</v>
      </c>
      <c r="E231" s="454" t="s">
        <v>1013</v>
      </c>
      <c r="F231" s="457">
        <v>0.0</v>
      </c>
      <c r="G231" s="618"/>
      <c r="H231" s="618"/>
      <c r="I231" s="618"/>
      <c r="M231" s="226"/>
      <c r="N231" s="226"/>
      <c r="O231" s="226"/>
      <c r="P231" s="226"/>
      <c r="AN231" s="456" t="s">
        <v>680</v>
      </c>
      <c r="AO231" s="457">
        <v>0.0</v>
      </c>
      <c r="AP231" s="456" t="s">
        <v>680</v>
      </c>
      <c r="AQ231" s="457">
        <v>0.0</v>
      </c>
      <c r="AR231" s="456" t="s">
        <v>680</v>
      </c>
      <c r="AS231" s="457">
        <v>0.0</v>
      </c>
      <c r="AT231" s="469" t="s">
        <v>680</v>
      </c>
      <c r="AU231" s="457"/>
      <c r="AV231" s="456" t="s">
        <v>680</v>
      </c>
      <c r="AW231" s="457">
        <v>0.0</v>
      </c>
      <c r="AX231" s="458" t="s">
        <v>680</v>
      </c>
      <c r="AY231" s="457">
        <v>0.0</v>
      </c>
      <c r="AZ231" s="456" t="s">
        <v>680</v>
      </c>
      <c r="BA231" s="457">
        <v>0.0</v>
      </c>
      <c r="BB231" s="456" t="s">
        <v>680</v>
      </c>
      <c r="BC231" s="457">
        <v>0.0</v>
      </c>
      <c r="BD231" s="456" t="s">
        <v>680</v>
      </c>
      <c r="BE231" s="457">
        <v>0.0</v>
      </c>
    </row>
    <row r="232">
      <c r="A232" s="454" t="s">
        <v>1018</v>
      </c>
      <c r="B232" s="457">
        <v>0.0</v>
      </c>
      <c r="C232" s="454" t="s">
        <v>1018</v>
      </c>
      <c r="D232" s="457">
        <v>0.0</v>
      </c>
      <c r="E232" s="454" t="s">
        <v>1018</v>
      </c>
      <c r="F232" s="457">
        <v>0.0</v>
      </c>
      <c r="G232" s="618"/>
      <c r="H232" s="618"/>
      <c r="I232" s="618"/>
      <c r="M232" s="226"/>
      <c r="N232" s="226"/>
      <c r="O232" s="226"/>
      <c r="P232" s="226"/>
      <c r="AN232" s="456" t="s">
        <v>686</v>
      </c>
      <c r="AO232" s="457">
        <v>0.0</v>
      </c>
      <c r="AP232" s="456" t="s">
        <v>686</v>
      </c>
      <c r="AQ232" s="457">
        <v>0.0</v>
      </c>
      <c r="AR232" s="456" t="s">
        <v>686</v>
      </c>
      <c r="AS232" s="457">
        <v>0.0</v>
      </c>
      <c r="AT232" s="469" t="s">
        <v>686</v>
      </c>
      <c r="AU232" s="457"/>
      <c r="AV232" s="456" t="s">
        <v>686</v>
      </c>
      <c r="AW232" s="457">
        <v>0.0</v>
      </c>
      <c r="AX232" s="458" t="s">
        <v>686</v>
      </c>
      <c r="AY232" s="457">
        <v>0.0</v>
      </c>
      <c r="AZ232" s="456" t="s">
        <v>686</v>
      </c>
      <c r="BA232" s="457">
        <v>0.0</v>
      </c>
      <c r="BB232" s="456" t="s">
        <v>686</v>
      </c>
      <c r="BC232" s="457">
        <v>0.0</v>
      </c>
      <c r="BD232" s="456" t="s">
        <v>686</v>
      </c>
      <c r="BE232" s="457">
        <v>0.0</v>
      </c>
    </row>
    <row r="233">
      <c r="A233" s="454" t="s">
        <v>1055</v>
      </c>
      <c r="B233" s="457">
        <v>80.56</v>
      </c>
      <c r="C233" s="454" t="s">
        <v>1055</v>
      </c>
      <c r="D233" s="457">
        <v>0.0</v>
      </c>
      <c r="E233" s="454" t="s">
        <v>1055</v>
      </c>
      <c r="F233" s="457">
        <v>0.0</v>
      </c>
      <c r="G233" s="618"/>
      <c r="H233" s="618"/>
      <c r="I233" s="618"/>
      <c r="M233" s="226"/>
      <c r="N233" s="226"/>
      <c r="O233" s="226"/>
      <c r="P233" s="226"/>
    </row>
    <row r="234">
      <c r="A234" s="454" t="s">
        <v>1019</v>
      </c>
      <c r="B234" s="457">
        <v>0.0</v>
      </c>
      <c r="C234" s="454" t="s">
        <v>1019</v>
      </c>
      <c r="D234" s="457">
        <v>0.0</v>
      </c>
      <c r="E234" s="454" t="s">
        <v>1019</v>
      </c>
      <c r="F234" s="457">
        <v>0.0</v>
      </c>
      <c r="G234" s="618"/>
      <c r="H234" s="618"/>
      <c r="I234" s="618"/>
      <c r="M234" s="226"/>
      <c r="N234" s="226"/>
      <c r="O234" s="226"/>
      <c r="P234" s="226"/>
    </row>
    <row r="235">
      <c r="A235" s="454" t="s">
        <v>1026</v>
      </c>
      <c r="B235" s="457">
        <v>0.0</v>
      </c>
      <c r="C235" s="454" t="s">
        <v>1026</v>
      </c>
      <c r="D235" s="457">
        <v>0.0</v>
      </c>
      <c r="E235" s="454" t="s">
        <v>1026</v>
      </c>
      <c r="F235" s="457">
        <v>0.0</v>
      </c>
      <c r="G235" s="618"/>
      <c r="H235" s="618"/>
      <c r="I235" s="618"/>
      <c r="M235" s="226"/>
      <c r="N235" s="226"/>
      <c r="O235" s="226"/>
      <c r="P235" s="226"/>
      <c r="AN235" s="449" t="s">
        <v>2226</v>
      </c>
      <c r="AO235" s="450" t="s">
        <v>2226</v>
      </c>
      <c r="AP235" s="449" t="s">
        <v>2227</v>
      </c>
      <c r="AQ235" s="450" t="s">
        <v>2228</v>
      </c>
      <c r="AR235" s="449" t="s">
        <v>2229</v>
      </c>
      <c r="AS235" s="450" t="s">
        <v>2229</v>
      </c>
      <c r="AT235" s="449" t="s">
        <v>2230</v>
      </c>
      <c r="AU235" s="450" t="s">
        <v>2230</v>
      </c>
      <c r="AV235" s="449" t="s">
        <v>2230</v>
      </c>
      <c r="AW235" s="450" t="s">
        <v>2231</v>
      </c>
      <c r="AX235" s="449" t="s">
        <v>2230</v>
      </c>
      <c r="AY235" s="450" t="s">
        <v>2232</v>
      </c>
      <c r="AZ235" s="449" t="s">
        <v>2230</v>
      </c>
      <c r="BA235" s="450" t="s">
        <v>2233</v>
      </c>
      <c r="BB235" s="449" t="s">
        <v>2230</v>
      </c>
      <c r="BC235" s="450" t="s">
        <v>2234</v>
      </c>
      <c r="BD235" s="449" t="s">
        <v>2230</v>
      </c>
      <c r="BE235" s="450" t="s">
        <v>2235</v>
      </c>
    </row>
    <row r="236">
      <c r="A236" s="454" t="s">
        <v>1024</v>
      </c>
      <c r="B236" s="457">
        <v>0.0</v>
      </c>
      <c r="C236" s="454" t="s">
        <v>1024</v>
      </c>
      <c r="D236" s="457">
        <v>0.0</v>
      </c>
      <c r="E236" s="454" t="s">
        <v>1024</v>
      </c>
      <c r="F236" s="457">
        <v>0.0</v>
      </c>
      <c r="G236" s="618"/>
      <c r="H236" s="618"/>
      <c r="I236" s="618"/>
      <c r="M236" s="226"/>
      <c r="N236" s="226"/>
      <c r="O236" s="226"/>
      <c r="P236" s="226"/>
      <c r="AN236" s="456" t="s">
        <v>694</v>
      </c>
      <c r="AO236" s="457">
        <v>1.0</v>
      </c>
      <c r="AP236" s="456" t="s">
        <v>694</v>
      </c>
      <c r="AQ236" s="457">
        <v>0.0</v>
      </c>
      <c r="AR236" s="456" t="s">
        <v>694</v>
      </c>
      <c r="AS236" s="457">
        <v>1.0</v>
      </c>
      <c r="AT236" s="456" t="s">
        <v>694</v>
      </c>
      <c r="AU236" s="537" t="s">
        <v>2236</v>
      </c>
      <c r="AV236" s="456" t="s">
        <v>694</v>
      </c>
      <c r="AW236" s="457">
        <v>0.0</v>
      </c>
      <c r="AX236" s="456" t="s">
        <v>694</v>
      </c>
      <c r="AY236" s="457">
        <v>0.0</v>
      </c>
      <c r="AZ236" s="456" t="s">
        <v>694</v>
      </c>
      <c r="BA236" s="457">
        <v>0.0</v>
      </c>
      <c r="BB236" s="456" t="s">
        <v>694</v>
      </c>
      <c r="BC236" s="457">
        <v>0.0</v>
      </c>
      <c r="BD236" s="456" t="s">
        <v>694</v>
      </c>
      <c r="BE236" s="457">
        <v>0.0</v>
      </c>
    </row>
    <row r="237">
      <c r="A237" s="454" t="s">
        <v>1020</v>
      </c>
      <c r="B237" s="457">
        <v>0.0</v>
      </c>
      <c r="C237" s="454" t="s">
        <v>1020</v>
      </c>
      <c r="D237" s="457">
        <v>0.0</v>
      </c>
      <c r="E237" s="454" t="s">
        <v>1020</v>
      </c>
      <c r="F237" s="457">
        <v>0.0</v>
      </c>
      <c r="G237" s="618"/>
      <c r="H237" s="618"/>
      <c r="I237" s="618"/>
      <c r="M237" s="226"/>
      <c r="N237" s="226"/>
      <c r="O237" s="226"/>
      <c r="P237" s="226"/>
      <c r="AN237" s="456" t="s">
        <v>696</v>
      </c>
      <c r="AO237" s="457">
        <v>2.0</v>
      </c>
      <c r="AP237" s="456" t="s">
        <v>696</v>
      </c>
      <c r="AQ237" s="457">
        <v>0.0</v>
      </c>
      <c r="AR237" s="456" t="s">
        <v>696</v>
      </c>
      <c r="AS237" s="457">
        <v>0.0</v>
      </c>
      <c r="AT237" s="456" t="s">
        <v>696</v>
      </c>
      <c r="AU237" s="537" t="s">
        <v>2236</v>
      </c>
      <c r="AV237" s="456" t="s">
        <v>696</v>
      </c>
      <c r="AW237" s="457">
        <v>0.0</v>
      </c>
      <c r="AX237" s="456" t="s">
        <v>696</v>
      </c>
      <c r="AY237" s="457">
        <v>3.0</v>
      </c>
      <c r="AZ237" s="456" t="s">
        <v>696</v>
      </c>
      <c r="BA237" s="457">
        <v>0.0</v>
      </c>
      <c r="BB237" s="456" t="s">
        <v>696</v>
      </c>
      <c r="BC237" s="457">
        <v>0.0</v>
      </c>
      <c r="BD237" s="456" t="s">
        <v>696</v>
      </c>
      <c r="BE237" s="457">
        <v>0.0</v>
      </c>
    </row>
    <row r="238">
      <c r="A238" s="454" t="s">
        <v>1022</v>
      </c>
      <c r="B238" s="457">
        <v>0.0</v>
      </c>
      <c r="C238" s="454" t="s">
        <v>1022</v>
      </c>
      <c r="D238" s="457">
        <v>0.0</v>
      </c>
      <c r="E238" s="454" t="s">
        <v>1022</v>
      </c>
      <c r="F238" s="457">
        <v>0.0</v>
      </c>
      <c r="G238" s="618"/>
      <c r="H238" s="618"/>
      <c r="I238" s="618"/>
      <c r="M238" s="226"/>
      <c r="N238" s="226"/>
      <c r="O238" s="226"/>
      <c r="P238" s="226"/>
      <c r="AN238" s="456" t="s">
        <v>697</v>
      </c>
      <c r="AO238" s="457">
        <v>1.0</v>
      </c>
      <c r="AP238" s="456" t="s">
        <v>697</v>
      </c>
      <c r="AQ238" s="457">
        <v>1.0</v>
      </c>
      <c r="AR238" s="456" t="s">
        <v>697</v>
      </c>
      <c r="AS238" s="457">
        <v>0.0</v>
      </c>
      <c r="AT238" s="456" t="s">
        <v>697</v>
      </c>
      <c r="AU238" s="537" t="s">
        <v>2237</v>
      </c>
      <c r="AV238" s="456" t="s">
        <v>697</v>
      </c>
      <c r="AW238" s="457">
        <v>3.0</v>
      </c>
      <c r="AX238" s="456" t="s">
        <v>697</v>
      </c>
      <c r="AY238" s="457">
        <v>0.0</v>
      </c>
      <c r="AZ238" s="456" t="s">
        <v>697</v>
      </c>
      <c r="BA238" s="457">
        <v>0.0</v>
      </c>
      <c r="BB238" s="456" t="s">
        <v>697</v>
      </c>
      <c r="BC238" s="457">
        <v>0.0</v>
      </c>
      <c r="BD238" s="456" t="s">
        <v>697</v>
      </c>
      <c r="BE238" s="457">
        <v>0.0</v>
      </c>
    </row>
    <row r="239">
      <c r="A239" s="454" t="s">
        <v>1028</v>
      </c>
      <c r="B239" s="536">
        <v>0.0</v>
      </c>
      <c r="C239" s="515" t="s">
        <v>1028</v>
      </c>
      <c r="D239" s="457">
        <v>0.0</v>
      </c>
      <c r="E239" s="454" t="s">
        <v>1028</v>
      </c>
      <c r="F239" s="457">
        <v>0.0</v>
      </c>
      <c r="G239" s="618"/>
      <c r="H239" s="618"/>
      <c r="I239" s="618"/>
      <c r="M239" s="226"/>
      <c r="N239" s="226"/>
      <c r="O239" s="226"/>
      <c r="P239" s="226"/>
      <c r="AN239" s="456" t="s">
        <v>700</v>
      </c>
      <c r="AO239" s="457">
        <v>0.0</v>
      </c>
      <c r="AP239" s="456" t="s">
        <v>700</v>
      </c>
      <c r="AQ239" s="457">
        <v>1.0</v>
      </c>
      <c r="AR239" s="456" t="s">
        <v>700</v>
      </c>
      <c r="AS239" s="457">
        <v>1.0</v>
      </c>
      <c r="AT239" s="456" t="s">
        <v>700</v>
      </c>
      <c r="AU239" s="537" t="s">
        <v>2238</v>
      </c>
      <c r="AV239" s="456" t="s">
        <v>700</v>
      </c>
      <c r="AW239" s="457">
        <v>0.0</v>
      </c>
      <c r="AX239" s="456" t="s">
        <v>700</v>
      </c>
      <c r="AY239" s="457">
        <v>0.0</v>
      </c>
      <c r="AZ239" s="456" t="s">
        <v>700</v>
      </c>
      <c r="BA239" s="457">
        <v>3.0</v>
      </c>
      <c r="BB239" s="456" t="s">
        <v>700</v>
      </c>
      <c r="BC239" s="457">
        <v>0.0</v>
      </c>
      <c r="BD239" s="456" t="s">
        <v>700</v>
      </c>
      <c r="BE239" s="457">
        <v>0.0</v>
      </c>
    </row>
    <row r="240">
      <c r="A240" s="454" t="s">
        <v>1031</v>
      </c>
      <c r="B240" s="536">
        <v>0.0</v>
      </c>
      <c r="C240" s="515" t="s">
        <v>1031</v>
      </c>
      <c r="D240" s="457">
        <v>0.0</v>
      </c>
      <c r="E240" s="454" t="s">
        <v>1031</v>
      </c>
      <c r="F240" s="457">
        <v>0.0</v>
      </c>
      <c r="G240" s="618"/>
      <c r="H240" s="618"/>
      <c r="I240" s="618"/>
      <c r="M240" s="226"/>
      <c r="N240" s="226"/>
      <c r="O240" s="226"/>
      <c r="P240" s="226"/>
      <c r="AN240" s="456" t="s">
        <v>1969</v>
      </c>
      <c r="AO240" s="457">
        <v>0.0</v>
      </c>
      <c r="AP240" s="456" t="s">
        <v>1969</v>
      </c>
      <c r="AQ240" s="457">
        <v>0.0</v>
      </c>
      <c r="AR240" s="456" t="s">
        <v>1969</v>
      </c>
      <c r="AS240" s="457">
        <v>0.0</v>
      </c>
      <c r="AT240" s="456" t="s">
        <v>1969</v>
      </c>
      <c r="AU240" s="537"/>
      <c r="AV240" s="456" t="s">
        <v>1969</v>
      </c>
      <c r="AW240" s="457">
        <v>0.0</v>
      </c>
      <c r="AX240" s="456" t="s">
        <v>1969</v>
      </c>
      <c r="AY240" s="457">
        <v>0.0</v>
      </c>
      <c r="AZ240" s="456" t="s">
        <v>1969</v>
      </c>
      <c r="BA240" s="457">
        <v>0.0</v>
      </c>
      <c r="BB240" s="456" t="s">
        <v>1969</v>
      </c>
      <c r="BC240" s="457">
        <v>0.0</v>
      </c>
      <c r="BD240" s="456" t="s">
        <v>1969</v>
      </c>
      <c r="BE240" s="457">
        <v>0.0</v>
      </c>
    </row>
    <row r="241">
      <c r="A241" s="454" t="s">
        <v>1033</v>
      </c>
      <c r="B241" s="536">
        <v>0.0</v>
      </c>
      <c r="C241" s="515" t="s">
        <v>1033</v>
      </c>
      <c r="D241" s="457">
        <v>0.0</v>
      </c>
      <c r="E241" s="454" t="s">
        <v>1033</v>
      </c>
      <c r="F241" s="457">
        <v>0.0</v>
      </c>
      <c r="G241" s="618"/>
      <c r="H241" s="618"/>
      <c r="I241" s="618"/>
      <c r="M241" s="226"/>
      <c r="N241" s="226"/>
      <c r="O241" s="226"/>
      <c r="P241" s="226"/>
      <c r="AN241" s="456" t="s">
        <v>703</v>
      </c>
      <c r="AO241" s="457">
        <v>1.0</v>
      </c>
      <c r="AP241" s="456" t="s">
        <v>703</v>
      </c>
      <c r="AQ241" s="457">
        <v>1.0</v>
      </c>
      <c r="AR241" s="456" t="s">
        <v>703</v>
      </c>
      <c r="AS241" s="457">
        <v>0.0</v>
      </c>
      <c r="AT241" s="456" t="s">
        <v>703</v>
      </c>
      <c r="AU241" s="537" t="s">
        <v>2238</v>
      </c>
      <c r="AV241" s="456" t="s">
        <v>703</v>
      </c>
      <c r="AW241" s="457">
        <v>0.0</v>
      </c>
      <c r="AX241" s="456" t="s">
        <v>703</v>
      </c>
      <c r="AY241" s="457">
        <v>0.0</v>
      </c>
      <c r="AZ241" s="456" t="s">
        <v>703</v>
      </c>
      <c r="BA241" s="457">
        <v>3.0</v>
      </c>
      <c r="BB241" s="456" t="s">
        <v>703</v>
      </c>
      <c r="BC241" s="457">
        <v>0.0</v>
      </c>
      <c r="BD241" s="456" t="s">
        <v>703</v>
      </c>
      <c r="BE241" s="457">
        <v>0.0</v>
      </c>
    </row>
    <row r="242">
      <c r="A242" s="454" t="s">
        <v>1035</v>
      </c>
      <c r="B242" s="536">
        <v>0.0</v>
      </c>
      <c r="C242" s="515" t="s">
        <v>1035</v>
      </c>
      <c r="D242" s="457">
        <v>0.0</v>
      </c>
      <c r="E242" s="454" t="s">
        <v>1035</v>
      </c>
      <c r="F242" s="457">
        <v>0.0</v>
      </c>
      <c r="G242" s="618"/>
      <c r="H242" s="618"/>
      <c r="I242" s="618"/>
      <c r="M242" s="226"/>
      <c r="N242" s="226"/>
      <c r="O242" s="226"/>
      <c r="P242" s="226"/>
      <c r="AN242" s="456" t="s">
        <v>707</v>
      </c>
      <c r="AO242" s="457">
        <v>0.0</v>
      </c>
      <c r="AP242" s="456" t="s">
        <v>707</v>
      </c>
      <c r="AQ242" s="457">
        <v>2.0</v>
      </c>
      <c r="AR242" s="456" t="s">
        <v>707</v>
      </c>
      <c r="AS242" s="457">
        <v>0.0</v>
      </c>
      <c r="AT242" s="456" t="s">
        <v>707</v>
      </c>
      <c r="AU242" s="537" t="s">
        <v>2237</v>
      </c>
      <c r="AV242" s="456" t="s">
        <v>707</v>
      </c>
      <c r="AW242" s="457">
        <v>3.0</v>
      </c>
      <c r="AX242" s="456" t="s">
        <v>707</v>
      </c>
      <c r="AY242" s="457">
        <v>0.0</v>
      </c>
      <c r="AZ242" s="456" t="s">
        <v>707</v>
      </c>
      <c r="BA242" s="457">
        <v>0.0</v>
      </c>
      <c r="BB242" s="456" t="s">
        <v>707</v>
      </c>
      <c r="BC242" s="457">
        <v>0.0</v>
      </c>
      <c r="BD242" s="456" t="s">
        <v>707</v>
      </c>
      <c r="BE242" s="457">
        <v>0.0</v>
      </c>
    </row>
    <row r="243">
      <c r="A243" s="618"/>
      <c r="B243" s="618"/>
      <c r="C243" s="618"/>
      <c r="D243" s="618"/>
      <c r="E243" s="618"/>
      <c r="F243" s="618"/>
      <c r="G243" s="618"/>
      <c r="H243" s="618"/>
      <c r="I243" s="618"/>
      <c r="M243" s="226"/>
      <c r="N243" s="226"/>
      <c r="O243" s="226"/>
      <c r="P243" s="226"/>
      <c r="AN243" s="456" t="s">
        <v>709</v>
      </c>
      <c r="AO243" s="457">
        <v>1.0</v>
      </c>
      <c r="AP243" s="456" t="s">
        <v>709</v>
      </c>
      <c r="AQ243" s="457">
        <v>0.0</v>
      </c>
      <c r="AR243" s="456" t="s">
        <v>709</v>
      </c>
      <c r="AS243" s="457">
        <v>0.0</v>
      </c>
      <c r="AT243" s="456" t="s">
        <v>709</v>
      </c>
      <c r="AU243" s="537" t="s">
        <v>2239</v>
      </c>
      <c r="AV243" s="456" t="s">
        <v>709</v>
      </c>
      <c r="AW243" s="457">
        <v>0.0</v>
      </c>
      <c r="AX243" s="456" t="s">
        <v>709</v>
      </c>
      <c r="AY243" s="457">
        <v>2.0</v>
      </c>
      <c r="AZ243" s="456" t="s">
        <v>709</v>
      </c>
      <c r="BA243" s="457">
        <v>0.0</v>
      </c>
      <c r="BB243" s="456" t="s">
        <v>709</v>
      </c>
      <c r="BC243" s="457">
        <v>0.0</v>
      </c>
      <c r="BD243" s="456" t="s">
        <v>709</v>
      </c>
      <c r="BE243" s="457">
        <v>0.0</v>
      </c>
    </row>
    <row r="244">
      <c r="A244" s="618"/>
      <c r="B244" s="618"/>
      <c r="C244" s="618"/>
      <c r="D244" s="618"/>
      <c r="E244" s="618"/>
      <c r="F244" s="618"/>
      <c r="G244" s="618"/>
      <c r="H244" s="618"/>
      <c r="I244" s="618"/>
      <c r="M244" s="226"/>
      <c r="N244" s="226"/>
      <c r="O244" s="226"/>
      <c r="P244" s="226"/>
      <c r="AN244" s="456" t="s">
        <v>713</v>
      </c>
      <c r="AO244" s="457">
        <v>0.0</v>
      </c>
      <c r="AP244" s="456" t="s">
        <v>713</v>
      </c>
      <c r="AQ244" s="457">
        <v>0.0</v>
      </c>
      <c r="AR244" s="456" t="s">
        <v>713</v>
      </c>
      <c r="AS244" s="457">
        <v>0.0</v>
      </c>
      <c r="AT244" s="456" t="s">
        <v>713</v>
      </c>
      <c r="AU244" s="537"/>
      <c r="AV244" s="456" t="s">
        <v>713</v>
      </c>
      <c r="AW244" s="457">
        <v>0.0</v>
      </c>
      <c r="AX244" s="456" t="s">
        <v>713</v>
      </c>
      <c r="AY244" s="457">
        <v>0.0</v>
      </c>
      <c r="AZ244" s="456" t="s">
        <v>713</v>
      </c>
      <c r="BA244" s="457">
        <v>0.0</v>
      </c>
      <c r="BB244" s="456" t="s">
        <v>713</v>
      </c>
      <c r="BC244" s="457">
        <v>0.0</v>
      </c>
      <c r="BD244" s="456" t="s">
        <v>713</v>
      </c>
      <c r="BE244" s="457">
        <v>0.0</v>
      </c>
    </row>
    <row r="245">
      <c r="A245" s="449" t="s">
        <v>2240</v>
      </c>
      <c r="B245" s="450" t="s">
        <v>2241</v>
      </c>
      <c r="C245" s="449" t="s">
        <v>2084</v>
      </c>
      <c r="D245" s="450" t="s">
        <v>562</v>
      </c>
      <c r="E245" s="449"/>
      <c r="F245" s="450" t="s">
        <v>1920</v>
      </c>
      <c r="G245" s="618"/>
      <c r="H245" s="618"/>
      <c r="I245" s="618"/>
      <c r="M245" s="226"/>
      <c r="N245" s="226"/>
      <c r="O245" s="226"/>
      <c r="P245" s="226"/>
      <c r="AN245" s="456" t="s">
        <v>719</v>
      </c>
      <c r="AO245" s="457">
        <v>0.0</v>
      </c>
      <c r="AP245" s="456" t="s">
        <v>719</v>
      </c>
      <c r="AQ245" s="457">
        <v>1.0</v>
      </c>
      <c r="AR245" s="456" t="s">
        <v>719</v>
      </c>
      <c r="AS245" s="457">
        <v>1.0</v>
      </c>
      <c r="AT245" s="456" t="s">
        <v>719</v>
      </c>
      <c r="AU245" s="537" t="s">
        <v>2237</v>
      </c>
      <c r="AV245" s="456" t="s">
        <v>719</v>
      </c>
      <c r="AW245" s="457">
        <v>0.0</v>
      </c>
      <c r="AX245" s="456" t="s">
        <v>719</v>
      </c>
      <c r="AY245" s="457">
        <v>0.0</v>
      </c>
      <c r="AZ245" s="456" t="s">
        <v>719</v>
      </c>
      <c r="BA245" s="457">
        <v>0.0</v>
      </c>
      <c r="BB245" s="456" t="s">
        <v>719</v>
      </c>
      <c r="BC245" s="457">
        <v>0.0</v>
      </c>
      <c r="BD245" s="456" t="s">
        <v>719</v>
      </c>
      <c r="BE245" s="457">
        <v>0.0</v>
      </c>
    </row>
    <row r="246">
      <c r="A246" s="454" t="s">
        <v>1041</v>
      </c>
      <c r="B246" s="457">
        <v>0.0</v>
      </c>
      <c r="C246" s="454" t="s">
        <v>1041</v>
      </c>
      <c r="D246" s="457">
        <v>0.0</v>
      </c>
      <c r="E246" s="454" t="s">
        <v>1041</v>
      </c>
      <c r="F246" s="457">
        <v>0.0</v>
      </c>
      <c r="G246" s="618"/>
      <c r="H246" s="618"/>
      <c r="I246" s="618"/>
      <c r="M246" s="226"/>
      <c r="N246" s="226"/>
      <c r="O246" s="226"/>
      <c r="P246" s="226"/>
      <c r="AN246" s="456" t="s">
        <v>721</v>
      </c>
      <c r="AO246" s="457">
        <v>1.0</v>
      </c>
      <c r="AP246" s="456" t="s">
        <v>721</v>
      </c>
      <c r="AQ246" s="457">
        <v>0.0</v>
      </c>
      <c r="AR246" s="456" t="s">
        <v>721</v>
      </c>
      <c r="AS246" s="457">
        <v>1.0</v>
      </c>
      <c r="AT246" s="456" t="s">
        <v>721</v>
      </c>
      <c r="AU246" s="537" t="s">
        <v>2238</v>
      </c>
      <c r="AV246" s="456" t="s">
        <v>721</v>
      </c>
      <c r="AW246" s="457">
        <v>0.0</v>
      </c>
      <c r="AX246" s="456" t="s">
        <v>721</v>
      </c>
      <c r="AY246" s="457">
        <v>0.0</v>
      </c>
      <c r="AZ246" s="456" t="s">
        <v>721</v>
      </c>
      <c r="BA246" s="457">
        <v>0.0</v>
      </c>
      <c r="BB246" s="456" t="s">
        <v>721</v>
      </c>
      <c r="BC246" s="457">
        <v>0.0</v>
      </c>
      <c r="BD246" s="456" t="s">
        <v>721</v>
      </c>
      <c r="BE246" s="457">
        <v>0.0</v>
      </c>
    </row>
    <row r="247">
      <c r="A247" s="454" t="s">
        <v>1009</v>
      </c>
      <c r="B247" s="457">
        <v>0.0</v>
      </c>
      <c r="C247" s="454" t="s">
        <v>1009</v>
      </c>
      <c r="D247" s="457">
        <v>0.0</v>
      </c>
      <c r="E247" s="454" t="s">
        <v>1009</v>
      </c>
      <c r="F247" s="457">
        <v>0.0</v>
      </c>
      <c r="G247" s="618"/>
      <c r="H247" s="618"/>
      <c r="I247" s="618"/>
      <c r="M247" s="226"/>
      <c r="N247" s="226"/>
      <c r="O247" s="226"/>
      <c r="P247" s="226"/>
      <c r="AN247" s="456" t="s">
        <v>1525</v>
      </c>
      <c r="AO247" s="457">
        <v>0.0</v>
      </c>
      <c r="AP247" s="456" t="s">
        <v>1525</v>
      </c>
      <c r="AQ247" s="457">
        <v>1.0</v>
      </c>
      <c r="AR247" s="456" t="s">
        <v>1525</v>
      </c>
      <c r="AS247" s="457">
        <v>1.0</v>
      </c>
      <c r="AT247" s="456" t="s">
        <v>1525</v>
      </c>
      <c r="AU247" s="537" t="s">
        <v>2237</v>
      </c>
      <c r="AV247" s="456" t="s">
        <v>1525</v>
      </c>
      <c r="AW247" s="457">
        <v>0.0</v>
      </c>
      <c r="AX247" s="456" t="s">
        <v>1525</v>
      </c>
      <c r="AY247" s="457">
        <v>0.0</v>
      </c>
      <c r="AZ247" s="456" t="s">
        <v>1525</v>
      </c>
      <c r="BA247" s="457">
        <v>0.0</v>
      </c>
      <c r="BB247" s="456" t="s">
        <v>1525</v>
      </c>
      <c r="BC247" s="457">
        <v>0.0</v>
      </c>
      <c r="BD247" s="456" t="s">
        <v>1525</v>
      </c>
      <c r="BE247" s="457">
        <v>0.0</v>
      </c>
    </row>
    <row r="248">
      <c r="A248" s="454" t="s">
        <v>1042</v>
      </c>
      <c r="B248" s="457">
        <v>0.0</v>
      </c>
      <c r="C248" s="454" t="s">
        <v>1042</v>
      </c>
      <c r="D248" s="457">
        <v>0.0</v>
      </c>
      <c r="E248" s="454" t="s">
        <v>1042</v>
      </c>
      <c r="F248" s="457">
        <v>0.0</v>
      </c>
      <c r="G248" s="618"/>
      <c r="H248" s="618"/>
      <c r="I248" s="618"/>
      <c r="M248" s="226"/>
      <c r="N248" s="226"/>
      <c r="O248" s="226"/>
      <c r="P248" s="226"/>
      <c r="AN248" s="456" t="s">
        <v>1522</v>
      </c>
      <c r="AO248" s="457">
        <v>0.0</v>
      </c>
      <c r="AP248" s="456" t="s">
        <v>1522</v>
      </c>
      <c r="AQ248" s="457">
        <v>2.0</v>
      </c>
      <c r="AR248" s="456" t="s">
        <v>1522</v>
      </c>
      <c r="AS248" s="457">
        <v>0.0</v>
      </c>
      <c r="AT248" s="456" t="s">
        <v>1522</v>
      </c>
      <c r="AU248" s="537" t="s">
        <v>2238</v>
      </c>
      <c r="AV248" s="456" t="s">
        <v>1522</v>
      </c>
      <c r="AW248" s="457">
        <v>0.0</v>
      </c>
      <c r="AX248" s="456" t="s">
        <v>1522</v>
      </c>
      <c r="AY248" s="457">
        <v>0.0</v>
      </c>
      <c r="AZ248" s="456" t="s">
        <v>1522</v>
      </c>
      <c r="BA248" s="457">
        <v>3.0</v>
      </c>
      <c r="BB248" s="456" t="s">
        <v>1522</v>
      </c>
      <c r="BC248" s="457">
        <v>0.0</v>
      </c>
      <c r="BD248" s="456" t="s">
        <v>1522</v>
      </c>
      <c r="BE248" s="457">
        <v>0.0</v>
      </c>
    </row>
    <row r="249">
      <c r="A249" s="454" t="s">
        <v>1011</v>
      </c>
      <c r="B249" s="457">
        <v>0.0</v>
      </c>
      <c r="C249" s="454" t="s">
        <v>1011</v>
      </c>
      <c r="D249" s="457">
        <v>0.0</v>
      </c>
      <c r="E249" s="454" t="s">
        <v>1011</v>
      </c>
      <c r="F249" s="457">
        <v>0.0</v>
      </c>
      <c r="G249" s="618"/>
      <c r="H249" s="618"/>
      <c r="I249" s="618"/>
      <c r="M249" s="226"/>
      <c r="N249" s="226"/>
      <c r="O249" s="226"/>
      <c r="P249" s="226"/>
      <c r="AN249" s="449" t="s">
        <v>2242</v>
      </c>
      <c r="AO249" s="450" t="s">
        <v>2243</v>
      </c>
      <c r="AP249" s="449" t="s">
        <v>2244</v>
      </c>
      <c r="AQ249" s="450" t="s">
        <v>2245</v>
      </c>
      <c r="AR249" s="449" t="s">
        <v>2246</v>
      </c>
      <c r="AS249" s="450" t="s">
        <v>2246</v>
      </c>
      <c r="AT249" s="449" t="s">
        <v>2247</v>
      </c>
      <c r="AU249" s="450" t="s">
        <v>2248</v>
      </c>
      <c r="AV249" s="449" t="s">
        <v>2247</v>
      </c>
      <c r="AW249" s="450" t="s">
        <v>2249</v>
      </c>
      <c r="AX249" s="449" t="s">
        <v>2247</v>
      </c>
      <c r="AY249" s="450" t="s">
        <v>2250</v>
      </c>
      <c r="AZ249" s="449" t="s">
        <v>2247</v>
      </c>
      <c r="BA249" s="450" t="s">
        <v>2251</v>
      </c>
      <c r="BB249" s="449" t="s">
        <v>2247</v>
      </c>
      <c r="BC249" s="450" t="s">
        <v>2252</v>
      </c>
      <c r="BD249" s="449" t="s">
        <v>2247</v>
      </c>
      <c r="BE249" s="450" t="s">
        <v>2253</v>
      </c>
    </row>
    <row r="250">
      <c r="A250" s="454" t="s">
        <v>1043</v>
      </c>
      <c r="B250" s="457">
        <v>0.0</v>
      </c>
      <c r="C250" s="454" t="s">
        <v>1043</v>
      </c>
      <c r="D250" s="457">
        <v>0.0</v>
      </c>
      <c r="E250" s="454" t="s">
        <v>1043</v>
      </c>
      <c r="F250" s="457">
        <v>0.0</v>
      </c>
      <c r="G250" s="618"/>
      <c r="H250" s="618"/>
      <c r="I250" s="618"/>
      <c r="M250" s="226"/>
      <c r="N250" s="226"/>
      <c r="O250" s="226"/>
      <c r="P250" s="226"/>
      <c r="AN250" s="456" t="s">
        <v>620</v>
      </c>
      <c r="AO250" s="457">
        <v>1.0</v>
      </c>
      <c r="AP250" s="456" t="s">
        <v>620</v>
      </c>
      <c r="AQ250" s="457">
        <v>0.0</v>
      </c>
      <c r="AR250" s="456" t="s">
        <v>620</v>
      </c>
      <c r="AS250" s="457">
        <v>0.0</v>
      </c>
      <c r="AT250" s="456" t="s">
        <v>620</v>
      </c>
      <c r="AU250" s="537" t="s">
        <v>2254</v>
      </c>
      <c r="AV250" s="456" t="s">
        <v>620</v>
      </c>
      <c r="AW250" s="457">
        <v>0.0</v>
      </c>
      <c r="AX250" s="456" t="s">
        <v>620</v>
      </c>
      <c r="AY250" s="457">
        <v>4.0</v>
      </c>
      <c r="AZ250" s="456" t="s">
        <v>620</v>
      </c>
      <c r="BA250" s="457">
        <v>0.0</v>
      </c>
      <c r="BB250" s="456" t="s">
        <v>620</v>
      </c>
      <c r="BC250" s="457">
        <v>0.0</v>
      </c>
      <c r="BD250" s="456" t="s">
        <v>620</v>
      </c>
      <c r="BE250" s="457">
        <v>0.0</v>
      </c>
    </row>
    <row r="251">
      <c r="A251" s="454" t="s">
        <v>1012</v>
      </c>
      <c r="B251" s="457">
        <v>0.0</v>
      </c>
      <c r="C251" s="454" t="s">
        <v>1012</v>
      </c>
      <c r="D251" s="457">
        <v>0.0</v>
      </c>
      <c r="E251" s="454" t="s">
        <v>1012</v>
      </c>
      <c r="F251" s="457">
        <v>0.0</v>
      </c>
      <c r="G251" s="618"/>
      <c r="H251" s="618"/>
      <c r="I251" s="618"/>
      <c r="M251" s="226"/>
      <c r="N251" s="226"/>
      <c r="O251" s="226"/>
      <c r="P251" s="226"/>
      <c r="AN251" s="456" t="s">
        <v>623</v>
      </c>
      <c r="AO251" s="457">
        <v>1.0</v>
      </c>
      <c r="AP251" s="456" t="s">
        <v>623</v>
      </c>
      <c r="AQ251" s="457">
        <v>0.0</v>
      </c>
      <c r="AR251" s="456" t="s">
        <v>623</v>
      </c>
      <c r="AS251" s="457">
        <v>0.0</v>
      </c>
      <c r="AT251" s="456" t="s">
        <v>623</v>
      </c>
      <c r="AU251" s="537" t="s">
        <v>2255</v>
      </c>
      <c r="AV251" s="456" t="s">
        <v>623</v>
      </c>
      <c r="AW251" s="457">
        <v>0.0</v>
      </c>
      <c r="AX251" s="456" t="s">
        <v>623</v>
      </c>
      <c r="AY251" s="457">
        <v>0.0</v>
      </c>
      <c r="AZ251" s="456" t="s">
        <v>623</v>
      </c>
      <c r="BA251" s="457">
        <v>4.0</v>
      </c>
      <c r="BB251" s="456" t="s">
        <v>623</v>
      </c>
      <c r="BC251" s="457">
        <v>0.0</v>
      </c>
      <c r="BD251" s="456" t="s">
        <v>623</v>
      </c>
      <c r="BE251" s="457">
        <v>0.0</v>
      </c>
    </row>
    <row r="252">
      <c r="A252" s="454" t="s">
        <v>1046</v>
      </c>
      <c r="B252" s="457">
        <v>0.0</v>
      </c>
      <c r="C252" s="454" t="s">
        <v>1046</v>
      </c>
      <c r="D252" s="457">
        <v>0.0</v>
      </c>
      <c r="E252" s="454" t="s">
        <v>1046</v>
      </c>
      <c r="F252" s="457">
        <v>0.0</v>
      </c>
      <c r="G252" s="618"/>
      <c r="H252" s="618"/>
      <c r="I252" s="618"/>
      <c r="M252" s="226"/>
      <c r="N252" s="226"/>
      <c r="O252" s="226"/>
      <c r="P252" s="226"/>
      <c r="AN252" s="456" t="s">
        <v>631</v>
      </c>
      <c r="AO252" s="457">
        <v>0.0</v>
      </c>
      <c r="AP252" s="456" t="s">
        <v>631</v>
      </c>
      <c r="AQ252" s="457">
        <v>1.0</v>
      </c>
      <c r="AR252" s="456" t="s">
        <v>631</v>
      </c>
      <c r="AS252" s="457">
        <v>0.0</v>
      </c>
      <c r="AT252" s="456" t="s">
        <v>631</v>
      </c>
      <c r="AU252" s="537" t="s">
        <v>633</v>
      </c>
      <c r="AV252" s="456" t="s">
        <v>631</v>
      </c>
      <c r="AW252" s="457">
        <v>0.0</v>
      </c>
      <c r="AX252" s="456" t="s">
        <v>631</v>
      </c>
      <c r="AY252" s="457">
        <v>0.0</v>
      </c>
      <c r="AZ252" s="456" t="s">
        <v>631</v>
      </c>
      <c r="BA252" s="457">
        <v>0.0</v>
      </c>
      <c r="BB252" s="456" t="s">
        <v>631</v>
      </c>
      <c r="BC252" s="457">
        <v>0.0</v>
      </c>
      <c r="BD252" s="456" t="s">
        <v>631</v>
      </c>
      <c r="BE252" s="457">
        <v>0.0</v>
      </c>
    </row>
    <row r="253">
      <c r="A253" s="454" t="s">
        <v>1018</v>
      </c>
      <c r="B253" s="457">
        <v>0.0</v>
      </c>
      <c r="C253" s="454" t="s">
        <v>1018</v>
      </c>
      <c r="D253" s="457">
        <v>0.0</v>
      </c>
      <c r="E253" s="454" t="s">
        <v>1018</v>
      </c>
      <c r="F253" s="457">
        <v>0.0</v>
      </c>
      <c r="G253" s="618"/>
      <c r="H253" s="618"/>
      <c r="I253" s="618"/>
      <c r="M253" s="226"/>
      <c r="N253" s="226"/>
      <c r="O253" s="226"/>
      <c r="P253" s="226"/>
      <c r="AN253" s="456" t="s">
        <v>628</v>
      </c>
      <c r="AO253" s="457">
        <v>0.0</v>
      </c>
      <c r="AP253" s="456" t="s">
        <v>628</v>
      </c>
      <c r="AQ253" s="457">
        <v>0.0</v>
      </c>
      <c r="AR253" s="456" t="s">
        <v>628</v>
      </c>
      <c r="AS253" s="457">
        <v>1.0</v>
      </c>
      <c r="AT253" s="456" t="s">
        <v>628</v>
      </c>
      <c r="AU253" s="537" t="s">
        <v>2255</v>
      </c>
      <c r="AV253" s="456" t="s">
        <v>628</v>
      </c>
      <c r="AW253" s="457">
        <v>0.0</v>
      </c>
      <c r="AX253" s="456" t="s">
        <v>628</v>
      </c>
      <c r="AY253" s="457">
        <v>0.0</v>
      </c>
      <c r="AZ253" s="456" t="s">
        <v>628</v>
      </c>
      <c r="BA253" s="457">
        <v>0.0</v>
      </c>
      <c r="BB253" s="456" t="s">
        <v>628</v>
      </c>
      <c r="BC253" s="457">
        <v>0.0</v>
      </c>
      <c r="BD253" s="456" t="s">
        <v>628</v>
      </c>
      <c r="BE253" s="457">
        <v>0.0</v>
      </c>
    </row>
    <row r="254">
      <c r="A254" s="454" t="s">
        <v>1019</v>
      </c>
      <c r="B254" s="457">
        <v>0.0</v>
      </c>
      <c r="C254" s="454" t="s">
        <v>1019</v>
      </c>
      <c r="D254" s="457">
        <v>0.0</v>
      </c>
      <c r="E254" s="454" t="s">
        <v>1019</v>
      </c>
      <c r="F254" s="457">
        <v>0.0</v>
      </c>
      <c r="G254" s="618"/>
      <c r="H254" s="618"/>
      <c r="I254" s="618"/>
      <c r="M254" s="226"/>
      <c r="N254" s="226"/>
      <c r="O254" s="226"/>
      <c r="P254" s="226"/>
      <c r="AN254" s="497" t="s">
        <v>636</v>
      </c>
      <c r="AO254" s="457">
        <v>0.0</v>
      </c>
      <c r="AP254" s="497" t="s">
        <v>636</v>
      </c>
      <c r="AQ254" s="457">
        <v>1.0</v>
      </c>
      <c r="AR254" s="497" t="s">
        <v>636</v>
      </c>
      <c r="AS254" s="457">
        <v>0.0</v>
      </c>
      <c r="AT254" s="497" t="s">
        <v>636</v>
      </c>
      <c r="AU254" s="537" t="s">
        <v>2255</v>
      </c>
      <c r="AV254" s="497" t="s">
        <v>636</v>
      </c>
      <c r="AW254" s="457">
        <v>0.0</v>
      </c>
      <c r="AX254" s="497" t="s">
        <v>636</v>
      </c>
      <c r="AY254" s="457">
        <v>0.0</v>
      </c>
      <c r="AZ254" s="497" t="s">
        <v>636</v>
      </c>
      <c r="BA254" s="457">
        <v>4.0</v>
      </c>
      <c r="BB254" s="497" t="s">
        <v>636</v>
      </c>
      <c r="BC254" s="457">
        <v>0.0</v>
      </c>
      <c r="BD254" s="497" t="s">
        <v>636</v>
      </c>
      <c r="BE254" s="457">
        <v>0.0</v>
      </c>
    </row>
    <row r="255">
      <c r="A255" s="454" t="s">
        <v>1026</v>
      </c>
      <c r="B255" s="457">
        <v>0.0</v>
      </c>
      <c r="C255" s="454" t="s">
        <v>1026</v>
      </c>
      <c r="D255" s="457">
        <v>0.0</v>
      </c>
      <c r="E255" s="454" t="s">
        <v>1026</v>
      </c>
      <c r="F255" s="457">
        <v>0.0</v>
      </c>
      <c r="G255" s="618"/>
      <c r="H255" s="618"/>
      <c r="I255" s="618"/>
      <c r="M255" s="226"/>
      <c r="N255" s="226"/>
      <c r="O255" s="226"/>
      <c r="P255" s="226"/>
      <c r="AN255" s="456" t="s">
        <v>641</v>
      </c>
      <c r="AO255" s="457">
        <v>1.0</v>
      </c>
      <c r="AP255" s="456" t="s">
        <v>641</v>
      </c>
      <c r="AQ255" s="457">
        <v>0.0</v>
      </c>
      <c r="AR255" s="456" t="s">
        <v>641</v>
      </c>
      <c r="AS255" s="457">
        <v>0.0</v>
      </c>
      <c r="AT255" s="456" t="s">
        <v>641</v>
      </c>
      <c r="AU255" s="537" t="s">
        <v>2256</v>
      </c>
      <c r="AV255" s="456" t="s">
        <v>641</v>
      </c>
      <c r="AW255" s="457">
        <v>4.0</v>
      </c>
      <c r="AX255" s="456" t="s">
        <v>641</v>
      </c>
      <c r="AY255" s="457">
        <v>4.0</v>
      </c>
      <c r="AZ255" s="456" t="s">
        <v>641</v>
      </c>
      <c r="BA255" s="457">
        <v>0.0</v>
      </c>
      <c r="BB255" s="456" t="s">
        <v>641</v>
      </c>
      <c r="BC255" s="457">
        <v>0.0</v>
      </c>
      <c r="BD255" s="456" t="s">
        <v>641</v>
      </c>
      <c r="BE255" s="457">
        <v>0.0</v>
      </c>
    </row>
    <row r="256">
      <c r="A256" s="614" t="s">
        <v>1048</v>
      </c>
      <c r="B256" s="457">
        <v>0.0</v>
      </c>
      <c r="C256" s="614" t="s">
        <v>1048</v>
      </c>
      <c r="D256" s="457">
        <v>0.0</v>
      </c>
      <c r="E256" s="614" t="s">
        <v>1048</v>
      </c>
      <c r="F256" s="457">
        <v>0.0</v>
      </c>
      <c r="G256" s="618"/>
      <c r="H256" s="618"/>
      <c r="I256" s="618"/>
      <c r="M256" s="226"/>
      <c r="N256" s="226"/>
      <c r="O256" s="226"/>
      <c r="P256" s="226"/>
      <c r="AN256" s="456" t="s">
        <v>645</v>
      </c>
      <c r="AO256" s="457">
        <v>0.0</v>
      </c>
      <c r="AP256" s="456" t="s">
        <v>645</v>
      </c>
      <c r="AQ256" s="457">
        <v>1.0</v>
      </c>
      <c r="AR256" s="456" t="s">
        <v>645</v>
      </c>
      <c r="AS256" s="457">
        <v>0.0</v>
      </c>
      <c r="AT256" s="456" t="s">
        <v>645</v>
      </c>
      <c r="AU256" s="537" t="s">
        <v>2255</v>
      </c>
      <c r="AV256" s="456" t="s">
        <v>645</v>
      </c>
      <c r="AW256" s="457">
        <v>0.0</v>
      </c>
      <c r="AX256" s="456" t="s">
        <v>645</v>
      </c>
      <c r="AY256" s="457">
        <v>0.0</v>
      </c>
      <c r="AZ256" s="456" t="s">
        <v>645</v>
      </c>
      <c r="BA256" s="457">
        <v>4.0</v>
      </c>
      <c r="BB256" s="456" t="s">
        <v>645</v>
      </c>
      <c r="BC256" s="457">
        <v>0.0</v>
      </c>
      <c r="BD256" s="456" t="s">
        <v>645</v>
      </c>
      <c r="BE256" s="457">
        <v>0.0</v>
      </c>
    </row>
    <row r="257">
      <c r="A257" s="614" t="s">
        <v>1052</v>
      </c>
      <c r="B257" s="457">
        <v>0.0</v>
      </c>
      <c r="C257" s="614" t="s">
        <v>1052</v>
      </c>
      <c r="D257" s="457">
        <v>0.0</v>
      </c>
      <c r="E257" s="614" t="s">
        <v>1052</v>
      </c>
      <c r="F257" s="457">
        <v>0.0</v>
      </c>
      <c r="G257" s="618"/>
      <c r="H257" s="618"/>
      <c r="I257" s="618"/>
      <c r="M257" s="226"/>
      <c r="N257" s="226"/>
      <c r="O257" s="226"/>
      <c r="P257" s="226"/>
      <c r="AN257" s="505" t="s">
        <v>638</v>
      </c>
      <c r="AO257" s="508">
        <v>0.0</v>
      </c>
      <c r="AP257" s="505" t="s">
        <v>638</v>
      </c>
      <c r="AQ257" s="508">
        <v>1.0</v>
      </c>
      <c r="AR257" s="505" t="s">
        <v>638</v>
      </c>
      <c r="AS257" s="508">
        <v>0.0</v>
      </c>
      <c r="AT257" s="505" t="s">
        <v>638</v>
      </c>
      <c r="AU257" s="508" t="s">
        <v>633</v>
      </c>
      <c r="AV257" s="505" t="s">
        <v>638</v>
      </c>
      <c r="AW257" s="508">
        <v>0.0</v>
      </c>
      <c r="AX257" s="505" t="s">
        <v>638</v>
      </c>
      <c r="AY257" s="508">
        <v>0.0</v>
      </c>
      <c r="AZ257" s="505" t="s">
        <v>638</v>
      </c>
      <c r="BA257" s="508">
        <v>0.0</v>
      </c>
      <c r="BB257" s="505" t="s">
        <v>638</v>
      </c>
      <c r="BC257" s="508">
        <v>0.0</v>
      </c>
      <c r="BD257" s="505" t="s">
        <v>638</v>
      </c>
      <c r="BE257" s="508">
        <v>0.0</v>
      </c>
    </row>
    <row r="258">
      <c r="A258" s="614" t="s">
        <v>1053</v>
      </c>
      <c r="B258" s="457">
        <v>0.0</v>
      </c>
      <c r="C258" s="614" t="s">
        <v>1053</v>
      </c>
      <c r="D258" s="457">
        <v>0.0</v>
      </c>
      <c r="E258" s="614" t="s">
        <v>1053</v>
      </c>
      <c r="F258" s="457">
        <v>0.0</v>
      </c>
      <c r="G258" s="618"/>
      <c r="H258" s="618"/>
      <c r="I258" s="618"/>
      <c r="M258" s="226"/>
      <c r="N258" s="226"/>
      <c r="O258" s="226"/>
      <c r="P258" s="226"/>
      <c r="AN258" s="510" t="s">
        <v>648</v>
      </c>
      <c r="AO258" s="650">
        <v>0.0</v>
      </c>
      <c r="AP258" s="510" t="s">
        <v>648</v>
      </c>
      <c r="AQ258" s="508">
        <v>0.0</v>
      </c>
      <c r="AR258" s="510" t="s">
        <v>648</v>
      </c>
      <c r="AS258" s="508">
        <v>1.0</v>
      </c>
      <c r="AT258" s="510" t="s">
        <v>648</v>
      </c>
      <c r="AU258" s="508" t="s">
        <v>2256</v>
      </c>
      <c r="AV258" s="510" t="s">
        <v>648</v>
      </c>
      <c r="AW258" s="508">
        <v>0.0</v>
      </c>
      <c r="AX258" s="510" t="s">
        <v>648</v>
      </c>
      <c r="AY258" s="508">
        <v>0.0</v>
      </c>
      <c r="AZ258" s="510" t="s">
        <v>648</v>
      </c>
      <c r="BA258" s="508">
        <v>0.0</v>
      </c>
      <c r="BB258" s="510" t="s">
        <v>648</v>
      </c>
      <c r="BC258" s="508">
        <v>0.0</v>
      </c>
      <c r="BD258" s="510" t="s">
        <v>648</v>
      </c>
      <c r="BE258" s="508">
        <v>0.0</v>
      </c>
    </row>
    <row r="259">
      <c r="A259" s="454" t="s">
        <v>1020</v>
      </c>
      <c r="B259" s="457">
        <v>0.0</v>
      </c>
      <c r="C259" s="454" t="s">
        <v>1020</v>
      </c>
      <c r="D259" s="457">
        <v>0.0</v>
      </c>
      <c r="E259" s="454" t="s">
        <v>1020</v>
      </c>
      <c r="F259" s="457">
        <v>0.0</v>
      </c>
      <c r="G259" s="618"/>
      <c r="H259" s="618"/>
      <c r="I259" s="618"/>
      <c r="M259" s="226"/>
      <c r="N259" s="226"/>
      <c r="O259" s="226"/>
      <c r="P259" s="226"/>
      <c r="AN259" s="510" t="s">
        <v>652</v>
      </c>
      <c r="AO259" s="650">
        <v>0.0</v>
      </c>
      <c r="AP259" s="510" t="s">
        <v>652</v>
      </c>
      <c r="AQ259" s="508">
        <v>0.0</v>
      </c>
      <c r="AR259" s="510" t="s">
        <v>652</v>
      </c>
      <c r="AS259" s="508">
        <v>1.0</v>
      </c>
      <c r="AT259" s="510" t="s">
        <v>652</v>
      </c>
      <c r="AU259" s="508" t="s">
        <v>2255</v>
      </c>
      <c r="AV259" s="510" t="s">
        <v>652</v>
      </c>
      <c r="AW259" s="508">
        <v>0.0</v>
      </c>
      <c r="AX259" s="510" t="s">
        <v>652</v>
      </c>
      <c r="AY259" s="508">
        <v>0.0</v>
      </c>
      <c r="AZ259" s="510" t="s">
        <v>652</v>
      </c>
      <c r="BA259" s="508">
        <v>0.0</v>
      </c>
      <c r="BB259" s="510" t="s">
        <v>652</v>
      </c>
      <c r="BC259" s="508">
        <v>0.0</v>
      </c>
      <c r="BD259" s="510" t="s">
        <v>652</v>
      </c>
      <c r="BE259" s="508">
        <v>0.0</v>
      </c>
    </row>
    <row r="260">
      <c r="A260" s="454" t="s">
        <v>1022</v>
      </c>
      <c r="B260" s="457">
        <v>0.0</v>
      </c>
      <c r="C260" s="454" t="s">
        <v>1022</v>
      </c>
      <c r="D260" s="457">
        <v>0.0</v>
      </c>
      <c r="E260" s="454" t="s">
        <v>1022</v>
      </c>
      <c r="F260" s="457">
        <v>0.0</v>
      </c>
      <c r="G260" s="618"/>
      <c r="H260" s="618"/>
      <c r="I260" s="618"/>
      <c r="M260" s="226"/>
      <c r="N260" s="226"/>
      <c r="O260" s="226"/>
      <c r="P260" s="226"/>
      <c r="AN260" s="510" t="s">
        <v>655</v>
      </c>
      <c r="AO260" s="650">
        <v>0.0</v>
      </c>
      <c r="AP260" s="510" t="s">
        <v>655</v>
      </c>
      <c r="AQ260" s="508">
        <v>1.0</v>
      </c>
      <c r="AR260" s="510" t="s">
        <v>655</v>
      </c>
      <c r="AS260" s="508">
        <v>0.0</v>
      </c>
      <c r="AT260" s="510" t="s">
        <v>655</v>
      </c>
      <c r="AU260" s="508" t="s">
        <v>2257</v>
      </c>
      <c r="AV260" s="510" t="s">
        <v>655</v>
      </c>
      <c r="AW260" s="508">
        <v>0.0</v>
      </c>
      <c r="AX260" s="510" t="s">
        <v>655</v>
      </c>
      <c r="AY260" s="508">
        <v>0.0</v>
      </c>
      <c r="AZ260" s="510" t="s">
        <v>655</v>
      </c>
      <c r="BA260" s="508">
        <v>0.0</v>
      </c>
      <c r="BB260" s="510" t="s">
        <v>655</v>
      </c>
      <c r="BC260" s="508">
        <v>0.0</v>
      </c>
      <c r="BD260" s="510" t="s">
        <v>655</v>
      </c>
      <c r="BE260" s="508">
        <v>4.0</v>
      </c>
    </row>
    <row r="261">
      <c r="A261" s="454" t="s">
        <v>1031</v>
      </c>
      <c r="B261" s="537">
        <v>0.0</v>
      </c>
      <c r="C261" s="454" t="s">
        <v>1031</v>
      </c>
      <c r="D261" s="457">
        <v>0.0</v>
      </c>
      <c r="E261" s="454" t="s">
        <v>1031</v>
      </c>
      <c r="F261" s="457">
        <v>0.0</v>
      </c>
      <c r="G261" s="618"/>
      <c r="H261" s="618"/>
      <c r="I261" s="618"/>
      <c r="M261" s="226"/>
      <c r="N261" s="226"/>
      <c r="O261" s="226"/>
      <c r="P261" s="226"/>
    </row>
    <row r="262">
      <c r="A262" s="454" t="s">
        <v>1033</v>
      </c>
      <c r="B262" s="537">
        <v>0.0</v>
      </c>
      <c r="C262" s="454" t="s">
        <v>1033</v>
      </c>
      <c r="D262" s="457">
        <v>0.0</v>
      </c>
      <c r="E262" s="454" t="s">
        <v>1033</v>
      </c>
      <c r="F262" s="457">
        <v>0.0</v>
      </c>
      <c r="G262" s="618"/>
      <c r="H262" s="618"/>
      <c r="I262" s="618"/>
      <c r="M262" s="226"/>
      <c r="N262" s="226"/>
      <c r="O262" s="226"/>
      <c r="P262" s="226"/>
      <c r="AN262" s="449" t="s">
        <v>2020</v>
      </c>
      <c r="AO262" s="450" t="s">
        <v>2258</v>
      </c>
      <c r="AP262" s="449" t="s">
        <v>2020</v>
      </c>
      <c r="AQ262" s="450" t="s">
        <v>2259</v>
      </c>
      <c r="AR262" s="449" t="s">
        <v>2020</v>
      </c>
      <c r="AS262" s="450" t="s">
        <v>2260</v>
      </c>
      <c r="AT262" s="449" t="s">
        <v>2020</v>
      </c>
      <c r="AU262" s="450" t="s">
        <v>2261</v>
      </c>
      <c r="AV262" s="449" t="s">
        <v>2020</v>
      </c>
      <c r="AW262" s="450" t="s">
        <v>2262</v>
      </c>
      <c r="AX262" s="449" t="s">
        <v>2020</v>
      </c>
      <c r="AY262" s="450" t="s">
        <v>2263</v>
      </c>
      <c r="AZ262" s="449" t="s">
        <v>2020</v>
      </c>
      <c r="BA262" s="450" t="s">
        <v>2264</v>
      </c>
      <c r="BB262" s="449" t="s">
        <v>2020</v>
      </c>
      <c r="BC262" s="450" t="s">
        <v>2265</v>
      </c>
      <c r="BD262" s="449" t="s">
        <v>2020</v>
      </c>
      <c r="BE262" s="450" t="s">
        <v>2266</v>
      </c>
    </row>
    <row r="263">
      <c r="A263" s="454" t="s">
        <v>1035</v>
      </c>
      <c r="B263" s="537">
        <v>0.0</v>
      </c>
      <c r="C263" s="454" t="s">
        <v>1035</v>
      </c>
      <c r="D263" s="457">
        <v>0.0</v>
      </c>
      <c r="E263" s="454" t="s">
        <v>1035</v>
      </c>
      <c r="F263" s="457">
        <v>0.0</v>
      </c>
      <c r="G263" s="618"/>
      <c r="H263" s="618"/>
      <c r="I263" s="618"/>
      <c r="M263" s="226"/>
      <c r="N263" s="226"/>
      <c r="O263" s="226"/>
      <c r="P263" s="226"/>
      <c r="AN263" s="454" t="s">
        <v>725</v>
      </c>
      <c r="AO263" s="457">
        <v>0.0</v>
      </c>
      <c r="AP263" s="454" t="s">
        <v>725</v>
      </c>
      <c r="AQ263" s="457">
        <v>1.0</v>
      </c>
      <c r="AR263" s="454" t="s">
        <v>725</v>
      </c>
      <c r="AS263" s="457">
        <v>0.0</v>
      </c>
      <c r="AT263" s="454" t="s">
        <v>725</v>
      </c>
      <c r="AU263" s="537" t="s">
        <v>2222</v>
      </c>
      <c r="AV263" s="454" t="s">
        <v>725</v>
      </c>
      <c r="AW263" s="457">
        <v>0.0</v>
      </c>
      <c r="AX263" s="454" t="s">
        <v>725</v>
      </c>
      <c r="AY263" s="457">
        <v>0.0</v>
      </c>
      <c r="AZ263" s="454" t="s">
        <v>725</v>
      </c>
      <c r="BA263" s="457">
        <v>0.0</v>
      </c>
      <c r="BB263" s="454" t="s">
        <v>725</v>
      </c>
      <c r="BC263" s="457">
        <v>4.0</v>
      </c>
      <c r="BD263" s="454" t="s">
        <v>725</v>
      </c>
      <c r="BE263" s="457">
        <v>0.0</v>
      </c>
    </row>
    <row r="264">
      <c r="A264" s="454" t="s">
        <v>1055</v>
      </c>
      <c r="B264" s="457">
        <v>44.52</v>
      </c>
      <c r="C264" s="454" t="s">
        <v>1055</v>
      </c>
      <c r="D264" s="457">
        <v>0.0</v>
      </c>
      <c r="E264" s="454" t="s">
        <v>1055</v>
      </c>
      <c r="F264" s="457">
        <v>0.0</v>
      </c>
      <c r="G264" s="618"/>
      <c r="H264" s="618"/>
      <c r="I264" s="618"/>
      <c r="M264" s="226"/>
      <c r="N264" s="226"/>
      <c r="O264" s="226"/>
      <c r="P264" s="226"/>
      <c r="AN264" s="454" t="s">
        <v>726</v>
      </c>
      <c r="AO264" s="457">
        <v>0.0</v>
      </c>
      <c r="AP264" s="454" t="s">
        <v>726</v>
      </c>
      <c r="AQ264" s="457">
        <v>0.0</v>
      </c>
      <c r="AR264" s="454" t="s">
        <v>726</v>
      </c>
      <c r="AS264" s="457">
        <v>0.0</v>
      </c>
      <c r="AT264" s="454" t="s">
        <v>726</v>
      </c>
      <c r="AU264" s="537"/>
      <c r="AV264" s="454" t="s">
        <v>726</v>
      </c>
      <c r="AW264" s="457">
        <v>0.0</v>
      </c>
      <c r="AX264" s="454" t="s">
        <v>726</v>
      </c>
      <c r="AY264" s="457">
        <v>0.0</v>
      </c>
      <c r="AZ264" s="454" t="s">
        <v>726</v>
      </c>
      <c r="BA264" s="457">
        <v>0.0</v>
      </c>
      <c r="BB264" s="454" t="s">
        <v>726</v>
      </c>
      <c r="BC264" s="457">
        <v>0.0</v>
      </c>
      <c r="BD264" s="454" t="s">
        <v>726</v>
      </c>
      <c r="BE264" s="457">
        <v>0.0</v>
      </c>
    </row>
    <row r="265">
      <c r="A265" s="618"/>
      <c r="B265" s="618"/>
      <c r="C265" s="618"/>
      <c r="D265" s="618"/>
      <c r="E265" s="618"/>
      <c r="F265" s="618"/>
      <c r="G265" s="618"/>
      <c r="H265" s="618"/>
      <c r="I265" s="618"/>
      <c r="M265" s="226"/>
      <c r="N265" s="226"/>
      <c r="O265" s="226"/>
      <c r="P265" s="226"/>
      <c r="AN265" s="454" t="s">
        <v>728</v>
      </c>
      <c r="AO265" s="457">
        <v>0.0</v>
      </c>
      <c r="AP265" s="454" t="s">
        <v>728</v>
      </c>
      <c r="AQ265" s="457">
        <v>0.0</v>
      </c>
      <c r="AR265" s="454" t="s">
        <v>728</v>
      </c>
      <c r="AS265" s="457">
        <v>0.0</v>
      </c>
      <c r="AT265" s="454" t="s">
        <v>728</v>
      </c>
      <c r="AU265" s="537"/>
      <c r="AV265" s="454" t="s">
        <v>728</v>
      </c>
      <c r="AW265" s="457">
        <v>0.0</v>
      </c>
      <c r="AX265" s="454" t="s">
        <v>728</v>
      </c>
      <c r="AY265" s="457">
        <v>0.0</v>
      </c>
      <c r="AZ265" s="454" t="s">
        <v>728</v>
      </c>
      <c r="BA265" s="457">
        <v>0.0</v>
      </c>
      <c r="BB265" s="454" t="s">
        <v>728</v>
      </c>
      <c r="BC265" s="457">
        <v>0.0</v>
      </c>
      <c r="BD265" s="454" t="s">
        <v>728</v>
      </c>
      <c r="BE265" s="457">
        <v>0.0</v>
      </c>
    </row>
    <row r="266">
      <c r="A266" s="618"/>
      <c r="B266" s="618"/>
      <c r="C266" s="618"/>
      <c r="D266" s="618"/>
      <c r="E266" s="618"/>
      <c r="F266" s="618"/>
      <c r="G266" s="618"/>
      <c r="H266" s="618"/>
      <c r="I266" s="618"/>
      <c r="M266" s="226"/>
      <c r="N266" s="226"/>
      <c r="O266" s="226"/>
      <c r="P266" s="226"/>
      <c r="AN266" s="454" t="s">
        <v>729</v>
      </c>
      <c r="AO266" s="457">
        <v>1.0</v>
      </c>
      <c r="AP266" s="454" t="s">
        <v>729</v>
      </c>
      <c r="AQ266" s="457">
        <v>0.0</v>
      </c>
      <c r="AR266" s="454" t="s">
        <v>729</v>
      </c>
      <c r="AS266" s="457">
        <v>0.0</v>
      </c>
      <c r="AT266" s="454" t="s">
        <v>729</v>
      </c>
      <c r="AU266" s="537" t="s">
        <v>2267</v>
      </c>
      <c r="AV266" s="454" t="s">
        <v>729</v>
      </c>
      <c r="AW266" s="457">
        <v>0.0</v>
      </c>
      <c r="AX266" s="454" t="s">
        <v>729</v>
      </c>
      <c r="AY266" s="457">
        <v>0.0</v>
      </c>
      <c r="AZ266" s="454" t="s">
        <v>729</v>
      </c>
      <c r="BA266" s="457">
        <v>0.0</v>
      </c>
      <c r="BB266" s="454" t="s">
        <v>729</v>
      </c>
      <c r="BC266" s="457">
        <v>0.0</v>
      </c>
      <c r="BD266" s="454" t="s">
        <v>729</v>
      </c>
      <c r="BE266" s="457">
        <v>2.0</v>
      </c>
    </row>
    <row r="267">
      <c r="A267" s="618"/>
      <c r="B267" s="618"/>
      <c r="C267" s="618"/>
      <c r="D267" s="618"/>
      <c r="E267" s="618"/>
      <c r="F267" s="618"/>
      <c r="G267" s="618"/>
      <c r="H267" s="618"/>
      <c r="I267" s="618"/>
      <c r="M267" s="226"/>
      <c r="N267" s="226"/>
      <c r="O267" s="226"/>
      <c r="P267" s="226"/>
      <c r="AN267" s="454" t="s">
        <v>732</v>
      </c>
      <c r="AO267" s="537">
        <v>0.0</v>
      </c>
      <c r="AP267" s="454" t="s">
        <v>732</v>
      </c>
      <c r="AQ267" s="457">
        <v>0.0</v>
      </c>
      <c r="AR267" s="454" t="s">
        <v>732</v>
      </c>
      <c r="AS267" s="457">
        <v>0.0</v>
      </c>
      <c r="AT267" s="454" t="s">
        <v>732</v>
      </c>
      <c r="AU267" s="457">
        <v>0.0</v>
      </c>
      <c r="AV267" s="454" t="s">
        <v>732</v>
      </c>
      <c r="AW267" s="457">
        <v>0.0</v>
      </c>
      <c r="AX267" s="454" t="s">
        <v>732</v>
      </c>
      <c r="AY267" s="457">
        <v>0.0</v>
      </c>
      <c r="AZ267" s="454" t="s">
        <v>732</v>
      </c>
      <c r="BA267" s="457">
        <v>0.0</v>
      </c>
      <c r="BB267" s="454" t="s">
        <v>732</v>
      </c>
      <c r="BC267" s="457">
        <v>0.0</v>
      </c>
      <c r="BD267" s="454" t="s">
        <v>732</v>
      </c>
      <c r="BE267" s="457">
        <v>0.0</v>
      </c>
    </row>
    <row r="268">
      <c r="A268" s="618"/>
      <c r="B268" s="618"/>
      <c r="C268" s="618"/>
      <c r="D268" s="618"/>
      <c r="E268" s="618"/>
      <c r="F268" s="618"/>
      <c r="G268" s="618"/>
      <c r="H268" s="618"/>
      <c r="I268" s="618"/>
      <c r="M268" s="226"/>
      <c r="N268" s="226"/>
      <c r="O268" s="226"/>
      <c r="P268" s="226"/>
      <c r="AN268" s="454" t="s">
        <v>734</v>
      </c>
      <c r="AO268" s="537">
        <v>0.0</v>
      </c>
      <c r="AP268" s="454" t="s">
        <v>734</v>
      </c>
      <c r="AQ268" s="457">
        <v>0.0</v>
      </c>
      <c r="AR268" s="454" t="s">
        <v>734</v>
      </c>
      <c r="AS268" s="457">
        <v>1.0</v>
      </c>
      <c r="AT268" s="454" t="s">
        <v>734</v>
      </c>
      <c r="AU268" s="537" t="s">
        <v>2268</v>
      </c>
      <c r="AV268" s="454" t="s">
        <v>734</v>
      </c>
      <c r="AW268" s="457">
        <v>0.0</v>
      </c>
      <c r="AX268" s="454" t="s">
        <v>734</v>
      </c>
      <c r="AY268" s="457">
        <v>0.0</v>
      </c>
      <c r="AZ268" s="454" t="s">
        <v>734</v>
      </c>
      <c r="BA268" s="457">
        <v>0.0</v>
      </c>
      <c r="BB268" s="454" t="s">
        <v>734</v>
      </c>
      <c r="BC268" s="457">
        <v>0.0</v>
      </c>
      <c r="BD268" s="454" t="s">
        <v>734</v>
      </c>
      <c r="BE268" s="457">
        <v>0.0</v>
      </c>
    </row>
    <row r="269">
      <c r="A269" s="449" t="s">
        <v>2269</v>
      </c>
      <c r="B269" s="449" t="s">
        <v>2270</v>
      </c>
      <c r="C269" s="618"/>
      <c r="D269" s="618"/>
      <c r="E269" s="618"/>
      <c r="F269" s="618"/>
      <c r="G269" s="618"/>
      <c r="H269" s="618"/>
      <c r="I269" s="618"/>
      <c r="M269" s="226"/>
      <c r="N269" s="226"/>
      <c r="O269" s="226"/>
      <c r="P269" s="226"/>
    </row>
    <row r="270">
      <c r="A270" s="454" t="s">
        <v>906</v>
      </c>
      <c r="B270" s="456">
        <v>0.0</v>
      </c>
      <c r="C270" s="618"/>
      <c r="D270" s="618"/>
      <c r="E270" s="618"/>
      <c r="F270" s="618"/>
      <c r="G270" s="618"/>
      <c r="H270" s="618"/>
      <c r="I270" s="618"/>
      <c r="M270" s="226"/>
      <c r="N270" s="226"/>
      <c r="O270" s="226"/>
      <c r="P270" s="226"/>
      <c r="AN270" s="449" t="s">
        <v>2036</v>
      </c>
      <c r="AO270" s="450" t="s">
        <v>2271</v>
      </c>
      <c r="AP270" s="449" t="s">
        <v>2036</v>
      </c>
      <c r="AQ270" s="450" t="s">
        <v>2272</v>
      </c>
      <c r="AR270" s="449" t="s">
        <v>2036</v>
      </c>
      <c r="AS270" s="450" t="s">
        <v>2273</v>
      </c>
      <c r="AT270" s="449" t="s">
        <v>2036</v>
      </c>
      <c r="AU270" s="450" t="s">
        <v>2274</v>
      </c>
      <c r="AV270" s="449" t="s">
        <v>2036</v>
      </c>
      <c r="AW270" s="450" t="s">
        <v>2275</v>
      </c>
      <c r="AX270" s="449" t="s">
        <v>2036</v>
      </c>
      <c r="AY270" s="450" t="s">
        <v>2276</v>
      </c>
      <c r="AZ270" s="449" t="s">
        <v>2036</v>
      </c>
      <c r="BA270" s="450" t="s">
        <v>2277</v>
      </c>
      <c r="BB270" s="449" t="s">
        <v>2036</v>
      </c>
      <c r="BC270" s="450" t="s">
        <v>2278</v>
      </c>
      <c r="BD270" s="449" t="s">
        <v>2036</v>
      </c>
      <c r="BE270" s="450" t="s">
        <v>2279</v>
      </c>
    </row>
    <row r="271">
      <c r="A271" s="454" t="s">
        <v>907</v>
      </c>
      <c r="B271" s="456">
        <v>0.0</v>
      </c>
      <c r="C271" s="618"/>
      <c r="D271" s="618"/>
      <c r="E271" s="618"/>
      <c r="F271" s="618"/>
      <c r="G271" s="618"/>
      <c r="H271" s="618"/>
      <c r="I271" s="618"/>
      <c r="M271" s="226"/>
      <c r="N271" s="226"/>
      <c r="O271" s="226"/>
      <c r="P271" s="226"/>
      <c r="AN271" s="454" t="s">
        <v>743</v>
      </c>
      <c r="AO271" s="537">
        <v>1.0</v>
      </c>
      <c r="AP271" s="454" t="s">
        <v>743</v>
      </c>
      <c r="AQ271" s="537">
        <v>1.0</v>
      </c>
      <c r="AR271" s="454" t="s">
        <v>743</v>
      </c>
      <c r="AS271" s="537">
        <v>1.0</v>
      </c>
      <c r="AT271" s="454" t="s">
        <v>743</v>
      </c>
      <c r="AU271" s="537" t="s">
        <v>2280</v>
      </c>
      <c r="AV271" s="454" t="s">
        <v>743</v>
      </c>
      <c r="AW271" s="537">
        <v>0.0</v>
      </c>
      <c r="AX271" s="454" t="s">
        <v>743</v>
      </c>
      <c r="AY271" s="537">
        <v>0.0</v>
      </c>
      <c r="AZ271" s="454" t="s">
        <v>743</v>
      </c>
      <c r="BA271" s="537">
        <v>0.0</v>
      </c>
      <c r="BB271" s="454" t="s">
        <v>743</v>
      </c>
      <c r="BC271" s="537">
        <v>0.0</v>
      </c>
      <c r="BD271" s="454" t="s">
        <v>743</v>
      </c>
      <c r="BE271" s="537">
        <v>0.0</v>
      </c>
    </row>
    <row r="272">
      <c r="A272" s="454" t="s">
        <v>908</v>
      </c>
      <c r="B272" s="456">
        <v>0.0</v>
      </c>
      <c r="C272" s="618"/>
      <c r="D272" s="618"/>
      <c r="E272" s="618"/>
      <c r="F272" s="618"/>
      <c r="G272" s="618"/>
      <c r="H272" s="618"/>
      <c r="I272" s="618"/>
      <c r="M272" s="226"/>
      <c r="N272" s="226"/>
      <c r="O272" s="226"/>
      <c r="P272" s="226"/>
      <c r="AN272" s="454" t="s">
        <v>746</v>
      </c>
      <c r="AO272" s="537">
        <v>3.0</v>
      </c>
      <c r="AP272" s="454" t="s">
        <v>746</v>
      </c>
      <c r="AQ272" s="537">
        <v>0.0</v>
      </c>
      <c r="AR272" s="454" t="s">
        <v>746</v>
      </c>
      <c r="AS272" s="537">
        <v>0.0</v>
      </c>
      <c r="AT272" s="454" t="s">
        <v>746</v>
      </c>
      <c r="AU272" s="537" t="s">
        <v>2255</v>
      </c>
      <c r="AV272" s="454" t="s">
        <v>746</v>
      </c>
      <c r="AW272" s="537">
        <v>0.0</v>
      </c>
      <c r="AX272" s="454" t="s">
        <v>746</v>
      </c>
      <c r="AY272" s="537">
        <v>0.0</v>
      </c>
      <c r="AZ272" s="454" t="s">
        <v>746</v>
      </c>
      <c r="BA272" s="537">
        <v>4.0</v>
      </c>
      <c r="BB272" s="454" t="s">
        <v>746</v>
      </c>
      <c r="BC272" s="537">
        <v>0.0</v>
      </c>
      <c r="BD272" s="454" t="s">
        <v>746</v>
      </c>
      <c r="BE272" s="537">
        <v>0.0</v>
      </c>
    </row>
    <row r="273">
      <c r="A273" s="454" t="s">
        <v>910</v>
      </c>
      <c r="B273" s="456">
        <v>0.0</v>
      </c>
      <c r="C273" s="618"/>
      <c r="D273" s="618"/>
      <c r="E273" s="618"/>
      <c r="F273" s="618"/>
      <c r="G273" s="618"/>
      <c r="H273" s="618"/>
      <c r="I273" s="618"/>
      <c r="M273" s="226"/>
      <c r="N273" s="226"/>
      <c r="O273" s="226"/>
      <c r="P273" s="226"/>
      <c r="AN273" s="454" t="s">
        <v>749</v>
      </c>
      <c r="AO273" s="537">
        <v>2.0</v>
      </c>
      <c r="AP273" s="454" t="s">
        <v>749</v>
      </c>
      <c r="AQ273" s="537">
        <v>1.0</v>
      </c>
      <c r="AR273" s="454" t="s">
        <v>749</v>
      </c>
      <c r="AS273" s="537">
        <v>0.0</v>
      </c>
      <c r="AT273" s="454" t="s">
        <v>749</v>
      </c>
      <c r="AU273" s="537" t="s">
        <v>2280</v>
      </c>
      <c r="AV273" s="454" t="s">
        <v>749</v>
      </c>
      <c r="AW273" s="537">
        <v>0.0</v>
      </c>
      <c r="AX273" s="454" t="s">
        <v>749</v>
      </c>
      <c r="AY273" s="537">
        <v>0.0</v>
      </c>
      <c r="AZ273" s="454" t="s">
        <v>749</v>
      </c>
      <c r="BA273" s="537">
        <v>0.0</v>
      </c>
      <c r="BB273" s="454" t="s">
        <v>749</v>
      </c>
      <c r="BC273" s="537">
        <v>8.0</v>
      </c>
      <c r="BD273" s="454" t="s">
        <v>749</v>
      </c>
      <c r="BE273" s="537">
        <v>0.0</v>
      </c>
    </row>
    <row r="274">
      <c r="A274" s="454" t="s">
        <v>912</v>
      </c>
      <c r="B274" s="456">
        <v>0.0</v>
      </c>
      <c r="C274" s="618"/>
      <c r="D274" s="618"/>
      <c r="E274" s="618"/>
      <c r="F274" s="618"/>
      <c r="G274" s="618"/>
      <c r="H274" s="618"/>
      <c r="I274" s="618"/>
      <c r="M274" s="226"/>
      <c r="N274" s="226"/>
      <c r="O274" s="226"/>
      <c r="P274" s="226"/>
      <c r="AN274" s="454" t="s">
        <v>751</v>
      </c>
      <c r="AO274" s="537">
        <v>1.0</v>
      </c>
      <c r="AP274" s="454" t="s">
        <v>751</v>
      </c>
      <c r="AQ274" s="537">
        <v>2.0</v>
      </c>
      <c r="AR274" s="454" t="s">
        <v>751</v>
      </c>
      <c r="AS274" s="537">
        <v>0.0</v>
      </c>
      <c r="AT274" s="454" t="s">
        <v>751</v>
      </c>
      <c r="AU274" s="537" t="s">
        <v>2256</v>
      </c>
      <c r="AV274" s="454" t="s">
        <v>751</v>
      </c>
      <c r="AW274" s="537">
        <v>4.0</v>
      </c>
      <c r="AX274" s="454" t="s">
        <v>751</v>
      </c>
      <c r="AY274" s="537">
        <v>0.0</v>
      </c>
      <c r="AZ274" s="454" t="s">
        <v>751</v>
      </c>
      <c r="BA274" s="537">
        <v>0.0</v>
      </c>
      <c r="BB274" s="454" t="s">
        <v>751</v>
      </c>
      <c r="BC274" s="537">
        <v>0.0</v>
      </c>
      <c r="BD274" s="454" t="s">
        <v>751</v>
      </c>
      <c r="BE274" s="537">
        <v>0.0</v>
      </c>
    </row>
    <row r="275">
      <c r="A275" s="454" t="s">
        <v>914</v>
      </c>
      <c r="B275" s="456">
        <v>0.0</v>
      </c>
      <c r="C275" s="618"/>
      <c r="D275" s="618"/>
      <c r="E275" s="618"/>
      <c r="F275" s="618"/>
      <c r="G275" s="618"/>
      <c r="H275" s="618"/>
      <c r="I275" s="618"/>
      <c r="M275" s="226"/>
      <c r="N275" s="226"/>
      <c r="O275" s="226"/>
      <c r="P275" s="226"/>
      <c r="AN275" s="454" t="s">
        <v>754</v>
      </c>
      <c r="AO275" s="537">
        <v>2.0</v>
      </c>
      <c r="AP275" s="454" t="s">
        <v>754</v>
      </c>
      <c r="AQ275" s="537">
        <v>1.0</v>
      </c>
      <c r="AR275" s="454" t="s">
        <v>754</v>
      </c>
      <c r="AS275" s="537">
        <v>0.0</v>
      </c>
      <c r="AT275" s="454" t="s">
        <v>754</v>
      </c>
      <c r="AU275" s="537" t="s">
        <v>2255</v>
      </c>
      <c r="AV275" s="454" t="s">
        <v>754</v>
      </c>
      <c r="AW275" s="537">
        <v>0.0</v>
      </c>
      <c r="AX275" s="454" t="s">
        <v>754</v>
      </c>
      <c r="AY275" s="537">
        <v>0.0</v>
      </c>
      <c r="AZ275" s="454" t="s">
        <v>754</v>
      </c>
      <c r="BA275" s="537">
        <v>4.0</v>
      </c>
      <c r="BB275" s="454" t="s">
        <v>754</v>
      </c>
      <c r="BC275" s="537">
        <v>0.0</v>
      </c>
      <c r="BD275" s="454" t="s">
        <v>754</v>
      </c>
      <c r="BE275" s="537">
        <v>0.0</v>
      </c>
    </row>
    <row r="276">
      <c r="A276" s="454" t="s">
        <v>915</v>
      </c>
      <c r="B276" s="456">
        <v>0.0</v>
      </c>
      <c r="C276" s="618"/>
      <c r="D276" s="618"/>
      <c r="E276" s="618"/>
      <c r="F276" s="618"/>
      <c r="G276" s="618"/>
      <c r="H276" s="618"/>
      <c r="I276" s="618"/>
      <c r="M276" s="226"/>
      <c r="N276" s="226"/>
      <c r="O276" s="226"/>
      <c r="P276" s="226"/>
      <c r="AN276" s="454" t="s">
        <v>757</v>
      </c>
      <c r="AO276" s="537">
        <v>1.0</v>
      </c>
      <c r="AP276" s="454" t="s">
        <v>757</v>
      </c>
      <c r="AQ276" s="537">
        <v>0.0</v>
      </c>
      <c r="AR276" s="454" t="s">
        <v>757</v>
      </c>
      <c r="AS276" s="537">
        <v>2.0</v>
      </c>
      <c r="AT276" s="454" t="s">
        <v>757</v>
      </c>
      <c r="AU276" s="537" t="s">
        <v>2255</v>
      </c>
      <c r="AV276" s="454" t="s">
        <v>757</v>
      </c>
      <c r="AW276" s="537">
        <v>0.0</v>
      </c>
      <c r="AX276" s="454" t="s">
        <v>757</v>
      </c>
      <c r="AY276" s="537">
        <v>0.0</v>
      </c>
      <c r="AZ276" s="454" t="s">
        <v>757</v>
      </c>
      <c r="BA276" s="537">
        <v>0.0</v>
      </c>
      <c r="BB276" s="454" t="s">
        <v>757</v>
      </c>
      <c r="BC276" s="537">
        <v>0.0</v>
      </c>
      <c r="BD276" s="454" t="s">
        <v>757</v>
      </c>
      <c r="BE276" s="537">
        <v>0.0</v>
      </c>
    </row>
    <row r="277">
      <c r="A277" s="454" t="s">
        <v>917</v>
      </c>
      <c r="B277" s="456">
        <v>0.0</v>
      </c>
      <c r="C277" s="618"/>
      <c r="D277" s="618"/>
      <c r="E277" s="618"/>
      <c r="F277" s="618"/>
      <c r="G277" s="618"/>
      <c r="H277" s="618"/>
      <c r="I277" s="618"/>
      <c r="M277" s="226"/>
      <c r="N277" s="226"/>
      <c r="O277" s="226"/>
      <c r="P277" s="226"/>
      <c r="AN277" s="454" t="s">
        <v>758</v>
      </c>
      <c r="AO277" s="537">
        <v>1.0</v>
      </c>
      <c r="AP277" s="454" t="s">
        <v>758</v>
      </c>
      <c r="AQ277" s="537">
        <v>1.0</v>
      </c>
      <c r="AR277" s="454" t="s">
        <v>758</v>
      </c>
      <c r="AS277" s="537">
        <v>1.0</v>
      </c>
      <c r="AT277" s="454" t="s">
        <v>758</v>
      </c>
      <c r="AU277" s="537" t="s">
        <v>2280</v>
      </c>
      <c r="AV277" s="454" t="s">
        <v>758</v>
      </c>
      <c r="AW277" s="537">
        <v>0.0</v>
      </c>
      <c r="AX277" s="454" t="s">
        <v>758</v>
      </c>
      <c r="AY277" s="537">
        <v>0.0</v>
      </c>
      <c r="AZ277" s="454" t="s">
        <v>758</v>
      </c>
      <c r="BA277" s="537">
        <v>0.0</v>
      </c>
      <c r="BB277" s="454" t="s">
        <v>758</v>
      </c>
      <c r="BC277" s="537">
        <v>0.0</v>
      </c>
      <c r="BD277" s="454" t="s">
        <v>758</v>
      </c>
      <c r="BE277" s="537">
        <v>0.0</v>
      </c>
    </row>
    <row r="278">
      <c r="A278" s="454" t="s">
        <v>918</v>
      </c>
      <c r="B278" s="456">
        <v>26.6</v>
      </c>
      <c r="C278" s="618"/>
      <c r="D278" s="618"/>
      <c r="E278" s="618"/>
      <c r="F278" s="618"/>
      <c r="G278" s="618"/>
      <c r="H278" s="618"/>
      <c r="I278" s="618"/>
      <c r="M278" s="226"/>
      <c r="N278" s="226"/>
      <c r="O278" s="226"/>
      <c r="P278" s="226"/>
      <c r="AN278" s="454" t="s">
        <v>759</v>
      </c>
      <c r="AO278" s="537">
        <v>2.0</v>
      </c>
      <c r="AP278" s="454" t="s">
        <v>759</v>
      </c>
      <c r="AQ278" s="537">
        <v>1.0</v>
      </c>
      <c r="AR278" s="454" t="s">
        <v>759</v>
      </c>
      <c r="AS278" s="537">
        <v>0.0</v>
      </c>
      <c r="AT278" s="454" t="s">
        <v>759</v>
      </c>
      <c r="AU278" s="537" t="s">
        <v>2255</v>
      </c>
      <c r="AV278" s="454" t="s">
        <v>759</v>
      </c>
      <c r="AW278" s="537">
        <v>0.0</v>
      </c>
      <c r="AX278" s="454" t="s">
        <v>759</v>
      </c>
      <c r="AY278" s="537">
        <v>0.0</v>
      </c>
      <c r="AZ278" s="454" t="s">
        <v>759</v>
      </c>
      <c r="BA278" s="537">
        <v>4.0</v>
      </c>
      <c r="BB278" s="454" t="s">
        <v>759</v>
      </c>
      <c r="BC278" s="537">
        <v>0.0</v>
      </c>
      <c r="BD278" s="454" t="s">
        <v>759</v>
      </c>
      <c r="BE278" s="537">
        <v>0.0</v>
      </c>
    </row>
    <row r="279">
      <c r="A279" s="454" t="s">
        <v>921</v>
      </c>
      <c r="B279" s="456">
        <v>0.0</v>
      </c>
      <c r="C279" s="618"/>
      <c r="D279" s="618"/>
      <c r="E279" s="618"/>
      <c r="F279" s="618"/>
      <c r="G279" s="618"/>
      <c r="H279" s="618"/>
      <c r="I279" s="618"/>
      <c r="M279" s="226"/>
      <c r="N279" s="226"/>
      <c r="O279" s="226"/>
      <c r="P279" s="226"/>
      <c r="AN279" s="454" t="s">
        <v>760</v>
      </c>
      <c r="AO279" s="537">
        <v>0.0</v>
      </c>
      <c r="AP279" s="454" t="s">
        <v>760</v>
      </c>
      <c r="AQ279" s="537">
        <v>2.0</v>
      </c>
      <c r="AR279" s="454" t="s">
        <v>760</v>
      </c>
      <c r="AS279" s="537">
        <v>1.0</v>
      </c>
      <c r="AT279" s="454" t="s">
        <v>760</v>
      </c>
      <c r="AU279" s="537" t="s">
        <v>2255</v>
      </c>
      <c r="AV279" s="454" t="s">
        <v>760</v>
      </c>
      <c r="AW279" s="537">
        <v>0.0</v>
      </c>
      <c r="AX279" s="454" t="s">
        <v>760</v>
      </c>
      <c r="AY279" s="537">
        <v>0.0</v>
      </c>
      <c r="AZ279" s="454" t="s">
        <v>760</v>
      </c>
      <c r="BA279" s="537">
        <v>0.0</v>
      </c>
      <c r="BB279" s="454" t="s">
        <v>760</v>
      </c>
      <c r="BC279" s="537">
        <v>0.0</v>
      </c>
      <c r="BD279" s="454" t="s">
        <v>760</v>
      </c>
      <c r="BE279" s="537">
        <v>0.0</v>
      </c>
    </row>
    <row r="280">
      <c r="A280" s="454" t="s">
        <v>922</v>
      </c>
      <c r="B280" s="456">
        <v>0.0</v>
      </c>
      <c r="C280" s="618"/>
      <c r="D280" s="618"/>
      <c r="E280" s="618"/>
      <c r="F280" s="618"/>
      <c r="G280" s="618"/>
      <c r="H280" s="618"/>
      <c r="I280" s="618"/>
      <c r="M280" s="226"/>
      <c r="N280" s="226"/>
      <c r="O280" s="226"/>
      <c r="P280" s="226"/>
      <c r="AN280" s="454" t="s">
        <v>763</v>
      </c>
      <c r="AO280" s="537">
        <v>0.0</v>
      </c>
      <c r="AP280" s="454" t="s">
        <v>763</v>
      </c>
      <c r="AQ280" s="537">
        <v>0.0</v>
      </c>
      <c r="AR280" s="454" t="s">
        <v>763</v>
      </c>
      <c r="AS280" s="537">
        <v>0.0</v>
      </c>
      <c r="AT280" s="454" t="s">
        <v>763</v>
      </c>
      <c r="AU280" s="537"/>
      <c r="AV280" s="454" t="s">
        <v>763</v>
      </c>
      <c r="AW280" s="537">
        <v>0.0</v>
      </c>
      <c r="AX280" s="454" t="s">
        <v>763</v>
      </c>
      <c r="AY280" s="537">
        <v>0.0</v>
      </c>
      <c r="AZ280" s="454" t="s">
        <v>763</v>
      </c>
      <c r="BA280" s="537">
        <v>0.0</v>
      </c>
      <c r="BB280" s="454" t="s">
        <v>763</v>
      </c>
      <c r="BC280" s="537">
        <v>0.0</v>
      </c>
      <c r="BD280" s="454" t="s">
        <v>763</v>
      </c>
      <c r="BE280" s="537">
        <v>0.0</v>
      </c>
    </row>
    <row r="281">
      <c r="A281" s="454" t="s">
        <v>923</v>
      </c>
      <c r="B281" s="456">
        <v>0.0</v>
      </c>
      <c r="C281" s="618"/>
      <c r="D281" s="618"/>
      <c r="E281" s="618"/>
      <c r="F281" s="618"/>
      <c r="G281" s="618"/>
      <c r="H281" s="618"/>
      <c r="I281" s="618"/>
      <c r="M281" s="226"/>
      <c r="N281" s="226"/>
      <c r="O281" s="226"/>
      <c r="P281" s="226"/>
      <c r="AN281" s="454" t="s">
        <v>764</v>
      </c>
      <c r="AO281" s="537">
        <v>0.0</v>
      </c>
      <c r="AP281" s="454" t="s">
        <v>764</v>
      </c>
      <c r="AQ281" s="537">
        <v>2.0</v>
      </c>
      <c r="AR281" s="454" t="s">
        <v>764</v>
      </c>
      <c r="AS281" s="537">
        <v>1.0</v>
      </c>
      <c r="AT281" s="454" t="s">
        <v>764</v>
      </c>
      <c r="AU281" s="537" t="s">
        <v>2280</v>
      </c>
      <c r="AV281" s="454" t="s">
        <v>764</v>
      </c>
      <c r="AW281" s="537">
        <v>0.0</v>
      </c>
      <c r="AX281" s="454" t="s">
        <v>764</v>
      </c>
      <c r="AY281" s="537">
        <v>0.0</v>
      </c>
      <c r="AZ281" s="454" t="s">
        <v>764</v>
      </c>
      <c r="BA281" s="537">
        <v>0.0</v>
      </c>
      <c r="BB281" s="454" t="s">
        <v>764</v>
      </c>
      <c r="BC281" s="537">
        <v>0.0</v>
      </c>
      <c r="BD281" s="454" t="s">
        <v>764</v>
      </c>
      <c r="BE281" s="537">
        <v>0.0</v>
      </c>
    </row>
    <row r="282">
      <c r="A282" s="454" t="s">
        <v>924</v>
      </c>
      <c r="B282" s="456">
        <v>0.0</v>
      </c>
      <c r="C282" s="618"/>
      <c r="D282" s="618"/>
      <c r="E282" s="618"/>
      <c r="F282" s="618"/>
      <c r="G282" s="618"/>
      <c r="H282" s="618"/>
      <c r="I282" s="618"/>
      <c r="M282" s="226"/>
      <c r="N282" s="226"/>
      <c r="O282" s="226"/>
      <c r="P282" s="226"/>
      <c r="AN282" s="454" t="s">
        <v>2059</v>
      </c>
      <c r="AO282" s="537">
        <v>1.0</v>
      </c>
      <c r="AP282" s="454" t="s">
        <v>2059</v>
      </c>
      <c r="AQ282" s="537">
        <v>1.0</v>
      </c>
      <c r="AR282" s="454" t="s">
        <v>2059</v>
      </c>
      <c r="AS282" s="537">
        <v>1.0</v>
      </c>
      <c r="AT282" s="454" t="s">
        <v>2059</v>
      </c>
      <c r="AU282" s="537" t="s">
        <v>2256</v>
      </c>
      <c r="AV282" s="454" t="s">
        <v>2059</v>
      </c>
      <c r="AW282" s="537">
        <v>0.0</v>
      </c>
      <c r="AX282" s="454" t="s">
        <v>2059</v>
      </c>
      <c r="AY282" s="537">
        <v>0.0</v>
      </c>
      <c r="AZ282" s="454" t="s">
        <v>2059</v>
      </c>
      <c r="BA282" s="537">
        <v>0.0</v>
      </c>
      <c r="BB282" s="454" t="s">
        <v>2059</v>
      </c>
      <c r="BC282" s="537">
        <v>0.0</v>
      </c>
      <c r="BD282" s="454" t="s">
        <v>2059</v>
      </c>
      <c r="BE282" s="537">
        <v>0.0</v>
      </c>
    </row>
    <row r="283">
      <c r="A283" s="454" t="s">
        <v>926</v>
      </c>
      <c r="B283" s="456">
        <v>0.0</v>
      </c>
      <c r="C283" s="618"/>
      <c r="D283" s="618"/>
      <c r="E283" s="618"/>
      <c r="F283" s="618"/>
      <c r="G283" s="618"/>
      <c r="H283" s="618"/>
      <c r="I283" s="618"/>
      <c r="M283" s="226"/>
      <c r="N283" s="226"/>
      <c r="O283" s="226"/>
      <c r="P283" s="226"/>
      <c r="AN283" s="454" t="s">
        <v>1420</v>
      </c>
      <c r="AO283" s="537">
        <v>0.0</v>
      </c>
      <c r="AP283" s="454" t="s">
        <v>1420</v>
      </c>
      <c r="AQ283" s="537">
        <v>1.0</v>
      </c>
      <c r="AR283" s="454" t="s">
        <v>1420</v>
      </c>
      <c r="AS283" s="537">
        <v>2.0</v>
      </c>
      <c r="AT283" s="454" t="s">
        <v>1420</v>
      </c>
      <c r="AU283" s="537" t="s">
        <v>2255</v>
      </c>
      <c r="AV283" s="454" t="s">
        <v>1420</v>
      </c>
      <c r="AW283" s="537">
        <v>0.0</v>
      </c>
      <c r="AX283" s="454" t="s">
        <v>1420</v>
      </c>
      <c r="AY283" s="537">
        <v>0.0</v>
      </c>
      <c r="AZ283" s="454" t="s">
        <v>1420</v>
      </c>
      <c r="BA283" s="537">
        <v>0.0</v>
      </c>
      <c r="BB283" s="454" t="s">
        <v>1420</v>
      </c>
      <c r="BC283" s="537">
        <v>0.0</v>
      </c>
      <c r="BD283" s="454" t="s">
        <v>1420</v>
      </c>
      <c r="BE283" s="537">
        <v>0.0</v>
      </c>
    </row>
    <row r="284">
      <c r="A284" s="454" t="s">
        <v>927</v>
      </c>
      <c r="B284" s="456">
        <v>0.0</v>
      </c>
      <c r="C284" s="618"/>
      <c r="D284" s="618"/>
      <c r="E284" s="618"/>
      <c r="F284" s="618"/>
      <c r="G284" s="618"/>
      <c r="H284" s="618"/>
      <c r="I284" s="618"/>
      <c r="M284" s="226"/>
      <c r="N284" s="226"/>
      <c r="O284" s="226"/>
      <c r="P284" s="226"/>
    </row>
    <row r="285">
      <c r="A285" s="454" t="s">
        <v>1115</v>
      </c>
      <c r="B285" s="456">
        <v>0.0</v>
      </c>
      <c r="C285" s="618"/>
      <c r="D285" s="618"/>
      <c r="E285" s="618"/>
      <c r="F285" s="618"/>
      <c r="G285" s="618"/>
      <c r="H285" s="618"/>
      <c r="I285" s="618"/>
      <c r="M285" s="226"/>
      <c r="N285" s="226"/>
      <c r="O285" s="226"/>
      <c r="P285" s="226"/>
      <c r="AN285" s="449" t="s">
        <v>2062</v>
      </c>
      <c r="AO285" s="450" t="s">
        <v>2281</v>
      </c>
      <c r="AP285" s="449" t="s">
        <v>2062</v>
      </c>
      <c r="AQ285" s="450" t="s">
        <v>2282</v>
      </c>
      <c r="AR285" s="449" t="s">
        <v>2062</v>
      </c>
      <c r="AS285" s="450" t="s">
        <v>2283</v>
      </c>
      <c r="AT285" s="449" t="s">
        <v>2062</v>
      </c>
      <c r="AU285" s="450" t="s">
        <v>2284</v>
      </c>
      <c r="AV285" s="449" t="s">
        <v>2062</v>
      </c>
      <c r="AW285" s="450" t="s">
        <v>2285</v>
      </c>
      <c r="AX285" s="449" t="s">
        <v>2062</v>
      </c>
      <c r="AY285" s="450" t="s">
        <v>2286</v>
      </c>
      <c r="AZ285" s="449" t="s">
        <v>2062</v>
      </c>
      <c r="BA285" s="450" t="s">
        <v>2287</v>
      </c>
      <c r="BB285" s="449" t="s">
        <v>2062</v>
      </c>
      <c r="BC285" s="450" t="s">
        <v>2288</v>
      </c>
      <c r="BD285" s="449" t="s">
        <v>2062</v>
      </c>
      <c r="BE285" s="450" t="s">
        <v>2289</v>
      </c>
    </row>
    <row r="286">
      <c r="A286" s="454" t="s">
        <v>1244</v>
      </c>
      <c r="B286" s="456">
        <v>0.0</v>
      </c>
      <c r="C286" s="618"/>
      <c r="D286" s="618"/>
      <c r="E286" s="618"/>
      <c r="F286" s="618"/>
      <c r="G286" s="618"/>
      <c r="H286" s="618"/>
      <c r="I286" s="618"/>
      <c r="M286" s="226"/>
      <c r="N286" s="226"/>
      <c r="O286" s="226"/>
      <c r="P286" s="226"/>
      <c r="AN286" s="454" t="s">
        <v>1008</v>
      </c>
      <c r="AO286" s="457">
        <v>0.0</v>
      </c>
      <c r="AP286" s="454" t="s">
        <v>1008</v>
      </c>
      <c r="AQ286" s="457">
        <v>2.0</v>
      </c>
      <c r="AR286" s="454" t="s">
        <v>1008</v>
      </c>
      <c r="AS286" s="457">
        <v>0.0</v>
      </c>
      <c r="AT286" s="454" t="s">
        <v>1008</v>
      </c>
      <c r="AU286" s="457" t="s">
        <v>2290</v>
      </c>
      <c r="AV286" s="454" t="s">
        <v>1008</v>
      </c>
      <c r="AW286" s="457">
        <v>0.0</v>
      </c>
      <c r="AX286" s="454" t="s">
        <v>1008</v>
      </c>
      <c r="AY286" s="457">
        <v>0.0</v>
      </c>
      <c r="AZ286" s="454" t="s">
        <v>1008</v>
      </c>
      <c r="BA286" s="457">
        <v>0.0</v>
      </c>
      <c r="BB286" s="454" t="s">
        <v>1008</v>
      </c>
      <c r="BC286" s="457">
        <v>6.0</v>
      </c>
      <c r="BD286" s="454" t="s">
        <v>1008</v>
      </c>
      <c r="BE286" s="457">
        <v>0.0</v>
      </c>
    </row>
    <row r="287">
      <c r="A287" s="454" t="s">
        <v>1111</v>
      </c>
      <c r="B287" s="456">
        <v>0.0</v>
      </c>
      <c r="C287" s="618"/>
      <c r="D287" s="618"/>
      <c r="E287" s="618"/>
      <c r="F287" s="618"/>
      <c r="G287" s="618"/>
      <c r="H287" s="618"/>
      <c r="I287" s="618"/>
      <c r="M287" s="226"/>
      <c r="N287" s="226"/>
      <c r="O287" s="226"/>
      <c r="P287" s="226"/>
      <c r="AN287" s="454" t="s">
        <v>1009</v>
      </c>
      <c r="AO287" s="457">
        <v>0.0</v>
      </c>
      <c r="AP287" s="454" t="s">
        <v>1009</v>
      </c>
      <c r="AQ287" s="457">
        <v>0.0</v>
      </c>
      <c r="AR287" s="454" t="s">
        <v>1009</v>
      </c>
      <c r="AS287" s="457">
        <v>0.0</v>
      </c>
      <c r="AT287" s="454" t="s">
        <v>1009</v>
      </c>
      <c r="AU287" s="457"/>
      <c r="AV287" s="454" t="s">
        <v>1009</v>
      </c>
      <c r="AW287" s="457">
        <v>0.0</v>
      </c>
      <c r="AX287" s="454" t="s">
        <v>1009</v>
      </c>
      <c r="AY287" s="457">
        <v>0.0</v>
      </c>
      <c r="AZ287" s="454" t="s">
        <v>1009</v>
      </c>
      <c r="BA287" s="457">
        <v>0.0</v>
      </c>
      <c r="BB287" s="454" t="s">
        <v>1009</v>
      </c>
      <c r="BC287" s="457">
        <v>0.0</v>
      </c>
      <c r="BD287" s="454" t="s">
        <v>1009</v>
      </c>
      <c r="BE287" s="457">
        <v>0.0</v>
      </c>
    </row>
    <row r="288">
      <c r="A288" s="618"/>
      <c r="B288" s="618"/>
      <c r="C288" s="618"/>
      <c r="D288" s="618"/>
      <c r="E288" s="618"/>
      <c r="F288" s="618"/>
      <c r="G288" s="618"/>
      <c r="H288" s="618"/>
      <c r="I288" s="618"/>
      <c r="M288" s="226"/>
      <c r="N288" s="226"/>
      <c r="O288" s="226"/>
      <c r="P288" s="226"/>
      <c r="AN288" s="454" t="s">
        <v>1011</v>
      </c>
      <c r="AO288" s="457">
        <v>0.0</v>
      </c>
      <c r="AP288" s="454" t="s">
        <v>1011</v>
      </c>
      <c r="AQ288" s="457">
        <v>0.0</v>
      </c>
      <c r="AR288" s="454" t="s">
        <v>1011</v>
      </c>
      <c r="AS288" s="457">
        <v>0.0</v>
      </c>
      <c r="AT288" s="454" t="s">
        <v>1011</v>
      </c>
      <c r="AU288" s="457"/>
      <c r="AV288" s="454" t="s">
        <v>1011</v>
      </c>
      <c r="AW288" s="457">
        <v>0.0</v>
      </c>
      <c r="AX288" s="454" t="s">
        <v>1011</v>
      </c>
      <c r="AY288" s="457">
        <v>0.0</v>
      </c>
      <c r="AZ288" s="454" t="s">
        <v>1011</v>
      </c>
      <c r="BA288" s="457">
        <v>0.0</v>
      </c>
      <c r="BB288" s="454" t="s">
        <v>1011</v>
      </c>
      <c r="BC288" s="457">
        <v>0.0</v>
      </c>
      <c r="BD288" s="454" t="s">
        <v>1011</v>
      </c>
      <c r="BE288" s="457">
        <v>0.0</v>
      </c>
    </row>
    <row r="289">
      <c r="A289" s="618"/>
      <c r="B289" s="618"/>
      <c r="C289" s="618"/>
      <c r="D289" s="618"/>
      <c r="E289" s="618"/>
      <c r="F289" s="618"/>
      <c r="G289" s="618"/>
      <c r="H289" s="618"/>
      <c r="I289" s="618"/>
      <c r="M289" s="226"/>
      <c r="N289" s="226"/>
      <c r="O289" s="226"/>
      <c r="P289" s="226"/>
      <c r="AN289" s="454" t="s">
        <v>1012</v>
      </c>
      <c r="AO289" s="457">
        <v>0.0</v>
      </c>
      <c r="AP289" s="454" t="s">
        <v>1012</v>
      </c>
      <c r="AQ289" s="457">
        <v>0.0</v>
      </c>
      <c r="AR289" s="454" t="s">
        <v>1012</v>
      </c>
      <c r="AS289" s="457">
        <v>0.0</v>
      </c>
      <c r="AT289" s="454" t="s">
        <v>1012</v>
      </c>
      <c r="AU289" s="457"/>
      <c r="AV289" s="454" t="s">
        <v>1012</v>
      </c>
      <c r="AW289" s="457">
        <v>0.0</v>
      </c>
      <c r="AX289" s="454" t="s">
        <v>1012</v>
      </c>
      <c r="AY289" s="457">
        <v>0.0</v>
      </c>
      <c r="AZ289" s="454" t="s">
        <v>1012</v>
      </c>
      <c r="BA289" s="457">
        <v>0.0</v>
      </c>
      <c r="BB289" s="454" t="s">
        <v>1012</v>
      </c>
      <c r="BC289" s="457">
        <v>0.0</v>
      </c>
      <c r="BD289" s="454" t="s">
        <v>1012</v>
      </c>
      <c r="BE289" s="457">
        <v>0.0</v>
      </c>
    </row>
    <row r="290">
      <c r="A290" s="618"/>
      <c r="B290" s="618"/>
      <c r="C290" s="618"/>
      <c r="D290" s="618"/>
      <c r="E290" s="618"/>
      <c r="F290" s="618"/>
      <c r="G290" s="618"/>
      <c r="H290" s="618"/>
      <c r="I290" s="618"/>
      <c r="M290" s="226"/>
      <c r="N290" s="226"/>
      <c r="O290" s="226"/>
      <c r="P290" s="226"/>
      <c r="AN290" s="454" t="s">
        <v>1013</v>
      </c>
      <c r="AO290" s="457">
        <v>0.0</v>
      </c>
      <c r="AP290" s="454" t="s">
        <v>1013</v>
      </c>
      <c r="AQ290" s="457">
        <v>0.0</v>
      </c>
      <c r="AR290" s="454" t="s">
        <v>1013</v>
      </c>
      <c r="AS290" s="457">
        <v>0.0</v>
      </c>
      <c r="AT290" s="454" t="s">
        <v>1013</v>
      </c>
      <c r="AU290" s="457"/>
      <c r="AV290" s="454" t="s">
        <v>1013</v>
      </c>
      <c r="AW290" s="457">
        <v>0.0</v>
      </c>
      <c r="AX290" s="454" t="s">
        <v>1013</v>
      </c>
      <c r="AY290" s="457">
        <v>0.0</v>
      </c>
      <c r="AZ290" s="454" t="s">
        <v>1013</v>
      </c>
      <c r="BA290" s="457">
        <v>0.0</v>
      </c>
      <c r="BB290" s="454" t="s">
        <v>1013</v>
      </c>
      <c r="BC290" s="457">
        <v>0.0</v>
      </c>
      <c r="BD290" s="454" t="s">
        <v>1013</v>
      </c>
      <c r="BE290" s="457">
        <v>0.0</v>
      </c>
    </row>
    <row r="291">
      <c r="A291" s="618"/>
      <c r="B291" s="618"/>
      <c r="C291" s="618"/>
      <c r="D291" s="618"/>
      <c r="E291" s="618"/>
      <c r="F291" s="618"/>
      <c r="G291" s="618"/>
      <c r="H291" s="618"/>
      <c r="I291" s="618"/>
      <c r="M291" s="226"/>
      <c r="N291" s="226"/>
      <c r="O291" s="226"/>
      <c r="P291" s="226"/>
      <c r="AN291" s="454" t="s">
        <v>1018</v>
      </c>
      <c r="AO291" s="457">
        <v>0.0</v>
      </c>
      <c r="AP291" s="454" t="s">
        <v>1018</v>
      </c>
      <c r="AQ291" s="457">
        <v>0.0</v>
      </c>
      <c r="AR291" s="454" t="s">
        <v>1018</v>
      </c>
      <c r="AS291" s="457">
        <v>0.0</v>
      </c>
      <c r="AT291" s="454" t="s">
        <v>1018</v>
      </c>
      <c r="AU291" s="457"/>
      <c r="AV291" s="454" t="s">
        <v>1018</v>
      </c>
      <c r="AW291" s="457">
        <v>0.0</v>
      </c>
      <c r="AX291" s="454" t="s">
        <v>1018</v>
      </c>
      <c r="AY291" s="457">
        <v>0.0</v>
      </c>
      <c r="AZ291" s="454" t="s">
        <v>1018</v>
      </c>
      <c r="BA291" s="457">
        <v>0.0</v>
      </c>
      <c r="BB291" s="454" t="s">
        <v>1018</v>
      </c>
      <c r="BC291" s="457">
        <v>0.0</v>
      </c>
      <c r="BD291" s="454" t="s">
        <v>1018</v>
      </c>
      <c r="BE291" s="457">
        <v>0.0</v>
      </c>
    </row>
    <row r="292">
      <c r="M292" s="226"/>
      <c r="N292" s="226"/>
      <c r="O292" s="226"/>
      <c r="P292" s="226"/>
      <c r="AN292" s="454" t="s">
        <v>1055</v>
      </c>
      <c r="AO292" s="457">
        <v>0.0</v>
      </c>
      <c r="AP292" s="454" t="s">
        <v>1055</v>
      </c>
      <c r="AQ292" s="457">
        <v>0.0</v>
      </c>
      <c r="AR292" s="454" t="s">
        <v>1055</v>
      </c>
      <c r="AS292" s="457">
        <v>0.0</v>
      </c>
      <c r="AT292" s="454" t="s">
        <v>1055</v>
      </c>
      <c r="AU292" s="457"/>
      <c r="AV292" s="454" t="s">
        <v>1055</v>
      </c>
      <c r="AW292" s="457">
        <v>0.0</v>
      </c>
      <c r="AX292" s="454" t="s">
        <v>1055</v>
      </c>
      <c r="AY292" s="457">
        <v>0.0</v>
      </c>
      <c r="AZ292" s="454" t="s">
        <v>1055</v>
      </c>
      <c r="BA292" s="457">
        <v>0.0</v>
      </c>
      <c r="BB292" s="454" t="s">
        <v>1055</v>
      </c>
      <c r="BC292" s="457">
        <v>0.0</v>
      </c>
      <c r="BD292" s="454" t="s">
        <v>1055</v>
      </c>
      <c r="BE292" s="457">
        <v>0.0</v>
      </c>
    </row>
    <row r="293">
      <c r="M293" s="226"/>
      <c r="N293" s="226"/>
      <c r="O293" s="226"/>
      <c r="P293" s="226"/>
      <c r="AN293" s="454" t="s">
        <v>1019</v>
      </c>
      <c r="AO293" s="457">
        <v>0.0</v>
      </c>
      <c r="AP293" s="454" t="s">
        <v>1019</v>
      </c>
      <c r="AQ293" s="457">
        <v>0.0</v>
      </c>
      <c r="AR293" s="454" t="s">
        <v>1019</v>
      </c>
      <c r="AS293" s="457">
        <v>0.0</v>
      </c>
      <c r="AT293" s="454" t="s">
        <v>1019</v>
      </c>
      <c r="AU293" s="457"/>
      <c r="AV293" s="454" t="s">
        <v>1019</v>
      </c>
      <c r="AW293" s="457">
        <v>0.0</v>
      </c>
      <c r="AX293" s="454" t="s">
        <v>1019</v>
      </c>
      <c r="AY293" s="457">
        <v>0.0</v>
      </c>
      <c r="AZ293" s="454" t="s">
        <v>1019</v>
      </c>
      <c r="BA293" s="457">
        <v>0.0</v>
      </c>
      <c r="BB293" s="454" t="s">
        <v>1019</v>
      </c>
      <c r="BC293" s="457">
        <v>0.0</v>
      </c>
      <c r="BD293" s="454" t="s">
        <v>1019</v>
      </c>
      <c r="BE293" s="457">
        <v>0.0</v>
      </c>
    </row>
    <row r="294">
      <c r="M294" s="226"/>
      <c r="N294" s="226"/>
      <c r="O294" s="226"/>
      <c r="P294" s="226"/>
      <c r="AN294" s="454" t="s">
        <v>1026</v>
      </c>
      <c r="AO294" s="457">
        <v>0.0</v>
      </c>
      <c r="AP294" s="454" t="s">
        <v>1026</v>
      </c>
      <c r="AQ294" s="457">
        <v>0.0</v>
      </c>
      <c r="AR294" s="454" t="s">
        <v>1026</v>
      </c>
      <c r="AS294" s="457">
        <v>0.0</v>
      </c>
      <c r="AT294" s="454" t="s">
        <v>1026</v>
      </c>
      <c r="AU294" s="457"/>
      <c r="AV294" s="454" t="s">
        <v>1026</v>
      </c>
      <c r="AW294" s="457">
        <v>0.0</v>
      </c>
      <c r="AX294" s="454" t="s">
        <v>1026</v>
      </c>
      <c r="AY294" s="457">
        <v>0.0</v>
      </c>
      <c r="AZ294" s="454" t="s">
        <v>1026</v>
      </c>
      <c r="BA294" s="457">
        <v>0.0</v>
      </c>
      <c r="BB294" s="454" t="s">
        <v>1026</v>
      </c>
      <c r="BC294" s="457">
        <v>0.0</v>
      </c>
      <c r="BD294" s="454" t="s">
        <v>1026</v>
      </c>
      <c r="BE294" s="457">
        <v>0.0</v>
      </c>
    </row>
    <row r="295">
      <c r="M295" s="226"/>
      <c r="N295" s="226"/>
      <c r="O295" s="226"/>
      <c r="P295" s="226"/>
      <c r="AN295" s="454" t="s">
        <v>1024</v>
      </c>
      <c r="AO295" s="457">
        <v>0.0</v>
      </c>
      <c r="AP295" s="454" t="s">
        <v>1024</v>
      </c>
      <c r="AQ295" s="457">
        <v>0.0</v>
      </c>
      <c r="AR295" s="454" t="s">
        <v>1024</v>
      </c>
      <c r="AS295" s="457">
        <v>0.0</v>
      </c>
      <c r="AT295" s="454" t="s">
        <v>1024</v>
      </c>
      <c r="AU295" s="457"/>
      <c r="AV295" s="454" t="s">
        <v>1024</v>
      </c>
      <c r="AW295" s="457">
        <v>0.0</v>
      </c>
      <c r="AX295" s="454" t="s">
        <v>1024</v>
      </c>
      <c r="AY295" s="457">
        <v>0.0</v>
      </c>
      <c r="AZ295" s="454" t="s">
        <v>1024</v>
      </c>
      <c r="BA295" s="457">
        <v>0.0</v>
      </c>
      <c r="BB295" s="454" t="s">
        <v>1024</v>
      </c>
      <c r="BC295" s="457">
        <v>0.0</v>
      </c>
      <c r="BD295" s="454" t="s">
        <v>1024</v>
      </c>
      <c r="BE295" s="457">
        <v>0.0</v>
      </c>
    </row>
    <row r="296">
      <c r="M296" s="226"/>
      <c r="N296" s="226"/>
      <c r="O296" s="226"/>
      <c r="P296" s="226"/>
      <c r="AN296" s="454" t="s">
        <v>1020</v>
      </c>
      <c r="AO296" s="457">
        <v>0.0</v>
      </c>
      <c r="AP296" s="454" t="s">
        <v>1020</v>
      </c>
      <c r="AQ296" s="457">
        <v>0.0</v>
      </c>
      <c r="AR296" s="454" t="s">
        <v>1020</v>
      </c>
      <c r="AS296" s="457">
        <v>0.0</v>
      </c>
      <c r="AT296" s="454" t="s">
        <v>1020</v>
      </c>
      <c r="AU296" s="457"/>
      <c r="AV296" s="454" t="s">
        <v>1020</v>
      </c>
      <c r="AW296" s="457">
        <v>0.0</v>
      </c>
      <c r="AX296" s="454" t="s">
        <v>1020</v>
      </c>
      <c r="AY296" s="457">
        <v>0.0</v>
      </c>
      <c r="AZ296" s="454" t="s">
        <v>1020</v>
      </c>
      <c r="BA296" s="457">
        <v>0.0</v>
      </c>
      <c r="BB296" s="454" t="s">
        <v>1020</v>
      </c>
      <c r="BC296" s="457">
        <v>0.0</v>
      </c>
      <c r="BD296" s="454" t="s">
        <v>1020</v>
      </c>
      <c r="BE296" s="457">
        <v>0.0</v>
      </c>
    </row>
    <row r="297">
      <c r="M297" s="226"/>
      <c r="N297" s="226"/>
      <c r="O297" s="226"/>
      <c r="P297" s="226"/>
      <c r="AN297" s="454" t="s">
        <v>1022</v>
      </c>
      <c r="AO297" s="457">
        <v>0.0</v>
      </c>
      <c r="AP297" s="454" t="s">
        <v>1022</v>
      </c>
      <c r="AQ297" s="457">
        <v>0.0</v>
      </c>
      <c r="AR297" s="454" t="s">
        <v>1022</v>
      </c>
      <c r="AS297" s="457">
        <v>0.0</v>
      </c>
      <c r="AT297" s="454" t="s">
        <v>1022</v>
      </c>
      <c r="AU297" s="457"/>
      <c r="AV297" s="454" t="s">
        <v>1022</v>
      </c>
      <c r="AW297" s="457">
        <v>0.0</v>
      </c>
      <c r="AX297" s="454" t="s">
        <v>1022</v>
      </c>
      <c r="AY297" s="457">
        <v>0.0</v>
      </c>
      <c r="AZ297" s="454" t="s">
        <v>1022</v>
      </c>
      <c r="BA297" s="457">
        <v>0.0</v>
      </c>
      <c r="BB297" s="454" t="s">
        <v>1022</v>
      </c>
      <c r="BC297" s="457">
        <v>0.0</v>
      </c>
      <c r="BD297" s="454" t="s">
        <v>1022</v>
      </c>
      <c r="BE297" s="457">
        <v>0.0</v>
      </c>
    </row>
    <row r="298">
      <c r="M298" s="226"/>
      <c r="N298" s="226"/>
      <c r="O298" s="226"/>
      <c r="P298" s="226"/>
      <c r="AN298" s="454" t="s">
        <v>1028</v>
      </c>
      <c r="AO298" s="536">
        <v>0.0</v>
      </c>
      <c r="AP298" s="515" t="s">
        <v>1028</v>
      </c>
      <c r="AQ298" s="457">
        <v>0.0</v>
      </c>
      <c r="AR298" s="454" t="s">
        <v>1028</v>
      </c>
      <c r="AS298" s="457">
        <v>0.0</v>
      </c>
      <c r="AT298" s="454" t="s">
        <v>1028</v>
      </c>
      <c r="AU298" s="457"/>
      <c r="AV298" s="454" t="s">
        <v>1028</v>
      </c>
      <c r="AW298" s="457">
        <v>0.0</v>
      </c>
      <c r="AX298" s="454" t="s">
        <v>1028</v>
      </c>
      <c r="AY298" s="457">
        <v>0.0</v>
      </c>
      <c r="AZ298" s="454" t="s">
        <v>1028</v>
      </c>
      <c r="BA298" s="457">
        <v>0.0</v>
      </c>
      <c r="BB298" s="454" t="s">
        <v>1028</v>
      </c>
      <c r="BC298" s="457">
        <v>0.0</v>
      </c>
      <c r="BD298" s="454" t="s">
        <v>1028</v>
      </c>
      <c r="BE298" s="457">
        <v>0.0</v>
      </c>
    </row>
    <row r="299">
      <c r="M299" s="226"/>
      <c r="N299" s="226"/>
      <c r="O299" s="226"/>
      <c r="P299" s="226"/>
      <c r="AN299" s="454" t="s">
        <v>1031</v>
      </c>
      <c r="AO299" s="536">
        <v>0.0</v>
      </c>
      <c r="AP299" s="515" t="s">
        <v>1031</v>
      </c>
      <c r="AQ299" s="457">
        <v>0.0</v>
      </c>
      <c r="AR299" s="454" t="s">
        <v>1031</v>
      </c>
      <c r="AS299" s="457">
        <v>0.0</v>
      </c>
      <c r="AT299" s="454" t="s">
        <v>1031</v>
      </c>
      <c r="AU299" s="457"/>
      <c r="AV299" s="454" t="s">
        <v>1031</v>
      </c>
      <c r="AW299" s="457">
        <v>0.0</v>
      </c>
      <c r="AX299" s="454" t="s">
        <v>1031</v>
      </c>
      <c r="AY299" s="457">
        <v>0.0</v>
      </c>
      <c r="AZ299" s="454" t="s">
        <v>1031</v>
      </c>
      <c r="BA299" s="457">
        <v>0.0</v>
      </c>
      <c r="BB299" s="454" t="s">
        <v>1031</v>
      </c>
      <c r="BC299" s="457">
        <v>0.0</v>
      </c>
      <c r="BD299" s="454" t="s">
        <v>1031</v>
      </c>
      <c r="BE299" s="457">
        <v>0.0</v>
      </c>
    </row>
    <row r="300">
      <c r="M300" s="226"/>
      <c r="N300" s="226"/>
      <c r="O300" s="226"/>
      <c r="P300" s="226"/>
      <c r="AN300" s="454" t="s">
        <v>1033</v>
      </c>
      <c r="AO300" s="536">
        <v>0.0</v>
      </c>
      <c r="AP300" s="515" t="s">
        <v>1033</v>
      </c>
      <c r="AQ300" s="457">
        <v>0.0</v>
      </c>
      <c r="AR300" s="454" t="s">
        <v>1033</v>
      </c>
      <c r="AS300" s="457">
        <v>0.0</v>
      </c>
      <c r="AT300" s="454" t="s">
        <v>1033</v>
      </c>
      <c r="AU300" s="457"/>
      <c r="AV300" s="454" t="s">
        <v>1033</v>
      </c>
      <c r="AW300" s="457">
        <v>0.0</v>
      </c>
      <c r="AX300" s="454" t="s">
        <v>1033</v>
      </c>
      <c r="AY300" s="457">
        <v>0.0</v>
      </c>
      <c r="AZ300" s="454" t="s">
        <v>1033</v>
      </c>
      <c r="BA300" s="457">
        <v>0.0</v>
      </c>
      <c r="BB300" s="454" t="s">
        <v>1033</v>
      </c>
      <c r="BC300" s="457">
        <v>0.0</v>
      </c>
      <c r="BD300" s="454" t="s">
        <v>1033</v>
      </c>
      <c r="BE300" s="457">
        <v>0.0</v>
      </c>
    </row>
    <row r="301">
      <c r="M301" s="226"/>
      <c r="N301" s="226"/>
      <c r="O301" s="226"/>
      <c r="P301" s="226"/>
      <c r="AN301" s="454" t="s">
        <v>1035</v>
      </c>
      <c r="AO301" s="536">
        <v>0.0</v>
      </c>
      <c r="AP301" s="515" t="s">
        <v>1035</v>
      </c>
      <c r="AQ301" s="457">
        <v>0.0</v>
      </c>
      <c r="AR301" s="454" t="s">
        <v>1035</v>
      </c>
      <c r="AS301" s="457">
        <v>0.0</v>
      </c>
      <c r="AT301" s="454" t="s">
        <v>1035</v>
      </c>
      <c r="AU301" s="457"/>
      <c r="AV301" s="454" t="s">
        <v>1035</v>
      </c>
      <c r="AW301" s="457">
        <v>0.0</v>
      </c>
      <c r="AX301" s="454" t="s">
        <v>1035</v>
      </c>
      <c r="AY301" s="457">
        <v>0.0</v>
      </c>
      <c r="AZ301" s="454" t="s">
        <v>1035</v>
      </c>
      <c r="BA301" s="457">
        <v>0.0</v>
      </c>
      <c r="BB301" s="454" t="s">
        <v>1035</v>
      </c>
      <c r="BC301" s="457">
        <v>0.0</v>
      </c>
      <c r="BD301" s="454" t="s">
        <v>1035</v>
      </c>
      <c r="BE301" s="457">
        <v>0.0</v>
      </c>
    </row>
    <row r="302">
      <c r="M302" s="226"/>
      <c r="N302" s="226"/>
      <c r="O302" s="226"/>
      <c r="P302" s="226"/>
    </row>
    <row r="303">
      <c r="M303" s="226"/>
      <c r="N303" s="226"/>
      <c r="O303" s="226"/>
      <c r="P303" s="226"/>
    </row>
    <row r="304">
      <c r="M304" s="226"/>
      <c r="N304" s="226"/>
      <c r="O304" s="226"/>
      <c r="P304" s="226"/>
      <c r="AN304" s="449" t="s">
        <v>2084</v>
      </c>
      <c r="AO304" s="450" t="s">
        <v>2291</v>
      </c>
      <c r="AP304" s="449" t="s">
        <v>2084</v>
      </c>
      <c r="AQ304" s="450" t="s">
        <v>2292</v>
      </c>
      <c r="AR304" s="449" t="s">
        <v>2084</v>
      </c>
      <c r="AS304" s="450" t="s">
        <v>2293</v>
      </c>
      <c r="AT304" s="449" t="s">
        <v>2084</v>
      </c>
      <c r="AU304" s="450" t="s">
        <v>2294</v>
      </c>
      <c r="AV304" s="449" t="s">
        <v>2084</v>
      </c>
      <c r="AW304" s="450" t="s">
        <v>2295</v>
      </c>
      <c r="AX304" s="449" t="s">
        <v>2084</v>
      </c>
      <c r="AY304" s="450" t="s">
        <v>2296</v>
      </c>
      <c r="AZ304" s="449" t="s">
        <v>2084</v>
      </c>
      <c r="BA304" s="450" t="s">
        <v>2297</v>
      </c>
      <c r="BB304" s="449" t="s">
        <v>2084</v>
      </c>
      <c r="BC304" s="450" t="s">
        <v>2298</v>
      </c>
      <c r="BD304" s="449" t="s">
        <v>2084</v>
      </c>
      <c r="BE304" s="450" t="s">
        <v>2299</v>
      </c>
    </row>
    <row r="305">
      <c r="M305" s="226"/>
      <c r="N305" s="226"/>
      <c r="O305" s="226"/>
      <c r="P305" s="226"/>
      <c r="AN305" s="454" t="s">
        <v>1041</v>
      </c>
      <c r="AO305" s="457">
        <v>0.0</v>
      </c>
      <c r="AP305" s="454" t="s">
        <v>1041</v>
      </c>
      <c r="AQ305" s="457">
        <v>1.0</v>
      </c>
      <c r="AR305" s="454" t="s">
        <v>1041</v>
      </c>
      <c r="AS305" s="457">
        <v>1.0</v>
      </c>
      <c r="AT305" s="454" t="s">
        <v>1041</v>
      </c>
      <c r="AU305" s="457" t="s">
        <v>2300</v>
      </c>
      <c r="AV305" s="454" t="s">
        <v>1041</v>
      </c>
      <c r="AW305" s="457">
        <v>0.0</v>
      </c>
      <c r="AX305" s="454" t="s">
        <v>1041</v>
      </c>
      <c r="AY305" s="457">
        <v>0.0</v>
      </c>
      <c r="AZ305" s="454" t="s">
        <v>1041</v>
      </c>
      <c r="BA305" s="457">
        <v>0.0</v>
      </c>
      <c r="BB305" s="454" t="s">
        <v>1041</v>
      </c>
      <c r="BC305" s="457">
        <v>0.0</v>
      </c>
      <c r="BD305" s="454" t="s">
        <v>1041</v>
      </c>
      <c r="BE305" s="457">
        <v>0.0</v>
      </c>
    </row>
    <row r="306">
      <c r="M306" s="226"/>
      <c r="N306" s="226"/>
      <c r="O306" s="226"/>
      <c r="P306" s="226"/>
      <c r="AN306" s="454" t="s">
        <v>1009</v>
      </c>
      <c r="AO306" s="457">
        <v>0.0</v>
      </c>
      <c r="AP306" s="454" t="s">
        <v>1009</v>
      </c>
      <c r="AQ306" s="457">
        <v>0.0</v>
      </c>
      <c r="AR306" s="454" t="s">
        <v>1009</v>
      </c>
      <c r="AS306" s="457">
        <v>0.0</v>
      </c>
      <c r="AT306" s="454" t="s">
        <v>1009</v>
      </c>
      <c r="AU306" s="457"/>
      <c r="AV306" s="454" t="s">
        <v>1009</v>
      </c>
      <c r="AW306" s="457">
        <v>0.0</v>
      </c>
      <c r="AX306" s="454" t="s">
        <v>1009</v>
      </c>
      <c r="AY306" s="457">
        <v>0.0</v>
      </c>
      <c r="AZ306" s="454" t="s">
        <v>1009</v>
      </c>
      <c r="BA306" s="457">
        <v>0.0</v>
      </c>
      <c r="BB306" s="454" t="s">
        <v>1009</v>
      </c>
      <c r="BC306" s="457">
        <v>0.0</v>
      </c>
      <c r="BD306" s="454" t="s">
        <v>1009</v>
      </c>
      <c r="BE306" s="457">
        <v>0.0</v>
      </c>
    </row>
    <row r="307">
      <c r="M307" s="226"/>
      <c r="N307" s="226"/>
      <c r="O307" s="226"/>
      <c r="P307" s="226"/>
      <c r="AN307" s="454" t="s">
        <v>1042</v>
      </c>
      <c r="AO307" s="457">
        <v>0.0</v>
      </c>
      <c r="AP307" s="454" t="s">
        <v>1042</v>
      </c>
      <c r="AQ307" s="457">
        <v>0.0</v>
      </c>
      <c r="AR307" s="454" t="s">
        <v>1042</v>
      </c>
      <c r="AS307" s="457">
        <v>0.0</v>
      </c>
      <c r="AT307" s="454" t="s">
        <v>1042</v>
      </c>
      <c r="AU307" s="457"/>
      <c r="AV307" s="454" t="s">
        <v>1042</v>
      </c>
      <c r="AW307" s="457">
        <v>0.0</v>
      </c>
      <c r="AX307" s="454" t="s">
        <v>1042</v>
      </c>
      <c r="AY307" s="457">
        <v>0.0</v>
      </c>
      <c r="AZ307" s="454" t="s">
        <v>1042</v>
      </c>
      <c r="BA307" s="457">
        <v>0.0</v>
      </c>
      <c r="BB307" s="454" t="s">
        <v>1042</v>
      </c>
      <c r="BC307" s="457">
        <v>0.0</v>
      </c>
      <c r="BD307" s="454" t="s">
        <v>1042</v>
      </c>
      <c r="BE307" s="457">
        <v>0.0</v>
      </c>
    </row>
    <row r="308">
      <c r="M308" s="226"/>
      <c r="N308" s="226"/>
      <c r="O308" s="226"/>
      <c r="P308" s="226"/>
      <c r="AN308" s="454" t="s">
        <v>1011</v>
      </c>
      <c r="AO308" s="457">
        <v>0.0</v>
      </c>
      <c r="AP308" s="454" t="s">
        <v>1011</v>
      </c>
      <c r="AQ308" s="457">
        <v>0.0</v>
      </c>
      <c r="AR308" s="454" t="s">
        <v>1011</v>
      </c>
      <c r="AS308" s="457">
        <v>0.0</v>
      </c>
      <c r="AT308" s="454" t="s">
        <v>1011</v>
      </c>
      <c r="AU308" s="457"/>
      <c r="AV308" s="454" t="s">
        <v>1011</v>
      </c>
      <c r="AW308" s="457">
        <v>0.0</v>
      </c>
      <c r="AX308" s="454" t="s">
        <v>1011</v>
      </c>
      <c r="AY308" s="457">
        <v>0.0</v>
      </c>
      <c r="AZ308" s="454" t="s">
        <v>1011</v>
      </c>
      <c r="BA308" s="457">
        <v>0.0</v>
      </c>
      <c r="BB308" s="454" t="s">
        <v>1011</v>
      </c>
      <c r="BC308" s="457">
        <v>0.0</v>
      </c>
      <c r="BD308" s="454" t="s">
        <v>1011</v>
      </c>
      <c r="BE308" s="457">
        <v>0.0</v>
      </c>
    </row>
    <row r="309">
      <c r="M309" s="226"/>
      <c r="N309" s="226"/>
      <c r="O309" s="226"/>
      <c r="P309" s="226"/>
      <c r="AN309" s="454" t="s">
        <v>1043</v>
      </c>
      <c r="AO309" s="457">
        <v>0.0</v>
      </c>
      <c r="AP309" s="454" t="s">
        <v>1043</v>
      </c>
      <c r="AQ309" s="457">
        <v>0.0</v>
      </c>
      <c r="AR309" s="454" t="s">
        <v>1043</v>
      </c>
      <c r="AS309" s="457">
        <v>0.0</v>
      </c>
      <c r="AT309" s="454" t="s">
        <v>1043</v>
      </c>
      <c r="AU309" s="457"/>
      <c r="AV309" s="454" t="s">
        <v>1043</v>
      </c>
      <c r="AW309" s="457">
        <v>0.0</v>
      </c>
      <c r="AX309" s="454" t="s">
        <v>1043</v>
      </c>
      <c r="AY309" s="457">
        <v>0.0</v>
      </c>
      <c r="AZ309" s="454" t="s">
        <v>1043</v>
      </c>
      <c r="BA309" s="457">
        <v>0.0</v>
      </c>
      <c r="BB309" s="454" t="s">
        <v>1043</v>
      </c>
      <c r="BC309" s="457">
        <v>0.0</v>
      </c>
      <c r="BD309" s="454" t="s">
        <v>1043</v>
      </c>
      <c r="BE309" s="457">
        <v>0.0</v>
      </c>
    </row>
    <row r="310">
      <c r="M310" s="226"/>
      <c r="N310" s="226"/>
      <c r="O310" s="226"/>
      <c r="P310" s="226"/>
      <c r="AN310" s="454" t="s">
        <v>1012</v>
      </c>
      <c r="AO310" s="457">
        <v>0.0</v>
      </c>
      <c r="AP310" s="454" t="s">
        <v>1012</v>
      </c>
      <c r="AQ310" s="457">
        <v>0.0</v>
      </c>
      <c r="AR310" s="454" t="s">
        <v>1012</v>
      </c>
      <c r="AS310" s="457">
        <v>0.0</v>
      </c>
      <c r="AT310" s="454" t="s">
        <v>1012</v>
      </c>
      <c r="AU310" s="457"/>
      <c r="AV310" s="454" t="s">
        <v>1012</v>
      </c>
      <c r="AW310" s="457">
        <v>0.0</v>
      </c>
      <c r="AX310" s="454" t="s">
        <v>1012</v>
      </c>
      <c r="AY310" s="457">
        <v>0.0</v>
      </c>
      <c r="AZ310" s="454" t="s">
        <v>1012</v>
      </c>
      <c r="BA310" s="457">
        <v>0.0</v>
      </c>
      <c r="BB310" s="454" t="s">
        <v>1012</v>
      </c>
      <c r="BC310" s="457">
        <v>0.0</v>
      </c>
      <c r="BD310" s="454" t="s">
        <v>1012</v>
      </c>
      <c r="BE310" s="457">
        <v>0.0</v>
      </c>
    </row>
    <row r="311">
      <c r="M311" s="226"/>
      <c r="N311" s="226"/>
      <c r="O311" s="226"/>
      <c r="P311" s="226"/>
      <c r="AN311" s="454" t="s">
        <v>1046</v>
      </c>
      <c r="AO311" s="457">
        <v>0.0</v>
      </c>
      <c r="AP311" s="454" t="s">
        <v>1046</v>
      </c>
      <c r="AQ311" s="457">
        <v>0.0</v>
      </c>
      <c r="AR311" s="454" t="s">
        <v>1046</v>
      </c>
      <c r="AS311" s="457">
        <v>0.0</v>
      </c>
      <c r="AT311" s="454" t="s">
        <v>1046</v>
      </c>
      <c r="AU311" s="457"/>
      <c r="AV311" s="454" t="s">
        <v>1046</v>
      </c>
      <c r="AW311" s="457">
        <v>0.0</v>
      </c>
      <c r="AX311" s="454" t="s">
        <v>1046</v>
      </c>
      <c r="AY311" s="457">
        <v>0.0</v>
      </c>
      <c r="AZ311" s="454" t="s">
        <v>1046</v>
      </c>
      <c r="BA311" s="457">
        <v>0.0</v>
      </c>
      <c r="BB311" s="454" t="s">
        <v>1046</v>
      </c>
      <c r="BC311" s="457">
        <v>0.0</v>
      </c>
      <c r="BD311" s="454" t="s">
        <v>1046</v>
      </c>
      <c r="BE311" s="457">
        <v>0.0</v>
      </c>
    </row>
    <row r="312">
      <c r="M312" s="226"/>
      <c r="N312" s="226"/>
      <c r="O312" s="226"/>
      <c r="P312" s="226"/>
      <c r="AN312" s="454" t="s">
        <v>1018</v>
      </c>
      <c r="AO312" s="457">
        <v>0.0</v>
      </c>
      <c r="AP312" s="454" t="s">
        <v>1018</v>
      </c>
      <c r="AQ312" s="457">
        <v>0.0</v>
      </c>
      <c r="AR312" s="454" t="s">
        <v>1018</v>
      </c>
      <c r="AS312" s="457">
        <v>0.0</v>
      </c>
      <c r="AT312" s="454" t="s">
        <v>1018</v>
      </c>
      <c r="AU312" s="457"/>
      <c r="AV312" s="454" t="s">
        <v>1018</v>
      </c>
      <c r="AW312" s="457">
        <v>0.0</v>
      </c>
      <c r="AX312" s="454" t="s">
        <v>1018</v>
      </c>
      <c r="AY312" s="457">
        <v>0.0</v>
      </c>
      <c r="AZ312" s="454" t="s">
        <v>1018</v>
      </c>
      <c r="BA312" s="457">
        <v>0.0</v>
      </c>
      <c r="BB312" s="454" t="s">
        <v>1018</v>
      </c>
      <c r="BC312" s="457">
        <v>0.0</v>
      </c>
      <c r="BD312" s="454" t="s">
        <v>1018</v>
      </c>
      <c r="BE312" s="457">
        <v>0.0</v>
      </c>
    </row>
    <row r="313">
      <c r="M313" s="226"/>
      <c r="N313" s="226"/>
      <c r="O313" s="226"/>
      <c r="P313" s="226"/>
      <c r="AN313" s="454" t="s">
        <v>1019</v>
      </c>
      <c r="AO313" s="457">
        <v>0.0</v>
      </c>
      <c r="AP313" s="454" t="s">
        <v>1019</v>
      </c>
      <c r="AQ313" s="457">
        <v>0.0</v>
      </c>
      <c r="AR313" s="454" t="s">
        <v>1019</v>
      </c>
      <c r="AS313" s="457">
        <v>0.0</v>
      </c>
      <c r="AT313" s="454" t="s">
        <v>1019</v>
      </c>
      <c r="AU313" s="457"/>
      <c r="AV313" s="454" t="s">
        <v>1019</v>
      </c>
      <c r="AW313" s="457">
        <v>0.0</v>
      </c>
      <c r="AX313" s="454" t="s">
        <v>1019</v>
      </c>
      <c r="AY313" s="457">
        <v>0.0</v>
      </c>
      <c r="AZ313" s="454" t="s">
        <v>1019</v>
      </c>
      <c r="BA313" s="457">
        <v>0.0</v>
      </c>
      <c r="BB313" s="454" t="s">
        <v>1019</v>
      </c>
      <c r="BC313" s="457">
        <v>0.0</v>
      </c>
      <c r="BD313" s="454" t="s">
        <v>1019</v>
      </c>
      <c r="BE313" s="457">
        <v>0.0</v>
      </c>
    </row>
    <row r="314">
      <c r="M314" s="226"/>
      <c r="N314" s="226"/>
      <c r="O314" s="226"/>
      <c r="P314" s="226"/>
      <c r="AN314" s="454" t="s">
        <v>1026</v>
      </c>
      <c r="AO314" s="457">
        <v>0.0</v>
      </c>
      <c r="AP314" s="454" t="s">
        <v>1026</v>
      </c>
      <c r="AQ314" s="457">
        <v>0.0</v>
      </c>
      <c r="AR314" s="454" t="s">
        <v>1026</v>
      </c>
      <c r="AS314" s="457">
        <v>0.0</v>
      </c>
      <c r="AT314" s="454" t="s">
        <v>1026</v>
      </c>
      <c r="AU314" s="457"/>
      <c r="AV314" s="454" t="s">
        <v>1026</v>
      </c>
      <c r="AW314" s="457">
        <v>0.0</v>
      </c>
      <c r="AX314" s="454" t="s">
        <v>1026</v>
      </c>
      <c r="AY314" s="457">
        <v>0.0</v>
      </c>
      <c r="AZ314" s="454" t="s">
        <v>1026</v>
      </c>
      <c r="BA314" s="457">
        <v>0.0</v>
      </c>
      <c r="BB314" s="454" t="s">
        <v>1026</v>
      </c>
      <c r="BC314" s="457">
        <v>0.0</v>
      </c>
      <c r="BD314" s="454" t="s">
        <v>1026</v>
      </c>
      <c r="BE314" s="457">
        <v>0.0</v>
      </c>
    </row>
    <row r="315">
      <c r="M315" s="226"/>
      <c r="N315" s="226"/>
      <c r="O315" s="226"/>
      <c r="P315" s="226"/>
      <c r="AN315" s="614" t="s">
        <v>1048</v>
      </c>
      <c r="AO315" s="457">
        <v>0.0</v>
      </c>
      <c r="AP315" s="614" t="s">
        <v>1048</v>
      </c>
      <c r="AQ315" s="457">
        <v>0.0</v>
      </c>
      <c r="AR315" s="614" t="s">
        <v>1048</v>
      </c>
      <c r="AS315" s="457">
        <v>0.0</v>
      </c>
      <c r="AT315" s="614" t="s">
        <v>1048</v>
      </c>
      <c r="AU315" s="457"/>
      <c r="AV315" s="614" t="s">
        <v>1048</v>
      </c>
      <c r="AW315" s="457">
        <v>0.0</v>
      </c>
      <c r="AX315" s="614" t="s">
        <v>1048</v>
      </c>
      <c r="AY315" s="457">
        <v>0.0</v>
      </c>
      <c r="AZ315" s="614" t="s">
        <v>1048</v>
      </c>
      <c r="BA315" s="457">
        <v>0.0</v>
      </c>
      <c r="BB315" s="614" t="s">
        <v>1048</v>
      </c>
      <c r="BC315" s="457">
        <v>0.0</v>
      </c>
      <c r="BD315" s="614" t="s">
        <v>1048</v>
      </c>
      <c r="BE315" s="457">
        <v>0.0</v>
      </c>
    </row>
    <row r="316">
      <c r="M316" s="226"/>
      <c r="N316" s="226"/>
      <c r="O316" s="226"/>
      <c r="P316" s="226"/>
      <c r="AN316" s="614" t="s">
        <v>1052</v>
      </c>
      <c r="AO316" s="457">
        <v>0.0</v>
      </c>
      <c r="AP316" s="614" t="s">
        <v>1052</v>
      </c>
      <c r="AQ316" s="457">
        <v>0.0</v>
      </c>
      <c r="AR316" s="614" t="s">
        <v>1052</v>
      </c>
      <c r="AS316" s="457">
        <v>0.0</v>
      </c>
      <c r="AT316" s="614" t="s">
        <v>1052</v>
      </c>
      <c r="AU316" s="457"/>
      <c r="AV316" s="614" t="s">
        <v>1052</v>
      </c>
      <c r="AW316" s="457">
        <v>0.0</v>
      </c>
      <c r="AX316" s="614" t="s">
        <v>1052</v>
      </c>
      <c r="AY316" s="457">
        <v>0.0</v>
      </c>
      <c r="AZ316" s="614" t="s">
        <v>1052</v>
      </c>
      <c r="BA316" s="457">
        <v>0.0</v>
      </c>
      <c r="BB316" s="614" t="s">
        <v>1052</v>
      </c>
      <c r="BC316" s="457">
        <v>0.0</v>
      </c>
      <c r="BD316" s="614" t="s">
        <v>1052</v>
      </c>
      <c r="BE316" s="457">
        <v>0.0</v>
      </c>
    </row>
    <row r="317">
      <c r="M317" s="226"/>
      <c r="N317" s="226"/>
      <c r="O317" s="226"/>
      <c r="P317" s="226"/>
      <c r="AN317" s="614" t="s">
        <v>1053</v>
      </c>
      <c r="AO317" s="457">
        <v>0.0</v>
      </c>
      <c r="AP317" s="614" t="s">
        <v>1053</v>
      </c>
      <c r="AQ317" s="457">
        <v>0.0</v>
      </c>
      <c r="AR317" s="614" t="s">
        <v>1053</v>
      </c>
      <c r="AS317" s="457">
        <v>0.0</v>
      </c>
      <c r="AT317" s="614" t="s">
        <v>1053</v>
      </c>
      <c r="AU317" s="457"/>
      <c r="AV317" s="614" t="s">
        <v>1053</v>
      </c>
      <c r="AW317" s="457">
        <v>0.0</v>
      </c>
      <c r="AX317" s="614" t="s">
        <v>1053</v>
      </c>
      <c r="AY317" s="457">
        <v>0.0</v>
      </c>
      <c r="AZ317" s="614" t="s">
        <v>1053</v>
      </c>
      <c r="BA317" s="457">
        <v>0.0</v>
      </c>
      <c r="BB317" s="614" t="s">
        <v>1053</v>
      </c>
      <c r="BC317" s="457">
        <v>0.0</v>
      </c>
      <c r="BD317" s="614" t="s">
        <v>1053</v>
      </c>
      <c r="BE317" s="457">
        <v>0.0</v>
      </c>
    </row>
    <row r="318">
      <c r="M318" s="226"/>
      <c r="N318" s="226"/>
      <c r="O318" s="226"/>
      <c r="P318" s="226"/>
      <c r="AN318" s="454" t="s">
        <v>1020</v>
      </c>
      <c r="AO318" s="457">
        <v>0.0</v>
      </c>
      <c r="AP318" s="454" t="s">
        <v>1020</v>
      </c>
      <c r="AQ318" s="457">
        <v>0.0</v>
      </c>
      <c r="AR318" s="454" t="s">
        <v>1020</v>
      </c>
      <c r="AS318" s="457">
        <v>0.0</v>
      </c>
      <c r="AT318" s="454" t="s">
        <v>1020</v>
      </c>
      <c r="AU318" s="457"/>
      <c r="AV318" s="454" t="s">
        <v>1020</v>
      </c>
      <c r="AW318" s="457">
        <v>0.0</v>
      </c>
      <c r="AX318" s="454" t="s">
        <v>1020</v>
      </c>
      <c r="AY318" s="457">
        <v>0.0</v>
      </c>
      <c r="AZ318" s="454" t="s">
        <v>1020</v>
      </c>
      <c r="BA318" s="457">
        <v>0.0</v>
      </c>
      <c r="BB318" s="454" t="s">
        <v>1020</v>
      </c>
      <c r="BC318" s="457">
        <v>0.0</v>
      </c>
      <c r="BD318" s="454" t="s">
        <v>1020</v>
      </c>
      <c r="BE318" s="457">
        <v>0.0</v>
      </c>
    </row>
    <row r="319">
      <c r="M319" s="226"/>
      <c r="N319" s="226"/>
      <c r="O319" s="226"/>
      <c r="P319" s="226"/>
      <c r="AN319" s="454" t="s">
        <v>1022</v>
      </c>
      <c r="AO319" s="457">
        <v>0.0</v>
      </c>
      <c r="AP319" s="454" t="s">
        <v>1022</v>
      </c>
      <c r="AQ319" s="457">
        <v>0.0</v>
      </c>
      <c r="AR319" s="454" t="s">
        <v>1022</v>
      </c>
      <c r="AS319" s="457">
        <v>0.0</v>
      </c>
      <c r="AT319" s="454" t="s">
        <v>1022</v>
      </c>
      <c r="AU319" s="457"/>
      <c r="AV319" s="454" t="s">
        <v>1022</v>
      </c>
      <c r="AW319" s="457">
        <v>0.0</v>
      </c>
      <c r="AX319" s="454" t="s">
        <v>1022</v>
      </c>
      <c r="AY319" s="457">
        <v>0.0</v>
      </c>
      <c r="AZ319" s="454" t="s">
        <v>1022</v>
      </c>
      <c r="BA319" s="457">
        <v>0.0</v>
      </c>
      <c r="BB319" s="454" t="s">
        <v>1022</v>
      </c>
      <c r="BC319" s="457">
        <v>0.0</v>
      </c>
      <c r="BD319" s="454" t="s">
        <v>1022</v>
      </c>
      <c r="BE319" s="457">
        <v>0.0</v>
      </c>
    </row>
    <row r="320">
      <c r="M320" s="226"/>
      <c r="N320" s="226"/>
      <c r="O320" s="226"/>
      <c r="P320" s="226"/>
      <c r="AN320" s="454" t="s">
        <v>1031</v>
      </c>
      <c r="AO320" s="536">
        <v>0.0</v>
      </c>
      <c r="AP320" s="515" t="s">
        <v>1031</v>
      </c>
      <c r="AQ320" s="457">
        <v>0.0</v>
      </c>
      <c r="AR320" s="454" t="s">
        <v>1031</v>
      </c>
      <c r="AS320" s="457">
        <v>0.0</v>
      </c>
      <c r="AT320" s="454" t="s">
        <v>1031</v>
      </c>
      <c r="AU320" s="457">
        <v>0.0</v>
      </c>
      <c r="AV320" s="454" t="s">
        <v>1031</v>
      </c>
      <c r="AW320" s="457">
        <v>0.0</v>
      </c>
      <c r="AX320" s="454" t="s">
        <v>1031</v>
      </c>
      <c r="AY320" s="457">
        <v>0.0</v>
      </c>
      <c r="AZ320" s="454" t="s">
        <v>1031</v>
      </c>
      <c r="BA320" s="457">
        <v>0.0</v>
      </c>
      <c r="BB320" s="454" t="s">
        <v>1031</v>
      </c>
      <c r="BC320" s="457">
        <v>0.0</v>
      </c>
      <c r="BD320" s="454" t="s">
        <v>1031</v>
      </c>
      <c r="BE320" s="457">
        <v>0.0</v>
      </c>
    </row>
    <row r="321">
      <c r="M321" s="226"/>
      <c r="N321" s="226"/>
      <c r="O321" s="226"/>
      <c r="P321" s="226"/>
      <c r="AN321" s="454" t="s">
        <v>1033</v>
      </c>
      <c r="AO321" s="536">
        <v>0.0</v>
      </c>
      <c r="AP321" s="515" t="s">
        <v>1033</v>
      </c>
      <c r="AQ321" s="457">
        <v>0.0</v>
      </c>
      <c r="AR321" s="454" t="s">
        <v>1033</v>
      </c>
      <c r="AS321" s="457">
        <v>0.0</v>
      </c>
      <c r="AT321" s="454" t="s">
        <v>1033</v>
      </c>
      <c r="AU321" s="457">
        <v>0.0</v>
      </c>
      <c r="AV321" s="454" t="s">
        <v>1033</v>
      </c>
      <c r="AW321" s="457">
        <v>0.0</v>
      </c>
      <c r="AX321" s="454" t="s">
        <v>1033</v>
      </c>
      <c r="AY321" s="457">
        <v>0.0</v>
      </c>
      <c r="AZ321" s="454" t="s">
        <v>1033</v>
      </c>
      <c r="BA321" s="457">
        <v>0.0</v>
      </c>
      <c r="BB321" s="454" t="s">
        <v>1033</v>
      </c>
      <c r="BC321" s="457">
        <v>0.0</v>
      </c>
      <c r="BD321" s="454" t="s">
        <v>1033</v>
      </c>
      <c r="BE321" s="457">
        <v>0.0</v>
      </c>
    </row>
    <row r="322">
      <c r="M322" s="226"/>
      <c r="N322" s="226"/>
      <c r="O322" s="226"/>
      <c r="P322" s="226"/>
      <c r="AN322" s="454" t="s">
        <v>1035</v>
      </c>
      <c r="AO322" s="536">
        <v>0.0</v>
      </c>
      <c r="AP322" s="515" t="s">
        <v>1035</v>
      </c>
      <c r="AQ322" s="457">
        <v>0.0</v>
      </c>
      <c r="AR322" s="454" t="s">
        <v>1035</v>
      </c>
      <c r="AS322" s="457">
        <v>0.0</v>
      </c>
      <c r="AT322" s="454" t="s">
        <v>1035</v>
      </c>
      <c r="AU322" s="457">
        <v>0.0</v>
      </c>
      <c r="AV322" s="454" t="s">
        <v>1035</v>
      </c>
      <c r="AW322" s="457">
        <v>0.0</v>
      </c>
      <c r="AX322" s="454" t="s">
        <v>1035</v>
      </c>
      <c r="AY322" s="457">
        <v>0.0</v>
      </c>
      <c r="AZ322" s="454" t="s">
        <v>1035</v>
      </c>
      <c r="BA322" s="457">
        <v>0.0</v>
      </c>
      <c r="BB322" s="454" t="s">
        <v>1035</v>
      </c>
      <c r="BC322" s="457">
        <v>0.0</v>
      </c>
      <c r="BD322" s="454" t="s">
        <v>1035</v>
      </c>
      <c r="BE322" s="457">
        <v>0.0</v>
      </c>
    </row>
    <row r="323">
      <c r="M323" s="226"/>
      <c r="N323" s="226"/>
      <c r="O323" s="226"/>
      <c r="P323" s="226"/>
      <c r="AN323" s="454" t="s">
        <v>1055</v>
      </c>
      <c r="AO323" s="456">
        <v>0.0</v>
      </c>
      <c r="AP323" s="515" t="s">
        <v>1055</v>
      </c>
      <c r="AQ323" s="457">
        <v>0.0</v>
      </c>
      <c r="AR323" s="454" t="s">
        <v>1055</v>
      </c>
      <c r="AS323" s="457">
        <v>0.0</v>
      </c>
      <c r="AT323" s="454" t="s">
        <v>1055</v>
      </c>
      <c r="AU323" s="457">
        <v>0.0</v>
      </c>
      <c r="AV323" s="454" t="s">
        <v>1055</v>
      </c>
      <c r="AW323" s="457">
        <v>0.0</v>
      </c>
      <c r="AX323" s="454" t="s">
        <v>1055</v>
      </c>
      <c r="AY323" s="457">
        <v>0.0</v>
      </c>
      <c r="AZ323" s="454" t="s">
        <v>1055</v>
      </c>
      <c r="BA323" s="457">
        <v>0.0</v>
      </c>
      <c r="BB323" s="454" t="s">
        <v>1055</v>
      </c>
      <c r="BC323" s="457">
        <v>0.0</v>
      </c>
      <c r="BD323" s="454" t="s">
        <v>1055</v>
      </c>
      <c r="BE323" s="457">
        <v>0.0</v>
      </c>
    </row>
    <row r="324">
      <c r="M324" s="226"/>
      <c r="N324" s="226"/>
      <c r="O324" s="226"/>
      <c r="P324" s="226"/>
    </row>
    <row r="325">
      <c r="M325" s="226"/>
      <c r="N325" s="226"/>
      <c r="O325" s="226"/>
      <c r="P325" s="226"/>
    </row>
    <row r="326">
      <c r="M326" s="226"/>
      <c r="N326" s="226"/>
      <c r="O326" s="226"/>
      <c r="P326" s="226"/>
      <c r="AN326" s="449" t="s">
        <v>2110</v>
      </c>
      <c r="AO326" s="450" t="s">
        <v>2301</v>
      </c>
      <c r="AP326" s="449" t="s">
        <v>2110</v>
      </c>
      <c r="AQ326" s="450" t="s">
        <v>2302</v>
      </c>
      <c r="AR326" s="449" t="s">
        <v>2110</v>
      </c>
      <c r="AS326" s="450" t="s">
        <v>2303</v>
      </c>
      <c r="AT326" s="449" t="s">
        <v>2110</v>
      </c>
      <c r="AU326" s="450" t="s">
        <v>2304</v>
      </c>
      <c r="AV326" s="449" t="s">
        <v>2110</v>
      </c>
      <c r="AW326" s="450" t="s">
        <v>2305</v>
      </c>
      <c r="AX326" s="449" t="s">
        <v>2110</v>
      </c>
      <c r="AY326" s="450" t="s">
        <v>2306</v>
      </c>
      <c r="AZ326" s="449" t="s">
        <v>2110</v>
      </c>
      <c r="BA326" s="450" t="s">
        <v>2307</v>
      </c>
      <c r="BB326" s="449" t="s">
        <v>2110</v>
      </c>
      <c r="BC326" s="450" t="s">
        <v>2308</v>
      </c>
      <c r="BD326" s="449" t="s">
        <v>2110</v>
      </c>
      <c r="BE326" s="450" t="s">
        <v>2309</v>
      </c>
    </row>
    <row r="327">
      <c r="M327" s="226"/>
      <c r="N327" s="226"/>
      <c r="O327" s="226"/>
      <c r="P327" s="226"/>
      <c r="AN327" s="454" t="s">
        <v>1126</v>
      </c>
      <c r="AO327" s="457">
        <v>3.0</v>
      </c>
      <c r="AP327" s="454" t="s">
        <v>1126</v>
      </c>
      <c r="AQ327" s="457">
        <v>0.0</v>
      </c>
      <c r="AR327" s="454" t="s">
        <v>1126</v>
      </c>
      <c r="AS327" s="457">
        <v>0.0</v>
      </c>
      <c r="AT327" s="454" t="s">
        <v>1126</v>
      </c>
      <c r="AU327" s="457">
        <v>0.0</v>
      </c>
      <c r="AV327" s="454" t="s">
        <v>1126</v>
      </c>
      <c r="AW327" s="457">
        <v>0.0</v>
      </c>
      <c r="AX327" s="454" t="s">
        <v>1126</v>
      </c>
      <c r="AY327" s="457">
        <v>0.0</v>
      </c>
      <c r="AZ327" s="454" t="s">
        <v>1126</v>
      </c>
      <c r="BA327" s="457">
        <v>0.0</v>
      </c>
      <c r="BB327" s="454" t="s">
        <v>1126</v>
      </c>
      <c r="BC327" s="457">
        <v>0.0</v>
      </c>
      <c r="BD327" s="454" t="s">
        <v>1126</v>
      </c>
      <c r="BE327" s="457">
        <v>0.0</v>
      </c>
    </row>
    <row r="328">
      <c r="M328" s="226"/>
      <c r="N328" s="226"/>
      <c r="O328" s="226"/>
      <c r="P328" s="226"/>
      <c r="AN328" s="454" t="s">
        <v>1127</v>
      </c>
      <c r="AO328" s="457">
        <v>0.0</v>
      </c>
      <c r="AP328" s="454" t="s">
        <v>1127</v>
      </c>
      <c r="AQ328" s="457">
        <v>0.0</v>
      </c>
      <c r="AR328" s="454" t="s">
        <v>1127</v>
      </c>
      <c r="AS328" s="457">
        <v>0.0</v>
      </c>
      <c r="AT328" s="454" t="s">
        <v>1127</v>
      </c>
      <c r="AU328" s="457">
        <v>0.0</v>
      </c>
      <c r="AV328" s="454" t="s">
        <v>1127</v>
      </c>
      <c r="AW328" s="457">
        <v>0.0</v>
      </c>
      <c r="AX328" s="454" t="s">
        <v>1127</v>
      </c>
      <c r="AY328" s="457">
        <v>0.0</v>
      </c>
      <c r="AZ328" s="454" t="s">
        <v>1127</v>
      </c>
      <c r="BA328" s="457">
        <v>0.0</v>
      </c>
      <c r="BB328" s="454" t="s">
        <v>1127</v>
      </c>
      <c r="BC328" s="457">
        <v>0.0</v>
      </c>
      <c r="BD328" s="454" t="s">
        <v>1127</v>
      </c>
      <c r="BE328" s="457">
        <v>0.0</v>
      </c>
    </row>
    <row r="329">
      <c r="M329" s="226"/>
      <c r="N329" s="226"/>
      <c r="O329" s="226"/>
      <c r="P329" s="226"/>
      <c r="AN329" s="454" t="s">
        <v>1130</v>
      </c>
      <c r="AO329" s="457">
        <v>0.0</v>
      </c>
      <c r="AP329" s="454" t="s">
        <v>1130</v>
      </c>
      <c r="AQ329" s="457">
        <v>0.0</v>
      </c>
      <c r="AR329" s="454" t="s">
        <v>1130</v>
      </c>
      <c r="AS329" s="457">
        <v>0.0</v>
      </c>
      <c r="AT329" s="454" t="s">
        <v>1130</v>
      </c>
      <c r="AU329" s="457">
        <v>0.0</v>
      </c>
      <c r="AV329" s="454" t="s">
        <v>1130</v>
      </c>
      <c r="AW329" s="457">
        <v>0.0</v>
      </c>
      <c r="AX329" s="454" t="s">
        <v>1130</v>
      </c>
      <c r="AY329" s="457">
        <v>0.0</v>
      </c>
      <c r="AZ329" s="454" t="s">
        <v>1130</v>
      </c>
      <c r="BA329" s="457">
        <v>0.0</v>
      </c>
      <c r="BB329" s="454" t="s">
        <v>1130</v>
      </c>
      <c r="BC329" s="457">
        <v>0.0</v>
      </c>
      <c r="BD329" s="454" t="s">
        <v>1130</v>
      </c>
      <c r="BE329" s="457">
        <v>0.0</v>
      </c>
    </row>
    <row r="330">
      <c r="M330" s="226"/>
      <c r="N330" s="226"/>
      <c r="O330" s="226"/>
      <c r="P330" s="226"/>
      <c r="AN330" s="454" t="s">
        <v>1128</v>
      </c>
      <c r="AO330" s="457">
        <v>0.0</v>
      </c>
      <c r="AP330" s="454" t="s">
        <v>1128</v>
      </c>
      <c r="AQ330" s="457">
        <v>0.0</v>
      </c>
      <c r="AR330" s="454" t="s">
        <v>1128</v>
      </c>
      <c r="AS330" s="457">
        <v>0.0</v>
      </c>
      <c r="AT330" s="454" t="s">
        <v>1128</v>
      </c>
      <c r="AU330" s="457">
        <v>0.0</v>
      </c>
      <c r="AV330" s="454" t="s">
        <v>1128</v>
      </c>
      <c r="AW330" s="457">
        <v>0.0</v>
      </c>
      <c r="AX330" s="454" t="s">
        <v>1128</v>
      </c>
      <c r="AY330" s="457">
        <v>0.0</v>
      </c>
      <c r="AZ330" s="454" t="s">
        <v>1128</v>
      </c>
      <c r="BA330" s="457">
        <v>0.0</v>
      </c>
      <c r="BB330" s="454" t="s">
        <v>1128</v>
      </c>
      <c r="BC330" s="457">
        <v>0.0</v>
      </c>
      <c r="BD330" s="454" t="s">
        <v>1128</v>
      </c>
      <c r="BE330" s="457">
        <v>0.0</v>
      </c>
    </row>
    <row r="331">
      <c r="M331" s="226"/>
      <c r="N331" s="226"/>
      <c r="O331" s="226"/>
      <c r="P331" s="226"/>
      <c r="AN331" s="454" t="s">
        <v>1132</v>
      </c>
      <c r="AO331" s="457">
        <v>0.0</v>
      </c>
      <c r="AP331" s="454" t="s">
        <v>1132</v>
      </c>
      <c r="AQ331" s="457">
        <v>0.0</v>
      </c>
      <c r="AR331" s="454" t="s">
        <v>1132</v>
      </c>
      <c r="AS331" s="457">
        <v>0.0</v>
      </c>
      <c r="AT331" s="454" t="s">
        <v>1132</v>
      </c>
      <c r="AU331" s="457">
        <v>0.0</v>
      </c>
      <c r="AV331" s="454" t="s">
        <v>1132</v>
      </c>
      <c r="AW331" s="457">
        <v>0.0</v>
      </c>
      <c r="AX331" s="454" t="s">
        <v>1132</v>
      </c>
      <c r="AY331" s="457">
        <v>0.0</v>
      </c>
      <c r="AZ331" s="454" t="s">
        <v>1132</v>
      </c>
      <c r="BA331" s="457">
        <v>0.0</v>
      </c>
      <c r="BB331" s="454" t="s">
        <v>1132</v>
      </c>
      <c r="BC331" s="457">
        <v>0.0</v>
      </c>
      <c r="BD331" s="454" t="s">
        <v>1132</v>
      </c>
      <c r="BE331" s="457">
        <v>0.0</v>
      </c>
    </row>
    <row r="332">
      <c r="M332" s="226"/>
      <c r="N332" s="226"/>
      <c r="O332" s="226"/>
      <c r="P332" s="226"/>
      <c r="AN332" s="454" t="s">
        <v>1137</v>
      </c>
      <c r="AO332" s="457"/>
      <c r="AP332" s="454" t="s">
        <v>1137</v>
      </c>
      <c r="AQ332" s="457">
        <v>0.0</v>
      </c>
      <c r="AR332" s="454" t="s">
        <v>1137</v>
      </c>
      <c r="AS332" s="457">
        <v>0.0</v>
      </c>
      <c r="AT332" s="454" t="s">
        <v>1137</v>
      </c>
      <c r="AU332" s="457">
        <v>0.0</v>
      </c>
      <c r="AV332" s="454" t="s">
        <v>1137</v>
      </c>
      <c r="AW332" s="457">
        <v>0.0</v>
      </c>
      <c r="AX332" s="454" t="s">
        <v>1137</v>
      </c>
      <c r="AY332" s="457">
        <v>0.0</v>
      </c>
      <c r="AZ332" s="454" t="s">
        <v>1137</v>
      </c>
      <c r="BA332" s="457">
        <v>0.0</v>
      </c>
      <c r="BB332" s="454" t="s">
        <v>1137</v>
      </c>
      <c r="BC332" s="457">
        <v>0.0</v>
      </c>
      <c r="BD332" s="454" t="s">
        <v>1137</v>
      </c>
      <c r="BE332" s="457">
        <v>0.0</v>
      </c>
    </row>
    <row r="333">
      <c r="M333" s="226"/>
      <c r="N333" s="226"/>
      <c r="O333" s="226"/>
      <c r="P333" s="226"/>
      <c r="AN333" s="454" t="s">
        <v>1139</v>
      </c>
      <c r="AO333" s="457">
        <v>0.0</v>
      </c>
      <c r="AP333" s="454" t="s">
        <v>1139</v>
      </c>
      <c r="AQ333" s="457">
        <v>0.0</v>
      </c>
      <c r="AR333" s="454" t="s">
        <v>1139</v>
      </c>
      <c r="AS333" s="457">
        <v>0.0</v>
      </c>
      <c r="AT333" s="454" t="s">
        <v>1139</v>
      </c>
      <c r="AU333" s="457">
        <v>0.0</v>
      </c>
      <c r="AV333" s="454" t="s">
        <v>1139</v>
      </c>
      <c r="AW333" s="457">
        <v>0.0</v>
      </c>
      <c r="AX333" s="454" t="s">
        <v>1139</v>
      </c>
      <c r="AY333" s="457">
        <v>0.0</v>
      </c>
      <c r="AZ333" s="454" t="s">
        <v>1139</v>
      </c>
      <c r="BA333" s="457">
        <v>0.0</v>
      </c>
      <c r="BB333" s="454" t="s">
        <v>1139</v>
      </c>
      <c r="BC333" s="457">
        <v>0.0</v>
      </c>
      <c r="BD333" s="454" t="s">
        <v>1139</v>
      </c>
      <c r="BE333" s="457">
        <v>0.0</v>
      </c>
    </row>
    <row r="334">
      <c r="M334" s="226"/>
      <c r="N334" s="226"/>
      <c r="O334" s="226"/>
      <c r="P334" s="226"/>
      <c r="AN334" s="454" t="s">
        <v>1145</v>
      </c>
      <c r="AO334" s="457">
        <v>0.0</v>
      </c>
      <c r="AP334" s="454" t="s">
        <v>1145</v>
      </c>
      <c r="AQ334" s="457">
        <v>0.0</v>
      </c>
      <c r="AR334" s="454" t="s">
        <v>1145</v>
      </c>
      <c r="AS334" s="457">
        <v>0.0</v>
      </c>
      <c r="AT334" s="454" t="s">
        <v>1145</v>
      </c>
      <c r="AU334" s="457">
        <v>0.0</v>
      </c>
      <c r="AV334" s="454" t="s">
        <v>1145</v>
      </c>
      <c r="AW334" s="457">
        <v>0.0</v>
      </c>
      <c r="AX334" s="454" t="s">
        <v>1145</v>
      </c>
      <c r="AY334" s="457">
        <v>0.0</v>
      </c>
      <c r="AZ334" s="454" t="s">
        <v>1145</v>
      </c>
      <c r="BA334" s="457">
        <v>0.0</v>
      </c>
      <c r="BB334" s="454" t="s">
        <v>1145</v>
      </c>
      <c r="BC334" s="457">
        <v>0.0</v>
      </c>
      <c r="BD334" s="454" t="s">
        <v>1145</v>
      </c>
      <c r="BE334" s="457">
        <v>0.0</v>
      </c>
    </row>
    <row r="335">
      <c r="M335" s="226"/>
      <c r="N335" s="226"/>
      <c r="O335" s="226"/>
      <c r="P335" s="226"/>
      <c r="AN335" s="614" t="s">
        <v>1136</v>
      </c>
      <c r="AO335" s="457">
        <v>0.0</v>
      </c>
      <c r="AP335" s="614" t="s">
        <v>1136</v>
      </c>
      <c r="AQ335" s="457">
        <v>0.0</v>
      </c>
      <c r="AR335" s="614" t="s">
        <v>1136</v>
      </c>
      <c r="AS335" s="457">
        <v>0.0</v>
      </c>
      <c r="AT335" s="614" t="s">
        <v>1136</v>
      </c>
      <c r="AU335" s="457">
        <v>0.0</v>
      </c>
      <c r="AV335" s="614" t="s">
        <v>1136</v>
      </c>
      <c r="AW335" s="457">
        <v>0.0</v>
      </c>
      <c r="AX335" s="614" t="s">
        <v>1136</v>
      </c>
      <c r="AY335" s="457">
        <v>0.0</v>
      </c>
      <c r="AZ335" s="614" t="s">
        <v>1136</v>
      </c>
      <c r="BA335" s="457">
        <v>0.0</v>
      </c>
      <c r="BB335" s="614" t="s">
        <v>1136</v>
      </c>
      <c r="BC335" s="457">
        <v>0.0</v>
      </c>
      <c r="BD335" s="614" t="s">
        <v>1136</v>
      </c>
      <c r="BE335" s="457">
        <v>0.0</v>
      </c>
    </row>
    <row r="336">
      <c r="M336" s="226"/>
      <c r="N336" s="226"/>
      <c r="O336" s="226"/>
      <c r="P336" s="226"/>
    </row>
    <row r="337">
      <c r="M337" s="226"/>
      <c r="N337" s="226"/>
      <c r="O337" s="226"/>
      <c r="P337" s="226"/>
    </row>
    <row r="338">
      <c r="M338" s="226"/>
      <c r="N338" s="226"/>
      <c r="O338" s="226"/>
      <c r="P338" s="226"/>
    </row>
    <row r="339">
      <c r="M339" s="226"/>
      <c r="N339" s="226"/>
      <c r="O339" s="226"/>
      <c r="P339" s="226"/>
    </row>
    <row r="340">
      <c r="M340" s="226"/>
      <c r="N340" s="226"/>
      <c r="O340" s="226"/>
      <c r="P340" s="226"/>
    </row>
    <row r="341">
      <c r="M341" s="226"/>
      <c r="N341" s="226"/>
      <c r="O341" s="226"/>
      <c r="P341" s="226"/>
      <c r="AN341" s="623" t="s">
        <v>2122</v>
      </c>
      <c r="AO341" s="623" t="s">
        <v>2310</v>
      </c>
      <c r="AP341" s="623" t="s">
        <v>2122</v>
      </c>
      <c r="AQ341" s="623" t="s">
        <v>2311</v>
      </c>
      <c r="AR341" s="623" t="s">
        <v>2122</v>
      </c>
      <c r="AS341" s="623" t="s">
        <v>2312</v>
      </c>
      <c r="AT341" s="623" t="s">
        <v>2122</v>
      </c>
      <c r="AU341" s="623" t="s">
        <v>2313</v>
      </c>
      <c r="AV341" s="623" t="s">
        <v>2122</v>
      </c>
      <c r="AW341" s="623" t="s">
        <v>2314</v>
      </c>
      <c r="AX341" s="623" t="s">
        <v>2122</v>
      </c>
      <c r="AY341" s="623" t="s">
        <v>2315</v>
      </c>
      <c r="AZ341" s="623" t="s">
        <v>2122</v>
      </c>
      <c r="BA341" s="623" t="s">
        <v>2316</v>
      </c>
      <c r="BB341" s="623" t="s">
        <v>2122</v>
      </c>
      <c r="BC341" s="623" t="s">
        <v>2317</v>
      </c>
      <c r="BD341" s="623" t="s">
        <v>2122</v>
      </c>
      <c r="BE341" s="623" t="s">
        <v>2318</v>
      </c>
    </row>
    <row r="342">
      <c r="M342" s="226"/>
      <c r="N342" s="226"/>
      <c r="O342" s="226"/>
      <c r="P342" s="226"/>
      <c r="AN342" s="454" t="s">
        <v>780</v>
      </c>
      <c r="AO342" s="456">
        <v>1.0</v>
      </c>
      <c r="AP342" s="454" t="s">
        <v>780</v>
      </c>
      <c r="AQ342" s="456">
        <v>0.0</v>
      </c>
      <c r="AR342" s="454" t="s">
        <v>780</v>
      </c>
      <c r="AS342" s="456">
        <v>0.0</v>
      </c>
      <c r="AT342" s="454" t="s">
        <v>780</v>
      </c>
      <c r="AU342" s="536" t="s">
        <v>674</v>
      </c>
      <c r="AV342" s="454" t="s">
        <v>780</v>
      </c>
      <c r="AW342" s="456">
        <v>0.0</v>
      </c>
      <c r="AX342" s="454" t="s">
        <v>780</v>
      </c>
      <c r="AY342" s="456">
        <v>0.0</v>
      </c>
      <c r="AZ342" s="454" t="s">
        <v>780</v>
      </c>
      <c r="BA342" s="456">
        <v>0.0</v>
      </c>
      <c r="BB342" s="454" t="s">
        <v>780</v>
      </c>
      <c r="BC342" s="456">
        <v>0.0</v>
      </c>
      <c r="BD342" s="454" t="s">
        <v>780</v>
      </c>
      <c r="BE342" s="456">
        <v>0.0</v>
      </c>
    </row>
    <row r="343">
      <c r="M343" s="226"/>
      <c r="N343" s="226"/>
      <c r="O343" s="226"/>
      <c r="P343" s="226"/>
      <c r="AN343" s="454" t="s">
        <v>782</v>
      </c>
      <c r="AO343" s="456">
        <v>0.0</v>
      </c>
      <c r="AP343" s="454" t="s">
        <v>782</v>
      </c>
      <c r="AQ343" s="456">
        <v>1.0</v>
      </c>
      <c r="AR343" s="454" t="s">
        <v>782</v>
      </c>
      <c r="AS343" s="456">
        <v>0.0</v>
      </c>
      <c r="AT343" s="454" t="s">
        <v>782</v>
      </c>
      <c r="AU343" s="536" t="s">
        <v>674</v>
      </c>
      <c r="AV343" s="454" t="s">
        <v>782</v>
      </c>
      <c r="AW343" s="456">
        <v>0.0</v>
      </c>
      <c r="AX343" s="454" t="s">
        <v>782</v>
      </c>
      <c r="AY343" s="456">
        <v>0.0</v>
      </c>
      <c r="AZ343" s="454" t="s">
        <v>782</v>
      </c>
      <c r="BA343" s="456">
        <v>0.0</v>
      </c>
      <c r="BB343" s="454" t="s">
        <v>782</v>
      </c>
      <c r="BC343" s="456">
        <v>0.0</v>
      </c>
      <c r="BD343" s="454" t="s">
        <v>782</v>
      </c>
      <c r="BE343" s="456">
        <v>0.0</v>
      </c>
    </row>
    <row r="344">
      <c r="M344" s="226"/>
      <c r="N344" s="226"/>
      <c r="O344" s="226"/>
      <c r="P344" s="226"/>
      <c r="AN344" s="454" t="s">
        <v>783</v>
      </c>
      <c r="AO344" s="456">
        <v>0.0</v>
      </c>
      <c r="AP344" s="454" t="s">
        <v>783</v>
      </c>
      <c r="AQ344" s="456">
        <v>0.0</v>
      </c>
      <c r="AR344" s="454" t="s">
        <v>783</v>
      </c>
      <c r="AS344" s="456">
        <v>1.0</v>
      </c>
      <c r="AT344" s="454" t="s">
        <v>783</v>
      </c>
      <c r="AU344" s="536" t="s">
        <v>2319</v>
      </c>
      <c r="AV344" s="454" t="s">
        <v>783</v>
      </c>
      <c r="AW344" s="456">
        <v>0.0</v>
      </c>
      <c r="AX344" s="454" t="s">
        <v>783</v>
      </c>
      <c r="AY344" s="456">
        <v>0.0</v>
      </c>
      <c r="AZ344" s="454" t="s">
        <v>783</v>
      </c>
      <c r="BA344" s="456">
        <v>0.0</v>
      </c>
      <c r="BB344" s="454" t="s">
        <v>783</v>
      </c>
      <c r="BC344" s="456">
        <v>0.0</v>
      </c>
      <c r="BD344" s="454" t="s">
        <v>783</v>
      </c>
      <c r="BE344" s="456">
        <v>0.0</v>
      </c>
    </row>
    <row r="345">
      <c r="M345" s="226"/>
      <c r="N345" s="226"/>
      <c r="O345" s="226"/>
      <c r="P345" s="226"/>
      <c r="AN345" s="454" t="s">
        <v>785</v>
      </c>
      <c r="AO345" s="456">
        <v>0.0</v>
      </c>
      <c r="AP345" s="454" t="s">
        <v>785</v>
      </c>
      <c r="AQ345" s="457">
        <v>1.0</v>
      </c>
      <c r="AR345" s="454" t="s">
        <v>785</v>
      </c>
      <c r="AS345" s="457">
        <v>0.0</v>
      </c>
      <c r="AT345" s="454" t="s">
        <v>785</v>
      </c>
      <c r="AU345" s="537" t="s">
        <v>2239</v>
      </c>
      <c r="AV345" s="454" t="s">
        <v>785</v>
      </c>
      <c r="AW345" s="457">
        <v>0.0</v>
      </c>
      <c r="AX345" s="454" t="s">
        <v>785</v>
      </c>
      <c r="AY345" s="456">
        <v>2.0</v>
      </c>
      <c r="AZ345" s="454" t="s">
        <v>785</v>
      </c>
      <c r="BA345" s="456">
        <v>0.0</v>
      </c>
      <c r="BB345" s="454" t="s">
        <v>785</v>
      </c>
      <c r="BC345" s="456">
        <v>0.0</v>
      </c>
      <c r="BD345" s="454" t="s">
        <v>785</v>
      </c>
      <c r="BE345" s="456">
        <v>0.0</v>
      </c>
    </row>
    <row r="346">
      <c r="M346" s="226"/>
      <c r="N346" s="226"/>
      <c r="O346" s="226"/>
      <c r="P346" s="226"/>
      <c r="AN346" s="454" t="s">
        <v>786</v>
      </c>
      <c r="AO346" s="456">
        <v>0.0</v>
      </c>
      <c r="AP346" s="454" t="s">
        <v>786</v>
      </c>
      <c r="AQ346" s="457">
        <v>1.0</v>
      </c>
      <c r="AR346" s="454" t="s">
        <v>786</v>
      </c>
      <c r="AS346" s="457">
        <v>0.0</v>
      </c>
      <c r="AT346" s="454" t="s">
        <v>786</v>
      </c>
      <c r="AU346" s="537" t="s">
        <v>674</v>
      </c>
      <c r="AV346" s="454" t="s">
        <v>786</v>
      </c>
      <c r="AW346" s="457">
        <v>0.0</v>
      </c>
      <c r="AX346" s="454" t="s">
        <v>786</v>
      </c>
      <c r="AY346" s="456">
        <v>0.0</v>
      </c>
      <c r="AZ346" s="454" t="s">
        <v>786</v>
      </c>
      <c r="BA346" s="456">
        <v>0.0</v>
      </c>
      <c r="BB346" s="454" t="s">
        <v>786</v>
      </c>
      <c r="BC346" s="456">
        <v>0.0</v>
      </c>
      <c r="BD346" s="454" t="s">
        <v>786</v>
      </c>
      <c r="BE346" s="456">
        <v>0.0</v>
      </c>
    </row>
    <row r="347">
      <c r="M347" s="226"/>
      <c r="N347" s="226"/>
      <c r="O347" s="226"/>
      <c r="P347" s="226"/>
      <c r="AN347" s="454" t="s">
        <v>789</v>
      </c>
      <c r="AO347" s="456">
        <v>1.0</v>
      </c>
      <c r="AP347" s="454" t="s">
        <v>789</v>
      </c>
      <c r="AQ347" s="457">
        <v>0.0</v>
      </c>
      <c r="AR347" s="454" t="s">
        <v>789</v>
      </c>
      <c r="AS347" s="457">
        <v>1.0</v>
      </c>
      <c r="AT347" s="454" t="s">
        <v>789</v>
      </c>
      <c r="AU347" s="537" t="s">
        <v>2237</v>
      </c>
      <c r="AV347" s="454" t="s">
        <v>789</v>
      </c>
      <c r="AW347" s="457">
        <v>0.0</v>
      </c>
      <c r="AX347" s="454" t="s">
        <v>789</v>
      </c>
      <c r="AY347" s="456">
        <v>0.0</v>
      </c>
      <c r="AZ347" s="454" t="s">
        <v>789</v>
      </c>
      <c r="BA347" s="456">
        <v>0.0</v>
      </c>
      <c r="BB347" s="454" t="s">
        <v>789</v>
      </c>
      <c r="BC347" s="456">
        <v>0.0</v>
      </c>
      <c r="BD347" s="454" t="s">
        <v>789</v>
      </c>
      <c r="BE347" s="456">
        <v>0.0</v>
      </c>
    </row>
    <row r="348">
      <c r="M348" s="226"/>
      <c r="N348" s="226"/>
      <c r="O348" s="226"/>
      <c r="P348" s="226"/>
    </row>
    <row r="349">
      <c r="M349" s="226"/>
      <c r="N349" s="226"/>
      <c r="O349" s="226"/>
      <c r="P349" s="226"/>
      <c r="AN349" s="449" t="s">
        <v>2130</v>
      </c>
      <c r="AO349" s="449" t="s">
        <v>2320</v>
      </c>
      <c r="AP349" s="449" t="s">
        <v>2130</v>
      </c>
      <c r="AQ349" s="449" t="s">
        <v>2321</v>
      </c>
      <c r="AR349" s="449" t="s">
        <v>2130</v>
      </c>
      <c r="AS349" s="449" t="s">
        <v>2322</v>
      </c>
      <c r="AT349" s="449" t="s">
        <v>2130</v>
      </c>
      <c r="AU349" s="449" t="s">
        <v>2323</v>
      </c>
      <c r="AV349" s="449" t="s">
        <v>2130</v>
      </c>
      <c r="AW349" s="449" t="s">
        <v>2324</v>
      </c>
      <c r="AX349" s="449" t="s">
        <v>2130</v>
      </c>
      <c r="AY349" s="449" t="s">
        <v>2325</v>
      </c>
      <c r="AZ349" s="449" t="s">
        <v>2130</v>
      </c>
      <c r="BA349" s="449" t="s">
        <v>2326</v>
      </c>
      <c r="BB349" s="449" t="s">
        <v>2130</v>
      </c>
      <c r="BC349" s="449" t="s">
        <v>2327</v>
      </c>
      <c r="BD349" s="449" t="s">
        <v>2130</v>
      </c>
      <c r="BE349" s="449" t="s">
        <v>2328</v>
      </c>
    </row>
    <row r="350">
      <c r="M350" s="226"/>
      <c r="N350" s="226"/>
      <c r="O350" s="226"/>
      <c r="P350" s="226"/>
      <c r="AN350" s="454" t="s">
        <v>803</v>
      </c>
      <c r="AO350" s="456">
        <v>1.0</v>
      </c>
      <c r="AP350" s="454" t="s">
        <v>803</v>
      </c>
      <c r="AQ350" s="456">
        <v>1.0</v>
      </c>
      <c r="AR350" s="454" t="s">
        <v>803</v>
      </c>
      <c r="AS350" s="456">
        <v>0.0</v>
      </c>
      <c r="AT350" s="454" t="s">
        <v>803</v>
      </c>
      <c r="AU350" s="536" t="s">
        <v>2236</v>
      </c>
      <c r="AV350" s="454" t="s">
        <v>803</v>
      </c>
      <c r="AW350" s="456">
        <v>0.0</v>
      </c>
      <c r="AX350" s="454" t="s">
        <v>803</v>
      </c>
      <c r="AY350" s="456">
        <v>3.0</v>
      </c>
      <c r="AZ350" s="454" t="s">
        <v>803</v>
      </c>
      <c r="BA350" s="456">
        <v>0.0</v>
      </c>
      <c r="BB350" s="454" t="s">
        <v>803</v>
      </c>
      <c r="BC350" s="456">
        <v>0.0</v>
      </c>
      <c r="BD350" s="454" t="s">
        <v>803</v>
      </c>
      <c r="BE350" s="456">
        <v>0.0</v>
      </c>
    </row>
    <row r="351">
      <c r="M351" s="226"/>
      <c r="N351" s="226"/>
      <c r="O351" s="226"/>
      <c r="P351" s="226"/>
      <c r="AN351" s="454" t="s">
        <v>801</v>
      </c>
      <c r="AO351" s="456">
        <v>2.0</v>
      </c>
      <c r="AP351" s="454" t="s">
        <v>801</v>
      </c>
      <c r="AQ351" s="456">
        <v>0.0</v>
      </c>
      <c r="AR351" s="454" t="s">
        <v>801</v>
      </c>
      <c r="AS351" s="456">
        <v>0.0</v>
      </c>
      <c r="AT351" s="454" t="s">
        <v>801</v>
      </c>
      <c r="AU351" s="536" t="s">
        <v>2238</v>
      </c>
      <c r="AV351" s="454" t="s">
        <v>801</v>
      </c>
      <c r="AW351" s="456">
        <v>0.0</v>
      </c>
      <c r="AX351" s="454" t="s">
        <v>801</v>
      </c>
      <c r="AY351" s="456">
        <v>0.0</v>
      </c>
      <c r="AZ351" s="454" t="s">
        <v>801</v>
      </c>
      <c r="BA351" s="456">
        <v>3.0</v>
      </c>
      <c r="BB351" s="454" t="s">
        <v>801</v>
      </c>
      <c r="BC351" s="456">
        <v>0.0</v>
      </c>
      <c r="BD351" s="454" t="s">
        <v>801</v>
      </c>
      <c r="BE351" s="456">
        <v>0.0</v>
      </c>
    </row>
    <row r="352">
      <c r="M352" s="226"/>
      <c r="N352" s="226"/>
      <c r="O352" s="226"/>
      <c r="P352" s="226"/>
      <c r="AN352" s="454" t="s">
        <v>804</v>
      </c>
      <c r="AO352" s="456">
        <v>1.0</v>
      </c>
      <c r="AP352" s="454" t="s">
        <v>804</v>
      </c>
      <c r="AQ352" s="456">
        <v>0.0</v>
      </c>
      <c r="AR352" s="454" t="s">
        <v>804</v>
      </c>
      <c r="AS352" s="456">
        <v>1.0</v>
      </c>
      <c r="AT352" s="454" t="s">
        <v>804</v>
      </c>
      <c r="AU352" s="536" t="s">
        <v>2237</v>
      </c>
      <c r="AV352" s="454" t="s">
        <v>804</v>
      </c>
      <c r="AW352" s="456">
        <v>0.0</v>
      </c>
      <c r="AX352" s="454" t="s">
        <v>804</v>
      </c>
      <c r="AY352" s="456">
        <v>0.0</v>
      </c>
      <c r="AZ352" s="454" t="s">
        <v>804</v>
      </c>
      <c r="BA352" s="456">
        <v>0.0</v>
      </c>
      <c r="BB352" s="454" t="s">
        <v>804</v>
      </c>
      <c r="BC352" s="456">
        <v>0.0</v>
      </c>
      <c r="BD352" s="454" t="s">
        <v>804</v>
      </c>
      <c r="BE352" s="456">
        <v>0.0</v>
      </c>
    </row>
    <row r="353">
      <c r="M353" s="226"/>
      <c r="N353" s="226"/>
      <c r="O353" s="226"/>
      <c r="P353" s="226"/>
      <c r="AN353" s="454" t="s">
        <v>805</v>
      </c>
      <c r="AO353" s="456">
        <v>1.0</v>
      </c>
      <c r="AP353" s="454" t="s">
        <v>805</v>
      </c>
      <c r="AQ353" s="456">
        <v>1.0</v>
      </c>
      <c r="AR353" s="454" t="s">
        <v>805</v>
      </c>
      <c r="AS353" s="456">
        <v>0.0</v>
      </c>
      <c r="AT353" s="454" t="s">
        <v>805</v>
      </c>
      <c r="AU353" s="536" t="s">
        <v>2237</v>
      </c>
      <c r="AV353" s="454" t="s">
        <v>805</v>
      </c>
      <c r="AW353" s="456">
        <v>3.0</v>
      </c>
      <c r="AX353" s="454" t="s">
        <v>805</v>
      </c>
      <c r="AY353" s="456">
        <v>0.0</v>
      </c>
      <c r="AZ353" s="454" t="s">
        <v>805</v>
      </c>
      <c r="BA353" s="456">
        <v>0.0</v>
      </c>
      <c r="BB353" s="454" t="s">
        <v>805</v>
      </c>
      <c r="BC353" s="456">
        <v>0.0</v>
      </c>
      <c r="BD353" s="454" t="s">
        <v>805</v>
      </c>
      <c r="BE353" s="456">
        <v>0.0</v>
      </c>
    </row>
    <row r="354">
      <c r="M354" s="226"/>
      <c r="N354" s="226"/>
      <c r="O354" s="226"/>
      <c r="P354" s="226"/>
      <c r="AN354" s="454" t="s">
        <v>811</v>
      </c>
      <c r="AO354" s="456">
        <v>2.0</v>
      </c>
      <c r="AP354" s="454" t="s">
        <v>811</v>
      </c>
      <c r="AQ354" s="456">
        <v>0.0</v>
      </c>
      <c r="AR354" s="454" t="s">
        <v>811</v>
      </c>
      <c r="AS354" s="456">
        <v>0.0</v>
      </c>
      <c r="AT354" s="454" t="s">
        <v>811</v>
      </c>
      <c r="AU354" s="536" t="s">
        <v>812</v>
      </c>
      <c r="AV354" s="454" t="s">
        <v>811</v>
      </c>
      <c r="AW354" s="456">
        <v>0.0</v>
      </c>
      <c r="AX354" s="454" t="s">
        <v>811</v>
      </c>
      <c r="AY354" s="456">
        <v>0.0</v>
      </c>
      <c r="AZ354" s="454" t="s">
        <v>811</v>
      </c>
      <c r="BA354" s="456">
        <v>0.0</v>
      </c>
      <c r="BB354" s="454" t="s">
        <v>811</v>
      </c>
      <c r="BC354" s="456">
        <v>0.0</v>
      </c>
      <c r="BD354" s="454" t="s">
        <v>811</v>
      </c>
      <c r="BE354" s="456">
        <v>0.0</v>
      </c>
    </row>
    <row r="355">
      <c r="M355" s="226"/>
      <c r="N355" s="226"/>
      <c r="O355" s="226"/>
      <c r="P355" s="226"/>
      <c r="AN355" s="454" t="s">
        <v>813</v>
      </c>
      <c r="AO355" s="456">
        <v>1.0</v>
      </c>
      <c r="AP355" s="454" t="s">
        <v>813</v>
      </c>
      <c r="AQ355" s="456">
        <v>0.0</v>
      </c>
      <c r="AR355" s="454" t="s">
        <v>813</v>
      </c>
      <c r="AS355" s="456">
        <v>0.0</v>
      </c>
      <c r="AT355" s="454" t="s">
        <v>813</v>
      </c>
      <c r="AU355" s="536" t="s">
        <v>2268</v>
      </c>
      <c r="AV355" s="454" t="s">
        <v>813</v>
      </c>
      <c r="AW355" s="456">
        <v>0.0</v>
      </c>
      <c r="AX355" s="454" t="s">
        <v>813</v>
      </c>
      <c r="AY355" s="456">
        <v>0.0</v>
      </c>
      <c r="AZ355" s="454" t="s">
        <v>813</v>
      </c>
      <c r="BA355" s="456">
        <v>2.0</v>
      </c>
      <c r="BB355" s="454" t="s">
        <v>813</v>
      </c>
      <c r="BC355" s="456">
        <v>0.0</v>
      </c>
      <c r="BD355" s="454" t="s">
        <v>813</v>
      </c>
      <c r="BE355" s="456">
        <v>0.0</v>
      </c>
    </row>
    <row r="356">
      <c r="M356" s="226"/>
      <c r="N356" s="226"/>
      <c r="O356" s="226"/>
      <c r="P356" s="226"/>
      <c r="AN356" s="454" t="s">
        <v>820</v>
      </c>
      <c r="AO356" s="456">
        <v>0.0</v>
      </c>
      <c r="AP356" s="454" t="s">
        <v>820</v>
      </c>
      <c r="AQ356" s="457">
        <v>0.0</v>
      </c>
      <c r="AR356" s="454" t="s">
        <v>820</v>
      </c>
      <c r="AS356" s="457">
        <v>0.0</v>
      </c>
      <c r="AT356" s="454" t="s">
        <v>820</v>
      </c>
      <c r="AU356" s="537"/>
      <c r="AV356" s="454" t="s">
        <v>820</v>
      </c>
      <c r="AW356" s="457">
        <v>0.0</v>
      </c>
      <c r="AX356" s="454" t="s">
        <v>820</v>
      </c>
      <c r="AY356" s="456">
        <v>0.0</v>
      </c>
      <c r="AZ356" s="454" t="s">
        <v>820</v>
      </c>
      <c r="BA356" s="456">
        <v>0.0</v>
      </c>
      <c r="BB356" s="454" t="s">
        <v>820</v>
      </c>
      <c r="BC356" s="456">
        <v>0.0</v>
      </c>
      <c r="BD356" s="454" t="s">
        <v>820</v>
      </c>
      <c r="BE356" s="456">
        <v>0.0</v>
      </c>
    </row>
    <row r="357">
      <c r="M357" s="226"/>
      <c r="N357" s="226"/>
      <c r="O357" s="226"/>
      <c r="P357" s="226"/>
      <c r="AN357" s="454" t="s">
        <v>822</v>
      </c>
      <c r="AO357" s="456">
        <v>0.0</v>
      </c>
      <c r="AP357" s="454" t="s">
        <v>822</v>
      </c>
      <c r="AQ357" s="457">
        <v>1.0</v>
      </c>
      <c r="AR357" s="454" t="s">
        <v>822</v>
      </c>
      <c r="AS357" s="457">
        <v>1.0</v>
      </c>
      <c r="AT357" s="454" t="s">
        <v>822</v>
      </c>
      <c r="AU357" s="537" t="s">
        <v>2237</v>
      </c>
      <c r="AV357" s="454" t="s">
        <v>822</v>
      </c>
      <c r="AW357" s="457">
        <v>0.0</v>
      </c>
      <c r="AX357" s="454" t="s">
        <v>822</v>
      </c>
      <c r="AY357" s="456">
        <v>0.0</v>
      </c>
      <c r="AZ357" s="454" t="s">
        <v>822</v>
      </c>
      <c r="BA357" s="456">
        <v>0.0</v>
      </c>
      <c r="BB357" s="454" t="s">
        <v>822</v>
      </c>
      <c r="BC357" s="456">
        <v>0.0</v>
      </c>
      <c r="BD357" s="454" t="s">
        <v>822</v>
      </c>
      <c r="BE357" s="456">
        <v>0.0</v>
      </c>
    </row>
    <row r="358">
      <c r="M358" s="226"/>
      <c r="N358" s="226"/>
      <c r="O358" s="226"/>
      <c r="P358" s="226"/>
      <c r="AN358" s="454" t="s">
        <v>1094</v>
      </c>
      <c r="AO358" s="456">
        <v>0.0</v>
      </c>
      <c r="AP358" s="454" t="s">
        <v>1094</v>
      </c>
      <c r="AQ358" s="457">
        <v>0.0</v>
      </c>
      <c r="AR358" s="454" t="s">
        <v>1094</v>
      </c>
      <c r="AS358" s="457">
        <v>0.0</v>
      </c>
      <c r="AT358" s="454" t="s">
        <v>1094</v>
      </c>
      <c r="AU358" s="537"/>
      <c r="AV358" s="454" t="s">
        <v>1094</v>
      </c>
      <c r="AW358" s="457">
        <v>0.0</v>
      </c>
      <c r="AX358" s="454" t="s">
        <v>1094</v>
      </c>
      <c r="AY358" s="456">
        <v>0.0</v>
      </c>
      <c r="AZ358" s="454" t="s">
        <v>1094</v>
      </c>
      <c r="BA358" s="456">
        <v>0.0</v>
      </c>
      <c r="BB358" s="454" t="s">
        <v>1094</v>
      </c>
      <c r="BC358" s="456">
        <v>0.0</v>
      </c>
      <c r="BD358" s="454" t="s">
        <v>1094</v>
      </c>
      <c r="BE358" s="456">
        <v>0.0</v>
      </c>
    </row>
    <row r="359">
      <c r="M359" s="226"/>
      <c r="N359" s="226"/>
      <c r="O359" s="226"/>
      <c r="P359" s="226"/>
      <c r="AN359" s="454" t="s">
        <v>1098</v>
      </c>
      <c r="AO359" s="456">
        <v>0.0</v>
      </c>
      <c r="AP359" s="454" t="s">
        <v>1098</v>
      </c>
      <c r="AQ359" s="457">
        <v>0.0</v>
      </c>
      <c r="AR359" s="454" t="s">
        <v>1098</v>
      </c>
      <c r="AS359" s="457">
        <v>0.0</v>
      </c>
      <c r="AT359" s="454" t="s">
        <v>1098</v>
      </c>
      <c r="AU359" s="537"/>
      <c r="AV359" s="454" t="s">
        <v>1098</v>
      </c>
      <c r="AW359" s="457">
        <v>0.0</v>
      </c>
      <c r="AX359" s="454" t="s">
        <v>1098</v>
      </c>
      <c r="AY359" s="456">
        <v>0.0</v>
      </c>
      <c r="AZ359" s="454" t="s">
        <v>1098</v>
      </c>
      <c r="BA359" s="456">
        <v>0.0</v>
      </c>
      <c r="BB359" s="454" t="s">
        <v>1098</v>
      </c>
      <c r="BC359" s="456">
        <v>0.0</v>
      </c>
      <c r="BD359" s="454" t="s">
        <v>1098</v>
      </c>
      <c r="BE359" s="456">
        <v>0.0</v>
      </c>
    </row>
    <row r="360">
      <c r="M360" s="226"/>
      <c r="N360" s="226"/>
      <c r="O360" s="226"/>
      <c r="P360" s="226"/>
      <c r="AN360" s="454" t="s">
        <v>824</v>
      </c>
      <c r="AO360" s="456">
        <v>0.0</v>
      </c>
      <c r="AP360" s="454" t="s">
        <v>824</v>
      </c>
      <c r="AQ360" s="457">
        <v>0.0</v>
      </c>
      <c r="AR360" s="454" t="s">
        <v>824</v>
      </c>
      <c r="AS360" s="457">
        <v>3.0</v>
      </c>
      <c r="AT360" s="454" t="s">
        <v>824</v>
      </c>
      <c r="AU360" s="537" t="s">
        <v>2238</v>
      </c>
      <c r="AV360" s="454" t="s">
        <v>824</v>
      </c>
      <c r="AW360" s="457">
        <v>0.0</v>
      </c>
      <c r="AX360" s="454" t="s">
        <v>824</v>
      </c>
      <c r="AY360" s="456">
        <v>0.0</v>
      </c>
      <c r="AZ360" s="454" t="s">
        <v>824</v>
      </c>
      <c r="BA360" s="456">
        <v>0.0</v>
      </c>
      <c r="BB360" s="454" t="s">
        <v>824</v>
      </c>
      <c r="BC360" s="456">
        <v>0.0</v>
      </c>
      <c r="BD360" s="454" t="s">
        <v>824</v>
      </c>
      <c r="BE360" s="456">
        <v>0.0</v>
      </c>
    </row>
    <row r="361">
      <c r="M361" s="226"/>
      <c r="N361" s="226"/>
      <c r="O361" s="226"/>
      <c r="P361" s="226"/>
    </row>
    <row r="362">
      <c r="M362" s="226"/>
      <c r="N362" s="226"/>
      <c r="O362" s="226"/>
      <c r="P362" s="226"/>
      <c r="AN362" s="449" t="s">
        <v>2144</v>
      </c>
      <c r="AO362" s="449" t="s">
        <v>2258</v>
      </c>
      <c r="AP362" s="449" t="s">
        <v>2144</v>
      </c>
      <c r="AQ362" s="449" t="s">
        <v>2259</v>
      </c>
      <c r="AR362" s="449" t="s">
        <v>2144</v>
      </c>
      <c r="AS362" s="449" t="s">
        <v>2260</v>
      </c>
      <c r="AT362" s="449" t="s">
        <v>2144</v>
      </c>
      <c r="AU362" s="449" t="s">
        <v>2329</v>
      </c>
      <c r="AV362" s="449" t="s">
        <v>2144</v>
      </c>
      <c r="AW362" s="449" t="s">
        <v>2330</v>
      </c>
      <c r="AX362" s="449" t="s">
        <v>2144</v>
      </c>
      <c r="AY362" s="449" t="s">
        <v>2331</v>
      </c>
      <c r="AZ362" s="449" t="s">
        <v>2144</v>
      </c>
      <c r="BA362" s="449" t="s">
        <v>2332</v>
      </c>
      <c r="BB362" s="449" t="s">
        <v>2144</v>
      </c>
      <c r="BC362" s="449" t="s">
        <v>2333</v>
      </c>
      <c r="BD362" s="449" t="s">
        <v>2144</v>
      </c>
      <c r="BE362" s="449" t="s">
        <v>2334</v>
      </c>
    </row>
    <row r="363">
      <c r="M363" s="226"/>
      <c r="N363" s="226"/>
      <c r="O363" s="226"/>
      <c r="P363" s="226"/>
      <c r="AN363" s="454" t="s">
        <v>829</v>
      </c>
      <c r="AO363" s="456">
        <v>0.0</v>
      </c>
      <c r="AP363" s="454" t="s">
        <v>829</v>
      </c>
      <c r="AQ363" s="456">
        <v>1.0</v>
      </c>
      <c r="AR363" s="454" t="s">
        <v>829</v>
      </c>
      <c r="AS363" s="456">
        <v>0.0</v>
      </c>
      <c r="AT363" s="454" t="s">
        <v>829</v>
      </c>
      <c r="AU363" s="456" t="s">
        <v>2335</v>
      </c>
      <c r="AV363" s="454" t="s">
        <v>829</v>
      </c>
      <c r="AW363" s="456">
        <v>2.0</v>
      </c>
      <c r="AX363" s="454" t="s">
        <v>829</v>
      </c>
      <c r="AY363" s="456">
        <v>0.0</v>
      </c>
      <c r="AZ363" s="454" t="s">
        <v>829</v>
      </c>
      <c r="BA363" s="456">
        <v>0.0</v>
      </c>
      <c r="BB363" s="454" t="s">
        <v>829</v>
      </c>
      <c r="BC363" s="456">
        <v>0.0</v>
      </c>
      <c r="BD363" s="454" t="s">
        <v>829</v>
      </c>
      <c r="BE363" s="456">
        <v>0.0</v>
      </c>
    </row>
    <row r="364">
      <c r="M364" s="226"/>
      <c r="N364" s="226"/>
      <c r="O364" s="226"/>
      <c r="P364" s="226"/>
      <c r="AN364" s="454" t="s">
        <v>830</v>
      </c>
      <c r="AO364" s="456">
        <v>1.0</v>
      </c>
      <c r="AP364" s="454" t="s">
        <v>830</v>
      </c>
      <c r="AQ364" s="456">
        <v>0.0</v>
      </c>
      <c r="AR364" s="454" t="s">
        <v>830</v>
      </c>
      <c r="AS364" s="456">
        <v>1.0</v>
      </c>
      <c r="AT364" s="454" t="s">
        <v>830</v>
      </c>
      <c r="AU364" s="456" t="s">
        <v>2236</v>
      </c>
      <c r="AV364" s="454" t="s">
        <v>830</v>
      </c>
      <c r="AW364" s="456">
        <v>0.0</v>
      </c>
      <c r="AX364" s="454" t="s">
        <v>830</v>
      </c>
      <c r="AY364" s="456">
        <v>0.0</v>
      </c>
      <c r="AZ364" s="454" t="s">
        <v>830</v>
      </c>
      <c r="BA364" s="456">
        <v>0.0</v>
      </c>
      <c r="BB364" s="454" t="s">
        <v>830</v>
      </c>
      <c r="BC364" s="456">
        <v>0.0</v>
      </c>
      <c r="BD364" s="454" t="s">
        <v>830</v>
      </c>
      <c r="BE364" s="456">
        <v>0.0</v>
      </c>
    </row>
    <row r="365">
      <c r="M365" s="226"/>
      <c r="N365" s="226"/>
      <c r="O365" s="226"/>
      <c r="P365" s="226"/>
      <c r="AN365" s="454" t="s">
        <v>831</v>
      </c>
      <c r="AO365" s="456">
        <v>1.0</v>
      </c>
      <c r="AP365" s="454" t="s">
        <v>831</v>
      </c>
      <c r="AQ365" s="456">
        <v>0.0</v>
      </c>
      <c r="AR365" s="454" t="s">
        <v>831</v>
      </c>
      <c r="AS365" s="456">
        <v>1.0</v>
      </c>
      <c r="AT365" s="454" t="s">
        <v>831</v>
      </c>
      <c r="AU365" s="456" t="s">
        <v>2336</v>
      </c>
      <c r="AV365" s="454" t="s">
        <v>831</v>
      </c>
      <c r="AW365" s="456">
        <v>0.0</v>
      </c>
      <c r="AX365" s="454" t="s">
        <v>831</v>
      </c>
      <c r="AY365" s="456">
        <v>0.0</v>
      </c>
      <c r="AZ365" s="454" t="s">
        <v>831</v>
      </c>
      <c r="BA365" s="456">
        <v>0.0</v>
      </c>
      <c r="BB365" s="454" t="s">
        <v>831</v>
      </c>
      <c r="BC365" s="456">
        <v>0.0</v>
      </c>
      <c r="BD365" s="454" t="s">
        <v>831</v>
      </c>
      <c r="BE365" s="456">
        <v>0.0</v>
      </c>
    </row>
    <row r="366">
      <c r="M366" s="226"/>
      <c r="N366" s="226"/>
      <c r="O366" s="226"/>
      <c r="P366" s="226"/>
      <c r="AN366" s="454" t="s">
        <v>833</v>
      </c>
      <c r="AO366" s="456">
        <v>0.0</v>
      </c>
      <c r="AP366" s="454" t="s">
        <v>833</v>
      </c>
      <c r="AQ366" s="456">
        <v>0.0</v>
      </c>
      <c r="AR366" s="454" t="s">
        <v>833</v>
      </c>
      <c r="AS366" s="456">
        <v>0.0</v>
      </c>
      <c r="AT366" s="454" t="s">
        <v>833</v>
      </c>
      <c r="AU366" s="456"/>
      <c r="AV366" s="454" t="s">
        <v>833</v>
      </c>
      <c r="AW366" s="456">
        <v>0.0</v>
      </c>
      <c r="AX366" s="454" t="s">
        <v>833</v>
      </c>
      <c r="AY366" s="456">
        <v>0.0</v>
      </c>
      <c r="AZ366" s="454" t="s">
        <v>833</v>
      </c>
      <c r="BA366" s="456">
        <v>0.0</v>
      </c>
      <c r="BB366" s="454" t="s">
        <v>833</v>
      </c>
      <c r="BC366" s="456">
        <v>0.0</v>
      </c>
      <c r="BD366" s="454" t="s">
        <v>833</v>
      </c>
      <c r="BE366" s="456">
        <v>0.0</v>
      </c>
    </row>
    <row r="367">
      <c r="M367" s="226"/>
      <c r="N367" s="226"/>
      <c r="O367" s="226"/>
      <c r="P367" s="226"/>
      <c r="AN367" s="454" t="s">
        <v>834</v>
      </c>
      <c r="AO367" s="456">
        <v>1.0</v>
      </c>
      <c r="AP367" s="454" t="s">
        <v>834</v>
      </c>
      <c r="AQ367" s="456">
        <v>1.0</v>
      </c>
      <c r="AR367" s="454" t="s">
        <v>834</v>
      </c>
      <c r="AS367" s="456">
        <v>0.0</v>
      </c>
      <c r="AT367" s="454" t="s">
        <v>834</v>
      </c>
      <c r="AU367" s="456" t="s">
        <v>812</v>
      </c>
      <c r="AV367" s="454" t="s">
        <v>834</v>
      </c>
      <c r="AW367" s="456">
        <v>0.0</v>
      </c>
      <c r="AX367" s="454" t="s">
        <v>834</v>
      </c>
      <c r="AY367" s="456">
        <v>0.0</v>
      </c>
      <c r="AZ367" s="454" t="s">
        <v>834</v>
      </c>
      <c r="BA367" s="456">
        <v>0.0</v>
      </c>
      <c r="BB367" s="454" t="s">
        <v>834</v>
      </c>
      <c r="BC367" s="456">
        <v>0.0</v>
      </c>
      <c r="BD367" s="454" t="s">
        <v>834</v>
      </c>
      <c r="BE367" s="456">
        <v>0.0</v>
      </c>
    </row>
    <row r="368">
      <c r="M368" s="226"/>
      <c r="N368" s="226"/>
      <c r="O368" s="226"/>
      <c r="P368" s="226"/>
      <c r="AN368" s="454" t="s">
        <v>836</v>
      </c>
      <c r="AO368" s="456">
        <v>0.0</v>
      </c>
      <c r="AP368" s="454" t="s">
        <v>836</v>
      </c>
      <c r="AQ368" s="456">
        <v>1.0</v>
      </c>
      <c r="AR368" s="454" t="s">
        <v>836</v>
      </c>
      <c r="AS368" s="456">
        <v>1.0</v>
      </c>
      <c r="AT368" s="454" t="s">
        <v>836</v>
      </c>
      <c r="AU368" s="456" t="s">
        <v>2238</v>
      </c>
      <c r="AV368" s="454" t="s">
        <v>836</v>
      </c>
      <c r="AW368" s="456">
        <v>0.0</v>
      </c>
      <c r="AX368" s="454" t="s">
        <v>836</v>
      </c>
      <c r="AY368" s="456">
        <v>0.0</v>
      </c>
      <c r="AZ368" s="454" t="s">
        <v>836</v>
      </c>
      <c r="BA368" s="456">
        <v>0.0</v>
      </c>
      <c r="BB368" s="454" t="s">
        <v>836</v>
      </c>
      <c r="BC368" s="456">
        <v>0.0</v>
      </c>
      <c r="BD368" s="454" t="s">
        <v>836</v>
      </c>
      <c r="BE368" s="456">
        <v>0.0</v>
      </c>
    </row>
    <row r="369">
      <c r="M369" s="226"/>
      <c r="N369" s="226"/>
      <c r="O369" s="226"/>
      <c r="P369" s="226"/>
      <c r="AN369" s="454" t="s">
        <v>838</v>
      </c>
      <c r="AO369" s="456">
        <v>0.0</v>
      </c>
      <c r="AP369" s="454" t="s">
        <v>838</v>
      </c>
      <c r="AQ369" s="456">
        <v>0.0</v>
      </c>
      <c r="AR369" s="454" t="s">
        <v>838</v>
      </c>
      <c r="AS369" s="456">
        <v>1.0</v>
      </c>
      <c r="AT369" s="454" t="s">
        <v>838</v>
      </c>
      <c r="AU369" s="456" t="s">
        <v>2222</v>
      </c>
      <c r="AV369" s="454" t="s">
        <v>838</v>
      </c>
      <c r="AW369" s="456">
        <v>0.0</v>
      </c>
      <c r="AX369" s="454" t="s">
        <v>838</v>
      </c>
      <c r="AY369" s="456">
        <v>0.0</v>
      </c>
      <c r="AZ369" s="454" t="s">
        <v>838</v>
      </c>
      <c r="BA369" s="456">
        <v>0.0</v>
      </c>
      <c r="BB369" s="454" t="s">
        <v>838</v>
      </c>
      <c r="BC369" s="456">
        <v>0.0</v>
      </c>
      <c r="BD369" s="454" t="s">
        <v>838</v>
      </c>
      <c r="BE369" s="456">
        <v>0.0</v>
      </c>
    </row>
    <row r="370">
      <c r="M370" s="226"/>
      <c r="N370" s="226"/>
      <c r="O370" s="226"/>
      <c r="P370" s="226"/>
      <c r="AN370" s="454" t="s">
        <v>847</v>
      </c>
      <c r="AO370" s="456">
        <v>1.0</v>
      </c>
      <c r="AP370" s="454" t="s">
        <v>847</v>
      </c>
      <c r="AQ370" s="457">
        <v>0.0</v>
      </c>
      <c r="AR370" s="454" t="s">
        <v>847</v>
      </c>
      <c r="AS370" s="457">
        <v>1.0</v>
      </c>
      <c r="AT370" s="454" t="s">
        <v>847</v>
      </c>
      <c r="AU370" s="457" t="s">
        <v>2238</v>
      </c>
      <c r="AV370" s="454" t="s">
        <v>847</v>
      </c>
      <c r="AW370" s="457">
        <v>0.0</v>
      </c>
      <c r="AX370" s="454" t="s">
        <v>847</v>
      </c>
      <c r="AY370" s="456">
        <v>0.0</v>
      </c>
      <c r="AZ370" s="454" t="s">
        <v>847</v>
      </c>
      <c r="BA370" s="456">
        <v>0.0</v>
      </c>
      <c r="BB370" s="454" t="s">
        <v>847</v>
      </c>
      <c r="BC370" s="456">
        <v>0.0</v>
      </c>
      <c r="BD370" s="454" t="s">
        <v>847</v>
      </c>
      <c r="BE370" s="456">
        <v>0.0</v>
      </c>
    </row>
    <row r="371">
      <c r="M371" s="226"/>
      <c r="N371" s="226"/>
      <c r="O371" s="226"/>
      <c r="P371" s="226"/>
    </row>
    <row r="372">
      <c r="M372" s="226"/>
      <c r="N372" s="226"/>
      <c r="O372" s="226"/>
      <c r="P372" s="226"/>
      <c r="AN372" s="449" t="s">
        <v>2163</v>
      </c>
      <c r="AO372" s="449" t="s">
        <v>2337</v>
      </c>
      <c r="AP372" s="449" t="s">
        <v>2163</v>
      </c>
      <c r="AQ372" s="449" t="s">
        <v>2338</v>
      </c>
      <c r="AR372" s="449" t="s">
        <v>2163</v>
      </c>
      <c r="AS372" s="449" t="s">
        <v>2339</v>
      </c>
      <c r="AT372" s="449" t="s">
        <v>2163</v>
      </c>
      <c r="AU372" s="449" t="s">
        <v>2340</v>
      </c>
      <c r="AV372" s="449" t="s">
        <v>2163</v>
      </c>
      <c r="AW372" s="449" t="s">
        <v>2341</v>
      </c>
      <c r="AX372" s="449" t="s">
        <v>2163</v>
      </c>
      <c r="AY372" s="449" t="s">
        <v>2342</v>
      </c>
      <c r="AZ372" s="449" t="s">
        <v>2163</v>
      </c>
      <c r="BA372" s="449" t="s">
        <v>2343</v>
      </c>
      <c r="BB372" s="449" t="s">
        <v>2163</v>
      </c>
      <c r="BC372" s="449" t="s">
        <v>2344</v>
      </c>
      <c r="BD372" s="449" t="s">
        <v>2163</v>
      </c>
      <c r="BE372" s="449" t="s">
        <v>2345</v>
      </c>
    </row>
    <row r="373">
      <c r="M373" s="226"/>
      <c r="N373" s="226"/>
      <c r="O373" s="226"/>
      <c r="P373" s="226"/>
      <c r="AN373" s="454" t="s">
        <v>853</v>
      </c>
      <c r="AO373" s="456">
        <v>3.0</v>
      </c>
      <c r="AP373" s="454" t="s">
        <v>853</v>
      </c>
      <c r="AQ373" s="456">
        <v>0.0</v>
      </c>
      <c r="AR373" s="454" t="s">
        <v>853</v>
      </c>
      <c r="AS373" s="456">
        <v>0.0</v>
      </c>
      <c r="AT373" s="454" t="s">
        <v>853</v>
      </c>
      <c r="AU373" s="456" t="s">
        <v>2254</v>
      </c>
      <c r="AV373" s="454" t="s">
        <v>853</v>
      </c>
      <c r="AW373" s="456">
        <v>0.0</v>
      </c>
      <c r="AX373" s="454" t="s">
        <v>853</v>
      </c>
      <c r="AY373" s="456">
        <v>4.0</v>
      </c>
      <c r="AZ373" s="454" t="s">
        <v>853</v>
      </c>
      <c r="BA373" s="456">
        <v>0.0</v>
      </c>
      <c r="BB373" s="454" t="s">
        <v>853</v>
      </c>
      <c r="BC373" s="456">
        <v>0.0</v>
      </c>
      <c r="BD373" s="454" t="s">
        <v>853</v>
      </c>
      <c r="BE373" s="456">
        <v>0.0</v>
      </c>
    </row>
    <row r="374">
      <c r="M374" s="226"/>
      <c r="N374" s="226"/>
      <c r="O374" s="226"/>
      <c r="P374" s="226"/>
      <c r="AN374" s="454" t="s">
        <v>855</v>
      </c>
      <c r="AO374" s="456">
        <v>1.0</v>
      </c>
      <c r="AP374" s="454" t="s">
        <v>855</v>
      </c>
      <c r="AQ374" s="456">
        <v>1.0</v>
      </c>
      <c r="AR374" s="454" t="s">
        <v>855</v>
      </c>
      <c r="AS374" s="456">
        <v>1.0</v>
      </c>
      <c r="AT374" s="454" t="s">
        <v>855</v>
      </c>
      <c r="AU374" s="456" t="s">
        <v>2256</v>
      </c>
      <c r="AV374" s="454" t="s">
        <v>855</v>
      </c>
      <c r="AW374" s="456">
        <v>0.0</v>
      </c>
      <c r="AX374" s="454" t="s">
        <v>855</v>
      </c>
      <c r="AY374" s="456">
        <v>0.0</v>
      </c>
      <c r="AZ374" s="454" t="s">
        <v>855</v>
      </c>
      <c r="BA374" s="456">
        <v>0.0</v>
      </c>
      <c r="BB374" s="454" t="s">
        <v>855</v>
      </c>
      <c r="BC374" s="456">
        <v>0.0</v>
      </c>
      <c r="BD374" s="454" t="s">
        <v>855</v>
      </c>
      <c r="BE374" s="456">
        <v>0.0</v>
      </c>
    </row>
    <row r="375">
      <c r="M375" s="226"/>
      <c r="N375" s="226"/>
      <c r="O375" s="226"/>
      <c r="P375" s="226"/>
      <c r="AN375" s="454" t="s">
        <v>856</v>
      </c>
      <c r="AO375" s="456">
        <v>0.0</v>
      </c>
      <c r="AP375" s="454" t="s">
        <v>856</v>
      </c>
      <c r="AQ375" s="456">
        <v>0.0</v>
      </c>
      <c r="AR375" s="454" t="s">
        <v>856</v>
      </c>
      <c r="AS375" s="456">
        <v>0.0</v>
      </c>
      <c r="AT375" s="454" t="s">
        <v>856</v>
      </c>
      <c r="AU375" s="456"/>
      <c r="AV375" s="454" t="s">
        <v>856</v>
      </c>
      <c r="AW375" s="456">
        <v>0.0</v>
      </c>
      <c r="AX375" s="454" t="s">
        <v>856</v>
      </c>
      <c r="AY375" s="456">
        <v>0.0</v>
      </c>
      <c r="AZ375" s="454" t="s">
        <v>856</v>
      </c>
      <c r="BA375" s="456">
        <v>0.0</v>
      </c>
      <c r="BB375" s="454" t="s">
        <v>856</v>
      </c>
      <c r="BC375" s="456">
        <v>0.0</v>
      </c>
      <c r="BD375" s="454" t="s">
        <v>856</v>
      </c>
      <c r="BE375" s="456">
        <v>0.0</v>
      </c>
    </row>
    <row r="376">
      <c r="M376" s="226"/>
      <c r="N376" s="226"/>
      <c r="O376" s="226"/>
      <c r="P376" s="226"/>
      <c r="AN376" s="454" t="s">
        <v>860</v>
      </c>
      <c r="AO376" s="456">
        <v>0.0</v>
      </c>
      <c r="AP376" s="454" t="s">
        <v>860</v>
      </c>
      <c r="AQ376" s="456">
        <v>0.0</v>
      </c>
      <c r="AR376" s="454" t="s">
        <v>860</v>
      </c>
      <c r="AS376" s="456">
        <v>0.0</v>
      </c>
      <c r="AT376" s="454" t="s">
        <v>860</v>
      </c>
      <c r="AU376" s="456"/>
      <c r="AV376" s="454" t="s">
        <v>860</v>
      </c>
      <c r="AW376" s="456">
        <v>0.0</v>
      </c>
      <c r="AX376" s="454" t="s">
        <v>860</v>
      </c>
      <c r="AY376" s="456">
        <v>0.0</v>
      </c>
      <c r="AZ376" s="454" t="s">
        <v>860</v>
      </c>
      <c r="BA376" s="456">
        <v>0.0</v>
      </c>
      <c r="BB376" s="454" t="s">
        <v>860</v>
      </c>
      <c r="BC376" s="456">
        <v>0.0</v>
      </c>
      <c r="BD376" s="454" t="s">
        <v>860</v>
      </c>
      <c r="BE376" s="456">
        <v>0.0</v>
      </c>
    </row>
    <row r="377">
      <c r="M377" s="226"/>
      <c r="N377" s="226"/>
      <c r="O377" s="226"/>
      <c r="P377" s="226"/>
      <c r="AN377" s="454" t="s">
        <v>862</v>
      </c>
      <c r="AO377" s="456">
        <v>0.0</v>
      </c>
      <c r="AP377" s="454" t="s">
        <v>862</v>
      </c>
      <c r="AQ377" s="456">
        <v>0.0</v>
      </c>
      <c r="AR377" s="454" t="s">
        <v>862</v>
      </c>
      <c r="AS377" s="456">
        <v>1.0</v>
      </c>
      <c r="AT377" s="454" t="s">
        <v>862</v>
      </c>
      <c r="AU377" s="456" t="s">
        <v>2335</v>
      </c>
      <c r="AV377" s="454" t="s">
        <v>862</v>
      </c>
      <c r="AW377" s="456">
        <v>0.0</v>
      </c>
      <c r="AX377" s="454" t="s">
        <v>862</v>
      </c>
      <c r="AY377" s="456">
        <v>0.0</v>
      </c>
      <c r="AZ377" s="454" t="s">
        <v>862</v>
      </c>
      <c r="BA377" s="456">
        <v>0.0</v>
      </c>
      <c r="BB377" s="454" t="s">
        <v>862</v>
      </c>
      <c r="BC377" s="456">
        <v>0.0</v>
      </c>
      <c r="BD377" s="454" t="s">
        <v>862</v>
      </c>
      <c r="BE377" s="456">
        <v>0.0</v>
      </c>
    </row>
    <row r="378">
      <c r="M378" s="226"/>
      <c r="N378" s="226"/>
      <c r="O378" s="226"/>
      <c r="P378" s="226"/>
      <c r="AN378" s="454" t="s">
        <v>863</v>
      </c>
      <c r="AO378" s="456">
        <v>0.0</v>
      </c>
      <c r="AP378" s="454" t="s">
        <v>863</v>
      </c>
      <c r="AQ378" s="456">
        <v>0.0</v>
      </c>
      <c r="AR378" s="454" t="s">
        <v>863</v>
      </c>
      <c r="AS378" s="456">
        <v>0.0</v>
      </c>
      <c r="AT378" s="454" t="s">
        <v>863</v>
      </c>
      <c r="AU378" s="456"/>
      <c r="AV378" s="454" t="s">
        <v>863</v>
      </c>
      <c r="AW378" s="456">
        <v>0.0</v>
      </c>
      <c r="AX378" s="454" t="s">
        <v>863</v>
      </c>
      <c r="AY378" s="456">
        <v>0.0</v>
      </c>
      <c r="AZ378" s="454" t="s">
        <v>863</v>
      </c>
      <c r="BA378" s="456">
        <v>0.0</v>
      </c>
      <c r="BB378" s="454" t="s">
        <v>863</v>
      </c>
      <c r="BC378" s="456">
        <v>0.0</v>
      </c>
      <c r="BD378" s="454" t="s">
        <v>863</v>
      </c>
      <c r="BE378" s="456">
        <v>0.0</v>
      </c>
    </row>
    <row r="379">
      <c r="M379" s="226"/>
      <c r="N379" s="226"/>
      <c r="O379" s="226"/>
      <c r="P379" s="226"/>
      <c r="AN379" s="454" t="s">
        <v>867</v>
      </c>
      <c r="AO379" s="456">
        <v>0.0</v>
      </c>
      <c r="AP379" s="454" t="s">
        <v>867</v>
      </c>
      <c r="AQ379" s="456">
        <v>0.0</v>
      </c>
      <c r="AR379" s="454" t="s">
        <v>867</v>
      </c>
      <c r="AS379" s="456">
        <v>0.0</v>
      </c>
      <c r="AT379" s="454" t="s">
        <v>867</v>
      </c>
      <c r="AU379" s="456"/>
      <c r="AV379" s="454" t="s">
        <v>867</v>
      </c>
      <c r="AW379" s="456">
        <v>0.0</v>
      </c>
      <c r="AX379" s="454" t="s">
        <v>867</v>
      </c>
      <c r="AY379" s="456">
        <v>0.0</v>
      </c>
      <c r="AZ379" s="454" t="s">
        <v>867</v>
      </c>
      <c r="BA379" s="456">
        <v>0.0</v>
      </c>
      <c r="BB379" s="454" t="s">
        <v>867</v>
      </c>
      <c r="BC379" s="456">
        <v>0.0</v>
      </c>
      <c r="BD379" s="454" t="s">
        <v>867</v>
      </c>
      <c r="BE379" s="456">
        <v>0.0</v>
      </c>
    </row>
    <row r="380">
      <c r="M380" s="226"/>
      <c r="N380" s="226"/>
      <c r="O380" s="226"/>
      <c r="P380" s="226"/>
      <c r="AN380" s="454" t="s">
        <v>864</v>
      </c>
      <c r="AO380" s="456">
        <v>0.0</v>
      </c>
      <c r="AP380" s="454" t="s">
        <v>864</v>
      </c>
      <c r="AQ380" s="537">
        <v>1.0</v>
      </c>
      <c r="AR380" s="454" t="s">
        <v>864</v>
      </c>
      <c r="AS380" s="457">
        <v>1.0</v>
      </c>
      <c r="AT380" s="454" t="s">
        <v>864</v>
      </c>
      <c r="AU380" s="457" t="s">
        <v>2237</v>
      </c>
      <c r="AV380" s="454" t="s">
        <v>864</v>
      </c>
      <c r="AW380" s="456">
        <v>0.0</v>
      </c>
      <c r="AX380" s="454" t="s">
        <v>864</v>
      </c>
      <c r="AY380" s="456">
        <v>0.0</v>
      </c>
      <c r="AZ380" s="454" t="s">
        <v>864</v>
      </c>
      <c r="BA380" s="456">
        <v>0.0</v>
      </c>
      <c r="BB380" s="454" t="s">
        <v>864</v>
      </c>
      <c r="BC380" s="456">
        <v>0.0</v>
      </c>
      <c r="BD380" s="454" t="s">
        <v>864</v>
      </c>
      <c r="BE380" s="456">
        <v>0.0</v>
      </c>
    </row>
    <row r="381">
      <c r="M381" s="226"/>
      <c r="N381" s="226"/>
      <c r="O381" s="226"/>
      <c r="P381" s="226"/>
      <c r="AN381" s="454" t="s">
        <v>866</v>
      </c>
      <c r="AO381" s="456">
        <v>1.0</v>
      </c>
      <c r="AP381" s="454" t="s">
        <v>866</v>
      </c>
      <c r="AQ381" s="537">
        <v>1.0</v>
      </c>
      <c r="AR381" s="454" t="s">
        <v>866</v>
      </c>
      <c r="AS381" s="457">
        <v>1.0</v>
      </c>
      <c r="AT381" s="454" t="s">
        <v>866</v>
      </c>
      <c r="AU381" s="457" t="s">
        <v>2255</v>
      </c>
      <c r="AV381" s="454" t="s">
        <v>866</v>
      </c>
      <c r="AW381" s="456">
        <v>0.0</v>
      </c>
      <c r="AX381" s="454" t="s">
        <v>866</v>
      </c>
      <c r="AY381" s="456">
        <v>0.0</v>
      </c>
      <c r="AZ381" s="454" t="s">
        <v>866</v>
      </c>
      <c r="BA381" s="456">
        <v>0.0</v>
      </c>
      <c r="BB381" s="454" t="s">
        <v>866</v>
      </c>
      <c r="BC381" s="456">
        <v>0.0</v>
      </c>
      <c r="BD381" s="454" t="s">
        <v>866</v>
      </c>
      <c r="BE381" s="456">
        <v>0.0</v>
      </c>
    </row>
    <row r="382">
      <c r="M382" s="226"/>
      <c r="N382" s="226"/>
      <c r="O382" s="226"/>
      <c r="P382" s="226"/>
      <c r="AN382" s="454" t="s">
        <v>868</v>
      </c>
      <c r="AO382" s="456">
        <v>0.0</v>
      </c>
      <c r="AP382" s="454" t="s">
        <v>868</v>
      </c>
      <c r="AQ382" s="537">
        <v>0.0</v>
      </c>
      <c r="AR382" s="454" t="s">
        <v>868</v>
      </c>
      <c r="AS382" s="457">
        <v>0.0</v>
      </c>
      <c r="AT382" s="454" t="s">
        <v>868</v>
      </c>
      <c r="AU382" s="457"/>
      <c r="AV382" s="454" t="s">
        <v>868</v>
      </c>
      <c r="AW382" s="456">
        <v>0.0</v>
      </c>
      <c r="AX382" s="454" t="s">
        <v>868</v>
      </c>
      <c r="AY382" s="456">
        <v>0.0</v>
      </c>
      <c r="AZ382" s="454" t="s">
        <v>868</v>
      </c>
      <c r="BA382" s="456">
        <v>0.0</v>
      </c>
      <c r="BB382" s="454" t="s">
        <v>868</v>
      </c>
      <c r="BC382" s="456">
        <v>0.0</v>
      </c>
      <c r="BD382" s="454" t="s">
        <v>868</v>
      </c>
      <c r="BE382" s="456">
        <v>0.0</v>
      </c>
    </row>
    <row r="383">
      <c r="M383" s="226"/>
      <c r="N383" s="226"/>
      <c r="O383" s="226"/>
      <c r="P383" s="226"/>
      <c r="AN383" s="454" t="s">
        <v>870</v>
      </c>
      <c r="AO383" s="456">
        <v>1.0</v>
      </c>
      <c r="AP383" s="454" t="s">
        <v>870</v>
      </c>
      <c r="AQ383" s="537">
        <v>1.0</v>
      </c>
      <c r="AR383" s="454" t="s">
        <v>870</v>
      </c>
      <c r="AS383" s="457">
        <v>1.0</v>
      </c>
      <c r="AT383" s="454" t="s">
        <v>870</v>
      </c>
      <c r="AU383" s="457" t="s">
        <v>2256</v>
      </c>
      <c r="AV383" s="454" t="s">
        <v>870</v>
      </c>
      <c r="AW383" s="456">
        <v>0.0</v>
      </c>
      <c r="AX383" s="454" t="s">
        <v>870</v>
      </c>
      <c r="AY383" s="456">
        <v>0.0</v>
      </c>
      <c r="AZ383" s="454" t="s">
        <v>870</v>
      </c>
      <c r="BA383" s="456">
        <v>0.0</v>
      </c>
      <c r="BB383" s="454" t="s">
        <v>870</v>
      </c>
      <c r="BC383" s="456">
        <v>0.0</v>
      </c>
      <c r="BD383" s="454" t="s">
        <v>870</v>
      </c>
      <c r="BE383" s="456">
        <v>0.0</v>
      </c>
    </row>
    <row r="384">
      <c r="M384" s="226"/>
      <c r="N384" s="226"/>
      <c r="O384" s="226"/>
      <c r="P384" s="226"/>
      <c r="AN384" s="454" t="s">
        <v>872</v>
      </c>
      <c r="AO384" s="456">
        <v>1.0</v>
      </c>
      <c r="AP384" s="454" t="s">
        <v>872</v>
      </c>
      <c r="AQ384" s="537">
        <v>0.0</v>
      </c>
      <c r="AR384" s="454" t="s">
        <v>872</v>
      </c>
      <c r="AS384" s="457">
        <v>0.0</v>
      </c>
      <c r="AT384" s="454" t="s">
        <v>872</v>
      </c>
      <c r="AU384" s="457" t="s">
        <v>2268</v>
      </c>
      <c r="AV384" s="454" t="s">
        <v>872</v>
      </c>
      <c r="AW384" s="456">
        <v>0.0</v>
      </c>
      <c r="AX384" s="454" t="s">
        <v>872</v>
      </c>
      <c r="AY384" s="456">
        <v>0.0</v>
      </c>
      <c r="AZ384" s="454" t="s">
        <v>872</v>
      </c>
      <c r="BA384" s="456">
        <v>2.0</v>
      </c>
      <c r="BB384" s="454" t="s">
        <v>872</v>
      </c>
      <c r="BC384" s="456">
        <v>0.0</v>
      </c>
      <c r="BD384" s="454" t="s">
        <v>872</v>
      </c>
      <c r="BE384" s="456">
        <v>0.0</v>
      </c>
    </row>
    <row r="385">
      <c r="M385" s="226"/>
      <c r="N385" s="226"/>
      <c r="O385" s="226"/>
      <c r="P385" s="226"/>
      <c r="AN385" s="454" t="s">
        <v>874</v>
      </c>
      <c r="AO385" s="456">
        <v>0.0</v>
      </c>
      <c r="AP385" s="454" t="s">
        <v>874</v>
      </c>
      <c r="AQ385" s="537">
        <v>0.0</v>
      </c>
      <c r="AR385" s="454" t="s">
        <v>874</v>
      </c>
      <c r="AS385" s="457">
        <v>0.0</v>
      </c>
      <c r="AT385" s="454" t="s">
        <v>874</v>
      </c>
      <c r="AU385" s="457"/>
      <c r="AV385" s="454" t="s">
        <v>874</v>
      </c>
      <c r="AW385" s="456">
        <v>0.0</v>
      </c>
      <c r="AX385" s="454" t="s">
        <v>874</v>
      </c>
      <c r="AY385" s="456">
        <v>0.0</v>
      </c>
      <c r="AZ385" s="454" t="s">
        <v>874</v>
      </c>
      <c r="BA385" s="456">
        <v>0.0</v>
      </c>
      <c r="BB385" s="454" t="s">
        <v>874</v>
      </c>
      <c r="BC385" s="456">
        <v>0.0</v>
      </c>
      <c r="BD385" s="454" t="s">
        <v>874</v>
      </c>
      <c r="BE385" s="456">
        <v>0.0</v>
      </c>
    </row>
    <row r="386">
      <c r="M386" s="226"/>
      <c r="N386" s="226"/>
      <c r="O386" s="226"/>
      <c r="P386" s="226"/>
    </row>
    <row r="387">
      <c r="M387" s="226"/>
      <c r="N387" s="226"/>
      <c r="O387" s="226"/>
      <c r="P387" s="226"/>
    </row>
    <row r="388">
      <c r="M388" s="226"/>
      <c r="N388" s="226"/>
      <c r="O388" s="226"/>
      <c r="P388" s="226"/>
      <c r="AN388" s="623" t="s">
        <v>2172</v>
      </c>
      <c r="AO388" s="449" t="s">
        <v>2346</v>
      </c>
      <c r="AP388" s="623" t="s">
        <v>2172</v>
      </c>
      <c r="AQ388" s="449" t="s">
        <v>2347</v>
      </c>
      <c r="AR388" s="623" t="s">
        <v>2172</v>
      </c>
      <c r="AS388" s="449" t="s">
        <v>2348</v>
      </c>
      <c r="AT388" s="623" t="s">
        <v>2172</v>
      </c>
      <c r="AU388" s="449" t="s">
        <v>2349</v>
      </c>
      <c r="AV388" s="623" t="s">
        <v>2172</v>
      </c>
      <c r="AW388" s="449" t="s">
        <v>2350</v>
      </c>
      <c r="AX388" s="623" t="s">
        <v>2172</v>
      </c>
      <c r="AY388" s="449" t="s">
        <v>2351</v>
      </c>
      <c r="AZ388" s="623" t="s">
        <v>2172</v>
      </c>
      <c r="BA388" s="449" t="s">
        <v>2352</v>
      </c>
      <c r="BB388" s="623" t="s">
        <v>2172</v>
      </c>
      <c r="BC388" s="449" t="s">
        <v>2353</v>
      </c>
      <c r="BD388" s="623" t="s">
        <v>2172</v>
      </c>
      <c r="BE388" s="449" t="s">
        <v>2354</v>
      </c>
    </row>
    <row r="389">
      <c r="M389" s="226"/>
      <c r="N389" s="226"/>
      <c r="O389" s="226"/>
      <c r="P389" s="226"/>
      <c r="AN389" s="640" t="s">
        <v>884</v>
      </c>
      <c r="AO389" s="641">
        <v>0.0</v>
      </c>
      <c r="AP389" s="640" t="s">
        <v>884</v>
      </c>
      <c r="AQ389" s="641">
        <v>1.0</v>
      </c>
      <c r="AR389" s="640" t="s">
        <v>884</v>
      </c>
      <c r="AS389" s="641">
        <v>0.0</v>
      </c>
      <c r="AT389" s="640" t="s">
        <v>884</v>
      </c>
      <c r="AU389" s="641" t="s">
        <v>2335</v>
      </c>
      <c r="AV389" s="640" t="s">
        <v>884</v>
      </c>
      <c r="AW389" s="641">
        <v>2.0</v>
      </c>
      <c r="AX389" s="640" t="s">
        <v>884</v>
      </c>
      <c r="AY389" s="641">
        <v>0.0</v>
      </c>
      <c r="AZ389" s="640" t="s">
        <v>884</v>
      </c>
      <c r="BA389" s="641">
        <v>0.0</v>
      </c>
      <c r="BB389" s="640" t="s">
        <v>884</v>
      </c>
      <c r="BC389" s="641">
        <v>0.0</v>
      </c>
      <c r="BD389" s="640" t="s">
        <v>884</v>
      </c>
      <c r="BE389" s="641">
        <v>0.0</v>
      </c>
    </row>
    <row r="390">
      <c r="M390" s="226"/>
      <c r="N390" s="226"/>
      <c r="O390" s="226"/>
      <c r="P390" s="226"/>
      <c r="AN390" s="640" t="s">
        <v>885</v>
      </c>
      <c r="AO390" s="641">
        <v>0.0</v>
      </c>
      <c r="AP390" s="640" t="s">
        <v>885</v>
      </c>
      <c r="AQ390" s="641">
        <v>2.0</v>
      </c>
      <c r="AR390" s="640" t="s">
        <v>885</v>
      </c>
      <c r="AS390" s="641">
        <v>0.0</v>
      </c>
      <c r="AT390" s="640" t="s">
        <v>885</v>
      </c>
      <c r="AU390" s="641" t="s">
        <v>2237</v>
      </c>
      <c r="AV390" s="640" t="s">
        <v>885</v>
      </c>
      <c r="AW390" s="641">
        <v>3.0</v>
      </c>
      <c r="AX390" s="640" t="s">
        <v>885</v>
      </c>
      <c r="AY390" s="641">
        <v>0.0</v>
      </c>
      <c r="AZ390" s="640" t="s">
        <v>885</v>
      </c>
      <c r="BA390" s="641">
        <v>0.0</v>
      </c>
      <c r="BB390" s="640" t="s">
        <v>885</v>
      </c>
      <c r="BC390" s="641">
        <v>0.0</v>
      </c>
      <c r="BD390" s="640" t="s">
        <v>885</v>
      </c>
      <c r="BE390" s="641">
        <v>0.0</v>
      </c>
    </row>
    <row r="391">
      <c r="M391" s="226"/>
      <c r="N391" s="226"/>
      <c r="O391" s="226"/>
      <c r="P391" s="226"/>
      <c r="AN391" s="640" t="s">
        <v>2180</v>
      </c>
      <c r="AO391" s="641">
        <v>1.0</v>
      </c>
      <c r="AP391" s="640" t="s">
        <v>2180</v>
      </c>
      <c r="AQ391" s="641">
        <v>1.0</v>
      </c>
      <c r="AR391" s="640" t="s">
        <v>2180</v>
      </c>
      <c r="AS391" s="641">
        <v>0.0</v>
      </c>
      <c r="AT391" s="640" t="s">
        <v>2180</v>
      </c>
      <c r="AU391" s="641" t="s">
        <v>2238</v>
      </c>
      <c r="AV391" s="640" t="s">
        <v>2180</v>
      </c>
      <c r="AW391" s="641">
        <v>0.0</v>
      </c>
      <c r="AX391" s="640" t="s">
        <v>2180</v>
      </c>
      <c r="AY391" s="641">
        <v>0.0</v>
      </c>
      <c r="AZ391" s="640" t="s">
        <v>2180</v>
      </c>
      <c r="BA391" s="641">
        <v>3.0</v>
      </c>
      <c r="BB391" s="640" t="s">
        <v>2180</v>
      </c>
      <c r="BC391" s="641">
        <v>0.0</v>
      </c>
      <c r="BD391" s="640" t="s">
        <v>2180</v>
      </c>
      <c r="BE391" s="641">
        <v>0.0</v>
      </c>
    </row>
    <row r="392">
      <c r="M392" s="226"/>
      <c r="N392" s="226"/>
      <c r="O392" s="226"/>
      <c r="P392" s="226"/>
      <c r="AN392" s="640" t="s">
        <v>887</v>
      </c>
      <c r="AO392" s="641">
        <v>0.0</v>
      </c>
      <c r="AP392" s="640" t="s">
        <v>887</v>
      </c>
      <c r="AQ392" s="490">
        <v>0.0</v>
      </c>
      <c r="AR392" s="640" t="s">
        <v>887</v>
      </c>
      <c r="AS392" s="643">
        <v>0.0</v>
      </c>
      <c r="AT392" s="640" t="s">
        <v>887</v>
      </c>
      <c r="AU392" s="643"/>
      <c r="AV392" s="640" t="s">
        <v>887</v>
      </c>
      <c r="AW392" s="641">
        <v>0.0</v>
      </c>
      <c r="AX392" s="640" t="s">
        <v>887</v>
      </c>
      <c r="AY392" s="641">
        <v>0.0</v>
      </c>
      <c r="AZ392" s="640" t="s">
        <v>887</v>
      </c>
      <c r="BA392" s="641">
        <v>0.0</v>
      </c>
      <c r="BB392" s="640" t="s">
        <v>887</v>
      </c>
      <c r="BC392" s="641">
        <v>0.0</v>
      </c>
      <c r="BD392" s="640" t="s">
        <v>887</v>
      </c>
      <c r="BE392" s="641">
        <v>0.0</v>
      </c>
    </row>
    <row r="393">
      <c r="M393" s="226"/>
      <c r="N393" s="226"/>
      <c r="O393" s="226"/>
      <c r="P393" s="226"/>
      <c r="AN393" s="640" t="s">
        <v>2181</v>
      </c>
      <c r="AO393" s="641">
        <v>1.0</v>
      </c>
      <c r="AP393" s="640" t="s">
        <v>2181</v>
      </c>
      <c r="AQ393" s="490">
        <v>0.0</v>
      </c>
      <c r="AR393" s="640" t="s">
        <v>2181</v>
      </c>
      <c r="AS393" s="643">
        <v>1.0</v>
      </c>
      <c r="AT393" s="640" t="s">
        <v>2181</v>
      </c>
      <c r="AU393" s="643" t="s">
        <v>832</v>
      </c>
      <c r="AV393" s="640" t="s">
        <v>2181</v>
      </c>
      <c r="AW393" s="641">
        <v>0.0</v>
      </c>
      <c r="AX393" s="640" t="s">
        <v>2181</v>
      </c>
      <c r="AY393" s="641">
        <v>0.0</v>
      </c>
      <c r="AZ393" s="640" t="s">
        <v>2181</v>
      </c>
      <c r="BA393" s="641">
        <v>0.0</v>
      </c>
      <c r="BB393" s="640" t="s">
        <v>2181</v>
      </c>
      <c r="BC393" s="641">
        <v>0.0</v>
      </c>
      <c r="BD393" s="640" t="s">
        <v>2181</v>
      </c>
      <c r="BE393" s="641">
        <v>0.0</v>
      </c>
    </row>
    <row r="394">
      <c r="M394" s="226"/>
      <c r="N394" s="226"/>
      <c r="O394" s="226"/>
      <c r="P394" s="226"/>
      <c r="AN394" s="640" t="s">
        <v>891</v>
      </c>
      <c r="AO394" s="641">
        <v>0.0</v>
      </c>
      <c r="AP394" s="640" t="s">
        <v>891</v>
      </c>
      <c r="AQ394" s="490">
        <v>0.0</v>
      </c>
      <c r="AR394" s="640" t="s">
        <v>891</v>
      </c>
      <c r="AS394" s="643">
        <v>0.0</v>
      </c>
      <c r="AT394" s="640" t="s">
        <v>891</v>
      </c>
      <c r="AU394" s="643"/>
      <c r="AV394" s="640" t="s">
        <v>891</v>
      </c>
      <c r="AW394" s="641">
        <v>0.0</v>
      </c>
      <c r="AX394" s="640" t="s">
        <v>891</v>
      </c>
      <c r="AY394" s="641">
        <v>0.0</v>
      </c>
      <c r="AZ394" s="640" t="s">
        <v>891</v>
      </c>
      <c r="BA394" s="641">
        <v>0.0</v>
      </c>
      <c r="BB394" s="640" t="s">
        <v>891</v>
      </c>
      <c r="BC394" s="641">
        <v>0.0</v>
      </c>
      <c r="BD394" s="640" t="s">
        <v>891</v>
      </c>
      <c r="BE394" s="641">
        <v>0.0</v>
      </c>
    </row>
    <row r="395">
      <c r="M395" s="226"/>
      <c r="N395" s="226"/>
      <c r="O395" s="226"/>
      <c r="P395" s="226"/>
      <c r="AN395" s="640" t="s">
        <v>893</v>
      </c>
      <c r="AO395" s="641">
        <v>1.0</v>
      </c>
      <c r="AP395" s="640" t="s">
        <v>893</v>
      </c>
      <c r="AQ395" s="490">
        <v>0.0</v>
      </c>
      <c r="AR395" s="640" t="s">
        <v>893</v>
      </c>
      <c r="AS395" s="643">
        <v>1.0</v>
      </c>
      <c r="AT395" s="640" t="s">
        <v>893</v>
      </c>
      <c r="AU395" s="643" t="s">
        <v>2268</v>
      </c>
      <c r="AV395" s="640" t="s">
        <v>893</v>
      </c>
      <c r="AW395" s="641">
        <v>0.0</v>
      </c>
      <c r="AX395" s="640" t="s">
        <v>893</v>
      </c>
      <c r="AY395" s="641">
        <v>0.0</v>
      </c>
      <c r="AZ395" s="640" t="s">
        <v>893</v>
      </c>
      <c r="BA395" s="641">
        <v>0.0</v>
      </c>
      <c r="BB395" s="640" t="s">
        <v>893</v>
      </c>
      <c r="BC395" s="641">
        <v>0.0</v>
      </c>
      <c r="BD395" s="640" t="s">
        <v>893</v>
      </c>
      <c r="BE395" s="641">
        <v>0.0</v>
      </c>
    </row>
    <row r="396">
      <c r="M396" s="226"/>
      <c r="N396" s="226"/>
      <c r="O396" s="226"/>
      <c r="P396" s="226"/>
      <c r="AN396" s="640" t="s">
        <v>896</v>
      </c>
      <c r="AO396" s="641">
        <v>1.0</v>
      </c>
      <c r="AP396" s="640" t="s">
        <v>896</v>
      </c>
      <c r="AQ396" s="490">
        <v>1.0</v>
      </c>
      <c r="AR396" s="640" t="s">
        <v>896</v>
      </c>
      <c r="AS396" s="643">
        <v>0.0</v>
      </c>
      <c r="AT396" s="640" t="s">
        <v>896</v>
      </c>
      <c r="AU396" s="643" t="s">
        <v>2236</v>
      </c>
      <c r="AV396" s="640" t="s">
        <v>896</v>
      </c>
      <c r="AW396" s="641">
        <v>0.0</v>
      </c>
      <c r="AX396" s="640" t="s">
        <v>896</v>
      </c>
      <c r="AY396" s="641">
        <v>3.0</v>
      </c>
      <c r="AZ396" s="640" t="s">
        <v>896</v>
      </c>
      <c r="BA396" s="641">
        <v>0.0</v>
      </c>
      <c r="BB396" s="640" t="s">
        <v>896</v>
      </c>
      <c r="BC396" s="641">
        <v>0.0</v>
      </c>
      <c r="BD396" s="640" t="s">
        <v>896</v>
      </c>
      <c r="BE396" s="641">
        <v>0.0</v>
      </c>
    </row>
    <row r="397">
      <c r="M397" s="226"/>
      <c r="N397" s="226"/>
      <c r="O397" s="226"/>
      <c r="P397" s="226"/>
      <c r="AN397" s="640" t="s">
        <v>897</v>
      </c>
      <c r="AO397" s="641">
        <v>0.0</v>
      </c>
      <c r="AP397" s="640" t="s">
        <v>897</v>
      </c>
      <c r="AQ397" s="490">
        <v>0.0</v>
      </c>
      <c r="AR397" s="640" t="s">
        <v>897</v>
      </c>
      <c r="AS397" s="643">
        <v>0.0</v>
      </c>
      <c r="AT397" s="640" t="s">
        <v>897</v>
      </c>
      <c r="AU397" s="643"/>
      <c r="AV397" s="640" t="s">
        <v>897</v>
      </c>
      <c r="AW397" s="641">
        <v>0.0</v>
      </c>
      <c r="AX397" s="640" t="s">
        <v>897</v>
      </c>
      <c r="AY397" s="641">
        <v>0.0</v>
      </c>
      <c r="AZ397" s="640" t="s">
        <v>897</v>
      </c>
      <c r="BA397" s="641">
        <v>0.0</v>
      </c>
      <c r="BB397" s="640" t="s">
        <v>897</v>
      </c>
      <c r="BC397" s="641">
        <v>0.0</v>
      </c>
      <c r="BD397" s="640" t="s">
        <v>897</v>
      </c>
      <c r="BE397" s="641">
        <v>0.0</v>
      </c>
    </row>
    <row r="398">
      <c r="M398" s="226"/>
      <c r="N398" s="226"/>
      <c r="O398" s="226"/>
      <c r="P398" s="226"/>
      <c r="AN398" s="640" t="s">
        <v>899</v>
      </c>
      <c r="AO398" s="641">
        <v>0.0</v>
      </c>
      <c r="AP398" s="640" t="s">
        <v>899</v>
      </c>
      <c r="AQ398" s="490">
        <v>0.0</v>
      </c>
      <c r="AR398" s="640" t="s">
        <v>899</v>
      </c>
      <c r="AS398" s="643">
        <v>0.0</v>
      </c>
      <c r="AT398" s="640" t="s">
        <v>899</v>
      </c>
      <c r="AU398" s="643"/>
      <c r="AV398" s="640" t="s">
        <v>899</v>
      </c>
      <c r="AW398" s="641">
        <v>0.0</v>
      </c>
      <c r="AX398" s="640" t="s">
        <v>899</v>
      </c>
      <c r="AY398" s="641">
        <v>0.0</v>
      </c>
      <c r="AZ398" s="640" t="s">
        <v>899</v>
      </c>
      <c r="BA398" s="641">
        <v>0.0</v>
      </c>
      <c r="BB398" s="640" t="s">
        <v>899</v>
      </c>
      <c r="BC398" s="641">
        <v>0.0</v>
      </c>
      <c r="BD398" s="640" t="s">
        <v>899</v>
      </c>
      <c r="BE398" s="641">
        <v>0.0</v>
      </c>
    </row>
    <row r="399">
      <c r="M399" s="226"/>
      <c r="N399" s="226"/>
      <c r="O399" s="226"/>
      <c r="P399" s="226"/>
    </row>
    <row r="400">
      <c r="M400" s="226"/>
      <c r="N400" s="226"/>
      <c r="O400" s="226"/>
      <c r="P400" s="226"/>
    </row>
    <row r="401">
      <c r="M401" s="226"/>
      <c r="N401" s="226"/>
      <c r="O401" s="226"/>
      <c r="P401" s="226"/>
      <c r="AN401" s="449" t="s">
        <v>2182</v>
      </c>
      <c r="AO401" s="449" t="s">
        <v>2355</v>
      </c>
      <c r="AP401" s="449" t="s">
        <v>2182</v>
      </c>
      <c r="AQ401" s="449" t="s">
        <v>2356</v>
      </c>
      <c r="AR401" s="449" t="s">
        <v>2182</v>
      </c>
      <c r="AS401" s="449" t="s">
        <v>2357</v>
      </c>
      <c r="AT401" s="449" t="s">
        <v>2182</v>
      </c>
      <c r="AU401" s="449" t="s">
        <v>2358</v>
      </c>
      <c r="AV401" s="449" t="s">
        <v>2182</v>
      </c>
      <c r="AW401" s="449" t="s">
        <v>2359</v>
      </c>
      <c r="AX401" s="449" t="s">
        <v>2182</v>
      </c>
      <c r="AY401" s="449" t="s">
        <v>2360</v>
      </c>
      <c r="AZ401" s="449" t="s">
        <v>2182</v>
      </c>
      <c r="BA401" s="449" t="s">
        <v>2361</v>
      </c>
      <c r="BB401" s="449" t="s">
        <v>2182</v>
      </c>
      <c r="BC401" s="449" t="s">
        <v>2362</v>
      </c>
      <c r="BD401" s="449" t="s">
        <v>2182</v>
      </c>
      <c r="BE401" s="449" t="s">
        <v>2363</v>
      </c>
    </row>
    <row r="402">
      <c r="M402" s="226"/>
      <c r="N402" s="226"/>
      <c r="O402" s="226"/>
      <c r="P402" s="226"/>
      <c r="AN402" s="454" t="s">
        <v>906</v>
      </c>
      <c r="AO402" s="456">
        <v>0.0</v>
      </c>
      <c r="AP402" s="454" t="s">
        <v>906</v>
      </c>
      <c r="AQ402" s="456">
        <v>0.0</v>
      </c>
      <c r="AR402" s="454" t="s">
        <v>906</v>
      </c>
      <c r="AS402" s="456">
        <v>0.0</v>
      </c>
      <c r="AT402" s="454" t="s">
        <v>906</v>
      </c>
      <c r="AU402" s="456"/>
      <c r="AV402" s="454" t="s">
        <v>906</v>
      </c>
      <c r="AW402" s="456">
        <v>0.0</v>
      </c>
      <c r="AX402" s="454" t="s">
        <v>906</v>
      </c>
      <c r="AY402" s="456">
        <v>0.0</v>
      </c>
      <c r="AZ402" s="454" t="s">
        <v>906</v>
      </c>
      <c r="BA402" s="456">
        <v>0.0</v>
      </c>
      <c r="BB402" s="454" t="s">
        <v>906</v>
      </c>
      <c r="BC402" s="456">
        <v>0.0</v>
      </c>
      <c r="BD402" s="454" t="s">
        <v>906</v>
      </c>
      <c r="BE402" s="456">
        <v>0.0</v>
      </c>
    </row>
    <row r="403">
      <c r="M403" s="226"/>
      <c r="N403" s="226"/>
      <c r="O403" s="226"/>
      <c r="P403" s="226"/>
      <c r="AN403" s="454" t="s">
        <v>907</v>
      </c>
      <c r="AO403" s="456">
        <v>0.0</v>
      </c>
      <c r="AP403" s="454" t="s">
        <v>907</v>
      </c>
      <c r="AQ403" s="456">
        <v>0.0</v>
      </c>
      <c r="AR403" s="454" t="s">
        <v>907</v>
      </c>
      <c r="AS403" s="456">
        <v>0.0</v>
      </c>
      <c r="AT403" s="454" t="s">
        <v>907</v>
      </c>
      <c r="AU403" s="456"/>
      <c r="AV403" s="454" t="s">
        <v>907</v>
      </c>
      <c r="AW403" s="456">
        <v>0.0</v>
      </c>
      <c r="AX403" s="454" t="s">
        <v>907</v>
      </c>
      <c r="AY403" s="456">
        <v>0.0</v>
      </c>
      <c r="AZ403" s="454" t="s">
        <v>907</v>
      </c>
      <c r="BA403" s="456">
        <v>0.0</v>
      </c>
      <c r="BB403" s="454" t="s">
        <v>907</v>
      </c>
      <c r="BC403" s="456">
        <v>0.0</v>
      </c>
      <c r="BD403" s="454" t="s">
        <v>907</v>
      </c>
      <c r="BE403" s="456">
        <v>0.0</v>
      </c>
    </row>
    <row r="404">
      <c r="M404" s="226"/>
      <c r="N404" s="226"/>
      <c r="O404" s="226"/>
      <c r="P404" s="226"/>
      <c r="AN404" s="454" t="s">
        <v>908</v>
      </c>
      <c r="AO404" s="456">
        <v>0.0</v>
      </c>
      <c r="AP404" s="454" t="s">
        <v>908</v>
      </c>
      <c r="AQ404" s="456">
        <v>0.0</v>
      </c>
      <c r="AR404" s="454" t="s">
        <v>908</v>
      </c>
      <c r="AS404" s="456">
        <v>0.0</v>
      </c>
      <c r="AT404" s="454" t="s">
        <v>908</v>
      </c>
      <c r="AU404" s="456"/>
      <c r="AV404" s="454" t="s">
        <v>908</v>
      </c>
      <c r="AW404" s="456">
        <v>0.0</v>
      </c>
      <c r="AX404" s="454" t="s">
        <v>908</v>
      </c>
      <c r="AY404" s="456">
        <v>0.0</v>
      </c>
      <c r="AZ404" s="454" t="s">
        <v>908</v>
      </c>
      <c r="BA404" s="456">
        <v>0.0</v>
      </c>
      <c r="BB404" s="454" t="s">
        <v>908</v>
      </c>
      <c r="BC404" s="456">
        <v>0.0</v>
      </c>
      <c r="BD404" s="454" t="s">
        <v>908</v>
      </c>
      <c r="BE404" s="456">
        <v>0.0</v>
      </c>
    </row>
    <row r="405">
      <c r="M405" s="226"/>
      <c r="N405" s="226"/>
      <c r="O405" s="226"/>
      <c r="P405" s="226"/>
      <c r="AN405" s="454" t="s">
        <v>910</v>
      </c>
      <c r="AO405" s="456">
        <v>0.0</v>
      </c>
      <c r="AP405" s="454" t="s">
        <v>910</v>
      </c>
      <c r="AQ405" s="456">
        <v>0.0</v>
      </c>
      <c r="AR405" s="454" t="s">
        <v>910</v>
      </c>
      <c r="AS405" s="456">
        <v>0.0</v>
      </c>
      <c r="AT405" s="454" t="s">
        <v>910</v>
      </c>
      <c r="AU405" s="456"/>
      <c r="AV405" s="454" t="s">
        <v>910</v>
      </c>
      <c r="AW405" s="456">
        <v>0.0</v>
      </c>
      <c r="AX405" s="454" t="s">
        <v>910</v>
      </c>
      <c r="AY405" s="456">
        <v>0.0</v>
      </c>
      <c r="AZ405" s="454" t="s">
        <v>910</v>
      </c>
      <c r="BA405" s="456">
        <v>0.0</v>
      </c>
      <c r="BB405" s="454" t="s">
        <v>910</v>
      </c>
      <c r="BC405" s="456">
        <v>0.0</v>
      </c>
      <c r="BD405" s="454" t="s">
        <v>910</v>
      </c>
      <c r="BE405" s="456">
        <v>0.0</v>
      </c>
    </row>
    <row r="406">
      <c r="M406" s="226"/>
      <c r="N406" s="226"/>
      <c r="O406" s="226"/>
      <c r="P406" s="226"/>
      <c r="AN406" s="454" t="s">
        <v>912</v>
      </c>
      <c r="AO406" s="456">
        <v>0.0</v>
      </c>
      <c r="AP406" s="454" t="s">
        <v>912</v>
      </c>
      <c r="AQ406" s="456">
        <v>0.0</v>
      </c>
      <c r="AR406" s="454" t="s">
        <v>912</v>
      </c>
      <c r="AS406" s="456">
        <v>0.0</v>
      </c>
      <c r="AT406" s="454" t="s">
        <v>912</v>
      </c>
      <c r="AU406" s="456"/>
      <c r="AV406" s="454" t="s">
        <v>912</v>
      </c>
      <c r="AW406" s="456">
        <v>0.0</v>
      </c>
      <c r="AX406" s="454" t="s">
        <v>912</v>
      </c>
      <c r="AY406" s="456">
        <v>0.0</v>
      </c>
      <c r="AZ406" s="454" t="s">
        <v>912</v>
      </c>
      <c r="BA406" s="456">
        <v>0.0</v>
      </c>
      <c r="BB406" s="454" t="s">
        <v>912</v>
      </c>
      <c r="BC406" s="456">
        <v>0.0</v>
      </c>
      <c r="BD406" s="454" t="s">
        <v>912</v>
      </c>
      <c r="BE406" s="456">
        <v>0.0</v>
      </c>
    </row>
    <row r="407">
      <c r="M407" s="226"/>
      <c r="N407" s="226"/>
      <c r="O407" s="226"/>
      <c r="P407" s="226"/>
      <c r="AN407" s="454" t="s">
        <v>914</v>
      </c>
      <c r="AO407" s="456">
        <v>0.0</v>
      </c>
      <c r="AP407" s="454" t="s">
        <v>914</v>
      </c>
      <c r="AQ407" s="456">
        <v>0.0</v>
      </c>
      <c r="AR407" s="454" t="s">
        <v>914</v>
      </c>
      <c r="AS407" s="456">
        <v>0.0</v>
      </c>
      <c r="AT407" s="454" t="s">
        <v>914</v>
      </c>
      <c r="AU407" s="456"/>
      <c r="AV407" s="454" t="s">
        <v>914</v>
      </c>
      <c r="AW407" s="456">
        <v>0.0</v>
      </c>
      <c r="AX407" s="454" t="s">
        <v>914</v>
      </c>
      <c r="AY407" s="456">
        <v>0.0</v>
      </c>
      <c r="AZ407" s="454" t="s">
        <v>914</v>
      </c>
      <c r="BA407" s="456">
        <v>0.0</v>
      </c>
      <c r="BB407" s="454" t="s">
        <v>914</v>
      </c>
      <c r="BC407" s="456">
        <v>0.0</v>
      </c>
      <c r="BD407" s="454" t="s">
        <v>914</v>
      </c>
      <c r="BE407" s="456">
        <v>0.0</v>
      </c>
    </row>
    <row r="408">
      <c r="M408" s="226"/>
      <c r="N408" s="226"/>
      <c r="O408" s="226"/>
      <c r="P408" s="226"/>
      <c r="AN408" s="454" t="s">
        <v>915</v>
      </c>
      <c r="AO408" s="456">
        <v>0.0</v>
      </c>
      <c r="AP408" s="454" t="s">
        <v>915</v>
      </c>
      <c r="AQ408" s="456">
        <v>0.0</v>
      </c>
      <c r="AR408" s="454" t="s">
        <v>915</v>
      </c>
      <c r="AS408" s="456">
        <v>0.0</v>
      </c>
      <c r="AT408" s="454" t="s">
        <v>915</v>
      </c>
      <c r="AU408" s="456"/>
      <c r="AV408" s="454" t="s">
        <v>915</v>
      </c>
      <c r="AW408" s="456">
        <v>0.0</v>
      </c>
      <c r="AX408" s="454" t="s">
        <v>915</v>
      </c>
      <c r="AY408" s="456">
        <v>0.0</v>
      </c>
      <c r="AZ408" s="454" t="s">
        <v>915</v>
      </c>
      <c r="BA408" s="456">
        <v>0.0</v>
      </c>
      <c r="BB408" s="454" t="s">
        <v>915</v>
      </c>
      <c r="BC408" s="456">
        <v>0.0</v>
      </c>
      <c r="BD408" s="454" t="s">
        <v>915</v>
      </c>
      <c r="BE408" s="456">
        <v>0.0</v>
      </c>
    </row>
    <row r="409">
      <c r="M409" s="226"/>
      <c r="N409" s="226"/>
      <c r="O409" s="226"/>
      <c r="P409" s="226"/>
      <c r="AN409" s="454" t="s">
        <v>917</v>
      </c>
      <c r="AO409" s="456">
        <v>0.0</v>
      </c>
      <c r="AP409" s="454" t="s">
        <v>917</v>
      </c>
      <c r="AQ409" s="456">
        <v>0.0</v>
      </c>
      <c r="AR409" s="454" t="s">
        <v>917</v>
      </c>
      <c r="AS409" s="456">
        <v>0.0</v>
      </c>
      <c r="AT409" s="454" t="s">
        <v>917</v>
      </c>
      <c r="AU409" s="456"/>
      <c r="AV409" s="454" t="s">
        <v>917</v>
      </c>
      <c r="AW409" s="456">
        <v>0.0</v>
      </c>
      <c r="AX409" s="454" t="s">
        <v>917</v>
      </c>
      <c r="AY409" s="456">
        <v>0.0</v>
      </c>
      <c r="AZ409" s="454" t="s">
        <v>917</v>
      </c>
      <c r="BA409" s="456">
        <v>0.0</v>
      </c>
      <c r="BB409" s="454" t="s">
        <v>917</v>
      </c>
      <c r="BC409" s="456">
        <v>0.0</v>
      </c>
      <c r="BD409" s="454" t="s">
        <v>917</v>
      </c>
      <c r="BE409" s="456">
        <v>0.0</v>
      </c>
    </row>
    <row r="410">
      <c r="M410" s="226"/>
      <c r="N410" s="226"/>
      <c r="O410" s="226"/>
      <c r="P410" s="226"/>
      <c r="AN410" s="454" t="s">
        <v>918</v>
      </c>
      <c r="AO410" s="456">
        <v>0.0</v>
      </c>
      <c r="AP410" s="454" t="s">
        <v>918</v>
      </c>
      <c r="AQ410" s="456">
        <v>0.0</v>
      </c>
      <c r="AR410" s="454" t="s">
        <v>918</v>
      </c>
      <c r="AS410" s="456">
        <v>0.0</v>
      </c>
      <c r="AT410" s="454" t="s">
        <v>918</v>
      </c>
      <c r="AU410" s="456"/>
      <c r="AV410" s="454" t="s">
        <v>918</v>
      </c>
      <c r="AW410" s="456">
        <v>0.0</v>
      </c>
      <c r="AX410" s="454" t="s">
        <v>918</v>
      </c>
      <c r="AY410" s="456">
        <v>0.0</v>
      </c>
      <c r="AZ410" s="454" t="s">
        <v>918</v>
      </c>
      <c r="BA410" s="456">
        <v>0.0</v>
      </c>
      <c r="BB410" s="454" t="s">
        <v>918</v>
      </c>
      <c r="BC410" s="456">
        <v>0.0</v>
      </c>
      <c r="BD410" s="454" t="s">
        <v>918</v>
      </c>
      <c r="BE410" s="456">
        <v>0.0</v>
      </c>
    </row>
    <row r="411">
      <c r="M411" s="226"/>
      <c r="N411" s="226"/>
      <c r="O411" s="226"/>
      <c r="P411" s="226"/>
      <c r="AN411" s="454" t="s">
        <v>921</v>
      </c>
      <c r="AO411" s="456">
        <v>0.0</v>
      </c>
      <c r="AP411" s="454" t="s">
        <v>921</v>
      </c>
      <c r="AQ411" s="450">
        <v>0.0</v>
      </c>
      <c r="AR411" s="454" t="s">
        <v>921</v>
      </c>
      <c r="AS411" s="457">
        <v>0.0</v>
      </c>
      <c r="AT411" s="454" t="s">
        <v>921</v>
      </c>
      <c r="AU411" s="457"/>
      <c r="AV411" s="454" t="s">
        <v>921</v>
      </c>
      <c r="AW411" s="456">
        <v>0.0</v>
      </c>
      <c r="AX411" s="454" t="s">
        <v>921</v>
      </c>
      <c r="AY411" s="456">
        <v>0.0</v>
      </c>
      <c r="AZ411" s="454" t="s">
        <v>921</v>
      </c>
      <c r="BA411" s="456">
        <v>0.0</v>
      </c>
      <c r="BB411" s="454" t="s">
        <v>921</v>
      </c>
      <c r="BC411" s="456">
        <v>0.0</v>
      </c>
      <c r="BD411" s="454" t="s">
        <v>921</v>
      </c>
      <c r="BE411" s="456">
        <v>0.0</v>
      </c>
    </row>
    <row r="412">
      <c r="M412" s="226"/>
      <c r="N412" s="226"/>
      <c r="O412" s="226"/>
      <c r="P412" s="226"/>
      <c r="AN412" s="454" t="s">
        <v>922</v>
      </c>
      <c r="AO412" s="456">
        <v>0.0</v>
      </c>
      <c r="AP412" s="454" t="s">
        <v>922</v>
      </c>
      <c r="AQ412" s="450">
        <v>0.0</v>
      </c>
      <c r="AR412" s="454" t="s">
        <v>922</v>
      </c>
      <c r="AS412" s="457">
        <v>0.0</v>
      </c>
      <c r="AT412" s="454" t="s">
        <v>922</v>
      </c>
      <c r="AU412" s="457"/>
      <c r="AV412" s="454" t="s">
        <v>922</v>
      </c>
      <c r="AW412" s="456">
        <v>0.0</v>
      </c>
      <c r="AX412" s="454" t="s">
        <v>922</v>
      </c>
      <c r="AY412" s="456">
        <v>0.0</v>
      </c>
      <c r="AZ412" s="454" t="s">
        <v>922</v>
      </c>
      <c r="BA412" s="456">
        <v>0.0</v>
      </c>
      <c r="BB412" s="454" t="s">
        <v>922</v>
      </c>
      <c r="BC412" s="456">
        <v>0.0</v>
      </c>
      <c r="BD412" s="454" t="s">
        <v>922</v>
      </c>
      <c r="BE412" s="456">
        <v>0.0</v>
      </c>
    </row>
    <row r="413">
      <c r="M413" s="226"/>
      <c r="N413" s="226"/>
      <c r="O413" s="226"/>
      <c r="P413" s="226"/>
      <c r="AN413" s="454" t="s">
        <v>923</v>
      </c>
      <c r="AO413" s="456">
        <v>0.0</v>
      </c>
      <c r="AP413" s="454" t="s">
        <v>923</v>
      </c>
      <c r="AQ413" s="450">
        <v>0.0</v>
      </c>
      <c r="AR413" s="454" t="s">
        <v>923</v>
      </c>
      <c r="AS413" s="457">
        <v>0.0</v>
      </c>
      <c r="AT413" s="454" t="s">
        <v>923</v>
      </c>
      <c r="AU413" s="457"/>
      <c r="AV413" s="454" t="s">
        <v>923</v>
      </c>
      <c r="AW413" s="456">
        <v>0.0</v>
      </c>
      <c r="AX413" s="454" t="s">
        <v>923</v>
      </c>
      <c r="AY413" s="456">
        <v>0.0</v>
      </c>
      <c r="AZ413" s="454" t="s">
        <v>923</v>
      </c>
      <c r="BA413" s="456">
        <v>0.0</v>
      </c>
      <c r="BB413" s="454" t="s">
        <v>923</v>
      </c>
      <c r="BC413" s="456">
        <v>0.0</v>
      </c>
      <c r="BD413" s="454" t="s">
        <v>923</v>
      </c>
      <c r="BE413" s="456">
        <v>0.0</v>
      </c>
    </row>
    <row r="414">
      <c r="M414" s="226"/>
      <c r="N414" s="226"/>
      <c r="O414" s="226"/>
      <c r="P414" s="226"/>
      <c r="AN414" s="454" t="s">
        <v>924</v>
      </c>
      <c r="AO414" s="456">
        <v>0.0</v>
      </c>
      <c r="AP414" s="454" t="s">
        <v>924</v>
      </c>
      <c r="AQ414" s="450">
        <v>0.0</v>
      </c>
      <c r="AR414" s="454" t="s">
        <v>924</v>
      </c>
      <c r="AS414" s="457">
        <v>0.0</v>
      </c>
      <c r="AT414" s="454" t="s">
        <v>924</v>
      </c>
      <c r="AU414" s="457"/>
      <c r="AV414" s="454" t="s">
        <v>924</v>
      </c>
      <c r="AW414" s="456">
        <v>0.0</v>
      </c>
      <c r="AX414" s="454" t="s">
        <v>924</v>
      </c>
      <c r="AY414" s="456">
        <v>0.0</v>
      </c>
      <c r="AZ414" s="454" t="s">
        <v>924</v>
      </c>
      <c r="BA414" s="456">
        <v>0.0</v>
      </c>
      <c r="BB414" s="454" t="s">
        <v>924</v>
      </c>
      <c r="BC414" s="456">
        <v>0.0</v>
      </c>
      <c r="BD414" s="454" t="s">
        <v>924</v>
      </c>
      <c r="BE414" s="456">
        <v>0.0</v>
      </c>
    </row>
    <row r="415">
      <c r="M415" s="226"/>
      <c r="N415" s="226"/>
      <c r="O415" s="226"/>
      <c r="P415" s="226"/>
      <c r="AN415" s="454" t="s">
        <v>926</v>
      </c>
      <c r="AO415" s="456">
        <v>0.0</v>
      </c>
      <c r="AP415" s="454" t="s">
        <v>926</v>
      </c>
      <c r="AQ415" s="450">
        <v>0.0</v>
      </c>
      <c r="AR415" s="454" t="s">
        <v>926</v>
      </c>
      <c r="AS415" s="457">
        <v>0.0</v>
      </c>
      <c r="AT415" s="454" t="s">
        <v>926</v>
      </c>
      <c r="AU415" s="457"/>
      <c r="AV415" s="454" t="s">
        <v>926</v>
      </c>
      <c r="AW415" s="456">
        <v>0.0</v>
      </c>
      <c r="AX415" s="454" t="s">
        <v>926</v>
      </c>
      <c r="AY415" s="456">
        <v>0.0</v>
      </c>
      <c r="AZ415" s="454" t="s">
        <v>926</v>
      </c>
      <c r="BA415" s="456">
        <v>0.0</v>
      </c>
      <c r="BB415" s="454" t="s">
        <v>926</v>
      </c>
      <c r="BC415" s="456">
        <v>0.0</v>
      </c>
      <c r="BD415" s="454" t="s">
        <v>926</v>
      </c>
      <c r="BE415" s="456">
        <v>0.0</v>
      </c>
    </row>
    <row r="416">
      <c r="M416" s="226"/>
      <c r="N416" s="226"/>
      <c r="O416" s="226"/>
      <c r="P416" s="226"/>
      <c r="AN416" s="454" t="s">
        <v>927</v>
      </c>
      <c r="AO416" s="456">
        <v>0.0</v>
      </c>
      <c r="AP416" s="454" t="s">
        <v>927</v>
      </c>
      <c r="AQ416" s="450">
        <v>0.0</v>
      </c>
      <c r="AR416" s="454" t="s">
        <v>927</v>
      </c>
      <c r="AS416" s="457">
        <v>0.0</v>
      </c>
      <c r="AT416" s="454" t="s">
        <v>927</v>
      </c>
      <c r="AU416" s="457"/>
      <c r="AV416" s="454" t="s">
        <v>927</v>
      </c>
      <c r="AW416" s="456">
        <v>0.0</v>
      </c>
      <c r="AX416" s="454" t="s">
        <v>927</v>
      </c>
      <c r="AY416" s="456">
        <v>0.0</v>
      </c>
      <c r="AZ416" s="454" t="s">
        <v>927</v>
      </c>
      <c r="BA416" s="456">
        <v>0.0</v>
      </c>
      <c r="BB416" s="454" t="s">
        <v>927</v>
      </c>
      <c r="BC416" s="456">
        <v>0.0</v>
      </c>
      <c r="BD416" s="454" t="s">
        <v>927</v>
      </c>
      <c r="BE416" s="456">
        <v>0.0</v>
      </c>
    </row>
    <row r="417">
      <c r="M417" s="226"/>
      <c r="N417" s="226"/>
      <c r="O417" s="226"/>
      <c r="P417" s="226"/>
      <c r="AN417" s="454" t="s">
        <v>1115</v>
      </c>
      <c r="AO417" s="456">
        <v>0.0</v>
      </c>
      <c r="AP417" s="454" t="s">
        <v>1115</v>
      </c>
      <c r="AQ417" s="450">
        <v>0.0</v>
      </c>
      <c r="AR417" s="454" t="s">
        <v>1115</v>
      </c>
      <c r="AS417" s="457">
        <v>0.0</v>
      </c>
      <c r="AT417" s="454" t="s">
        <v>1115</v>
      </c>
      <c r="AU417" s="457"/>
      <c r="AV417" s="454" t="s">
        <v>1115</v>
      </c>
      <c r="AW417" s="456">
        <v>0.0</v>
      </c>
      <c r="AX417" s="454" t="s">
        <v>1115</v>
      </c>
      <c r="AY417" s="456">
        <v>0.0</v>
      </c>
      <c r="AZ417" s="454" t="s">
        <v>1115</v>
      </c>
      <c r="BA417" s="456">
        <v>0.0</v>
      </c>
      <c r="BB417" s="454" t="s">
        <v>1115</v>
      </c>
      <c r="BC417" s="456">
        <v>0.0</v>
      </c>
      <c r="BD417" s="454" t="s">
        <v>1115</v>
      </c>
      <c r="BE417" s="456">
        <v>0.0</v>
      </c>
    </row>
    <row r="418">
      <c r="M418" s="226"/>
      <c r="N418" s="226"/>
      <c r="O418" s="226"/>
      <c r="P418" s="226"/>
      <c r="AN418" s="454" t="s">
        <v>1244</v>
      </c>
      <c r="AO418" s="456">
        <v>0.0</v>
      </c>
      <c r="AP418" s="454" t="s">
        <v>1244</v>
      </c>
      <c r="AQ418" s="450">
        <v>0.0</v>
      </c>
      <c r="AR418" s="454" t="s">
        <v>1244</v>
      </c>
      <c r="AS418" s="457">
        <v>0.0</v>
      </c>
      <c r="AT418" s="454" t="s">
        <v>1244</v>
      </c>
      <c r="AU418" s="457"/>
      <c r="AV418" s="454" t="s">
        <v>1244</v>
      </c>
      <c r="AW418" s="456">
        <v>0.0</v>
      </c>
      <c r="AX418" s="454" t="s">
        <v>1244</v>
      </c>
      <c r="AY418" s="456">
        <v>0.0</v>
      </c>
      <c r="AZ418" s="454" t="s">
        <v>1244</v>
      </c>
      <c r="BA418" s="456">
        <v>0.0</v>
      </c>
      <c r="BB418" s="454" t="s">
        <v>1244</v>
      </c>
      <c r="BC418" s="456">
        <v>0.0</v>
      </c>
      <c r="BD418" s="454" t="s">
        <v>1244</v>
      </c>
      <c r="BE418" s="456">
        <v>0.0</v>
      </c>
    </row>
    <row r="419">
      <c r="M419" s="226"/>
      <c r="N419" s="226"/>
      <c r="O419" s="226"/>
      <c r="P419" s="226"/>
      <c r="AN419" s="454" t="s">
        <v>1111</v>
      </c>
      <c r="AO419" s="456">
        <v>0.0</v>
      </c>
      <c r="AP419" s="454" t="s">
        <v>1111</v>
      </c>
      <c r="AQ419" s="450">
        <v>0.0</v>
      </c>
      <c r="AR419" s="454" t="s">
        <v>1111</v>
      </c>
      <c r="AS419" s="457">
        <v>0.0</v>
      </c>
      <c r="AT419" s="454" t="s">
        <v>1111</v>
      </c>
      <c r="AU419" s="457"/>
      <c r="AV419" s="454" t="s">
        <v>1111</v>
      </c>
      <c r="AW419" s="456">
        <v>0.0</v>
      </c>
      <c r="AX419" s="454" t="s">
        <v>1111</v>
      </c>
      <c r="AY419" s="456">
        <v>0.0</v>
      </c>
      <c r="AZ419" s="454" t="s">
        <v>1111</v>
      </c>
      <c r="BA419" s="456">
        <v>0.0</v>
      </c>
      <c r="BB419" s="454" t="s">
        <v>1111</v>
      </c>
      <c r="BC419" s="456">
        <v>0.0</v>
      </c>
      <c r="BD419" s="454" t="s">
        <v>1111</v>
      </c>
      <c r="BE419" s="456">
        <v>0.0</v>
      </c>
    </row>
    <row r="420">
      <c r="M420" s="226"/>
      <c r="N420" s="226"/>
      <c r="O420" s="226"/>
      <c r="P420" s="226"/>
    </row>
    <row r="421">
      <c r="M421" s="226"/>
      <c r="N421" s="226"/>
      <c r="O421" s="226"/>
      <c r="P421" s="226"/>
      <c r="AN421" s="449" t="s">
        <v>2191</v>
      </c>
      <c r="AO421" s="449" t="s">
        <v>2364</v>
      </c>
      <c r="AP421" s="449" t="s">
        <v>2191</v>
      </c>
      <c r="AQ421" s="449" t="s">
        <v>2365</v>
      </c>
      <c r="AR421" s="449" t="s">
        <v>2191</v>
      </c>
      <c r="AS421" s="449" t="s">
        <v>2366</v>
      </c>
      <c r="AT421" s="449" t="s">
        <v>2191</v>
      </c>
      <c r="AU421" s="449" t="s">
        <v>2367</v>
      </c>
      <c r="AV421" s="449" t="s">
        <v>2191</v>
      </c>
      <c r="AW421" s="449" t="s">
        <v>2368</v>
      </c>
      <c r="AX421" s="449" t="s">
        <v>2191</v>
      </c>
      <c r="AY421" s="449" t="s">
        <v>2369</v>
      </c>
      <c r="AZ421" s="449" t="s">
        <v>2191</v>
      </c>
      <c r="BA421" s="449" t="s">
        <v>2370</v>
      </c>
      <c r="BB421" s="449" t="s">
        <v>2191</v>
      </c>
      <c r="BC421" s="449" t="s">
        <v>2371</v>
      </c>
      <c r="BD421" s="449" t="s">
        <v>2191</v>
      </c>
      <c r="BE421" s="449" t="s">
        <v>2372</v>
      </c>
    </row>
    <row r="422">
      <c r="M422" s="226"/>
      <c r="N422" s="226"/>
      <c r="O422" s="226"/>
      <c r="P422" s="226"/>
      <c r="AN422" s="454" t="s">
        <v>974</v>
      </c>
      <c r="AO422" s="456">
        <v>0.0</v>
      </c>
      <c r="AP422" s="454" t="s">
        <v>974</v>
      </c>
      <c r="AQ422" s="456">
        <v>0.0</v>
      </c>
      <c r="AR422" s="454" t="s">
        <v>974</v>
      </c>
      <c r="AS422" s="456">
        <v>0.0</v>
      </c>
      <c r="AT422" s="454" t="s">
        <v>974</v>
      </c>
      <c r="AU422" s="456"/>
      <c r="AV422" s="454" t="s">
        <v>974</v>
      </c>
      <c r="AW422" s="456">
        <v>0.0</v>
      </c>
      <c r="AX422" s="454" t="s">
        <v>974</v>
      </c>
      <c r="AY422" s="456">
        <v>0.0</v>
      </c>
      <c r="AZ422" s="454" t="s">
        <v>974</v>
      </c>
      <c r="BA422" s="456">
        <v>0.0</v>
      </c>
      <c r="BB422" s="454" t="s">
        <v>974</v>
      </c>
      <c r="BC422" s="456">
        <v>0.0</v>
      </c>
      <c r="BD422" s="454" t="s">
        <v>974</v>
      </c>
      <c r="BE422" s="456">
        <v>0.0</v>
      </c>
    </row>
    <row r="423">
      <c r="M423" s="226"/>
      <c r="N423" s="226"/>
      <c r="O423" s="226"/>
      <c r="P423" s="226"/>
      <c r="AN423" s="454" t="s">
        <v>975</v>
      </c>
      <c r="AO423" s="456">
        <v>0.0</v>
      </c>
      <c r="AP423" s="454" t="s">
        <v>975</v>
      </c>
      <c r="AQ423" s="456">
        <v>0.0</v>
      </c>
      <c r="AR423" s="454" t="s">
        <v>975</v>
      </c>
      <c r="AS423" s="456">
        <v>0.0</v>
      </c>
      <c r="AT423" s="454" t="s">
        <v>975</v>
      </c>
      <c r="AU423" s="456"/>
      <c r="AV423" s="454" t="s">
        <v>975</v>
      </c>
      <c r="AW423" s="456">
        <v>0.0</v>
      </c>
      <c r="AX423" s="454" t="s">
        <v>975</v>
      </c>
      <c r="AY423" s="456">
        <v>0.0</v>
      </c>
      <c r="AZ423" s="454" t="s">
        <v>975</v>
      </c>
      <c r="BA423" s="456">
        <v>0.0</v>
      </c>
      <c r="BB423" s="454" t="s">
        <v>975</v>
      </c>
      <c r="BC423" s="456">
        <v>0.0</v>
      </c>
      <c r="BD423" s="454" t="s">
        <v>975</v>
      </c>
      <c r="BE423" s="456">
        <v>0.0</v>
      </c>
    </row>
    <row r="424">
      <c r="M424" s="226"/>
      <c r="N424" s="226"/>
      <c r="O424" s="226"/>
      <c r="P424" s="226"/>
      <c r="AN424" s="454" t="s">
        <v>976</v>
      </c>
      <c r="AO424" s="456">
        <v>0.0</v>
      </c>
      <c r="AP424" s="454" t="s">
        <v>976</v>
      </c>
      <c r="AQ424" s="456">
        <v>0.0</v>
      </c>
      <c r="AR424" s="454" t="s">
        <v>976</v>
      </c>
      <c r="AS424" s="456">
        <v>0.0</v>
      </c>
      <c r="AT424" s="454" t="s">
        <v>976</v>
      </c>
      <c r="AU424" s="456"/>
      <c r="AV424" s="454" t="s">
        <v>976</v>
      </c>
      <c r="AW424" s="456">
        <v>0.0</v>
      </c>
      <c r="AX424" s="454" t="s">
        <v>976</v>
      </c>
      <c r="AY424" s="456">
        <v>0.0</v>
      </c>
      <c r="AZ424" s="454" t="s">
        <v>976</v>
      </c>
      <c r="BA424" s="456">
        <v>0.0</v>
      </c>
      <c r="BB424" s="454" t="s">
        <v>976</v>
      </c>
      <c r="BC424" s="456">
        <v>0.0</v>
      </c>
      <c r="BD424" s="454" t="s">
        <v>976</v>
      </c>
      <c r="BE424" s="456">
        <v>0.0</v>
      </c>
    </row>
    <row r="425">
      <c r="M425" s="226"/>
      <c r="N425" s="226"/>
      <c r="O425" s="226"/>
      <c r="P425" s="226"/>
      <c r="AN425" s="454" t="s">
        <v>977</v>
      </c>
      <c r="AO425" s="456">
        <v>0.0</v>
      </c>
      <c r="AP425" s="454" t="s">
        <v>977</v>
      </c>
      <c r="AQ425" s="456">
        <v>1.0</v>
      </c>
      <c r="AR425" s="454" t="s">
        <v>977</v>
      </c>
      <c r="AS425" s="456">
        <v>0.0</v>
      </c>
      <c r="AT425" s="454" t="s">
        <v>977</v>
      </c>
      <c r="AU425" s="456" t="s">
        <v>2222</v>
      </c>
      <c r="AV425" s="454" t="s">
        <v>977</v>
      </c>
      <c r="AW425" s="456">
        <v>0.0</v>
      </c>
      <c r="AX425" s="454" t="s">
        <v>977</v>
      </c>
      <c r="AY425" s="456">
        <v>0.0</v>
      </c>
      <c r="AZ425" s="454" t="s">
        <v>977</v>
      </c>
      <c r="BA425" s="456">
        <v>0.0</v>
      </c>
      <c r="BB425" s="454" t="s">
        <v>977</v>
      </c>
      <c r="BC425" s="456">
        <v>4.0</v>
      </c>
      <c r="BD425" s="454" t="s">
        <v>977</v>
      </c>
      <c r="BE425" s="456">
        <v>0.0</v>
      </c>
    </row>
    <row r="426">
      <c r="M426" s="226"/>
      <c r="N426" s="226"/>
      <c r="O426" s="226"/>
      <c r="P426" s="226"/>
      <c r="AN426" s="454" t="s">
        <v>979</v>
      </c>
      <c r="AO426" s="456">
        <v>0.0</v>
      </c>
      <c r="AP426" s="454" t="s">
        <v>979</v>
      </c>
      <c r="AQ426" s="456">
        <v>0.0</v>
      </c>
      <c r="AR426" s="454" t="s">
        <v>979</v>
      </c>
      <c r="AS426" s="456">
        <v>0.0</v>
      </c>
      <c r="AT426" s="454" t="s">
        <v>979</v>
      </c>
      <c r="AU426" s="456"/>
      <c r="AV426" s="454" t="s">
        <v>979</v>
      </c>
      <c r="AW426" s="456">
        <v>0.0</v>
      </c>
      <c r="AX426" s="454" t="s">
        <v>979</v>
      </c>
      <c r="AY426" s="456">
        <v>0.0</v>
      </c>
      <c r="AZ426" s="454" t="s">
        <v>979</v>
      </c>
      <c r="BA426" s="456">
        <v>0.0</v>
      </c>
      <c r="BB426" s="454" t="s">
        <v>979</v>
      </c>
      <c r="BC426" s="456">
        <v>0.0</v>
      </c>
      <c r="BD426" s="454" t="s">
        <v>979</v>
      </c>
      <c r="BE426" s="456">
        <v>0.0</v>
      </c>
    </row>
    <row r="427">
      <c r="M427" s="226"/>
      <c r="N427" s="226"/>
      <c r="O427" s="226"/>
      <c r="P427" s="226"/>
      <c r="AN427" s="454" t="s">
        <v>981</v>
      </c>
      <c r="AO427" s="456">
        <v>2.0</v>
      </c>
      <c r="AP427" s="454" t="s">
        <v>981</v>
      </c>
      <c r="AQ427" s="456">
        <v>0.0</v>
      </c>
      <c r="AR427" s="454" t="s">
        <v>981</v>
      </c>
      <c r="AS427" s="456">
        <v>0.0</v>
      </c>
      <c r="AT427" s="454" t="s">
        <v>981</v>
      </c>
      <c r="AU427" s="456" t="s">
        <v>2238</v>
      </c>
      <c r="AV427" s="454" t="s">
        <v>981</v>
      </c>
      <c r="AW427" s="456">
        <v>0.0</v>
      </c>
      <c r="AX427" s="454" t="s">
        <v>981</v>
      </c>
      <c r="AY427" s="456">
        <v>0.0</v>
      </c>
      <c r="AZ427" s="454" t="s">
        <v>981</v>
      </c>
      <c r="BA427" s="456">
        <v>3.0</v>
      </c>
      <c r="BB427" s="454" t="s">
        <v>981</v>
      </c>
      <c r="BC427" s="456">
        <v>0.0</v>
      </c>
      <c r="BD427" s="454" t="s">
        <v>981</v>
      </c>
      <c r="BE427" s="456">
        <v>0.0</v>
      </c>
    </row>
    <row r="428">
      <c r="M428" s="226"/>
      <c r="N428" s="226"/>
      <c r="O428" s="226"/>
      <c r="P428" s="226"/>
      <c r="AN428" s="454" t="s">
        <v>983</v>
      </c>
      <c r="AO428" s="456">
        <v>0.0</v>
      </c>
      <c r="AP428" s="515" t="s">
        <v>983</v>
      </c>
      <c r="AQ428" s="457">
        <v>0.0</v>
      </c>
      <c r="AR428" s="454" t="s">
        <v>983</v>
      </c>
      <c r="AS428" s="457">
        <v>0.0</v>
      </c>
      <c r="AT428" s="454" t="s">
        <v>983</v>
      </c>
      <c r="AU428" s="457">
        <v>0.0</v>
      </c>
      <c r="AV428" s="454" t="s">
        <v>983</v>
      </c>
      <c r="AW428" s="457">
        <v>0.0</v>
      </c>
      <c r="AX428" s="454" t="s">
        <v>983</v>
      </c>
      <c r="AY428" s="457">
        <v>0.0</v>
      </c>
      <c r="AZ428" s="454" t="s">
        <v>983</v>
      </c>
      <c r="BA428" s="457">
        <v>0.0</v>
      </c>
      <c r="BB428" s="454" t="s">
        <v>983</v>
      </c>
      <c r="BC428" s="457">
        <v>0.0</v>
      </c>
      <c r="BD428" s="454" t="s">
        <v>983</v>
      </c>
      <c r="BE428" s="457">
        <v>0.0</v>
      </c>
    </row>
    <row r="429">
      <c r="M429" s="226"/>
      <c r="N429" s="226"/>
      <c r="O429" s="226"/>
      <c r="P429" s="226"/>
      <c r="AN429" s="454" t="s">
        <v>985</v>
      </c>
      <c r="AO429" s="456">
        <v>0.0</v>
      </c>
      <c r="AP429" s="515" t="s">
        <v>985</v>
      </c>
      <c r="AQ429" s="457">
        <v>0.0</v>
      </c>
      <c r="AR429" s="454" t="s">
        <v>985</v>
      </c>
      <c r="AS429" s="457">
        <v>0.0</v>
      </c>
      <c r="AT429" s="454" t="s">
        <v>985</v>
      </c>
      <c r="AU429" s="457">
        <v>0.0</v>
      </c>
      <c r="AV429" s="454" t="s">
        <v>985</v>
      </c>
      <c r="AW429" s="457">
        <v>0.0</v>
      </c>
      <c r="AX429" s="454" t="s">
        <v>985</v>
      </c>
      <c r="AY429" s="457">
        <v>0.0</v>
      </c>
      <c r="AZ429" s="454" t="s">
        <v>985</v>
      </c>
      <c r="BA429" s="457">
        <v>0.0</v>
      </c>
      <c r="BB429" s="454" t="s">
        <v>985</v>
      </c>
      <c r="BC429" s="457">
        <v>0.0</v>
      </c>
      <c r="BD429" s="454" t="s">
        <v>985</v>
      </c>
      <c r="BE429" s="457">
        <v>0.0</v>
      </c>
    </row>
    <row r="430">
      <c r="M430" s="226"/>
      <c r="N430" s="226"/>
      <c r="O430" s="226"/>
      <c r="P430" s="226"/>
      <c r="AN430" s="454" t="s">
        <v>987</v>
      </c>
      <c r="AO430" s="456">
        <v>0.0</v>
      </c>
      <c r="AP430" s="515" t="s">
        <v>987</v>
      </c>
      <c r="AQ430" s="457">
        <v>0.0</v>
      </c>
      <c r="AR430" s="454" t="s">
        <v>987</v>
      </c>
      <c r="AS430" s="457">
        <v>0.0</v>
      </c>
      <c r="AT430" s="454" t="s">
        <v>987</v>
      </c>
      <c r="AU430" s="457">
        <v>0.0</v>
      </c>
      <c r="AV430" s="454" t="s">
        <v>987</v>
      </c>
      <c r="AW430" s="457">
        <v>0.0</v>
      </c>
      <c r="AX430" s="454" t="s">
        <v>987</v>
      </c>
      <c r="AY430" s="457">
        <v>0.0</v>
      </c>
      <c r="AZ430" s="454" t="s">
        <v>987</v>
      </c>
      <c r="BA430" s="457">
        <v>0.0</v>
      </c>
      <c r="BB430" s="454" t="s">
        <v>987</v>
      </c>
      <c r="BC430" s="457">
        <v>0.0</v>
      </c>
      <c r="BD430" s="454" t="s">
        <v>987</v>
      </c>
      <c r="BE430" s="457">
        <v>0.0</v>
      </c>
    </row>
    <row r="431">
      <c r="M431" s="226"/>
      <c r="N431" s="226"/>
      <c r="O431" s="226"/>
      <c r="P431" s="226"/>
      <c r="AN431" s="454" t="s">
        <v>988</v>
      </c>
      <c r="AO431" s="456">
        <v>0.0</v>
      </c>
      <c r="AP431" s="515" t="s">
        <v>988</v>
      </c>
      <c r="AQ431" s="457">
        <v>0.0</v>
      </c>
      <c r="AR431" s="454" t="s">
        <v>988</v>
      </c>
      <c r="AS431" s="457">
        <v>0.0</v>
      </c>
      <c r="AT431" s="454" t="s">
        <v>988</v>
      </c>
      <c r="AU431" s="457">
        <v>0.0</v>
      </c>
      <c r="AV431" s="454" t="s">
        <v>988</v>
      </c>
      <c r="AW431" s="457">
        <v>0.0</v>
      </c>
      <c r="AX431" s="454" t="s">
        <v>988</v>
      </c>
      <c r="AY431" s="457">
        <v>0.0</v>
      </c>
      <c r="AZ431" s="454" t="s">
        <v>988</v>
      </c>
      <c r="BA431" s="457">
        <v>0.0</v>
      </c>
      <c r="BB431" s="454" t="s">
        <v>988</v>
      </c>
      <c r="BC431" s="457">
        <v>0.0</v>
      </c>
      <c r="BD431" s="454" t="s">
        <v>988</v>
      </c>
      <c r="BE431" s="457">
        <v>0.0</v>
      </c>
    </row>
    <row r="432">
      <c r="M432" s="226"/>
      <c r="N432" s="226"/>
      <c r="O432" s="226"/>
      <c r="P432" s="226"/>
      <c r="AN432" s="454" t="s">
        <v>989</v>
      </c>
      <c r="AO432" s="456">
        <v>0.0</v>
      </c>
      <c r="AP432" s="515" t="s">
        <v>989</v>
      </c>
      <c r="AQ432" s="457">
        <v>0.0</v>
      </c>
      <c r="AR432" s="454" t="s">
        <v>989</v>
      </c>
      <c r="AS432" s="457">
        <v>0.0</v>
      </c>
      <c r="AT432" s="454" t="s">
        <v>989</v>
      </c>
      <c r="AU432" s="457">
        <v>0.0</v>
      </c>
      <c r="AV432" s="454" t="s">
        <v>989</v>
      </c>
      <c r="AW432" s="457">
        <v>0.0</v>
      </c>
      <c r="AX432" s="454" t="s">
        <v>989</v>
      </c>
      <c r="AY432" s="457">
        <v>0.0</v>
      </c>
      <c r="AZ432" s="454" t="s">
        <v>989</v>
      </c>
      <c r="BA432" s="457">
        <v>0.0</v>
      </c>
      <c r="BB432" s="454" t="s">
        <v>989</v>
      </c>
      <c r="BC432" s="457">
        <v>0.0</v>
      </c>
      <c r="BD432" s="454" t="s">
        <v>989</v>
      </c>
      <c r="BE432" s="457">
        <v>0.0</v>
      </c>
    </row>
    <row r="433">
      <c r="M433" s="226"/>
      <c r="N433" s="226"/>
      <c r="O433" s="226"/>
      <c r="P433" s="226"/>
      <c r="AN433" s="454" t="s">
        <v>992</v>
      </c>
      <c r="AO433" s="456">
        <v>0.0</v>
      </c>
      <c r="AP433" s="515" t="s">
        <v>992</v>
      </c>
      <c r="AQ433" s="457">
        <v>0.0</v>
      </c>
      <c r="AR433" s="454" t="s">
        <v>992</v>
      </c>
      <c r="AS433" s="457">
        <v>0.0</v>
      </c>
      <c r="AT433" s="454" t="s">
        <v>992</v>
      </c>
      <c r="AU433" s="457">
        <v>0.0</v>
      </c>
      <c r="AV433" s="454" t="s">
        <v>992</v>
      </c>
      <c r="AW433" s="457">
        <v>0.0</v>
      </c>
      <c r="AX433" s="454" t="s">
        <v>992</v>
      </c>
      <c r="AY433" s="457">
        <v>0.0</v>
      </c>
      <c r="AZ433" s="454" t="s">
        <v>992</v>
      </c>
      <c r="BA433" s="457">
        <v>0.0</v>
      </c>
      <c r="BB433" s="454" t="s">
        <v>992</v>
      </c>
      <c r="BC433" s="457">
        <v>0.0</v>
      </c>
      <c r="BD433" s="454" t="s">
        <v>992</v>
      </c>
      <c r="BE433" s="457">
        <v>0.0</v>
      </c>
    </row>
    <row r="434">
      <c r="M434" s="226"/>
      <c r="N434" s="226"/>
      <c r="O434" s="226"/>
      <c r="P434" s="226"/>
      <c r="AN434" s="454" t="s">
        <v>994</v>
      </c>
      <c r="AO434" s="456">
        <v>0.0</v>
      </c>
      <c r="AP434" s="515" t="s">
        <v>994</v>
      </c>
      <c r="AQ434" s="457">
        <v>0.0</v>
      </c>
      <c r="AR434" s="454" t="s">
        <v>994</v>
      </c>
      <c r="AS434" s="457">
        <v>0.0</v>
      </c>
      <c r="AT434" s="454" t="s">
        <v>994</v>
      </c>
      <c r="AU434" s="457">
        <v>0.0</v>
      </c>
      <c r="AV434" s="454" t="s">
        <v>994</v>
      </c>
      <c r="AW434" s="457">
        <v>0.0</v>
      </c>
      <c r="AX434" s="454" t="s">
        <v>994</v>
      </c>
      <c r="AY434" s="457">
        <v>0.0</v>
      </c>
      <c r="AZ434" s="454" t="s">
        <v>994</v>
      </c>
      <c r="BA434" s="457">
        <v>0.0</v>
      </c>
      <c r="BB434" s="454" t="s">
        <v>994</v>
      </c>
      <c r="BC434" s="457">
        <v>0.0</v>
      </c>
      <c r="BD434" s="454" t="s">
        <v>994</v>
      </c>
      <c r="BE434" s="457">
        <v>0.0</v>
      </c>
    </row>
    <row r="435">
      <c r="M435" s="226"/>
      <c r="N435" s="226"/>
      <c r="O435" s="226"/>
      <c r="P435" s="226"/>
      <c r="AS435" s="112"/>
      <c r="AT435" s="112"/>
      <c r="AU435" s="112"/>
      <c r="AV435" s="112"/>
    </row>
    <row r="436">
      <c r="M436" s="226"/>
      <c r="N436" s="226"/>
      <c r="O436" s="226"/>
      <c r="P436" s="226"/>
      <c r="AS436" s="112"/>
      <c r="AT436" s="112"/>
      <c r="AU436" s="112"/>
      <c r="AV436" s="112"/>
    </row>
    <row r="437">
      <c r="M437" s="226"/>
      <c r="N437" s="226"/>
      <c r="O437" s="226"/>
      <c r="P437" s="226"/>
      <c r="AS437" s="112"/>
      <c r="AT437" s="112"/>
      <c r="AU437" s="112"/>
      <c r="AV437" s="112"/>
    </row>
    <row r="438">
      <c r="M438" s="226"/>
      <c r="N438" s="226"/>
      <c r="O438" s="226"/>
      <c r="P438" s="226"/>
      <c r="AS438" s="112"/>
      <c r="AT438" s="112"/>
      <c r="AU438" s="112"/>
      <c r="AV438" s="112"/>
    </row>
    <row r="439">
      <c r="M439" s="226"/>
      <c r="N439" s="226"/>
      <c r="O439" s="226"/>
      <c r="P439" s="226"/>
      <c r="AN439" s="458" t="s">
        <v>2373</v>
      </c>
      <c r="AO439" s="651"/>
      <c r="AP439" s="651"/>
      <c r="AQ439" s="651"/>
      <c r="AS439" s="449" t="s">
        <v>2062</v>
      </c>
      <c r="AT439" s="450" t="s">
        <v>2374</v>
      </c>
      <c r="AU439" s="449" t="s">
        <v>2062</v>
      </c>
      <c r="AV439" s="450" t="s">
        <v>2375</v>
      </c>
      <c r="AW439" s="449" t="s">
        <v>2084</v>
      </c>
      <c r="AX439" s="450" t="s">
        <v>2141</v>
      </c>
      <c r="AY439" s="449" t="s">
        <v>2062</v>
      </c>
      <c r="AZ439" s="450" t="s">
        <v>2531</v>
      </c>
      <c r="BA439" s="449" t="s">
        <v>2084</v>
      </c>
      <c r="BB439" s="450" t="s">
        <v>2532</v>
      </c>
    </row>
    <row r="440">
      <c r="M440" s="226"/>
      <c r="N440" s="226"/>
      <c r="O440" s="226"/>
      <c r="P440" s="226"/>
      <c r="AN440" s="449" t="s">
        <v>2209</v>
      </c>
      <c r="AO440" s="450" t="s">
        <v>2210</v>
      </c>
      <c r="AP440" s="449" t="s">
        <v>2211</v>
      </c>
      <c r="AQ440" s="450" t="s">
        <v>2212</v>
      </c>
      <c r="AS440" s="454" t="s">
        <v>1008</v>
      </c>
      <c r="AT440" s="457">
        <v>114.4</v>
      </c>
      <c r="AU440" s="454" t="s">
        <v>1008</v>
      </c>
      <c r="AV440" s="457">
        <v>2.6</v>
      </c>
      <c r="AW440" s="454" t="s">
        <v>1041</v>
      </c>
      <c r="AX440" s="457">
        <v>2.6</v>
      </c>
      <c r="AY440" s="454" t="s">
        <v>1008</v>
      </c>
      <c r="AZ440" s="457" t="s">
        <v>2533</v>
      </c>
      <c r="BA440" s="454" t="s">
        <v>1041</v>
      </c>
      <c r="BB440" s="457" t="s">
        <v>2533</v>
      </c>
    </row>
    <row r="441">
      <c r="M441" s="226"/>
      <c r="N441" s="226"/>
      <c r="O441" s="226"/>
      <c r="P441" s="226"/>
      <c r="AN441" s="456" t="s">
        <v>658</v>
      </c>
      <c r="AO441" s="457">
        <v>0.0</v>
      </c>
      <c r="AP441" s="456" t="s">
        <v>658</v>
      </c>
      <c r="AQ441" s="457">
        <v>1.0</v>
      </c>
      <c r="AS441" s="454" t="s">
        <v>1009</v>
      </c>
      <c r="AT441" s="457">
        <v>109.3</v>
      </c>
      <c r="AU441" s="454" t="s">
        <v>1009</v>
      </c>
      <c r="AV441" s="457">
        <v>2.8</v>
      </c>
      <c r="AW441" s="454" t="s">
        <v>1009</v>
      </c>
      <c r="AX441" s="457">
        <v>1.4</v>
      </c>
      <c r="AY441" s="454" t="s">
        <v>1009</v>
      </c>
      <c r="AZ441" s="457" t="s">
        <v>583</v>
      </c>
      <c r="BA441" s="454" t="s">
        <v>1009</v>
      </c>
      <c r="BB441" s="457" t="s">
        <v>583</v>
      </c>
    </row>
    <row r="442">
      <c r="M442" s="226"/>
      <c r="N442" s="226"/>
      <c r="O442" s="226"/>
      <c r="P442" s="226"/>
      <c r="AN442" s="456" t="s">
        <v>662</v>
      </c>
      <c r="AO442" s="457">
        <v>0.0</v>
      </c>
      <c r="AP442" s="456" t="s">
        <v>662</v>
      </c>
      <c r="AQ442" s="457">
        <v>0.0</v>
      </c>
      <c r="AS442" s="454" t="s">
        <v>1011</v>
      </c>
      <c r="AT442" s="457">
        <v>107.9</v>
      </c>
      <c r="AU442" s="454" t="s">
        <v>1011</v>
      </c>
      <c r="AV442" s="457">
        <v>2.6</v>
      </c>
      <c r="AW442" s="454" t="s">
        <v>1042</v>
      </c>
      <c r="AX442" s="457">
        <v>1.5</v>
      </c>
      <c r="AY442" s="454" t="s">
        <v>1011</v>
      </c>
      <c r="AZ442" s="457" t="s">
        <v>583</v>
      </c>
      <c r="BA442" s="454" t="s">
        <v>1042</v>
      </c>
      <c r="BB442" s="457" t="s">
        <v>2533</v>
      </c>
    </row>
    <row r="443">
      <c r="M443" s="226"/>
      <c r="N443" s="226"/>
      <c r="O443" s="226"/>
      <c r="P443" s="226"/>
      <c r="AN443" s="456" t="s">
        <v>664</v>
      </c>
      <c r="AO443" s="457">
        <v>0.0</v>
      </c>
      <c r="AP443" s="456" t="s">
        <v>664</v>
      </c>
      <c r="AQ443" s="457">
        <v>0.0</v>
      </c>
      <c r="AS443" s="454" t="s">
        <v>1012</v>
      </c>
      <c r="AT443" s="457">
        <v>107.9</v>
      </c>
      <c r="AU443" s="454" t="s">
        <v>1012</v>
      </c>
      <c r="AV443" s="457">
        <v>2.6</v>
      </c>
      <c r="AW443" s="454" t="s">
        <v>1011</v>
      </c>
      <c r="AX443" s="457">
        <v>2.6</v>
      </c>
      <c r="AY443" s="454" t="s">
        <v>1012</v>
      </c>
      <c r="AZ443" s="457" t="s">
        <v>583</v>
      </c>
      <c r="BA443" s="454" t="s">
        <v>1011</v>
      </c>
      <c r="BB443" s="457" t="s">
        <v>583</v>
      </c>
    </row>
    <row r="444">
      <c r="M444" s="226"/>
      <c r="N444" s="226"/>
      <c r="O444" s="226"/>
      <c r="P444" s="226"/>
      <c r="AN444" s="456" t="s">
        <v>666</v>
      </c>
      <c r="AO444" s="457">
        <v>0.0</v>
      </c>
      <c r="AP444" s="456" t="s">
        <v>666</v>
      </c>
      <c r="AQ444" s="457">
        <v>0.0</v>
      </c>
      <c r="AS444" s="454" t="s">
        <v>1013</v>
      </c>
      <c r="AT444" s="457">
        <v>103.0</v>
      </c>
      <c r="AU444" s="454" t="s">
        <v>1013</v>
      </c>
      <c r="AV444" s="457">
        <v>2.5</v>
      </c>
      <c r="AW444" s="454" t="s">
        <v>1043</v>
      </c>
      <c r="AX444" s="457">
        <v>1.5</v>
      </c>
      <c r="AY444" s="454" t="s">
        <v>1013</v>
      </c>
      <c r="AZ444" s="457" t="s">
        <v>2533</v>
      </c>
      <c r="BA444" s="454" t="s">
        <v>1043</v>
      </c>
      <c r="BB444" s="457" t="s">
        <v>583</v>
      </c>
    </row>
    <row r="445">
      <c r="M445" s="226"/>
      <c r="N445" s="226"/>
      <c r="O445" s="226"/>
      <c r="P445" s="226"/>
      <c r="AN445" s="456" t="s">
        <v>668</v>
      </c>
      <c r="AO445" s="457">
        <v>1.0</v>
      </c>
      <c r="AP445" s="456" t="s">
        <v>668</v>
      </c>
      <c r="AQ445" s="457">
        <v>0.0</v>
      </c>
      <c r="AS445" s="454" t="s">
        <v>1018</v>
      </c>
      <c r="AT445" s="457">
        <v>103.1</v>
      </c>
      <c r="AU445" s="454" t="s">
        <v>1018</v>
      </c>
      <c r="AV445" s="457">
        <v>2.6</v>
      </c>
      <c r="AW445" s="454" t="s">
        <v>1012</v>
      </c>
      <c r="AX445" s="457">
        <v>2.6</v>
      </c>
      <c r="AY445" s="454" t="s">
        <v>1018</v>
      </c>
      <c r="AZ445" s="457" t="s">
        <v>583</v>
      </c>
      <c r="BA445" s="454" t="s">
        <v>1012</v>
      </c>
      <c r="BB445" s="457" t="s">
        <v>583</v>
      </c>
    </row>
    <row r="446">
      <c r="M446" s="226"/>
      <c r="N446" s="226"/>
      <c r="O446" s="226"/>
      <c r="P446" s="226"/>
      <c r="AN446" s="456" t="s">
        <v>672</v>
      </c>
      <c r="AO446" s="457">
        <v>1.0</v>
      </c>
      <c r="AP446" s="456" t="s">
        <v>672</v>
      </c>
      <c r="AQ446" s="457">
        <v>0.0</v>
      </c>
      <c r="AS446" s="454" t="s">
        <v>1055</v>
      </c>
      <c r="AT446" s="457">
        <v>97.6</v>
      </c>
      <c r="AU446" s="454" t="s">
        <v>1055</v>
      </c>
      <c r="AV446" s="457">
        <v>2.7</v>
      </c>
      <c r="AW446" s="454" t="s">
        <v>1046</v>
      </c>
      <c r="AX446" s="457">
        <v>2.5</v>
      </c>
      <c r="AY446" s="454" t="s">
        <v>1055</v>
      </c>
      <c r="AZ446" s="457" t="s">
        <v>2534</v>
      </c>
      <c r="BA446" s="454" t="s">
        <v>1046</v>
      </c>
      <c r="BB446" s="457" t="s">
        <v>2533</v>
      </c>
    </row>
    <row r="447">
      <c r="M447" s="226"/>
      <c r="N447" s="226"/>
      <c r="O447" s="226"/>
      <c r="P447" s="226"/>
      <c r="AN447" s="456" t="s">
        <v>680</v>
      </c>
      <c r="AO447" s="457">
        <v>0.0</v>
      </c>
      <c r="AP447" s="456" t="s">
        <v>680</v>
      </c>
      <c r="AQ447" s="457">
        <v>0.0</v>
      </c>
      <c r="AS447" s="454" t="s">
        <v>1019</v>
      </c>
      <c r="AT447" s="457">
        <v>100.2</v>
      </c>
      <c r="AU447" s="454" t="s">
        <v>1019</v>
      </c>
      <c r="AV447" s="457">
        <v>2.6</v>
      </c>
      <c r="AW447" s="454" t="s">
        <v>1018</v>
      </c>
      <c r="AX447" s="457">
        <v>2.6</v>
      </c>
      <c r="AY447" s="454" t="s">
        <v>1019</v>
      </c>
      <c r="AZ447" s="457" t="s">
        <v>583</v>
      </c>
      <c r="BA447" s="454" t="s">
        <v>1018</v>
      </c>
      <c r="BB447" s="457" t="s">
        <v>583</v>
      </c>
    </row>
    <row r="448">
      <c r="M448" s="226"/>
      <c r="N448" s="226"/>
      <c r="O448" s="226"/>
      <c r="P448" s="226"/>
      <c r="AN448" s="456" t="s">
        <v>686</v>
      </c>
      <c r="AO448" s="457">
        <v>0.0</v>
      </c>
      <c r="AP448" s="456" t="s">
        <v>686</v>
      </c>
      <c r="AQ448" s="457">
        <v>0.0</v>
      </c>
      <c r="AS448" s="454" t="s">
        <v>1026</v>
      </c>
      <c r="AT448" s="457">
        <v>100.2</v>
      </c>
      <c r="AU448" s="454" t="s">
        <v>1026</v>
      </c>
      <c r="AV448" s="457">
        <v>2.6</v>
      </c>
      <c r="AW448" s="454" t="s">
        <v>1019</v>
      </c>
      <c r="AX448" s="457">
        <v>2.6</v>
      </c>
      <c r="AY448" s="454" t="s">
        <v>1026</v>
      </c>
      <c r="AZ448" s="457" t="s">
        <v>1133</v>
      </c>
      <c r="BA448" s="454" t="s">
        <v>1019</v>
      </c>
      <c r="BB448" s="457" t="s">
        <v>583</v>
      </c>
    </row>
    <row r="449">
      <c r="M449" s="226"/>
      <c r="N449" s="226"/>
      <c r="O449" s="226"/>
      <c r="P449" s="226"/>
      <c r="AS449" s="454" t="s">
        <v>1024</v>
      </c>
      <c r="AT449" s="457">
        <v>96.5</v>
      </c>
      <c r="AU449" s="454" t="s">
        <v>1024</v>
      </c>
      <c r="AV449" s="457">
        <v>2.7</v>
      </c>
      <c r="AW449" s="454" t="s">
        <v>1026</v>
      </c>
      <c r="AX449" s="457">
        <v>2.6</v>
      </c>
      <c r="AY449" s="454" t="s">
        <v>1024</v>
      </c>
      <c r="AZ449" s="457" t="s">
        <v>2533</v>
      </c>
      <c r="BA449" s="454" t="s">
        <v>1026</v>
      </c>
      <c r="BB449" s="457" t="s">
        <v>1133</v>
      </c>
    </row>
    <row r="450">
      <c r="M450" s="226"/>
      <c r="N450" s="226"/>
      <c r="O450" s="226"/>
      <c r="P450" s="226"/>
      <c r="AN450" s="449" t="s">
        <v>2226</v>
      </c>
      <c r="AO450" s="450" t="s">
        <v>2226</v>
      </c>
      <c r="AP450" s="449" t="s">
        <v>2227</v>
      </c>
      <c r="AQ450" s="450" t="s">
        <v>2228</v>
      </c>
      <c r="AS450" s="454" t="s">
        <v>1020</v>
      </c>
      <c r="AT450" s="457">
        <v>100.2</v>
      </c>
      <c r="AU450" s="454" t="s">
        <v>1020</v>
      </c>
      <c r="AV450" s="457">
        <v>2.7</v>
      </c>
      <c r="AW450" s="614" t="s">
        <v>1048</v>
      </c>
      <c r="AX450" s="457">
        <v>1.5</v>
      </c>
      <c r="AY450" s="454" t="s">
        <v>1020</v>
      </c>
      <c r="AZ450" s="457" t="s">
        <v>2534</v>
      </c>
      <c r="BA450" s="614" t="s">
        <v>1048</v>
      </c>
      <c r="BB450" s="457" t="s">
        <v>2533</v>
      </c>
    </row>
    <row r="451">
      <c r="M451" s="226"/>
      <c r="N451" s="226"/>
      <c r="O451" s="226"/>
      <c r="P451" s="226"/>
      <c r="AN451" s="456" t="s">
        <v>694</v>
      </c>
      <c r="AO451" s="457">
        <v>2.0</v>
      </c>
      <c r="AP451" s="456" t="s">
        <v>694</v>
      </c>
      <c r="AQ451" s="457">
        <v>0.0</v>
      </c>
      <c r="AS451" s="454" t="s">
        <v>1022</v>
      </c>
      <c r="AT451" s="457">
        <v>100.2</v>
      </c>
      <c r="AU451" s="454" t="s">
        <v>1022</v>
      </c>
      <c r="AV451" s="457">
        <v>2.8</v>
      </c>
      <c r="AW451" s="614" t="s">
        <v>1052</v>
      </c>
      <c r="AX451" s="457">
        <v>1.5</v>
      </c>
      <c r="AY451" s="454" t="s">
        <v>1022</v>
      </c>
      <c r="AZ451" s="457" t="s">
        <v>2534</v>
      </c>
      <c r="BA451" s="614" t="s">
        <v>1052</v>
      </c>
      <c r="BB451" s="457" t="s">
        <v>2534</v>
      </c>
    </row>
    <row r="452">
      <c r="M452" s="226"/>
      <c r="N452" s="226"/>
      <c r="O452" s="226"/>
      <c r="P452" s="226"/>
      <c r="AN452" s="456" t="s">
        <v>696</v>
      </c>
      <c r="AO452" s="457">
        <v>2.0</v>
      </c>
      <c r="AP452" s="456" t="s">
        <v>696</v>
      </c>
      <c r="AQ452" s="457">
        <v>0.0</v>
      </c>
      <c r="AS452" s="454" t="s">
        <v>1028</v>
      </c>
      <c r="AT452" s="536">
        <v>100.2</v>
      </c>
      <c r="AU452" s="515" t="s">
        <v>1028</v>
      </c>
      <c r="AV452" s="457">
        <v>2.7</v>
      </c>
      <c r="AW452" s="614" t="s">
        <v>1053</v>
      </c>
      <c r="AX452" s="457">
        <v>1.4</v>
      </c>
      <c r="AY452" s="515" t="s">
        <v>1028</v>
      </c>
      <c r="AZ452" s="457" t="s">
        <v>2533</v>
      </c>
      <c r="BA452" s="614" t="s">
        <v>1053</v>
      </c>
      <c r="BB452" s="457" t="s">
        <v>583</v>
      </c>
    </row>
    <row r="453">
      <c r="M453" s="226"/>
      <c r="N453" s="226"/>
      <c r="O453" s="226"/>
      <c r="P453" s="226"/>
      <c r="AN453" s="456" t="s">
        <v>697</v>
      </c>
      <c r="AO453" s="457">
        <v>1.0</v>
      </c>
      <c r="AP453" s="456" t="s">
        <v>697</v>
      </c>
      <c r="AQ453" s="457">
        <v>1.0</v>
      </c>
      <c r="AS453" s="454" t="s">
        <v>1031</v>
      </c>
      <c r="AT453" s="536">
        <v>97.6</v>
      </c>
      <c r="AU453" s="515" t="s">
        <v>1031</v>
      </c>
      <c r="AV453" s="457">
        <v>2.7</v>
      </c>
      <c r="AW453" s="454" t="s">
        <v>1020</v>
      </c>
      <c r="AX453" s="457">
        <v>2.7</v>
      </c>
      <c r="AY453" s="515" t="s">
        <v>1031</v>
      </c>
      <c r="AZ453" s="457" t="s">
        <v>1133</v>
      </c>
      <c r="BA453" s="454" t="s">
        <v>1020</v>
      </c>
      <c r="BB453" s="457" t="s">
        <v>2534</v>
      </c>
    </row>
    <row r="454">
      <c r="M454" s="226"/>
      <c r="N454" s="226"/>
      <c r="O454" s="226"/>
      <c r="P454" s="226"/>
      <c r="AN454" s="456" t="s">
        <v>700</v>
      </c>
      <c r="AO454" s="457">
        <v>2.0</v>
      </c>
      <c r="AP454" s="456" t="s">
        <v>700</v>
      </c>
      <c r="AQ454" s="457">
        <v>0.0</v>
      </c>
      <c r="AS454" s="454" t="s">
        <v>1033</v>
      </c>
      <c r="AT454" s="536">
        <v>97.7</v>
      </c>
      <c r="AU454" s="515" t="s">
        <v>1033</v>
      </c>
      <c r="AV454" s="457">
        <v>2.6</v>
      </c>
      <c r="AW454" s="454" t="s">
        <v>1022</v>
      </c>
      <c r="AX454" s="457">
        <v>2.8</v>
      </c>
      <c r="AY454" s="515" t="s">
        <v>1033</v>
      </c>
      <c r="AZ454" s="457" t="s">
        <v>583</v>
      </c>
      <c r="BA454" s="454" t="s">
        <v>1022</v>
      </c>
      <c r="BB454" s="457" t="s">
        <v>2534</v>
      </c>
    </row>
    <row r="455">
      <c r="M455" s="226"/>
      <c r="N455" s="226"/>
      <c r="O455" s="226"/>
      <c r="P455" s="226"/>
      <c r="AN455" s="456" t="s">
        <v>1969</v>
      </c>
      <c r="AO455" s="457">
        <v>0.0</v>
      </c>
      <c r="AP455" s="456" t="s">
        <v>1969</v>
      </c>
      <c r="AQ455" s="457">
        <v>0.0</v>
      </c>
      <c r="AS455" s="454" t="s">
        <v>1035</v>
      </c>
      <c r="AT455" s="536">
        <v>96.5</v>
      </c>
      <c r="AU455" s="515" t="s">
        <v>1035</v>
      </c>
      <c r="AV455" s="457">
        <v>2.7</v>
      </c>
      <c r="AW455" s="515" t="s">
        <v>1031</v>
      </c>
      <c r="AX455" s="457">
        <v>2.7</v>
      </c>
      <c r="AY455" s="515" t="s">
        <v>1035</v>
      </c>
      <c r="AZ455" s="457" t="s">
        <v>583</v>
      </c>
      <c r="BA455" s="515" t="s">
        <v>1031</v>
      </c>
      <c r="BB455" s="457" t="s">
        <v>1133</v>
      </c>
    </row>
    <row r="456">
      <c r="M456" s="226"/>
      <c r="N456" s="226"/>
      <c r="O456" s="226"/>
      <c r="P456" s="226"/>
      <c r="AN456" s="456" t="s">
        <v>703</v>
      </c>
      <c r="AO456" s="457">
        <v>1.0</v>
      </c>
      <c r="AP456" s="456" t="s">
        <v>703</v>
      </c>
      <c r="AQ456" s="457">
        <v>1.0</v>
      </c>
      <c r="AU456" s="614" t="s">
        <v>1053</v>
      </c>
      <c r="AV456" s="457">
        <v>1.4</v>
      </c>
      <c r="AW456" s="515" t="s">
        <v>1033</v>
      </c>
      <c r="AX456" s="457">
        <v>2.6</v>
      </c>
      <c r="AY456" s="614" t="s">
        <v>1053</v>
      </c>
      <c r="AZ456" s="457" t="s">
        <v>583</v>
      </c>
      <c r="BA456" s="515" t="s">
        <v>1033</v>
      </c>
      <c r="BB456" s="457" t="s">
        <v>583</v>
      </c>
    </row>
    <row r="457">
      <c r="M457" s="226"/>
      <c r="N457" s="226"/>
      <c r="O457" s="226"/>
      <c r="P457" s="226"/>
      <c r="AN457" s="456" t="s">
        <v>707</v>
      </c>
      <c r="AO457" s="457">
        <v>0.0</v>
      </c>
      <c r="AP457" s="456" t="s">
        <v>707</v>
      </c>
      <c r="AQ457" s="457">
        <v>2.0</v>
      </c>
      <c r="AU457" s="614" t="s">
        <v>1052</v>
      </c>
      <c r="AV457" s="457">
        <v>1.5</v>
      </c>
      <c r="AW457" s="515" t="s">
        <v>1035</v>
      </c>
      <c r="AX457" s="457">
        <v>2.7</v>
      </c>
      <c r="AY457" s="614" t="s">
        <v>1052</v>
      </c>
      <c r="AZ457" s="457" t="s">
        <v>2534</v>
      </c>
      <c r="BA457" s="515" t="s">
        <v>1035</v>
      </c>
      <c r="BB457" s="457" t="s">
        <v>583</v>
      </c>
    </row>
    <row r="458">
      <c r="M458" s="226"/>
      <c r="N458" s="226"/>
      <c r="O458" s="226"/>
      <c r="P458" s="226"/>
      <c r="AN458" s="456" t="s">
        <v>709</v>
      </c>
      <c r="AO458" s="457">
        <v>1.0</v>
      </c>
      <c r="AP458" s="456" t="s">
        <v>709</v>
      </c>
      <c r="AQ458" s="457">
        <v>0.0</v>
      </c>
      <c r="AS458" s="449" t="s">
        <v>2084</v>
      </c>
      <c r="AT458" s="450" t="s">
        <v>2376</v>
      </c>
      <c r="AU458" s="454" t="s">
        <v>2535</v>
      </c>
      <c r="AV458" s="457">
        <v>1.8</v>
      </c>
      <c r="AW458" s="454" t="s">
        <v>1055</v>
      </c>
      <c r="AX458" s="457">
        <v>2.7</v>
      </c>
      <c r="AY458" s="454" t="s">
        <v>2535</v>
      </c>
      <c r="AZ458" s="457" t="s">
        <v>2536</v>
      </c>
      <c r="BA458" s="454" t="s">
        <v>1055</v>
      </c>
      <c r="BB458" s="457" t="s">
        <v>2534</v>
      </c>
    </row>
    <row r="459">
      <c r="M459" s="226"/>
      <c r="N459" s="226"/>
      <c r="O459" s="226"/>
      <c r="P459" s="226"/>
      <c r="AN459" s="456" t="s">
        <v>713</v>
      </c>
      <c r="AO459" s="457">
        <v>0.0</v>
      </c>
      <c r="AP459" s="456" t="s">
        <v>713</v>
      </c>
      <c r="AQ459" s="457">
        <v>0.0</v>
      </c>
      <c r="AS459" s="454" t="s">
        <v>1041</v>
      </c>
      <c r="AT459" s="457">
        <v>107.9</v>
      </c>
      <c r="AU459" s="454" t="s">
        <v>2537</v>
      </c>
      <c r="AV459" s="536">
        <v>1.8</v>
      </c>
      <c r="AW459" s="454" t="s">
        <v>2535</v>
      </c>
      <c r="AX459" s="457">
        <v>1.8</v>
      </c>
      <c r="AY459" s="454" t="s">
        <v>2537</v>
      </c>
      <c r="AZ459" s="457" t="s">
        <v>2536</v>
      </c>
      <c r="BA459" s="454" t="s">
        <v>2535</v>
      </c>
      <c r="BB459" s="457" t="s">
        <v>2536</v>
      </c>
    </row>
    <row r="460">
      <c r="M460" s="226"/>
      <c r="N460" s="226"/>
      <c r="O460" s="226"/>
      <c r="P460" s="226"/>
      <c r="AN460" s="456" t="s">
        <v>719</v>
      </c>
      <c r="AO460" s="457">
        <v>2.0</v>
      </c>
      <c r="AP460" s="456" t="s">
        <v>719</v>
      </c>
      <c r="AQ460" s="457">
        <v>0.0</v>
      </c>
      <c r="AS460" s="454" t="s">
        <v>1009</v>
      </c>
      <c r="AT460" s="457">
        <v>109.3</v>
      </c>
      <c r="AU460" s="454" t="s">
        <v>2538</v>
      </c>
      <c r="AV460" s="536">
        <v>1.8</v>
      </c>
      <c r="AW460" s="454" t="s">
        <v>2537</v>
      </c>
      <c r="AX460" s="536">
        <v>1.8</v>
      </c>
      <c r="AY460" s="454" t="s">
        <v>2538</v>
      </c>
      <c r="AZ460" s="457" t="s">
        <v>2536</v>
      </c>
      <c r="BA460" s="454" t="s">
        <v>2537</v>
      </c>
      <c r="BB460" s="457" t="s">
        <v>2536</v>
      </c>
    </row>
    <row r="461">
      <c r="M461" s="226"/>
      <c r="N461" s="226"/>
      <c r="O461" s="226"/>
      <c r="P461" s="226"/>
      <c r="AN461" s="456" t="s">
        <v>721</v>
      </c>
      <c r="AO461" s="457">
        <v>2.0</v>
      </c>
      <c r="AP461" s="456" t="s">
        <v>721</v>
      </c>
      <c r="AQ461" s="457">
        <v>0.0</v>
      </c>
      <c r="AS461" s="454" t="s">
        <v>1042</v>
      </c>
      <c r="AT461" s="457">
        <v>108.0</v>
      </c>
      <c r="AU461" s="454" t="s">
        <v>1286</v>
      </c>
      <c r="AV461" s="536">
        <v>1.8</v>
      </c>
      <c r="AW461" s="454" t="s">
        <v>2538</v>
      </c>
      <c r="AX461" s="536">
        <v>1.8</v>
      </c>
      <c r="AY461" s="454" t="s">
        <v>1286</v>
      </c>
      <c r="AZ461" s="457" t="s">
        <v>2536</v>
      </c>
      <c r="BA461" s="454" t="s">
        <v>2538</v>
      </c>
      <c r="BB461" s="457" t="s">
        <v>2536</v>
      </c>
    </row>
    <row r="462">
      <c r="M462" s="226"/>
      <c r="N462" s="226"/>
      <c r="O462" s="226"/>
      <c r="P462" s="226"/>
      <c r="AN462" s="456" t="s">
        <v>1525</v>
      </c>
      <c r="AO462" s="457">
        <v>2.0</v>
      </c>
      <c r="AP462" s="456" t="s">
        <v>1525</v>
      </c>
      <c r="AQ462" s="457">
        <v>0.0</v>
      </c>
      <c r="AS462" s="454" t="s">
        <v>1011</v>
      </c>
      <c r="AT462" s="457">
        <v>107.9</v>
      </c>
      <c r="AU462" s="454" t="s">
        <v>2539</v>
      </c>
      <c r="AV462" s="536">
        <v>1.5</v>
      </c>
      <c r="AW462" s="454" t="s">
        <v>2540</v>
      </c>
      <c r="AX462" s="536">
        <v>1.4</v>
      </c>
      <c r="AY462" s="454" t="s">
        <v>2539</v>
      </c>
      <c r="AZ462" s="457" t="s">
        <v>2536</v>
      </c>
      <c r="BA462" s="454" t="s">
        <v>2540</v>
      </c>
      <c r="BB462" s="457" t="s">
        <v>2536</v>
      </c>
    </row>
    <row r="463">
      <c r="M463" s="226"/>
      <c r="N463" s="226"/>
      <c r="O463" s="226"/>
      <c r="P463" s="226"/>
      <c r="AN463" s="456" t="s">
        <v>1522</v>
      </c>
      <c r="AO463" s="457">
        <v>0.0</v>
      </c>
      <c r="AP463" s="456" t="s">
        <v>1522</v>
      </c>
      <c r="AQ463" s="457">
        <v>2.0</v>
      </c>
      <c r="AS463" s="454" t="s">
        <v>1043</v>
      </c>
      <c r="AT463" s="457">
        <v>108.0</v>
      </c>
      <c r="AU463" s="454" t="s">
        <v>2541</v>
      </c>
      <c r="AV463" s="536">
        <v>1.8</v>
      </c>
      <c r="AW463" s="454" t="s">
        <v>1286</v>
      </c>
      <c r="AX463" s="536">
        <v>1.8</v>
      </c>
      <c r="AY463" s="454" t="s">
        <v>2541</v>
      </c>
      <c r="AZ463" s="457" t="s">
        <v>2536</v>
      </c>
      <c r="BA463" s="454" t="s">
        <v>1286</v>
      </c>
      <c r="BB463" s="457" t="s">
        <v>2536</v>
      </c>
    </row>
    <row r="464">
      <c r="M464" s="226"/>
      <c r="N464" s="226"/>
      <c r="O464" s="226"/>
      <c r="P464" s="226"/>
      <c r="AN464" s="449" t="s">
        <v>2242</v>
      </c>
      <c r="AO464" s="450" t="s">
        <v>2243</v>
      </c>
      <c r="AP464" s="449" t="s">
        <v>2244</v>
      </c>
      <c r="AQ464" s="450" t="s">
        <v>2245</v>
      </c>
      <c r="AS464" s="454" t="s">
        <v>1012</v>
      </c>
      <c r="AT464" s="457">
        <v>107.9</v>
      </c>
      <c r="AU464" s="454" t="s">
        <v>2542</v>
      </c>
      <c r="AV464" s="536">
        <v>1.8</v>
      </c>
      <c r="AW464" s="454" t="s">
        <v>2539</v>
      </c>
      <c r="AX464" s="536">
        <v>1.5</v>
      </c>
      <c r="AY464" s="454" t="s">
        <v>2542</v>
      </c>
      <c r="AZ464" s="457" t="s">
        <v>2536</v>
      </c>
      <c r="BA464" s="454" t="s">
        <v>2539</v>
      </c>
      <c r="BB464" s="457" t="s">
        <v>2536</v>
      </c>
    </row>
    <row r="465">
      <c r="M465" s="226"/>
      <c r="N465" s="226"/>
      <c r="O465" s="226"/>
      <c r="P465" s="226"/>
      <c r="AN465" s="456" t="s">
        <v>620</v>
      </c>
      <c r="AO465" s="457">
        <v>1.0</v>
      </c>
      <c r="AP465" s="456" t="s">
        <v>620</v>
      </c>
      <c r="AQ465" s="457">
        <v>0.0</v>
      </c>
      <c r="AS465" s="454" t="s">
        <v>1046</v>
      </c>
      <c r="AT465" s="457">
        <v>103.0</v>
      </c>
      <c r="AU465" s="454" t="s">
        <v>2543</v>
      </c>
      <c r="AV465" s="536">
        <v>1.5</v>
      </c>
      <c r="AW465" s="454" t="s">
        <v>2541</v>
      </c>
      <c r="AX465" s="536">
        <v>1.8</v>
      </c>
      <c r="AY465" s="454" t="s">
        <v>2543</v>
      </c>
      <c r="AZ465" s="457" t="s">
        <v>2536</v>
      </c>
      <c r="BA465" s="454" t="s">
        <v>2541</v>
      </c>
      <c r="BB465" s="457" t="s">
        <v>2536</v>
      </c>
    </row>
    <row r="466">
      <c r="M466" s="226"/>
      <c r="N466" s="226"/>
      <c r="O466" s="226"/>
      <c r="P466" s="226"/>
      <c r="AN466" s="456" t="s">
        <v>623</v>
      </c>
      <c r="AO466" s="457">
        <v>1.0</v>
      </c>
      <c r="AP466" s="456" t="s">
        <v>623</v>
      </c>
      <c r="AQ466" s="457">
        <v>0.0</v>
      </c>
      <c r="AS466" s="454" t="s">
        <v>1018</v>
      </c>
      <c r="AT466" s="457">
        <v>103.1</v>
      </c>
      <c r="AU466" s="454" t="s">
        <v>2544</v>
      </c>
      <c r="AV466" s="536">
        <v>1.4</v>
      </c>
      <c r="AW466" s="454" t="s">
        <v>2542</v>
      </c>
      <c r="AX466" s="536">
        <v>1.8</v>
      </c>
      <c r="AY466" s="454" t="s">
        <v>2544</v>
      </c>
      <c r="AZ466" s="457" t="s">
        <v>2536</v>
      </c>
      <c r="BA466" s="454" t="s">
        <v>2542</v>
      </c>
      <c r="BB466" s="457" t="s">
        <v>2536</v>
      </c>
    </row>
    <row r="467">
      <c r="M467" s="226"/>
      <c r="N467" s="226"/>
      <c r="O467" s="226"/>
      <c r="P467" s="226"/>
      <c r="AN467" s="456" t="s">
        <v>631</v>
      </c>
      <c r="AO467" s="457">
        <v>1.0</v>
      </c>
      <c r="AP467" s="456" t="s">
        <v>631</v>
      </c>
      <c r="AQ467" s="457">
        <v>0.0</v>
      </c>
      <c r="AS467" s="454" t="s">
        <v>1019</v>
      </c>
      <c r="AT467" s="457">
        <v>100.2</v>
      </c>
      <c r="AW467" s="454" t="s">
        <v>2543</v>
      </c>
      <c r="AX467" s="536">
        <v>1.5</v>
      </c>
      <c r="BA467" s="454" t="s">
        <v>2543</v>
      </c>
      <c r="BB467" s="457" t="s">
        <v>2536</v>
      </c>
    </row>
    <row r="468">
      <c r="M468" s="226"/>
      <c r="N468" s="226"/>
      <c r="O468" s="226"/>
      <c r="P468" s="226"/>
      <c r="AN468" s="456" t="s">
        <v>628</v>
      </c>
      <c r="AO468" s="457">
        <v>1.0</v>
      </c>
      <c r="AP468" s="456" t="s">
        <v>628</v>
      </c>
      <c r="AQ468" s="457">
        <v>0.0</v>
      </c>
      <c r="AS468" s="454" t="s">
        <v>1026</v>
      </c>
      <c r="AT468" s="457">
        <v>100.2</v>
      </c>
      <c r="AW468" s="454" t="s">
        <v>2544</v>
      </c>
      <c r="AX468" s="536">
        <v>1.4</v>
      </c>
      <c r="BA468" s="454" t="s">
        <v>2544</v>
      </c>
      <c r="BB468" s="457" t="s">
        <v>2536</v>
      </c>
    </row>
    <row r="469">
      <c r="M469" s="226"/>
      <c r="N469" s="226"/>
      <c r="O469" s="226"/>
      <c r="P469" s="226"/>
      <c r="AN469" s="497" t="s">
        <v>636</v>
      </c>
      <c r="AO469" s="457">
        <v>0.0</v>
      </c>
      <c r="AP469" s="497" t="s">
        <v>636</v>
      </c>
      <c r="AQ469" s="457">
        <v>1.0</v>
      </c>
      <c r="AS469" s="614" t="s">
        <v>1048</v>
      </c>
      <c r="AT469" s="457">
        <v>103.0</v>
      </c>
    </row>
    <row r="470">
      <c r="M470" s="226"/>
      <c r="N470" s="226"/>
      <c r="O470" s="226"/>
      <c r="P470" s="226"/>
      <c r="AN470" s="456" t="s">
        <v>641</v>
      </c>
      <c r="AO470" s="457">
        <v>1.0</v>
      </c>
      <c r="AP470" s="456" t="s">
        <v>641</v>
      </c>
      <c r="AQ470" s="457">
        <v>0.0</v>
      </c>
      <c r="AS470" s="614" t="s">
        <v>1052</v>
      </c>
      <c r="AT470" s="457">
        <v>100.3</v>
      </c>
    </row>
    <row r="471">
      <c r="M471" s="226"/>
      <c r="N471" s="226"/>
      <c r="O471" s="226"/>
      <c r="P471" s="226"/>
      <c r="AN471" s="456" t="s">
        <v>645</v>
      </c>
      <c r="AO471" s="457">
        <v>0.0</v>
      </c>
      <c r="AP471" s="456" t="s">
        <v>645</v>
      </c>
      <c r="AQ471" s="457">
        <v>1.0</v>
      </c>
      <c r="AS471" s="614" t="s">
        <v>1053</v>
      </c>
      <c r="AT471" s="457">
        <v>100.4</v>
      </c>
    </row>
    <row r="472">
      <c r="M472" s="226"/>
      <c r="N472" s="226"/>
      <c r="O472" s="226"/>
      <c r="P472" s="226"/>
      <c r="AN472" s="505" t="s">
        <v>638</v>
      </c>
      <c r="AO472" s="508">
        <v>1.0</v>
      </c>
      <c r="AP472" s="505" t="s">
        <v>638</v>
      </c>
      <c r="AQ472" s="508">
        <v>0.0</v>
      </c>
      <c r="AS472" s="454" t="s">
        <v>1020</v>
      </c>
      <c r="AT472" s="457">
        <v>100.2</v>
      </c>
    </row>
    <row r="473">
      <c r="M473" s="226"/>
      <c r="N473" s="226"/>
      <c r="O473" s="226"/>
      <c r="P473" s="226"/>
      <c r="AN473" s="510" t="s">
        <v>648</v>
      </c>
      <c r="AO473" s="508">
        <v>1.0</v>
      </c>
      <c r="AP473" s="510" t="s">
        <v>648</v>
      </c>
      <c r="AQ473" s="508">
        <v>0.0</v>
      </c>
      <c r="AS473" s="454" t="s">
        <v>1022</v>
      </c>
      <c r="AT473" s="457">
        <v>100.2</v>
      </c>
    </row>
    <row r="474">
      <c r="M474" s="226"/>
      <c r="N474" s="226"/>
      <c r="O474" s="226"/>
      <c r="P474" s="226"/>
      <c r="AN474" s="510" t="s">
        <v>652</v>
      </c>
      <c r="AO474" s="508">
        <v>1.0</v>
      </c>
      <c r="AP474" s="510" t="s">
        <v>652</v>
      </c>
      <c r="AQ474" s="508">
        <v>0.0</v>
      </c>
      <c r="AS474" s="454" t="s">
        <v>1031</v>
      </c>
      <c r="AT474" s="536">
        <v>97.6</v>
      </c>
    </row>
    <row r="475">
      <c r="M475" s="226"/>
      <c r="N475" s="226"/>
      <c r="O475" s="226"/>
      <c r="P475" s="226"/>
      <c r="AN475" s="510" t="s">
        <v>655</v>
      </c>
      <c r="AO475" s="650">
        <v>0.0</v>
      </c>
      <c r="AP475" s="510" t="s">
        <v>655</v>
      </c>
      <c r="AQ475" s="508">
        <v>1.0</v>
      </c>
      <c r="AS475" s="454" t="s">
        <v>1033</v>
      </c>
      <c r="AT475" s="536">
        <v>97.7</v>
      </c>
    </row>
    <row r="476">
      <c r="M476" s="226"/>
      <c r="N476" s="226"/>
      <c r="O476" s="226"/>
      <c r="P476" s="226"/>
      <c r="AS476" s="454" t="s">
        <v>1035</v>
      </c>
      <c r="AT476" s="536">
        <v>96.5</v>
      </c>
    </row>
    <row r="477">
      <c r="M477" s="226"/>
      <c r="N477" s="226"/>
      <c r="O477" s="226"/>
      <c r="P477" s="226"/>
      <c r="AN477" s="449" t="s">
        <v>2020</v>
      </c>
      <c r="AO477" s="450" t="s">
        <v>2258</v>
      </c>
      <c r="AP477" s="449" t="s">
        <v>2020</v>
      </c>
      <c r="AQ477" s="450" t="s">
        <v>2259</v>
      </c>
      <c r="AS477" s="454" t="s">
        <v>1055</v>
      </c>
      <c r="AT477" s="457">
        <v>97.6</v>
      </c>
    </row>
    <row r="478">
      <c r="M478" s="226"/>
      <c r="N478" s="226"/>
      <c r="O478" s="226"/>
      <c r="P478" s="226"/>
      <c r="AN478" s="454" t="s">
        <v>725</v>
      </c>
      <c r="AO478" s="457">
        <v>0.0</v>
      </c>
      <c r="AP478" s="454" t="s">
        <v>725</v>
      </c>
      <c r="AQ478" s="457">
        <v>1.0</v>
      </c>
    </row>
    <row r="479">
      <c r="M479" s="226"/>
      <c r="N479" s="226"/>
      <c r="O479" s="226"/>
      <c r="P479" s="226"/>
      <c r="AN479" s="454" t="s">
        <v>726</v>
      </c>
      <c r="AO479" s="457">
        <v>0.0</v>
      </c>
      <c r="AP479" s="454" t="s">
        <v>726</v>
      </c>
      <c r="AQ479" s="457">
        <v>0.0</v>
      </c>
    </row>
    <row r="480">
      <c r="M480" s="226"/>
      <c r="N480" s="226"/>
      <c r="O480" s="226"/>
      <c r="P480" s="226"/>
      <c r="AN480" s="454" t="s">
        <v>728</v>
      </c>
      <c r="AO480" s="457">
        <v>0.0</v>
      </c>
      <c r="AP480" s="454" t="s">
        <v>728</v>
      </c>
      <c r="AQ480" s="457">
        <v>0.0</v>
      </c>
      <c r="AS480" s="449" t="s">
        <v>2110</v>
      </c>
      <c r="AT480" s="450" t="s">
        <v>2377</v>
      </c>
      <c r="AU480" s="449" t="s">
        <v>2110</v>
      </c>
      <c r="AV480" s="450" t="s">
        <v>2378</v>
      </c>
    </row>
    <row r="481">
      <c r="M481" s="226"/>
      <c r="N481" s="226"/>
      <c r="O481" s="226"/>
      <c r="P481" s="226"/>
      <c r="AN481" s="454" t="s">
        <v>729</v>
      </c>
      <c r="AO481" s="457">
        <v>1.0</v>
      </c>
      <c r="AP481" s="454" t="s">
        <v>729</v>
      </c>
      <c r="AQ481" s="457">
        <v>0.0</v>
      </c>
      <c r="AS481" s="454" t="s">
        <v>1126</v>
      </c>
      <c r="AT481" s="457">
        <v>3.0</v>
      </c>
      <c r="AU481" s="454" t="s">
        <v>1126</v>
      </c>
      <c r="AV481" s="457">
        <v>0.0</v>
      </c>
    </row>
    <row r="482">
      <c r="M482" s="226"/>
      <c r="N482" s="226"/>
      <c r="O482" s="226"/>
      <c r="P482" s="226"/>
      <c r="AN482" s="454" t="s">
        <v>732</v>
      </c>
      <c r="AO482" s="537">
        <v>0.0</v>
      </c>
      <c r="AP482" s="454" t="s">
        <v>732</v>
      </c>
      <c r="AQ482" s="457">
        <v>0.0</v>
      </c>
      <c r="AS482" s="454" t="s">
        <v>1127</v>
      </c>
      <c r="AT482" s="457">
        <v>0.0</v>
      </c>
      <c r="AU482" s="454" t="s">
        <v>1127</v>
      </c>
      <c r="AV482" s="457">
        <v>0.0</v>
      </c>
    </row>
    <row r="483">
      <c r="M483" s="226"/>
      <c r="N483" s="226"/>
      <c r="O483" s="226"/>
      <c r="P483" s="226"/>
      <c r="AN483" s="454" t="s">
        <v>734</v>
      </c>
      <c r="AO483" s="537">
        <v>1.0</v>
      </c>
      <c r="AP483" s="454" t="s">
        <v>734</v>
      </c>
      <c r="AQ483" s="457">
        <v>0.0</v>
      </c>
      <c r="AS483" s="454" t="s">
        <v>1130</v>
      </c>
      <c r="AT483" s="457">
        <v>0.0</v>
      </c>
      <c r="AU483" s="454" t="s">
        <v>1130</v>
      </c>
      <c r="AV483" s="457">
        <v>0.0</v>
      </c>
    </row>
    <row r="484">
      <c r="M484" s="226"/>
      <c r="N484" s="226"/>
      <c r="O484" s="226"/>
      <c r="P484" s="226"/>
      <c r="AS484" s="454" t="s">
        <v>1128</v>
      </c>
      <c r="AT484" s="457">
        <v>0.0</v>
      </c>
      <c r="AU484" s="454" t="s">
        <v>1128</v>
      </c>
      <c r="AV484" s="457">
        <v>0.0</v>
      </c>
    </row>
    <row r="485">
      <c r="M485" s="226"/>
      <c r="N485" s="226"/>
      <c r="O485" s="226"/>
      <c r="P485" s="226"/>
      <c r="AN485" s="449" t="s">
        <v>2036</v>
      </c>
      <c r="AO485" s="450" t="s">
        <v>2271</v>
      </c>
      <c r="AP485" s="449" t="s">
        <v>2036</v>
      </c>
      <c r="AQ485" s="450" t="s">
        <v>2272</v>
      </c>
      <c r="AS485" s="454" t="s">
        <v>1132</v>
      </c>
      <c r="AT485" s="457">
        <v>0.0</v>
      </c>
      <c r="AU485" s="454" t="s">
        <v>1132</v>
      </c>
      <c r="AV485" s="457">
        <v>0.0</v>
      </c>
    </row>
    <row r="486">
      <c r="M486" s="226"/>
      <c r="N486" s="226"/>
      <c r="O486" s="226"/>
      <c r="P486" s="226"/>
      <c r="AN486" s="454" t="s">
        <v>743</v>
      </c>
      <c r="AO486" s="537">
        <v>3.0</v>
      </c>
      <c r="AP486" s="454" t="s">
        <v>743</v>
      </c>
      <c r="AQ486" s="537">
        <v>0.0</v>
      </c>
      <c r="AS486" s="454" t="s">
        <v>1137</v>
      </c>
      <c r="AT486" s="457"/>
      <c r="AU486" s="454" t="s">
        <v>1137</v>
      </c>
      <c r="AV486" s="457">
        <v>0.0</v>
      </c>
    </row>
    <row r="487">
      <c r="M487" s="226"/>
      <c r="N487" s="226"/>
      <c r="O487" s="226"/>
      <c r="P487" s="226"/>
      <c r="AN487" s="454" t="s">
        <v>746</v>
      </c>
      <c r="AO487" s="537">
        <v>3.0</v>
      </c>
      <c r="AP487" s="454" t="s">
        <v>746</v>
      </c>
      <c r="AQ487" s="537">
        <v>0.0</v>
      </c>
      <c r="AS487" s="454" t="s">
        <v>1139</v>
      </c>
      <c r="AT487" s="457">
        <v>0.0</v>
      </c>
      <c r="AU487" s="454" t="s">
        <v>1139</v>
      </c>
      <c r="AV487" s="457">
        <v>0.0</v>
      </c>
    </row>
    <row r="488">
      <c r="M488" s="226"/>
      <c r="N488" s="226"/>
      <c r="O488" s="226"/>
      <c r="P488" s="226"/>
      <c r="AN488" s="454" t="s">
        <v>749</v>
      </c>
      <c r="AO488" s="537">
        <v>2.0</v>
      </c>
      <c r="AP488" s="454" t="s">
        <v>749</v>
      </c>
      <c r="AQ488" s="537">
        <v>1.0</v>
      </c>
      <c r="AS488" s="454" t="s">
        <v>1145</v>
      </c>
      <c r="AT488" s="457">
        <v>0.0</v>
      </c>
      <c r="AU488" s="454" t="s">
        <v>1145</v>
      </c>
      <c r="AV488" s="457">
        <v>0.0</v>
      </c>
    </row>
    <row r="489">
      <c r="M489" s="226"/>
      <c r="N489" s="226"/>
      <c r="O489" s="226"/>
      <c r="P489" s="226"/>
      <c r="AN489" s="454" t="s">
        <v>751</v>
      </c>
      <c r="AO489" s="537">
        <v>1.0</v>
      </c>
      <c r="AP489" s="454" t="s">
        <v>751</v>
      </c>
      <c r="AQ489" s="537">
        <v>2.0</v>
      </c>
      <c r="AS489" s="614" t="s">
        <v>1136</v>
      </c>
      <c r="AT489" s="457">
        <v>0.0</v>
      </c>
      <c r="AU489" s="614" t="s">
        <v>1136</v>
      </c>
      <c r="AV489" s="457">
        <v>0.0</v>
      </c>
    </row>
    <row r="490">
      <c r="M490" s="226"/>
      <c r="N490" s="226"/>
      <c r="O490" s="226"/>
      <c r="P490" s="226"/>
      <c r="AN490" s="454" t="s">
        <v>754</v>
      </c>
      <c r="AO490" s="537">
        <v>2.0</v>
      </c>
      <c r="AP490" s="454" t="s">
        <v>754</v>
      </c>
      <c r="AQ490" s="537">
        <v>1.0</v>
      </c>
      <c r="AS490" s="652"/>
      <c r="AU490" s="652"/>
    </row>
    <row r="491">
      <c r="M491" s="226"/>
      <c r="N491" s="226"/>
      <c r="O491" s="226"/>
      <c r="P491" s="226"/>
      <c r="AN491" s="454" t="s">
        <v>757</v>
      </c>
      <c r="AO491" s="537">
        <v>3.0</v>
      </c>
      <c r="AP491" s="454" t="s">
        <v>757</v>
      </c>
      <c r="AQ491" s="537">
        <v>0.0</v>
      </c>
      <c r="AS491" s="652"/>
      <c r="AU491" s="652"/>
    </row>
    <row r="492">
      <c r="M492" s="226"/>
      <c r="N492" s="226"/>
      <c r="O492" s="226"/>
      <c r="P492" s="226"/>
      <c r="AN492" s="454" t="s">
        <v>758</v>
      </c>
      <c r="AO492" s="537">
        <v>3.0</v>
      </c>
      <c r="AP492" s="454" t="s">
        <v>758</v>
      </c>
      <c r="AQ492" s="537">
        <v>0.0</v>
      </c>
      <c r="AU492" s="652"/>
    </row>
    <row r="493">
      <c r="M493" s="226"/>
      <c r="N493" s="226"/>
      <c r="O493" s="226"/>
      <c r="P493" s="226"/>
      <c r="AN493" s="454" t="s">
        <v>759</v>
      </c>
      <c r="AO493" s="537">
        <v>2.0</v>
      </c>
      <c r="AP493" s="454" t="s">
        <v>759</v>
      </c>
      <c r="AQ493" s="537">
        <v>1.0</v>
      </c>
      <c r="AS493" s="449" t="s">
        <v>2062</v>
      </c>
      <c r="AT493" s="450" t="s">
        <v>2545</v>
      </c>
      <c r="AU493" s="449" t="s">
        <v>2062</v>
      </c>
      <c r="AV493" s="450" t="s">
        <v>2546</v>
      </c>
    </row>
    <row r="494">
      <c r="M494" s="226"/>
      <c r="N494" s="226"/>
      <c r="O494" s="226"/>
      <c r="P494" s="226"/>
      <c r="AN494" s="454" t="s">
        <v>760</v>
      </c>
      <c r="AO494" s="537">
        <v>3.0</v>
      </c>
      <c r="AP494" s="454" t="s">
        <v>760</v>
      </c>
      <c r="AQ494" s="537">
        <v>0.0</v>
      </c>
      <c r="AS494" s="454" t="s">
        <v>1008</v>
      </c>
      <c r="AT494" s="457">
        <v>297.5</v>
      </c>
      <c r="AU494" s="454" t="s">
        <v>1008</v>
      </c>
      <c r="AV494" s="457">
        <v>2.4</v>
      </c>
    </row>
    <row r="495">
      <c r="M495" s="226"/>
      <c r="N495" s="226"/>
      <c r="O495" s="226"/>
      <c r="P495" s="226"/>
      <c r="AN495" s="454" t="s">
        <v>763</v>
      </c>
      <c r="AO495" s="537">
        <v>0.0</v>
      </c>
      <c r="AP495" s="454" t="s">
        <v>763</v>
      </c>
      <c r="AQ495" s="537">
        <v>0.0</v>
      </c>
      <c r="AS495" s="454" t="s">
        <v>1009</v>
      </c>
      <c r="AT495" s="457">
        <v>306.0</v>
      </c>
      <c r="AU495" s="454" t="s">
        <v>1009</v>
      </c>
      <c r="AV495" s="457">
        <v>2.4</v>
      </c>
    </row>
    <row r="496">
      <c r="M496" s="226"/>
      <c r="N496" s="226"/>
      <c r="O496" s="226"/>
      <c r="P496" s="226"/>
      <c r="AN496" s="454" t="s">
        <v>764</v>
      </c>
      <c r="AO496" s="537">
        <v>3.0</v>
      </c>
      <c r="AP496" s="454" t="s">
        <v>764</v>
      </c>
      <c r="AQ496" s="537">
        <v>0.0</v>
      </c>
      <c r="AS496" s="454" t="s">
        <v>1011</v>
      </c>
      <c r="AT496" s="457">
        <v>280.5</v>
      </c>
      <c r="AU496" s="454" t="s">
        <v>1011</v>
      </c>
      <c r="AV496" s="457">
        <v>2.4</v>
      </c>
    </row>
    <row r="497">
      <c r="M497" s="226"/>
      <c r="N497" s="226"/>
      <c r="O497" s="226"/>
      <c r="P497" s="226"/>
      <c r="AN497" s="454" t="s">
        <v>2059</v>
      </c>
      <c r="AO497" s="537">
        <v>3.0</v>
      </c>
      <c r="AP497" s="454" t="s">
        <v>2059</v>
      </c>
      <c r="AQ497" s="537">
        <v>0.0</v>
      </c>
      <c r="AS497" s="454" t="s">
        <v>1012</v>
      </c>
      <c r="AT497" s="457">
        <v>280.5</v>
      </c>
      <c r="AU497" s="454" t="s">
        <v>1012</v>
      </c>
      <c r="AV497" s="457">
        <v>2.4</v>
      </c>
    </row>
    <row r="498">
      <c r="M498" s="226"/>
      <c r="N498" s="226"/>
      <c r="O498" s="226"/>
      <c r="P498" s="226"/>
      <c r="AN498" s="454" t="s">
        <v>1420</v>
      </c>
      <c r="AO498" s="537">
        <v>3.0</v>
      </c>
      <c r="AP498" s="454" t="s">
        <v>1420</v>
      </c>
      <c r="AQ498" s="537">
        <v>0.0</v>
      </c>
      <c r="AS498" s="454" t="s">
        <v>1013</v>
      </c>
      <c r="AT498" s="457">
        <v>257.5</v>
      </c>
      <c r="AU498" s="454" t="s">
        <v>1013</v>
      </c>
      <c r="AV498" s="457">
        <v>2.4</v>
      </c>
    </row>
    <row r="499">
      <c r="M499" s="226"/>
      <c r="N499" s="226"/>
      <c r="O499" s="226"/>
      <c r="P499" s="226"/>
      <c r="AS499" s="454" t="s">
        <v>1018</v>
      </c>
      <c r="AT499" s="457">
        <v>268.0</v>
      </c>
      <c r="AU499" s="454" t="s">
        <v>1018</v>
      </c>
      <c r="AV499" s="457">
        <v>2.4</v>
      </c>
    </row>
    <row r="500">
      <c r="M500" s="226"/>
      <c r="N500" s="226"/>
      <c r="O500" s="226"/>
      <c r="P500" s="226"/>
      <c r="AN500" s="449" t="s">
        <v>2062</v>
      </c>
      <c r="AO500" s="450" t="s">
        <v>2281</v>
      </c>
      <c r="AP500" s="449" t="s">
        <v>2062</v>
      </c>
      <c r="AQ500" s="450" t="s">
        <v>2282</v>
      </c>
      <c r="AS500" s="454" t="s">
        <v>1055</v>
      </c>
      <c r="AT500" s="457">
        <v>263.5</v>
      </c>
      <c r="AU500" s="454" t="s">
        <v>1055</v>
      </c>
      <c r="AV500" s="457">
        <v>2.4</v>
      </c>
    </row>
    <row r="501">
      <c r="M501" s="226"/>
      <c r="N501" s="226"/>
      <c r="O501" s="226"/>
      <c r="P501" s="226"/>
      <c r="AN501" s="454" t="s">
        <v>1008</v>
      </c>
      <c r="AO501" s="457">
        <v>0.0</v>
      </c>
      <c r="AP501" s="454" t="s">
        <v>1008</v>
      </c>
      <c r="AQ501" s="457">
        <v>2.0</v>
      </c>
      <c r="AS501" s="454" t="s">
        <v>1019</v>
      </c>
      <c r="AT501" s="457">
        <v>260.5</v>
      </c>
      <c r="AU501" s="454" t="s">
        <v>1019</v>
      </c>
      <c r="AV501" s="457">
        <v>2.4</v>
      </c>
    </row>
    <row r="502">
      <c r="M502" s="226"/>
      <c r="N502" s="226"/>
      <c r="O502" s="226"/>
      <c r="P502" s="226"/>
      <c r="AN502" s="454" t="s">
        <v>1009</v>
      </c>
      <c r="AO502" s="457">
        <v>0.0</v>
      </c>
      <c r="AP502" s="454" t="s">
        <v>1009</v>
      </c>
      <c r="AQ502" s="457">
        <v>0.0</v>
      </c>
      <c r="AS502" s="454" t="s">
        <v>1026</v>
      </c>
      <c r="AT502" s="457">
        <v>260.5</v>
      </c>
      <c r="AU502" s="454" t="s">
        <v>1026</v>
      </c>
      <c r="AV502" s="457">
        <v>2.4</v>
      </c>
    </row>
    <row r="503">
      <c r="M503" s="226"/>
      <c r="N503" s="226"/>
      <c r="O503" s="226"/>
      <c r="P503" s="226"/>
      <c r="AN503" s="454" t="s">
        <v>1011</v>
      </c>
      <c r="AO503" s="457">
        <v>0.0</v>
      </c>
      <c r="AP503" s="454" t="s">
        <v>1011</v>
      </c>
      <c r="AQ503" s="457">
        <v>0.0</v>
      </c>
      <c r="AS503" s="454" t="s">
        <v>1024</v>
      </c>
      <c r="AT503" s="457">
        <v>260.5</v>
      </c>
      <c r="AU503" s="454" t="s">
        <v>1024</v>
      </c>
      <c r="AV503" s="457">
        <v>2.4</v>
      </c>
    </row>
    <row r="504">
      <c r="M504" s="226"/>
      <c r="N504" s="226"/>
      <c r="O504" s="226"/>
      <c r="P504" s="226"/>
      <c r="AN504" s="454" t="s">
        <v>1012</v>
      </c>
      <c r="AO504" s="457">
        <v>0.0</v>
      </c>
      <c r="AP504" s="454" t="s">
        <v>1012</v>
      </c>
      <c r="AQ504" s="457">
        <v>0.0</v>
      </c>
      <c r="AS504" s="454" t="s">
        <v>1020</v>
      </c>
      <c r="AT504" s="457">
        <v>270.5</v>
      </c>
      <c r="AU504" s="454" t="s">
        <v>1020</v>
      </c>
      <c r="AV504" s="457">
        <v>2.4</v>
      </c>
    </row>
    <row r="505">
      <c r="M505" s="226"/>
      <c r="N505" s="226"/>
      <c r="O505" s="226"/>
      <c r="P505" s="226"/>
      <c r="AN505" s="454" t="s">
        <v>1013</v>
      </c>
      <c r="AO505" s="457">
        <v>0.0</v>
      </c>
      <c r="AP505" s="454" t="s">
        <v>1013</v>
      </c>
      <c r="AQ505" s="457">
        <v>0.0</v>
      </c>
      <c r="AS505" s="454" t="s">
        <v>1022</v>
      </c>
      <c r="AT505" s="457">
        <v>280.5</v>
      </c>
      <c r="AU505" s="454" t="s">
        <v>1022</v>
      </c>
      <c r="AV505" s="457">
        <v>2.4</v>
      </c>
    </row>
    <row r="506">
      <c r="M506" s="226"/>
      <c r="N506" s="226"/>
      <c r="O506" s="226"/>
      <c r="P506" s="226"/>
      <c r="AN506" s="454" t="s">
        <v>1018</v>
      </c>
      <c r="AO506" s="457">
        <v>0.0</v>
      </c>
      <c r="AP506" s="454" t="s">
        <v>1018</v>
      </c>
      <c r="AQ506" s="457">
        <v>0.0</v>
      </c>
      <c r="AS506" s="454" t="s">
        <v>1028</v>
      </c>
      <c r="AT506" s="536">
        <v>270.5</v>
      </c>
      <c r="AU506" s="454" t="s">
        <v>1028</v>
      </c>
      <c r="AV506" s="457">
        <v>2.4</v>
      </c>
    </row>
    <row r="507">
      <c r="M507" s="226"/>
      <c r="N507" s="226"/>
      <c r="O507" s="226"/>
      <c r="P507" s="226"/>
      <c r="AN507" s="454" t="s">
        <v>1055</v>
      </c>
      <c r="AO507" s="457">
        <v>0.0</v>
      </c>
      <c r="AP507" s="454" t="s">
        <v>1055</v>
      </c>
      <c r="AQ507" s="457">
        <v>0.0</v>
      </c>
      <c r="AS507" s="454" t="s">
        <v>1031</v>
      </c>
      <c r="AT507" s="536">
        <v>263.5</v>
      </c>
      <c r="AU507" s="454" t="s">
        <v>1031</v>
      </c>
      <c r="AV507" s="457">
        <v>2.4</v>
      </c>
    </row>
    <row r="508">
      <c r="M508" s="226"/>
      <c r="N508" s="226"/>
      <c r="O508" s="226"/>
      <c r="P508" s="226"/>
      <c r="AN508" s="454" t="s">
        <v>1019</v>
      </c>
      <c r="AO508" s="457">
        <v>0.0</v>
      </c>
      <c r="AP508" s="454" t="s">
        <v>1019</v>
      </c>
      <c r="AQ508" s="457">
        <v>0.0</v>
      </c>
      <c r="AS508" s="454" t="s">
        <v>1033</v>
      </c>
      <c r="AT508" s="536">
        <v>254.0</v>
      </c>
      <c r="AU508" s="454" t="s">
        <v>1033</v>
      </c>
      <c r="AV508" s="457">
        <v>2.4</v>
      </c>
    </row>
    <row r="509">
      <c r="M509" s="226"/>
      <c r="N509" s="226"/>
      <c r="O509" s="226"/>
      <c r="P509" s="226"/>
      <c r="AN509" s="454" t="s">
        <v>1026</v>
      </c>
      <c r="AO509" s="457">
        <v>0.0</v>
      </c>
      <c r="AP509" s="454" t="s">
        <v>1026</v>
      </c>
      <c r="AQ509" s="457">
        <v>0.0</v>
      </c>
      <c r="AS509" s="454" t="s">
        <v>1035</v>
      </c>
      <c r="AT509" s="536">
        <v>260.5</v>
      </c>
      <c r="AU509" s="454" t="s">
        <v>1035</v>
      </c>
      <c r="AV509" s="457">
        <v>2.4</v>
      </c>
    </row>
    <row r="510">
      <c r="M510" s="226"/>
      <c r="N510" s="226"/>
      <c r="O510" s="226"/>
      <c r="P510" s="226"/>
      <c r="AN510" s="454" t="s">
        <v>1024</v>
      </c>
      <c r="AO510" s="457">
        <v>0.0</v>
      </c>
      <c r="AP510" s="454" t="s">
        <v>1024</v>
      </c>
      <c r="AQ510" s="457">
        <v>0.0</v>
      </c>
      <c r="AS510" s="614" t="s">
        <v>1053</v>
      </c>
      <c r="AT510" s="457">
        <v>140.5</v>
      </c>
      <c r="AU510" s="614" t="s">
        <v>1053</v>
      </c>
      <c r="AV510" s="457">
        <v>2.4</v>
      </c>
    </row>
    <row r="511">
      <c r="M511" s="226"/>
      <c r="N511" s="226"/>
      <c r="O511" s="226"/>
      <c r="P511" s="226"/>
      <c r="AN511" s="454" t="s">
        <v>1020</v>
      </c>
      <c r="AO511" s="457">
        <v>0.0</v>
      </c>
      <c r="AP511" s="454" t="s">
        <v>1020</v>
      </c>
      <c r="AQ511" s="457">
        <v>0.0</v>
      </c>
      <c r="AS511" s="614" t="s">
        <v>1052</v>
      </c>
      <c r="AT511" s="457">
        <v>150.5</v>
      </c>
      <c r="AU511" s="614" t="s">
        <v>1052</v>
      </c>
      <c r="AV511" s="457">
        <v>2.4</v>
      </c>
    </row>
    <row r="512">
      <c r="M512" s="226"/>
      <c r="N512" s="226"/>
      <c r="O512" s="226"/>
      <c r="P512" s="226"/>
      <c r="AN512" s="454" t="s">
        <v>1022</v>
      </c>
      <c r="AO512" s="457">
        <v>0.0</v>
      </c>
      <c r="AP512" s="454" t="s">
        <v>1022</v>
      </c>
      <c r="AQ512" s="457">
        <v>0.0</v>
      </c>
      <c r="AS512" s="454" t="s">
        <v>2535</v>
      </c>
      <c r="AT512" s="457">
        <v>185.5</v>
      </c>
      <c r="AU512" s="454" t="s">
        <v>2535</v>
      </c>
      <c r="AV512" s="457">
        <v>1.7</v>
      </c>
    </row>
    <row r="513">
      <c r="M513" s="226"/>
      <c r="N513" s="226"/>
      <c r="O513" s="226"/>
      <c r="P513" s="226"/>
      <c r="AN513" s="454" t="s">
        <v>1028</v>
      </c>
      <c r="AO513" s="536">
        <v>0.0</v>
      </c>
      <c r="AP513" s="515" t="s">
        <v>1028</v>
      </c>
      <c r="AQ513" s="457">
        <v>0.0</v>
      </c>
      <c r="AS513" s="454" t="s">
        <v>2537</v>
      </c>
      <c r="AT513" s="536">
        <v>180.5</v>
      </c>
      <c r="AU513" s="454" t="s">
        <v>2537</v>
      </c>
      <c r="AV513" s="536">
        <v>1.7</v>
      </c>
    </row>
    <row r="514">
      <c r="M514" s="226"/>
      <c r="N514" s="226"/>
      <c r="O514" s="226"/>
      <c r="P514" s="226"/>
      <c r="AN514" s="454" t="s">
        <v>1031</v>
      </c>
      <c r="AO514" s="536">
        <v>0.0</v>
      </c>
      <c r="AP514" s="515" t="s">
        <v>1031</v>
      </c>
      <c r="AQ514" s="457">
        <v>0.0</v>
      </c>
      <c r="AS514" s="454" t="s">
        <v>2538</v>
      </c>
      <c r="AT514" s="536">
        <v>194.5</v>
      </c>
      <c r="AU514" s="454" t="s">
        <v>2538</v>
      </c>
      <c r="AV514" s="536">
        <v>1.7</v>
      </c>
    </row>
    <row r="515">
      <c r="M515" s="226"/>
      <c r="N515" s="226"/>
      <c r="O515" s="226"/>
      <c r="P515" s="226"/>
      <c r="AN515" s="454" t="s">
        <v>1033</v>
      </c>
      <c r="AO515" s="536">
        <v>0.0</v>
      </c>
      <c r="AP515" s="515" t="s">
        <v>1033</v>
      </c>
      <c r="AQ515" s="457">
        <v>0.0</v>
      </c>
      <c r="AS515" s="454" t="s">
        <v>1286</v>
      </c>
      <c r="AT515" s="536">
        <v>205.5</v>
      </c>
      <c r="AU515" s="454" t="s">
        <v>1286</v>
      </c>
      <c r="AV515" s="536">
        <v>1.7</v>
      </c>
    </row>
    <row r="516">
      <c r="M516" s="226"/>
      <c r="N516" s="226"/>
      <c r="O516" s="226"/>
      <c r="P516" s="226"/>
      <c r="AN516" s="454" t="s">
        <v>1035</v>
      </c>
      <c r="AO516" s="536">
        <v>0.0</v>
      </c>
      <c r="AP516" s="515" t="s">
        <v>1035</v>
      </c>
      <c r="AQ516" s="457">
        <v>0.0</v>
      </c>
      <c r="AS516" s="454" t="s">
        <v>2539</v>
      </c>
      <c r="AT516" s="536">
        <v>162.0</v>
      </c>
      <c r="AU516" s="454" t="s">
        <v>2539</v>
      </c>
      <c r="AV516" s="536">
        <v>1.7</v>
      </c>
    </row>
    <row r="517">
      <c r="M517" s="226"/>
      <c r="N517" s="226"/>
      <c r="O517" s="226"/>
      <c r="P517" s="226"/>
      <c r="AS517" s="454" t="s">
        <v>2541</v>
      </c>
      <c r="AT517" s="536">
        <v>180.5</v>
      </c>
      <c r="AU517" s="454" t="s">
        <v>2541</v>
      </c>
      <c r="AV517" s="536">
        <v>1.7</v>
      </c>
    </row>
    <row r="518">
      <c r="M518" s="226"/>
      <c r="N518" s="226"/>
      <c r="O518" s="226"/>
      <c r="P518" s="226"/>
      <c r="AS518" s="454" t="s">
        <v>2542</v>
      </c>
      <c r="AT518" s="536">
        <v>172.0</v>
      </c>
      <c r="AU518" s="454" t="s">
        <v>2542</v>
      </c>
      <c r="AV518" s="536">
        <v>1.7</v>
      </c>
    </row>
    <row r="519">
      <c r="M519" s="226"/>
      <c r="N519" s="226"/>
      <c r="O519" s="226"/>
      <c r="P519" s="226"/>
      <c r="AN519" s="449" t="s">
        <v>2084</v>
      </c>
      <c r="AO519" s="450" t="s">
        <v>2291</v>
      </c>
      <c r="AP519" s="449" t="s">
        <v>2084</v>
      </c>
      <c r="AQ519" s="450" t="s">
        <v>2292</v>
      </c>
      <c r="AS519" s="454" t="s">
        <v>2543</v>
      </c>
      <c r="AT519" s="536">
        <v>146.5</v>
      </c>
      <c r="AU519" s="454" t="s">
        <v>2543</v>
      </c>
      <c r="AV519" s="536">
        <v>1.7</v>
      </c>
    </row>
    <row r="520">
      <c r="M520" s="226"/>
      <c r="N520" s="226"/>
      <c r="O520" s="226"/>
      <c r="P520" s="226"/>
      <c r="AN520" s="454" t="s">
        <v>1041</v>
      </c>
      <c r="AO520" s="457">
        <v>2.0</v>
      </c>
      <c r="AP520" s="454" t="s">
        <v>1041</v>
      </c>
      <c r="AQ520" s="457">
        <v>0.0</v>
      </c>
      <c r="AS520" s="454" t="s">
        <v>2544</v>
      </c>
      <c r="AT520" s="536">
        <v>140.5</v>
      </c>
      <c r="AU520" s="454" t="s">
        <v>2544</v>
      </c>
      <c r="AV520" s="536">
        <v>1.7</v>
      </c>
    </row>
    <row r="521">
      <c r="M521" s="226"/>
      <c r="N521" s="226"/>
      <c r="O521" s="226"/>
      <c r="P521" s="226"/>
      <c r="AN521" s="454" t="s">
        <v>1009</v>
      </c>
      <c r="AO521" s="457">
        <v>0.0</v>
      </c>
      <c r="AP521" s="454" t="s">
        <v>1009</v>
      </c>
      <c r="AQ521" s="457">
        <v>0.0</v>
      </c>
    </row>
    <row r="522">
      <c r="M522" s="226"/>
      <c r="N522" s="226"/>
      <c r="O522" s="226"/>
      <c r="P522" s="226"/>
      <c r="AN522" s="454" t="s">
        <v>1042</v>
      </c>
      <c r="AO522" s="457">
        <v>0.0</v>
      </c>
      <c r="AP522" s="454" t="s">
        <v>1042</v>
      </c>
      <c r="AQ522" s="457">
        <v>0.0</v>
      </c>
    </row>
    <row r="523">
      <c r="M523" s="226"/>
      <c r="N523" s="226"/>
      <c r="O523" s="226"/>
      <c r="P523" s="226"/>
      <c r="AN523" s="454" t="s">
        <v>1011</v>
      </c>
      <c r="AO523" s="457">
        <v>0.0</v>
      </c>
      <c r="AP523" s="454" t="s">
        <v>1011</v>
      </c>
      <c r="AQ523" s="457">
        <v>0.0</v>
      </c>
      <c r="AS523" s="449" t="s">
        <v>2084</v>
      </c>
      <c r="AT523" s="450" t="s">
        <v>2547</v>
      </c>
      <c r="AU523" s="449" t="s">
        <v>2084</v>
      </c>
      <c r="AV523" s="450" t="s">
        <v>2548</v>
      </c>
    </row>
    <row r="524">
      <c r="M524" s="226"/>
      <c r="N524" s="226"/>
      <c r="O524" s="226"/>
      <c r="P524" s="226"/>
      <c r="AN524" s="454" t="s">
        <v>1043</v>
      </c>
      <c r="AO524" s="457">
        <v>0.0</v>
      </c>
      <c r="AP524" s="454" t="s">
        <v>1043</v>
      </c>
      <c r="AQ524" s="457">
        <v>0.0</v>
      </c>
      <c r="AS524" s="454" t="s">
        <v>1041</v>
      </c>
      <c r="AT524" s="457">
        <v>280.5</v>
      </c>
      <c r="AU524" s="454" t="s">
        <v>1041</v>
      </c>
      <c r="AV524" s="457">
        <v>2.4</v>
      </c>
    </row>
    <row r="525">
      <c r="M525" s="226"/>
      <c r="N525" s="226"/>
      <c r="O525" s="226"/>
      <c r="P525" s="226"/>
      <c r="AN525" s="454" t="s">
        <v>1012</v>
      </c>
      <c r="AO525" s="457">
        <v>0.0</v>
      </c>
      <c r="AP525" s="454" t="s">
        <v>1012</v>
      </c>
      <c r="AQ525" s="457">
        <v>0.0</v>
      </c>
      <c r="AS525" s="454" t="s">
        <v>1009</v>
      </c>
      <c r="AT525" s="457">
        <v>153.0</v>
      </c>
      <c r="AU525" s="454" t="s">
        <v>1009</v>
      </c>
      <c r="AV525" s="457">
        <v>2.4</v>
      </c>
    </row>
    <row r="526">
      <c r="M526" s="226"/>
      <c r="N526" s="226"/>
      <c r="O526" s="226"/>
      <c r="P526" s="226"/>
      <c r="AN526" s="454" t="s">
        <v>1046</v>
      </c>
      <c r="AO526" s="457">
        <v>0.0</v>
      </c>
      <c r="AP526" s="454" t="s">
        <v>1046</v>
      </c>
      <c r="AQ526" s="457">
        <v>0.0</v>
      </c>
      <c r="AS526" s="454" t="s">
        <v>1042</v>
      </c>
      <c r="AT526" s="457">
        <v>162.0</v>
      </c>
      <c r="AU526" s="454" t="s">
        <v>1042</v>
      </c>
      <c r="AV526" s="457">
        <v>2.4</v>
      </c>
    </row>
    <row r="527">
      <c r="M527" s="226"/>
      <c r="N527" s="226"/>
      <c r="O527" s="226"/>
      <c r="P527" s="226"/>
      <c r="AN527" s="454" t="s">
        <v>1018</v>
      </c>
      <c r="AO527" s="457">
        <v>0.0</v>
      </c>
      <c r="AP527" s="454" t="s">
        <v>1018</v>
      </c>
      <c r="AQ527" s="457">
        <v>0.0</v>
      </c>
      <c r="AS527" s="454" t="s">
        <v>1011</v>
      </c>
      <c r="AT527" s="457">
        <v>280.5</v>
      </c>
      <c r="AU527" s="454" t="s">
        <v>1011</v>
      </c>
      <c r="AV527" s="457">
        <v>2.4</v>
      </c>
    </row>
    <row r="528">
      <c r="M528" s="226"/>
      <c r="N528" s="226"/>
      <c r="O528" s="226"/>
      <c r="P528" s="226"/>
      <c r="AN528" s="454" t="s">
        <v>1019</v>
      </c>
      <c r="AO528" s="457">
        <v>0.0</v>
      </c>
      <c r="AP528" s="454" t="s">
        <v>1019</v>
      </c>
      <c r="AQ528" s="457">
        <v>0.0</v>
      </c>
      <c r="AS528" s="454" t="s">
        <v>1045</v>
      </c>
      <c r="AT528" s="457">
        <v>162.0</v>
      </c>
      <c r="AU528" s="454" t="s">
        <v>1045</v>
      </c>
      <c r="AV528" s="457">
        <v>2.4</v>
      </c>
    </row>
    <row r="529">
      <c r="M529" s="226"/>
      <c r="N529" s="226"/>
      <c r="O529" s="226"/>
      <c r="P529" s="226"/>
      <c r="AN529" s="454" t="s">
        <v>1026</v>
      </c>
      <c r="AO529" s="457">
        <v>0.0</v>
      </c>
      <c r="AP529" s="454" t="s">
        <v>1026</v>
      </c>
      <c r="AQ529" s="457">
        <v>0.0</v>
      </c>
      <c r="AS529" s="454" t="s">
        <v>1043</v>
      </c>
      <c r="AT529" s="457">
        <v>162.0</v>
      </c>
      <c r="AU529" s="454" t="s">
        <v>1043</v>
      </c>
      <c r="AV529" s="457">
        <v>2.4</v>
      </c>
    </row>
    <row r="530">
      <c r="M530" s="226"/>
      <c r="N530" s="226"/>
      <c r="O530" s="226"/>
      <c r="P530" s="226"/>
      <c r="AN530" s="614" t="s">
        <v>1048</v>
      </c>
      <c r="AO530" s="457">
        <v>0.0</v>
      </c>
      <c r="AP530" s="614" t="s">
        <v>1048</v>
      </c>
      <c r="AQ530" s="457">
        <v>0.0</v>
      </c>
      <c r="AS530" s="454" t="s">
        <v>1012</v>
      </c>
      <c r="AT530" s="457">
        <v>280.5</v>
      </c>
      <c r="AU530" s="454" t="s">
        <v>1012</v>
      </c>
      <c r="AV530" s="457">
        <v>2.4</v>
      </c>
    </row>
    <row r="531">
      <c r="M531" s="226"/>
      <c r="N531" s="226"/>
      <c r="O531" s="226"/>
      <c r="P531" s="226"/>
      <c r="AN531" s="614" t="s">
        <v>1052</v>
      </c>
      <c r="AO531" s="457">
        <v>0.0</v>
      </c>
      <c r="AP531" s="614" t="s">
        <v>1052</v>
      </c>
      <c r="AQ531" s="457">
        <v>0.0</v>
      </c>
      <c r="AS531" s="454" t="s">
        <v>1046</v>
      </c>
      <c r="AT531" s="457">
        <v>257.5</v>
      </c>
      <c r="AU531" s="454" t="s">
        <v>1046</v>
      </c>
      <c r="AV531" s="457">
        <v>2.4</v>
      </c>
    </row>
    <row r="532">
      <c r="M532" s="226"/>
      <c r="N532" s="226"/>
      <c r="O532" s="226"/>
      <c r="P532" s="226"/>
      <c r="AN532" s="614" t="s">
        <v>1053</v>
      </c>
      <c r="AO532" s="457">
        <v>0.0</v>
      </c>
      <c r="AP532" s="614" t="s">
        <v>1053</v>
      </c>
      <c r="AQ532" s="457">
        <v>0.0</v>
      </c>
      <c r="AS532" s="454" t="s">
        <v>1018</v>
      </c>
      <c r="AT532" s="457">
        <v>268.0</v>
      </c>
      <c r="AU532" s="454" t="s">
        <v>1018</v>
      </c>
      <c r="AV532" s="457">
        <v>2.4</v>
      </c>
    </row>
    <row r="533">
      <c r="M533" s="226"/>
      <c r="N533" s="226"/>
      <c r="O533" s="226"/>
      <c r="P533" s="226"/>
      <c r="AN533" s="454" t="s">
        <v>1020</v>
      </c>
      <c r="AO533" s="457">
        <v>0.0</v>
      </c>
      <c r="AP533" s="454" t="s">
        <v>1020</v>
      </c>
      <c r="AQ533" s="457">
        <v>0.0</v>
      </c>
      <c r="AS533" s="454" t="s">
        <v>1051</v>
      </c>
      <c r="AT533" s="457">
        <v>154.5</v>
      </c>
      <c r="AU533" s="454" t="s">
        <v>1051</v>
      </c>
      <c r="AV533" s="457">
        <v>2.4</v>
      </c>
    </row>
    <row r="534">
      <c r="M534" s="226"/>
      <c r="N534" s="226"/>
      <c r="O534" s="226"/>
      <c r="P534" s="226"/>
      <c r="AN534" s="454" t="s">
        <v>1022</v>
      </c>
      <c r="AO534" s="457">
        <v>0.0</v>
      </c>
      <c r="AP534" s="454" t="s">
        <v>1022</v>
      </c>
      <c r="AQ534" s="457">
        <v>0.0</v>
      </c>
      <c r="AS534" s="454" t="s">
        <v>1019</v>
      </c>
      <c r="AT534" s="457">
        <v>260.5</v>
      </c>
      <c r="AU534" s="454" t="s">
        <v>1019</v>
      </c>
      <c r="AV534" s="457">
        <v>2.4</v>
      </c>
    </row>
    <row r="535">
      <c r="M535" s="226"/>
      <c r="N535" s="226"/>
      <c r="O535" s="226"/>
      <c r="P535" s="226"/>
      <c r="AN535" s="454" t="s">
        <v>1031</v>
      </c>
      <c r="AO535" s="536">
        <v>0.0</v>
      </c>
      <c r="AP535" s="515" t="s">
        <v>1031</v>
      </c>
      <c r="AQ535" s="457">
        <v>0.0</v>
      </c>
      <c r="AS535" s="454" t="s">
        <v>1026</v>
      </c>
      <c r="AT535" s="457">
        <v>260.5</v>
      </c>
      <c r="AU535" s="454" t="s">
        <v>1026</v>
      </c>
      <c r="AV535" s="457">
        <v>2.4</v>
      </c>
    </row>
    <row r="536">
      <c r="M536" s="226"/>
      <c r="N536" s="226"/>
      <c r="O536" s="226"/>
      <c r="P536" s="226"/>
      <c r="AN536" s="454" t="s">
        <v>1033</v>
      </c>
      <c r="AO536" s="536">
        <v>0.0</v>
      </c>
      <c r="AP536" s="515" t="s">
        <v>1033</v>
      </c>
      <c r="AQ536" s="457">
        <v>0.0</v>
      </c>
      <c r="AS536" s="614" t="s">
        <v>1048</v>
      </c>
      <c r="AT536" s="457">
        <v>154.5</v>
      </c>
      <c r="AU536" s="614" t="s">
        <v>1048</v>
      </c>
      <c r="AV536" s="457">
        <v>2.4</v>
      </c>
    </row>
    <row r="537">
      <c r="M537" s="226"/>
      <c r="N537" s="226"/>
      <c r="O537" s="226"/>
      <c r="P537" s="226"/>
      <c r="AN537" s="454" t="s">
        <v>1035</v>
      </c>
      <c r="AO537" s="536">
        <v>0.0</v>
      </c>
      <c r="AP537" s="515" t="s">
        <v>1035</v>
      </c>
      <c r="AQ537" s="457">
        <v>0.0</v>
      </c>
      <c r="AS537" s="614" t="s">
        <v>1052</v>
      </c>
      <c r="AT537" s="457">
        <v>150.5</v>
      </c>
      <c r="AU537" s="614" t="s">
        <v>1052</v>
      </c>
      <c r="AV537" s="457">
        <v>2.4</v>
      </c>
    </row>
    <row r="538">
      <c r="M538" s="226"/>
      <c r="N538" s="226"/>
      <c r="O538" s="226"/>
      <c r="P538" s="226"/>
      <c r="AN538" s="454" t="s">
        <v>1055</v>
      </c>
      <c r="AO538" s="456">
        <v>0.0</v>
      </c>
      <c r="AP538" s="515" t="s">
        <v>1055</v>
      </c>
      <c r="AQ538" s="457">
        <v>0.0</v>
      </c>
      <c r="AS538" s="614" t="s">
        <v>1053</v>
      </c>
      <c r="AT538" s="457">
        <v>140.5</v>
      </c>
      <c r="AU538" s="614" t="s">
        <v>1053</v>
      </c>
      <c r="AV538" s="457">
        <v>2.4</v>
      </c>
    </row>
    <row r="539">
      <c r="M539" s="226"/>
      <c r="N539" s="226"/>
      <c r="O539" s="226"/>
      <c r="P539" s="226"/>
      <c r="AS539" s="454" t="s">
        <v>1020</v>
      </c>
      <c r="AT539" s="457">
        <v>270.5</v>
      </c>
      <c r="AU539" s="454" t="s">
        <v>1020</v>
      </c>
      <c r="AV539" s="457">
        <v>2.4</v>
      </c>
    </row>
    <row r="540">
      <c r="M540" s="226"/>
      <c r="N540" s="226"/>
      <c r="O540" s="226"/>
      <c r="P540" s="226"/>
      <c r="AS540" s="454" t="s">
        <v>1022</v>
      </c>
      <c r="AT540" s="457">
        <v>280.5</v>
      </c>
      <c r="AU540" s="454" t="s">
        <v>1022</v>
      </c>
      <c r="AV540" s="457">
        <v>2.4</v>
      </c>
    </row>
    <row r="541">
      <c r="M541" s="226"/>
      <c r="N541" s="226"/>
      <c r="O541" s="226"/>
      <c r="P541" s="226"/>
      <c r="AN541" s="449" t="s">
        <v>2110</v>
      </c>
      <c r="AO541" s="450" t="s">
        <v>2301</v>
      </c>
      <c r="AP541" s="449" t="s">
        <v>2110</v>
      </c>
      <c r="AQ541" s="450" t="s">
        <v>2302</v>
      </c>
      <c r="AS541" s="454" t="s">
        <v>1031</v>
      </c>
      <c r="AT541" s="536">
        <v>263.5</v>
      </c>
      <c r="AU541" s="454" t="s">
        <v>1031</v>
      </c>
      <c r="AV541" s="457">
        <v>2.4</v>
      </c>
    </row>
    <row r="542">
      <c r="M542" s="226"/>
      <c r="N542" s="226"/>
      <c r="O542" s="226"/>
      <c r="P542" s="226"/>
      <c r="AN542" s="454" t="s">
        <v>1126</v>
      </c>
      <c r="AO542" s="457">
        <v>3.0</v>
      </c>
      <c r="AP542" s="454" t="s">
        <v>1126</v>
      </c>
      <c r="AQ542" s="457">
        <v>0.0</v>
      </c>
      <c r="AS542" s="454" t="s">
        <v>1033</v>
      </c>
      <c r="AT542" s="536">
        <v>254.0</v>
      </c>
      <c r="AU542" s="454" t="s">
        <v>1033</v>
      </c>
      <c r="AV542" s="457">
        <v>2.4</v>
      </c>
    </row>
    <row r="543">
      <c r="M543" s="226"/>
      <c r="N543" s="226"/>
      <c r="O543" s="226"/>
      <c r="P543" s="226"/>
      <c r="AN543" s="454" t="s">
        <v>1127</v>
      </c>
      <c r="AO543" s="457">
        <v>0.0</v>
      </c>
      <c r="AP543" s="454" t="s">
        <v>1127</v>
      </c>
      <c r="AQ543" s="457">
        <v>0.0</v>
      </c>
      <c r="AS543" s="454" t="s">
        <v>1035</v>
      </c>
      <c r="AT543" s="536">
        <v>260.5</v>
      </c>
      <c r="AU543" s="454" t="s">
        <v>1035</v>
      </c>
      <c r="AV543" s="457">
        <v>2.4</v>
      </c>
    </row>
    <row r="544">
      <c r="M544" s="226"/>
      <c r="N544" s="226"/>
      <c r="O544" s="226"/>
      <c r="P544" s="226"/>
      <c r="AN544" s="454" t="s">
        <v>1130</v>
      </c>
      <c r="AO544" s="457">
        <v>0.0</v>
      </c>
      <c r="AP544" s="454" t="s">
        <v>1130</v>
      </c>
      <c r="AQ544" s="457">
        <v>0.0</v>
      </c>
      <c r="AS544" s="454" t="s">
        <v>1055</v>
      </c>
      <c r="AT544" s="456">
        <v>263.5</v>
      </c>
      <c r="AU544" s="454" t="s">
        <v>1055</v>
      </c>
      <c r="AV544" s="457">
        <v>2.4</v>
      </c>
    </row>
    <row r="545">
      <c r="M545" s="226"/>
      <c r="N545" s="226"/>
      <c r="O545" s="226"/>
      <c r="P545" s="226"/>
      <c r="AN545" s="454" t="s">
        <v>1128</v>
      </c>
      <c r="AO545" s="457">
        <v>0.0</v>
      </c>
      <c r="AP545" s="454" t="s">
        <v>1128</v>
      </c>
      <c r="AQ545" s="457">
        <v>0.0</v>
      </c>
      <c r="AS545" s="454" t="s">
        <v>2535</v>
      </c>
      <c r="AT545" s="457">
        <v>185.5</v>
      </c>
      <c r="AU545" s="454" t="s">
        <v>2535</v>
      </c>
      <c r="AV545" s="457">
        <v>1.7</v>
      </c>
    </row>
    <row r="546">
      <c r="M546" s="226"/>
      <c r="N546" s="226"/>
      <c r="O546" s="226"/>
      <c r="P546" s="226"/>
      <c r="AN546" s="454" t="s">
        <v>1132</v>
      </c>
      <c r="AO546" s="457">
        <v>0.0</v>
      </c>
      <c r="AP546" s="454" t="s">
        <v>1132</v>
      </c>
      <c r="AQ546" s="457">
        <v>0.0</v>
      </c>
      <c r="AS546" s="454" t="s">
        <v>2537</v>
      </c>
      <c r="AT546" s="536">
        <v>180.5</v>
      </c>
      <c r="AU546" s="454" t="s">
        <v>2537</v>
      </c>
      <c r="AV546" s="536">
        <v>1.7</v>
      </c>
    </row>
    <row r="547">
      <c r="M547" s="226"/>
      <c r="N547" s="226"/>
      <c r="O547" s="226"/>
      <c r="P547" s="226"/>
      <c r="AN547" s="454" t="s">
        <v>1137</v>
      </c>
      <c r="AO547" s="457"/>
      <c r="AP547" s="454" t="s">
        <v>1137</v>
      </c>
      <c r="AQ547" s="457">
        <v>0.0</v>
      </c>
      <c r="AS547" s="454" t="s">
        <v>2538</v>
      </c>
      <c r="AT547" s="536">
        <v>194.5</v>
      </c>
      <c r="AU547" s="454" t="s">
        <v>2538</v>
      </c>
      <c r="AV547" s="536">
        <v>1.7</v>
      </c>
    </row>
    <row r="548">
      <c r="M548" s="226"/>
      <c r="N548" s="226"/>
      <c r="O548" s="226"/>
      <c r="P548" s="226"/>
      <c r="AN548" s="454" t="s">
        <v>1139</v>
      </c>
      <c r="AO548" s="457">
        <v>0.0</v>
      </c>
      <c r="AP548" s="454" t="s">
        <v>1139</v>
      </c>
      <c r="AQ548" s="457">
        <v>0.0</v>
      </c>
      <c r="AS548" s="454" t="s">
        <v>2540</v>
      </c>
      <c r="AT548" s="536">
        <v>151.0</v>
      </c>
      <c r="AU548" s="454" t="s">
        <v>2540</v>
      </c>
      <c r="AV548" s="536">
        <v>1.7</v>
      </c>
    </row>
    <row r="549">
      <c r="M549" s="226"/>
      <c r="N549" s="226"/>
      <c r="O549" s="226"/>
      <c r="P549" s="226"/>
      <c r="AN549" s="454" t="s">
        <v>1145</v>
      </c>
      <c r="AO549" s="457">
        <v>0.0</v>
      </c>
      <c r="AP549" s="454" t="s">
        <v>1145</v>
      </c>
      <c r="AQ549" s="457">
        <v>0.0</v>
      </c>
      <c r="AS549" s="454" t="s">
        <v>1286</v>
      </c>
      <c r="AT549" s="536">
        <v>205.5</v>
      </c>
      <c r="AU549" s="454" t="s">
        <v>1286</v>
      </c>
      <c r="AV549" s="536">
        <v>1.7</v>
      </c>
    </row>
    <row r="550">
      <c r="M550" s="226"/>
      <c r="N550" s="226"/>
      <c r="O550" s="226"/>
      <c r="P550" s="226"/>
      <c r="AN550" s="614" t="s">
        <v>1136</v>
      </c>
      <c r="AO550" s="457">
        <v>0.0</v>
      </c>
      <c r="AP550" s="614" t="s">
        <v>1136</v>
      </c>
      <c r="AQ550" s="457">
        <v>0.0</v>
      </c>
      <c r="AS550" s="454" t="s">
        <v>2539</v>
      </c>
      <c r="AT550" s="536">
        <v>162.0</v>
      </c>
      <c r="AU550" s="454" t="s">
        <v>2539</v>
      </c>
      <c r="AV550" s="536">
        <v>1.7</v>
      </c>
    </row>
    <row r="551">
      <c r="M551" s="226"/>
      <c r="N551" s="226"/>
      <c r="O551" s="226"/>
      <c r="P551" s="226"/>
      <c r="AS551" s="454" t="s">
        <v>2541</v>
      </c>
      <c r="AT551" s="536">
        <v>180.5</v>
      </c>
      <c r="AU551" s="454" t="s">
        <v>2541</v>
      </c>
      <c r="AV551" s="536">
        <v>1.7</v>
      </c>
    </row>
    <row r="552">
      <c r="M552" s="226"/>
      <c r="N552" s="226"/>
      <c r="O552" s="226"/>
      <c r="P552" s="226"/>
      <c r="AO552" s="25">
        <v>144.0</v>
      </c>
      <c r="AS552" s="454" t="s">
        <v>2542</v>
      </c>
      <c r="AT552" s="536">
        <v>172.0</v>
      </c>
      <c r="AU552" s="454" t="s">
        <v>2542</v>
      </c>
      <c r="AV552" s="536">
        <v>1.7</v>
      </c>
    </row>
    <row r="553">
      <c r="M553" s="226"/>
      <c r="N553" s="226"/>
      <c r="O553" s="226"/>
      <c r="P553" s="226"/>
      <c r="AO553" s="25">
        <v>217.0</v>
      </c>
      <c r="AS553" s="454" t="s">
        <v>2543</v>
      </c>
      <c r="AT553" s="536">
        <v>9.5</v>
      </c>
      <c r="AU553" s="454" t="s">
        <v>2543</v>
      </c>
      <c r="AV553" s="536">
        <v>1.7</v>
      </c>
    </row>
    <row r="554">
      <c r="M554" s="226"/>
      <c r="N554" s="226"/>
      <c r="O554" s="226"/>
      <c r="P554" s="226"/>
      <c r="AO554">
        <f>average(AO552:AO553)</f>
        <v>180.5</v>
      </c>
      <c r="AS554" s="454" t="s">
        <v>2544</v>
      </c>
      <c r="AT554" s="536">
        <v>140.5</v>
      </c>
      <c r="AU554" s="454" t="s">
        <v>2544</v>
      </c>
      <c r="AV554" s="536">
        <v>1.7</v>
      </c>
    </row>
    <row r="555">
      <c r="M555" s="226"/>
      <c r="N555" s="226"/>
      <c r="O555" s="226"/>
      <c r="P555" s="226"/>
      <c r="AS555" s="652"/>
      <c r="AU555" s="652"/>
    </row>
    <row r="556">
      <c r="M556" s="226"/>
      <c r="N556" s="226"/>
      <c r="O556" s="226"/>
      <c r="P556" s="226"/>
      <c r="AN556" s="623" t="s">
        <v>2122</v>
      </c>
      <c r="AO556" s="623" t="s">
        <v>2310</v>
      </c>
      <c r="AP556" s="623" t="s">
        <v>2122</v>
      </c>
      <c r="AQ556" s="623" t="s">
        <v>2311</v>
      </c>
      <c r="AS556" s="652"/>
      <c r="AU556" s="652"/>
    </row>
    <row r="557">
      <c r="M557" s="226"/>
      <c r="N557" s="226"/>
      <c r="O557" s="226"/>
      <c r="P557" s="226"/>
      <c r="AN557" s="454" t="s">
        <v>780</v>
      </c>
      <c r="AO557" s="456">
        <v>1.0</v>
      </c>
      <c r="AP557" s="454" t="s">
        <v>780</v>
      </c>
      <c r="AQ557" s="456">
        <v>0.0</v>
      </c>
      <c r="AS557" s="652"/>
      <c r="AU557" s="652"/>
    </row>
    <row r="558">
      <c r="M558" s="226"/>
      <c r="N558" s="226"/>
      <c r="O558" s="226"/>
      <c r="P558" s="226"/>
      <c r="AN558" s="454" t="s">
        <v>782</v>
      </c>
      <c r="AO558" s="456">
        <v>1.0</v>
      </c>
      <c r="AP558" s="454" t="s">
        <v>782</v>
      </c>
      <c r="AQ558" s="456">
        <v>0.0</v>
      </c>
      <c r="AS558" s="652"/>
      <c r="AU558" s="652"/>
    </row>
    <row r="559">
      <c r="M559" s="226"/>
      <c r="N559" s="226"/>
      <c r="O559" s="226"/>
      <c r="P559" s="226"/>
      <c r="AN559" s="454" t="s">
        <v>783</v>
      </c>
      <c r="AO559" s="456">
        <v>1.0</v>
      </c>
      <c r="AP559" s="454" t="s">
        <v>783</v>
      </c>
      <c r="AQ559" s="456">
        <v>0.0</v>
      </c>
      <c r="AS559" s="652"/>
      <c r="AU559" s="652"/>
    </row>
    <row r="560">
      <c r="M560" s="226"/>
      <c r="N560" s="226"/>
      <c r="O560" s="226"/>
      <c r="P560" s="226"/>
      <c r="AN560" s="454" t="s">
        <v>785</v>
      </c>
      <c r="AO560" s="456">
        <v>0.0</v>
      </c>
      <c r="AP560" s="454" t="s">
        <v>785</v>
      </c>
      <c r="AQ560" s="457">
        <v>1.0</v>
      </c>
      <c r="AS560" s="652"/>
      <c r="AU560" s="652"/>
    </row>
    <row r="561">
      <c r="M561" s="226"/>
      <c r="N561" s="226"/>
      <c r="O561" s="226"/>
      <c r="P561" s="226"/>
      <c r="AN561" s="454" t="s">
        <v>786</v>
      </c>
      <c r="AO561" s="456">
        <v>1.0</v>
      </c>
      <c r="AP561" s="454" t="s">
        <v>786</v>
      </c>
      <c r="AQ561" s="457">
        <v>0.0</v>
      </c>
      <c r="AS561" s="652"/>
      <c r="AU561" s="652"/>
    </row>
    <row r="562">
      <c r="M562" s="226"/>
      <c r="N562" s="226"/>
      <c r="O562" s="226"/>
      <c r="P562" s="226"/>
      <c r="AN562" s="454" t="s">
        <v>789</v>
      </c>
      <c r="AO562" s="456">
        <v>2.0</v>
      </c>
      <c r="AP562" s="454" t="s">
        <v>789</v>
      </c>
      <c r="AQ562" s="457">
        <v>0.0</v>
      </c>
      <c r="AS562" s="652"/>
      <c r="AU562" s="652"/>
    </row>
    <row r="563">
      <c r="M563" s="226"/>
      <c r="N563" s="226"/>
      <c r="O563" s="226"/>
      <c r="P563" s="226"/>
      <c r="AS563" s="652"/>
      <c r="AU563" s="652"/>
    </row>
    <row r="564">
      <c r="M564" s="226"/>
      <c r="N564" s="226"/>
      <c r="O564" s="226"/>
      <c r="P564" s="226"/>
      <c r="AN564" s="449" t="s">
        <v>2130</v>
      </c>
      <c r="AO564" s="449" t="s">
        <v>2320</v>
      </c>
      <c r="AP564" s="449" t="s">
        <v>2130</v>
      </c>
      <c r="AQ564" s="449" t="s">
        <v>2321</v>
      </c>
      <c r="AS564" s="652"/>
      <c r="AU564" s="652"/>
    </row>
    <row r="565">
      <c r="M565" s="226"/>
      <c r="N565" s="226"/>
      <c r="O565" s="226"/>
      <c r="P565" s="226"/>
      <c r="AN565" s="454" t="s">
        <v>803</v>
      </c>
      <c r="AO565" s="456">
        <v>1.0</v>
      </c>
      <c r="AP565" s="454" t="s">
        <v>803</v>
      </c>
      <c r="AQ565" s="456">
        <v>1.0</v>
      </c>
      <c r="AS565" s="652"/>
      <c r="AU565" s="652"/>
    </row>
    <row r="566">
      <c r="M566" s="226"/>
      <c r="N566" s="226"/>
      <c r="O566" s="226"/>
      <c r="P566" s="226"/>
      <c r="AN566" s="454" t="s">
        <v>801</v>
      </c>
      <c r="AO566" s="456">
        <v>2.0</v>
      </c>
      <c r="AP566" s="454" t="s">
        <v>801</v>
      </c>
      <c r="AQ566" s="456">
        <v>0.0</v>
      </c>
      <c r="AS566" s="652"/>
      <c r="AU566" s="652"/>
    </row>
    <row r="567">
      <c r="M567" s="226"/>
      <c r="N567" s="226"/>
      <c r="O567" s="226"/>
      <c r="P567" s="226"/>
      <c r="AN567" s="454" t="s">
        <v>804</v>
      </c>
      <c r="AO567" s="456">
        <v>2.0</v>
      </c>
      <c r="AP567" s="454" t="s">
        <v>804</v>
      </c>
      <c r="AQ567" s="456">
        <v>0.0</v>
      </c>
      <c r="AS567" s="652"/>
      <c r="AU567" s="652"/>
    </row>
    <row r="568">
      <c r="M568" s="226"/>
      <c r="N568" s="226"/>
      <c r="O568" s="226"/>
      <c r="P568" s="226"/>
      <c r="AN568" s="454" t="s">
        <v>805</v>
      </c>
      <c r="AO568" s="456">
        <v>1.0</v>
      </c>
      <c r="AP568" s="454" t="s">
        <v>805</v>
      </c>
      <c r="AQ568" s="456">
        <v>1.0</v>
      </c>
      <c r="AS568" s="652"/>
      <c r="AU568" s="652"/>
    </row>
    <row r="569">
      <c r="M569" s="226"/>
      <c r="N569" s="226"/>
      <c r="O569" s="226"/>
      <c r="P569" s="226"/>
      <c r="AN569" s="454" t="s">
        <v>811</v>
      </c>
      <c r="AO569" s="456">
        <v>2.0</v>
      </c>
      <c r="AP569" s="454" t="s">
        <v>811</v>
      </c>
      <c r="AQ569" s="456">
        <v>0.0</v>
      </c>
      <c r="AS569" s="652"/>
      <c r="AU569" s="652"/>
    </row>
    <row r="570">
      <c r="M570" s="226"/>
      <c r="N570" s="226"/>
      <c r="O570" s="226"/>
      <c r="P570" s="226"/>
      <c r="AN570" s="454" t="s">
        <v>813</v>
      </c>
      <c r="AO570" s="456">
        <v>1.0</v>
      </c>
      <c r="AP570" s="454" t="s">
        <v>813</v>
      </c>
      <c r="AQ570" s="456">
        <v>0.0</v>
      </c>
      <c r="AS570" s="652"/>
      <c r="AU570" s="652"/>
    </row>
    <row r="571">
      <c r="M571" s="226"/>
      <c r="N571" s="226"/>
      <c r="O571" s="226"/>
      <c r="P571" s="226"/>
      <c r="AN571" s="454" t="s">
        <v>820</v>
      </c>
      <c r="AO571" s="456">
        <v>0.0</v>
      </c>
      <c r="AP571" s="454" t="s">
        <v>820</v>
      </c>
      <c r="AQ571" s="457">
        <v>0.0</v>
      </c>
      <c r="AS571" s="652"/>
      <c r="AU571" s="652"/>
    </row>
    <row r="572">
      <c r="M572" s="226"/>
      <c r="N572" s="226"/>
      <c r="O572" s="226"/>
      <c r="P572" s="226"/>
      <c r="AN572" s="454" t="s">
        <v>822</v>
      </c>
      <c r="AO572" s="456">
        <v>2.0</v>
      </c>
      <c r="AP572" s="454" t="s">
        <v>822</v>
      </c>
      <c r="AQ572" s="457">
        <v>0.0</v>
      </c>
      <c r="AS572" s="652"/>
      <c r="AU572" s="652"/>
    </row>
    <row r="573">
      <c r="M573" s="226"/>
      <c r="N573" s="226"/>
      <c r="O573" s="226"/>
      <c r="P573" s="226"/>
      <c r="AN573" s="454" t="s">
        <v>1094</v>
      </c>
      <c r="AO573" s="456">
        <v>0.0</v>
      </c>
      <c r="AP573" s="454" t="s">
        <v>1094</v>
      </c>
      <c r="AQ573" s="457">
        <v>0.0</v>
      </c>
      <c r="AS573" s="652"/>
      <c r="AU573" s="652"/>
    </row>
    <row r="574">
      <c r="M574" s="226"/>
      <c r="N574" s="226"/>
      <c r="O574" s="226"/>
      <c r="P574" s="226"/>
      <c r="AN574" s="454" t="s">
        <v>1098</v>
      </c>
      <c r="AO574" s="456">
        <v>0.0</v>
      </c>
      <c r="AP574" s="454" t="s">
        <v>1098</v>
      </c>
      <c r="AQ574" s="457">
        <v>0.0</v>
      </c>
      <c r="AS574" s="652"/>
      <c r="AU574" s="652"/>
    </row>
    <row r="575">
      <c r="M575" s="226"/>
      <c r="N575" s="226"/>
      <c r="O575" s="226"/>
      <c r="P575" s="226"/>
      <c r="AN575" s="454" t="s">
        <v>824</v>
      </c>
      <c r="AO575" s="456">
        <v>2.0</v>
      </c>
      <c r="AP575" s="454" t="s">
        <v>824</v>
      </c>
      <c r="AQ575" s="457">
        <v>0.0</v>
      </c>
      <c r="AS575" s="652"/>
      <c r="AU575" s="652"/>
    </row>
    <row r="576">
      <c r="M576" s="226"/>
      <c r="N576" s="226"/>
      <c r="O576" s="226"/>
      <c r="P576" s="226"/>
      <c r="AS576" s="652"/>
      <c r="AU576" s="652"/>
    </row>
    <row r="577">
      <c r="M577" s="226"/>
      <c r="N577" s="226"/>
      <c r="O577" s="226"/>
      <c r="P577" s="226"/>
      <c r="AN577" s="449" t="s">
        <v>2144</v>
      </c>
      <c r="AO577" s="449" t="s">
        <v>2258</v>
      </c>
      <c r="AP577" s="449" t="s">
        <v>2144</v>
      </c>
      <c r="AQ577" s="449" t="s">
        <v>2259</v>
      </c>
      <c r="AS577" s="652"/>
      <c r="AU577" s="652"/>
    </row>
    <row r="578">
      <c r="M578" s="226"/>
      <c r="N578" s="226"/>
      <c r="O578" s="226"/>
      <c r="P578" s="226"/>
      <c r="AN578" s="454" t="s">
        <v>829</v>
      </c>
      <c r="AO578" s="456">
        <v>0.0</v>
      </c>
      <c r="AP578" s="454" t="s">
        <v>829</v>
      </c>
      <c r="AQ578" s="456">
        <v>1.0</v>
      </c>
      <c r="AS578" s="652"/>
      <c r="AU578" s="652"/>
    </row>
    <row r="579">
      <c r="M579" s="226"/>
      <c r="N579" s="226"/>
      <c r="O579" s="226"/>
      <c r="P579" s="226"/>
      <c r="AN579" s="454" t="s">
        <v>830</v>
      </c>
      <c r="AO579" s="456">
        <v>2.0</v>
      </c>
      <c r="AP579" s="454" t="s">
        <v>830</v>
      </c>
      <c r="AQ579" s="456">
        <v>0.0</v>
      </c>
      <c r="AS579" s="652"/>
      <c r="AU579" s="652"/>
    </row>
    <row r="580">
      <c r="M580" s="226"/>
      <c r="N580" s="226"/>
      <c r="O580" s="226"/>
      <c r="P580" s="226"/>
      <c r="AN580" s="454" t="s">
        <v>831</v>
      </c>
      <c r="AO580" s="456">
        <v>2.0</v>
      </c>
      <c r="AP580" s="454" t="s">
        <v>831</v>
      </c>
      <c r="AQ580" s="456">
        <v>0.0</v>
      </c>
      <c r="AS580" s="652"/>
      <c r="AU580" s="652"/>
    </row>
    <row r="581">
      <c r="M581" s="226"/>
      <c r="N581" s="226"/>
      <c r="O581" s="226"/>
      <c r="P581" s="226"/>
      <c r="AN581" s="454" t="s">
        <v>833</v>
      </c>
      <c r="AO581" s="456">
        <v>0.0</v>
      </c>
      <c r="AP581" s="454" t="s">
        <v>833</v>
      </c>
      <c r="AQ581" s="456">
        <v>0.0</v>
      </c>
      <c r="AS581" s="652"/>
      <c r="AU581" s="652"/>
    </row>
    <row r="582">
      <c r="M582" s="226"/>
      <c r="N582" s="226"/>
      <c r="O582" s="226"/>
      <c r="P582" s="226"/>
      <c r="AN582" s="454" t="s">
        <v>834</v>
      </c>
      <c r="AO582" s="456">
        <v>1.0</v>
      </c>
      <c r="AP582" s="454" t="s">
        <v>834</v>
      </c>
      <c r="AQ582" s="456">
        <v>1.0</v>
      </c>
      <c r="AS582" s="652"/>
      <c r="AU582" s="652"/>
    </row>
    <row r="583">
      <c r="M583" s="226"/>
      <c r="N583" s="226"/>
      <c r="O583" s="226"/>
      <c r="P583" s="226"/>
      <c r="AN583" s="454" t="s">
        <v>836</v>
      </c>
      <c r="AO583" s="456">
        <v>2.0</v>
      </c>
      <c r="AP583" s="454" t="s">
        <v>836</v>
      </c>
      <c r="AQ583" s="456">
        <v>0.0</v>
      </c>
      <c r="AS583" s="652"/>
      <c r="AU583" s="652"/>
    </row>
    <row r="584">
      <c r="M584" s="226"/>
      <c r="N584" s="226"/>
      <c r="O584" s="226"/>
      <c r="P584" s="226"/>
      <c r="AN584" s="454" t="s">
        <v>838</v>
      </c>
      <c r="AO584" s="456">
        <v>1.0</v>
      </c>
      <c r="AP584" s="454" t="s">
        <v>838</v>
      </c>
      <c r="AQ584" s="456">
        <v>0.0</v>
      </c>
      <c r="AS584" s="652"/>
      <c r="AU584" s="652"/>
    </row>
    <row r="585">
      <c r="M585" s="226"/>
      <c r="N585" s="226"/>
      <c r="O585" s="226"/>
      <c r="P585" s="226"/>
      <c r="AN585" s="454" t="s">
        <v>847</v>
      </c>
      <c r="AO585" s="456">
        <v>2.0</v>
      </c>
      <c r="AP585" s="454" t="s">
        <v>847</v>
      </c>
      <c r="AQ585" s="457">
        <v>0.0</v>
      </c>
      <c r="AS585" s="652"/>
      <c r="AU585" s="652"/>
    </row>
    <row r="586">
      <c r="M586" s="226"/>
      <c r="N586" s="226"/>
      <c r="O586" s="226"/>
      <c r="P586" s="226"/>
      <c r="AS586" s="652"/>
      <c r="AU586" s="652"/>
    </row>
    <row r="587">
      <c r="M587" s="226"/>
      <c r="N587" s="226"/>
      <c r="O587" s="226"/>
      <c r="P587" s="226"/>
      <c r="AN587" s="449" t="s">
        <v>2163</v>
      </c>
      <c r="AO587" s="449" t="s">
        <v>2337</v>
      </c>
      <c r="AP587" s="449" t="s">
        <v>2163</v>
      </c>
      <c r="AQ587" s="449" t="s">
        <v>2338</v>
      </c>
      <c r="AS587" s="652"/>
      <c r="AU587" s="652"/>
    </row>
    <row r="588">
      <c r="M588" s="226"/>
      <c r="N588" s="226"/>
      <c r="O588" s="226"/>
      <c r="P588" s="226"/>
      <c r="AN588" s="454" t="s">
        <v>853</v>
      </c>
      <c r="AO588" s="456">
        <v>3.0</v>
      </c>
      <c r="AP588" s="454" t="s">
        <v>853</v>
      </c>
      <c r="AQ588" s="456">
        <v>0.0</v>
      </c>
      <c r="AS588" s="652"/>
      <c r="AU588" s="652"/>
    </row>
    <row r="589">
      <c r="M589" s="226"/>
      <c r="N589" s="226"/>
      <c r="O589" s="226"/>
      <c r="P589" s="226"/>
      <c r="AN589" s="454" t="s">
        <v>855</v>
      </c>
      <c r="AO589" s="456">
        <v>3.0</v>
      </c>
      <c r="AP589" s="454" t="s">
        <v>855</v>
      </c>
      <c r="AQ589" s="456">
        <v>0.0</v>
      </c>
      <c r="AS589" s="652"/>
      <c r="AU589" s="652"/>
    </row>
    <row r="590">
      <c r="M590" s="226"/>
      <c r="N590" s="226"/>
      <c r="O590" s="226"/>
      <c r="P590" s="226"/>
      <c r="AN590" s="454" t="s">
        <v>856</v>
      </c>
      <c r="AO590" s="456">
        <v>0.0</v>
      </c>
      <c r="AP590" s="454" t="s">
        <v>856</v>
      </c>
      <c r="AQ590" s="456">
        <v>0.0</v>
      </c>
      <c r="AS590" s="652"/>
      <c r="AU590" s="652"/>
    </row>
    <row r="591">
      <c r="M591" s="226"/>
      <c r="N591" s="226"/>
      <c r="O591" s="226"/>
      <c r="P591" s="226"/>
      <c r="AN591" s="454" t="s">
        <v>860</v>
      </c>
      <c r="AO591" s="456">
        <v>0.0</v>
      </c>
      <c r="AP591" s="454" t="s">
        <v>860</v>
      </c>
      <c r="AQ591" s="456">
        <v>0.0</v>
      </c>
      <c r="AS591" s="652"/>
      <c r="AU591" s="652"/>
    </row>
    <row r="592">
      <c r="M592" s="226"/>
      <c r="N592" s="226"/>
      <c r="O592" s="226"/>
      <c r="P592" s="226"/>
      <c r="AN592" s="454" t="s">
        <v>862</v>
      </c>
      <c r="AO592" s="456">
        <v>1.0</v>
      </c>
      <c r="AP592" s="454" t="s">
        <v>862</v>
      </c>
      <c r="AQ592" s="456">
        <v>0.0</v>
      </c>
      <c r="AS592" s="652"/>
      <c r="AU592" s="652"/>
    </row>
    <row r="593">
      <c r="M593" s="226"/>
      <c r="N593" s="226"/>
      <c r="O593" s="226"/>
      <c r="P593" s="226"/>
      <c r="AN593" s="454" t="s">
        <v>863</v>
      </c>
      <c r="AO593" s="456">
        <v>0.0</v>
      </c>
      <c r="AP593" s="454" t="s">
        <v>863</v>
      </c>
      <c r="AQ593" s="456">
        <v>0.0</v>
      </c>
      <c r="AS593" s="652"/>
      <c r="AU593" s="652"/>
    </row>
    <row r="594">
      <c r="M594" s="226"/>
      <c r="N594" s="226"/>
      <c r="O594" s="226"/>
      <c r="P594" s="226"/>
      <c r="AN594" s="454" t="s">
        <v>867</v>
      </c>
      <c r="AO594" s="456">
        <v>0.0</v>
      </c>
      <c r="AP594" s="454" t="s">
        <v>867</v>
      </c>
      <c r="AQ594" s="456">
        <v>0.0</v>
      </c>
      <c r="AS594" s="652"/>
      <c r="AU594" s="652"/>
    </row>
    <row r="595">
      <c r="M595" s="226"/>
      <c r="N595" s="226"/>
      <c r="O595" s="226"/>
      <c r="P595" s="226"/>
      <c r="AN595" s="454" t="s">
        <v>864</v>
      </c>
      <c r="AO595" s="456">
        <v>2.0</v>
      </c>
      <c r="AP595" s="454" t="s">
        <v>864</v>
      </c>
      <c r="AQ595" s="537">
        <v>0.0</v>
      </c>
      <c r="AS595" s="652"/>
      <c r="AU595" s="652"/>
    </row>
    <row r="596">
      <c r="M596" s="226"/>
      <c r="N596" s="226"/>
      <c r="O596" s="226"/>
      <c r="P596" s="226"/>
      <c r="AN596" s="454" t="s">
        <v>866</v>
      </c>
      <c r="AO596" s="456">
        <v>3.0</v>
      </c>
      <c r="AP596" s="454" t="s">
        <v>866</v>
      </c>
      <c r="AQ596" s="537">
        <v>0.0</v>
      </c>
      <c r="AS596" s="652"/>
      <c r="AU596" s="652"/>
    </row>
    <row r="597">
      <c r="M597" s="226"/>
      <c r="N597" s="226"/>
      <c r="O597" s="226"/>
      <c r="P597" s="226"/>
      <c r="AN597" s="454" t="s">
        <v>868</v>
      </c>
      <c r="AO597" s="456">
        <v>0.0</v>
      </c>
      <c r="AP597" s="454" t="s">
        <v>868</v>
      </c>
      <c r="AQ597" s="537">
        <v>0.0</v>
      </c>
      <c r="AS597" s="652"/>
      <c r="AU597" s="652"/>
    </row>
    <row r="598">
      <c r="M598" s="226"/>
      <c r="N598" s="226"/>
      <c r="O598" s="226"/>
      <c r="P598" s="226"/>
      <c r="AN598" s="454" t="s">
        <v>870</v>
      </c>
      <c r="AO598" s="456">
        <v>3.0</v>
      </c>
      <c r="AP598" s="454" t="s">
        <v>870</v>
      </c>
      <c r="AQ598" s="537">
        <v>0.0</v>
      </c>
      <c r="AS598" s="652"/>
      <c r="AU598" s="652"/>
    </row>
    <row r="599">
      <c r="M599" s="226"/>
      <c r="N599" s="226"/>
      <c r="O599" s="226"/>
      <c r="P599" s="226"/>
      <c r="AN599" s="454" t="s">
        <v>872</v>
      </c>
      <c r="AO599" s="456">
        <v>1.0</v>
      </c>
      <c r="AP599" s="454" t="s">
        <v>872</v>
      </c>
      <c r="AQ599" s="537">
        <v>0.0</v>
      </c>
      <c r="AS599" s="652"/>
      <c r="AU599" s="652"/>
    </row>
    <row r="600">
      <c r="M600" s="226"/>
      <c r="N600" s="226"/>
      <c r="O600" s="226"/>
      <c r="P600" s="226"/>
      <c r="AN600" s="454" t="s">
        <v>874</v>
      </c>
      <c r="AO600" s="456">
        <v>0.0</v>
      </c>
      <c r="AP600" s="454" t="s">
        <v>874</v>
      </c>
      <c r="AQ600" s="537">
        <v>0.0</v>
      </c>
      <c r="AS600" s="652"/>
      <c r="AU600" s="652"/>
    </row>
    <row r="601">
      <c r="M601" s="226"/>
      <c r="N601" s="226"/>
      <c r="O601" s="226"/>
      <c r="P601" s="226"/>
      <c r="AS601" s="652"/>
      <c r="AU601" s="652"/>
    </row>
    <row r="602">
      <c r="M602" s="226"/>
      <c r="N602" s="226"/>
      <c r="O602" s="226"/>
      <c r="P602" s="226"/>
      <c r="AS602" s="652"/>
      <c r="AU602" s="652"/>
    </row>
    <row r="603">
      <c r="M603" s="226"/>
      <c r="N603" s="226"/>
      <c r="O603" s="226"/>
      <c r="P603" s="226"/>
      <c r="AN603" s="623" t="s">
        <v>2172</v>
      </c>
      <c r="AO603" s="449" t="s">
        <v>2346</v>
      </c>
      <c r="AP603" s="623" t="s">
        <v>2172</v>
      </c>
      <c r="AQ603" s="449" t="s">
        <v>2347</v>
      </c>
      <c r="AS603" s="652"/>
      <c r="AU603" s="652"/>
    </row>
    <row r="604">
      <c r="M604" s="226"/>
      <c r="N604" s="226"/>
      <c r="O604" s="226"/>
      <c r="P604" s="226"/>
      <c r="AN604" s="640" t="s">
        <v>884</v>
      </c>
      <c r="AO604" s="641">
        <v>0.0</v>
      </c>
      <c r="AP604" s="640" t="s">
        <v>884</v>
      </c>
      <c r="AQ604" s="641">
        <v>1.0</v>
      </c>
      <c r="AS604" s="652"/>
      <c r="AU604" s="652"/>
    </row>
    <row r="605">
      <c r="M605" s="226"/>
      <c r="N605" s="226"/>
      <c r="O605" s="226"/>
      <c r="P605" s="226"/>
      <c r="AN605" s="640" t="s">
        <v>885</v>
      </c>
      <c r="AO605" s="641">
        <v>0.0</v>
      </c>
      <c r="AP605" s="640" t="s">
        <v>885</v>
      </c>
      <c r="AQ605" s="641">
        <v>2.0</v>
      </c>
      <c r="AS605" s="652"/>
      <c r="AU605" s="652"/>
    </row>
    <row r="606">
      <c r="M606" s="226"/>
      <c r="N606" s="226"/>
      <c r="O606" s="226"/>
      <c r="P606" s="226"/>
      <c r="AN606" s="640" t="s">
        <v>2180</v>
      </c>
      <c r="AO606" s="641">
        <v>1.0</v>
      </c>
      <c r="AP606" s="640" t="s">
        <v>2180</v>
      </c>
      <c r="AQ606" s="641">
        <v>1.0</v>
      </c>
      <c r="AS606" s="652"/>
      <c r="AU606" s="652"/>
    </row>
    <row r="607">
      <c r="M607" s="226"/>
      <c r="N607" s="226"/>
      <c r="O607" s="226"/>
      <c r="P607" s="226"/>
      <c r="AN607" s="640" t="s">
        <v>887</v>
      </c>
      <c r="AO607" s="641">
        <v>0.0</v>
      </c>
      <c r="AP607" s="640" t="s">
        <v>887</v>
      </c>
      <c r="AQ607" s="490">
        <v>0.0</v>
      </c>
      <c r="AS607" s="652"/>
      <c r="AU607" s="652"/>
    </row>
    <row r="608">
      <c r="M608" s="226"/>
      <c r="N608" s="226"/>
      <c r="O608" s="226"/>
      <c r="P608" s="226"/>
      <c r="AN608" s="640" t="s">
        <v>2181</v>
      </c>
      <c r="AO608" s="641">
        <v>2.0</v>
      </c>
      <c r="AP608" s="640" t="s">
        <v>2181</v>
      </c>
      <c r="AQ608" s="490">
        <v>0.0</v>
      </c>
      <c r="AS608" s="652"/>
      <c r="AU608" s="652"/>
    </row>
    <row r="609">
      <c r="M609" s="226"/>
      <c r="N609" s="226"/>
      <c r="O609" s="226"/>
      <c r="P609" s="226"/>
      <c r="AN609" s="640" t="s">
        <v>891</v>
      </c>
      <c r="AO609" s="641">
        <v>0.0</v>
      </c>
      <c r="AP609" s="640" t="s">
        <v>891</v>
      </c>
      <c r="AQ609" s="490">
        <v>0.0</v>
      </c>
      <c r="AS609" s="652"/>
      <c r="AU609" s="652"/>
    </row>
    <row r="610">
      <c r="M610" s="226"/>
      <c r="N610" s="226"/>
      <c r="O610" s="226"/>
      <c r="P610" s="226"/>
      <c r="AN610" s="640" t="s">
        <v>893</v>
      </c>
      <c r="AO610" s="641">
        <v>2.0</v>
      </c>
      <c r="AP610" s="640" t="s">
        <v>893</v>
      </c>
      <c r="AQ610" s="490">
        <v>0.0</v>
      </c>
      <c r="AS610" s="652"/>
      <c r="AU610" s="652"/>
    </row>
    <row r="611">
      <c r="M611" s="226"/>
      <c r="N611" s="226"/>
      <c r="O611" s="226"/>
      <c r="P611" s="226"/>
      <c r="AN611" s="640" t="s">
        <v>896</v>
      </c>
      <c r="AO611" s="641">
        <v>1.0</v>
      </c>
      <c r="AP611" s="640" t="s">
        <v>896</v>
      </c>
      <c r="AQ611" s="490">
        <v>1.0</v>
      </c>
      <c r="AS611" s="652"/>
      <c r="AU611" s="652"/>
    </row>
    <row r="612">
      <c r="M612" s="226"/>
      <c r="N612" s="226"/>
      <c r="O612" s="226"/>
      <c r="P612" s="226"/>
      <c r="AN612" s="640" t="s">
        <v>897</v>
      </c>
      <c r="AO612" s="641">
        <v>0.0</v>
      </c>
      <c r="AP612" s="640" t="s">
        <v>897</v>
      </c>
      <c r="AQ612" s="490">
        <v>0.0</v>
      </c>
      <c r="AS612" s="652"/>
      <c r="AU612" s="652"/>
    </row>
    <row r="613">
      <c r="M613" s="226"/>
      <c r="N613" s="226"/>
      <c r="O613" s="226"/>
      <c r="P613" s="226"/>
      <c r="AN613" s="640" t="s">
        <v>899</v>
      </c>
      <c r="AO613" s="641">
        <v>0.0</v>
      </c>
      <c r="AP613" s="640" t="s">
        <v>899</v>
      </c>
      <c r="AQ613" s="490">
        <v>0.0</v>
      </c>
      <c r="AS613" s="652"/>
      <c r="AU613" s="652"/>
    </row>
    <row r="614">
      <c r="M614" s="226"/>
      <c r="N614" s="226"/>
      <c r="O614" s="226"/>
      <c r="P614" s="226"/>
      <c r="AS614" s="652"/>
      <c r="AU614" s="652"/>
    </row>
    <row r="615">
      <c r="M615" s="226"/>
      <c r="N615" s="226"/>
      <c r="O615" s="226"/>
      <c r="P615" s="226"/>
      <c r="AS615" s="652"/>
      <c r="AU615" s="652"/>
    </row>
    <row r="616">
      <c r="M616" s="226"/>
      <c r="N616" s="226"/>
      <c r="O616" s="226"/>
      <c r="P616" s="226"/>
      <c r="AN616" s="449" t="s">
        <v>2182</v>
      </c>
      <c r="AO616" s="449" t="s">
        <v>2355</v>
      </c>
      <c r="AP616" s="449" t="s">
        <v>2182</v>
      </c>
      <c r="AQ616" s="449" t="s">
        <v>2356</v>
      </c>
      <c r="AS616" s="652"/>
      <c r="AU616" s="652"/>
    </row>
    <row r="617">
      <c r="M617" s="226"/>
      <c r="N617" s="226"/>
      <c r="O617" s="226"/>
      <c r="P617" s="226"/>
      <c r="AN617" s="454" t="s">
        <v>906</v>
      </c>
      <c r="AO617" s="456">
        <v>0.0</v>
      </c>
      <c r="AP617" s="454" t="s">
        <v>906</v>
      </c>
      <c r="AQ617" s="456">
        <v>0.0</v>
      </c>
      <c r="AS617" s="652"/>
      <c r="AU617" s="652"/>
    </row>
    <row r="618">
      <c r="M618" s="226"/>
      <c r="N618" s="226"/>
      <c r="O618" s="226"/>
      <c r="P618" s="226"/>
      <c r="AN618" s="454" t="s">
        <v>907</v>
      </c>
      <c r="AO618" s="456">
        <v>0.0</v>
      </c>
      <c r="AP618" s="454" t="s">
        <v>907</v>
      </c>
      <c r="AQ618" s="456">
        <v>0.0</v>
      </c>
      <c r="AS618" s="652"/>
      <c r="AU618" s="652"/>
    </row>
    <row r="619">
      <c r="M619" s="226"/>
      <c r="N619" s="226"/>
      <c r="O619" s="226"/>
      <c r="P619" s="226"/>
      <c r="AN619" s="454" t="s">
        <v>908</v>
      </c>
      <c r="AO619" s="456">
        <v>0.0</v>
      </c>
      <c r="AP619" s="454" t="s">
        <v>908</v>
      </c>
      <c r="AQ619" s="456">
        <v>0.0</v>
      </c>
      <c r="AS619" s="652"/>
      <c r="AU619" s="652"/>
    </row>
    <row r="620">
      <c r="M620" s="226"/>
      <c r="N620" s="226"/>
      <c r="O620" s="226"/>
      <c r="P620" s="226"/>
      <c r="AN620" s="454" t="s">
        <v>910</v>
      </c>
      <c r="AO620" s="456">
        <v>0.0</v>
      </c>
      <c r="AP620" s="454" t="s">
        <v>910</v>
      </c>
      <c r="AQ620" s="456">
        <v>0.0</v>
      </c>
      <c r="AS620" s="652"/>
      <c r="AU620" s="652"/>
    </row>
    <row r="621">
      <c r="M621" s="226"/>
      <c r="N621" s="226"/>
      <c r="O621" s="226"/>
      <c r="P621" s="226"/>
      <c r="AN621" s="454" t="s">
        <v>912</v>
      </c>
      <c r="AO621" s="456">
        <v>0.0</v>
      </c>
      <c r="AP621" s="454" t="s">
        <v>912</v>
      </c>
      <c r="AQ621" s="456">
        <v>0.0</v>
      </c>
      <c r="AS621" s="652"/>
      <c r="AU621" s="652"/>
    </row>
    <row r="622">
      <c r="M622" s="226"/>
      <c r="N622" s="226"/>
      <c r="O622" s="226"/>
      <c r="P622" s="226"/>
      <c r="AN622" s="454" t="s">
        <v>914</v>
      </c>
      <c r="AO622" s="456">
        <v>0.0</v>
      </c>
      <c r="AP622" s="454" t="s">
        <v>914</v>
      </c>
      <c r="AQ622" s="456">
        <v>0.0</v>
      </c>
      <c r="AS622" s="652"/>
      <c r="AU622" s="652"/>
    </row>
    <row r="623">
      <c r="M623" s="226"/>
      <c r="N623" s="226"/>
      <c r="O623" s="226"/>
      <c r="P623" s="226"/>
      <c r="AN623" s="454" t="s">
        <v>915</v>
      </c>
      <c r="AO623" s="456">
        <v>0.0</v>
      </c>
      <c r="AP623" s="454" t="s">
        <v>915</v>
      </c>
      <c r="AQ623" s="456">
        <v>0.0</v>
      </c>
      <c r="AS623" s="652"/>
      <c r="AU623" s="652"/>
    </row>
    <row r="624">
      <c r="M624" s="226"/>
      <c r="N624" s="226"/>
      <c r="O624" s="226"/>
      <c r="P624" s="226"/>
      <c r="AN624" s="454" t="s">
        <v>917</v>
      </c>
      <c r="AO624" s="456">
        <v>0.0</v>
      </c>
      <c r="AP624" s="454" t="s">
        <v>917</v>
      </c>
      <c r="AQ624" s="456">
        <v>0.0</v>
      </c>
      <c r="AS624" s="652"/>
      <c r="AU624" s="652"/>
    </row>
    <row r="625">
      <c r="M625" s="226"/>
      <c r="N625" s="226"/>
      <c r="O625" s="226"/>
      <c r="P625" s="226"/>
      <c r="AN625" s="454" t="s">
        <v>918</v>
      </c>
      <c r="AO625" s="456">
        <v>0.0</v>
      </c>
      <c r="AP625" s="454" t="s">
        <v>918</v>
      </c>
      <c r="AQ625" s="456">
        <v>0.0</v>
      </c>
      <c r="AS625" s="652"/>
      <c r="AU625" s="652"/>
    </row>
    <row r="626">
      <c r="M626" s="226"/>
      <c r="N626" s="226"/>
      <c r="O626" s="226"/>
      <c r="P626" s="226"/>
      <c r="AN626" s="454" t="s">
        <v>921</v>
      </c>
      <c r="AO626" s="456">
        <v>0.0</v>
      </c>
      <c r="AP626" s="454" t="s">
        <v>921</v>
      </c>
      <c r="AQ626" s="450">
        <v>0.0</v>
      </c>
      <c r="AS626" s="652"/>
      <c r="AU626" s="652"/>
    </row>
    <row r="627">
      <c r="M627" s="226"/>
      <c r="N627" s="226"/>
      <c r="O627" s="226"/>
      <c r="P627" s="226"/>
      <c r="AN627" s="454" t="s">
        <v>922</v>
      </c>
      <c r="AO627" s="456">
        <v>0.0</v>
      </c>
      <c r="AP627" s="454" t="s">
        <v>922</v>
      </c>
      <c r="AQ627" s="450">
        <v>0.0</v>
      </c>
      <c r="AS627" s="652"/>
      <c r="AU627" s="652"/>
    </row>
    <row r="628">
      <c r="M628" s="226"/>
      <c r="N628" s="226"/>
      <c r="O628" s="226"/>
      <c r="P628" s="226"/>
      <c r="AN628" s="454" t="s">
        <v>923</v>
      </c>
      <c r="AO628" s="456">
        <v>0.0</v>
      </c>
      <c r="AP628" s="454" t="s">
        <v>923</v>
      </c>
      <c r="AQ628" s="450">
        <v>0.0</v>
      </c>
      <c r="AS628" s="652"/>
      <c r="AU628" s="652"/>
    </row>
    <row r="629">
      <c r="M629" s="226"/>
      <c r="N629" s="226"/>
      <c r="O629" s="226"/>
      <c r="P629" s="226"/>
      <c r="AN629" s="454" t="s">
        <v>924</v>
      </c>
      <c r="AO629" s="456">
        <v>0.0</v>
      </c>
      <c r="AP629" s="454" t="s">
        <v>924</v>
      </c>
      <c r="AQ629" s="450">
        <v>0.0</v>
      </c>
      <c r="AS629" s="652"/>
      <c r="AU629" s="652"/>
    </row>
    <row r="630">
      <c r="M630" s="226"/>
      <c r="N630" s="226"/>
      <c r="O630" s="226"/>
      <c r="P630" s="226"/>
      <c r="AN630" s="454" t="s">
        <v>926</v>
      </c>
      <c r="AO630" s="456">
        <v>0.0</v>
      </c>
      <c r="AP630" s="454" t="s">
        <v>926</v>
      </c>
      <c r="AQ630" s="450">
        <v>0.0</v>
      </c>
      <c r="AS630" s="652"/>
      <c r="AU630" s="652"/>
    </row>
    <row r="631">
      <c r="M631" s="226"/>
      <c r="N631" s="226"/>
      <c r="O631" s="226"/>
      <c r="P631" s="226"/>
      <c r="AN631" s="454" t="s">
        <v>927</v>
      </c>
      <c r="AO631" s="456">
        <v>0.0</v>
      </c>
      <c r="AP631" s="454" t="s">
        <v>927</v>
      </c>
      <c r="AQ631" s="450">
        <v>0.0</v>
      </c>
      <c r="AS631" s="652"/>
      <c r="AU631" s="652"/>
    </row>
    <row r="632">
      <c r="M632" s="226"/>
      <c r="N632" s="226"/>
      <c r="O632" s="226"/>
      <c r="P632" s="226"/>
      <c r="AN632" s="454" t="s">
        <v>1115</v>
      </c>
      <c r="AO632" s="456">
        <v>0.0</v>
      </c>
      <c r="AP632" s="454" t="s">
        <v>1115</v>
      </c>
      <c r="AQ632" s="450">
        <v>0.0</v>
      </c>
      <c r="AS632" s="652"/>
      <c r="AU632" s="652"/>
    </row>
    <row r="633">
      <c r="M633" s="226"/>
      <c r="N633" s="226"/>
      <c r="O633" s="226"/>
      <c r="P633" s="226"/>
      <c r="AN633" s="454" t="s">
        <v>1244</v>
      </c>
      <c r="AO633" s="456">
        <v>0.0</v>
      </c>
      <c r="AP633" s="454" t="s">
        <v>1244</v>
      </c>
      <c r="AQ633" s="450">
        <v>0.0</v>
      </c>
      <c r="AS633" s="652"/>
      <c r="AU633" s="652"/>
    </row>
    <row r="634">
      <c r="M634" s="226"/>
      <c r="N634" s="226"/>
      <c r="O634" s="226"/>
      <c r="P634" s="226"/>
      <c r="AN634" s="454" t="s">
        <v>1111</v>
      </c>
      <c r="AO634" s="456">
        <v>0.0</v>
      </c>
      <c r="AP634" s="454" t="s">
        <v>1111</v>
      </c>
      <c r="AQ634" s="450">
        <v>0.0</v>
      </c>
      <c r="AS634" s="652"/>
      <c r="AU634" s="652"/>
    </row>
    <row r="635">
      <c r="M635" s="226"/>
      <c r="N635" s="226"/>
      <c r="O635" s="226"/>
      <c r="P635" s="226"/>
      <c r="AS635" s="652"/>
      <c r="AU635" s="652"/>
    </row>
    <row r="636">
      <c r="M636" s="226"/>
      <c r="N636" s="226"/>
      <c r="O636" s="226"/>
      <c r="P636" s="226"/>
      <c r="AN636" s="449" t="s">
        <v>2191</v>
      </c>
      <c r="AO636" s="449" t="s">
        <v>2364</v>
      </c>
      <c r="AP636" s="449" t="s">
        <v>2191</v>
      </c>
      <c r="AQ636" s="449" t="s">
        <v>2365</v>
      </c>
      <c r="AS636" s="652"/>
      <c r="AU636" s="652"/>
    </row>
    <row r="637">
      <c r="M637" s="226"/>
      <c r="N637" s="226"/>
      <c r="O637" s="226"/>
      <c r="P637" s="226"/>
      <c r="AN637" s="454" t="s">
        <v>974</v>
      </c>
      <c r="AO637" s="456">
        <v>0.0</v>
      </c>
      <c r="AP637" s="454" t="s">
        <v>974</v>
      </c>
      <c r="AQ637" s="456">
        <v>0.0</v>
      </c>
      <c r="AS637" s="652"/>
      <c r="AU637" s="652"/>
    </row>
    <row r="638">
      <c r="M638" s="226"/>
      <c r="N638" s="226"/>
      <c r="O638" s="226"/>
      <c r="P638" s="226"/>
      <c r="AN638" s="454" t="s">
        <v>975</v>
      </c>
      <c r="AO638" s="456">
        <v>0.0</v>
      </c>
      <c r="AP638" s="454" t="s">
        <v>975</v>
      </c>
      <c r="AQ638" s="456">
        <v>0.0</v>
      </c>
      <c r="AS638" s="652"/>
      <c r="AU638" s="652"/>
    </row>
    <row r="639">
      <c r="M639" s="226"/>
      <c r="N639" s="226"/>
      <c r="O639" s="226"/>
      <c r="P639" s="226"/>
      <c r="AN639" s="454" t="s">
        <v>976</v>
      </c>
      <c r="AO639" s="456">
        <v>0.0</v>
      </c>
      <c r="AP639" s="454" t="s">
        <v>976</v>
      </c>
      <c r="AQ639" s="456">
        <v>0.0</v>
      </c>
      <c r="AS639" s="652"/>
      <c r="AU639" s="652"/>
    </row>
    <row r="640">
      <c r="M640" s="226"/>
      <c r="N640" s="226"/>
      <c r="O640" s="226"/>
      <c r="P640" s="226"/>
      <c r="AN640" s="454" t="s">
        <v>977</v>
      </c>
      <c r="AO640" s="456">
        <v>0.0</v>
      </c>
      <c r="AP640" s="454" t="s">
        <v>977</v>
      </c>
      <c r="AQ640" s="456">
        <v>1.0</v>
      </c>
      <c r="AS640" s="652"/>
      <c r="AU640" s="652"/>
    </row>
    <row r="641">
      <c r="M641" s="226"/>
      <c r="N641" s="226"/>
      <c r="O641" s="226"/>
      <c r="P641" s="226"/>
      <c r="AN641" s="454" t="s">
        <v>979</v>
      </c>
      <c r="AO641" s="456">
        <v>0.0</v>
      </c>
      <c r="AP641" s="454" t="s">
        <v>979</v>
      </c>
      <c r="AQ641" s="456">
        <v>0.0</v>
      </c>
      <c r="AS641" s="652"/>
      <c r="AU641" s="652"/>
    </row>
    <row r="642">
      <c r="M642" s="226"/>
      <c r="N642" s="226"/>
      <c r="O642" s="226"/>
      <c r="P642" s="226"/>
      <c r="AN642" s="454" t="s">
        <v>981</v>
      </c>
      <c r="AO642" s="456">
        <v>2.0</v>
      </c>
      <c r="AP642" s="454" t="s">
        <v>981</v>
      </c>
      <c r="AQ642" s="456">
        <v>0.0</v>
      </c>
      <c r="AS642" s="652"/>
      <c r="AU642" s="652"/>
    </row>
    <row r="643">
      <c r="M643" s="226"/>
      <c r="N643" s="226"/>
      <c r="O643" s="226"/>
      <c r="P643" s="226"/>
      <c r="AN643" s="454" t="s">
        <v>983</v>
      </c>
      <c r="AO643" s="456">
        <v>0.0</v>
      </c>
      <c r="AP643" s="515" t="s">
        <v>983</v>
      </c>
      <c r="AQ643" s="457">
        <v>0.0</v>
      </c>
      <c r="AS643" s="652"/>
      <c r="AU643" s="652"/>
    </row>
    <row r="644">
      <c r="M644" s="226"/>
      <c r="N644" s="226"/>
      <c r="O644" s="226"/>
      <c r="P644" s="226"/>
      <c r="AN644" s="454" t="s">
        <v>985</v>
      </c>
      <c r="AO644" s="456">
        <v>0.0</v>
      </c>
      <c r="AP644" s="515" t="s">
        <v>985</v>
      </c>
      <c r="AQ644" s="457">
        <v>0.0</v>
      </c>
      <c r="AS644" s="652"/>
      <c r="AU644" s="652"/>
    </row>
    <row r="645">
      <c r="M645" s="226"/>
      <c r="N645" s="226"/>
      <c r="O645" s="226"/>
      <c r="P645" s="226"/>
      <c r="AN645" s="454" t="s">
        <v>987</v>
      </c>
      <c r="AO645" s="456">
        <v>0.0</v>
      </c>
      <c r="AP645" s="515" t="s">
        <v>987</v>
      </c>
      <c r="AQ645" s="457">
        <v>0.0</v>
      </c>
      <c r="AS645" s="652"/>
      <c r="AU645" s="652"/>
    </row>
    <row r="646">
      <c r="M646" s="226"/>
      <c r="N646" s="226"/>
      <c r="O646" s="226"/>
      <c r="P646" s="226"/>
      <c r="AN646" s="454" t="s">
        <v>988</v>
      </c>
      <c r="AO646" s="456">
        <v>0.0</v>
      </c>
      <c r="AP646" s="515" t="s">
        <v>988</v>
      </c>
      <c r="AQ646" s="457">
        <v>0.0</v>
      </c>
      <c r="AS646" s="652"/>
      <c r="AU646" s="652"/>
    </row>
    <row r="647">
      <c r="M647" s="226"/>
      <c r="N647" s="226"/>
      <c r="O647" s="226"/>
      <c r="P647" s="226"/>
      <c r="AN647" s="454" t="s">
        <v>989</v>
      </c>
      <c r="AO647" s="456">
        <v>0.0</v>
      </c>
      <c r="AP647" s="515" t="s">
        <v>989</v>
      </c>
      <c r="AQ647" s="457">
        <v>0.0</v>
      </c>
      <c r="AS647" s="652"/>
      <c r="AU647" s="652"/>
    </row>
    <row r="648">
      <c r="M648" s="226"/>
      <c r="N648" s="226"/>
      <c r="O648" s="226"/>
      <c r="P648" s="226"/>
      <c r="AN648" s="454" t="s">
        <v>992</v>
      </c>
      <c r="AO648" s="456">
        <v>0.0</v>
      </c>
      <c r="AP648" s="515" t="s">
        <v>992</v>
      </c>
      <c r="AQ648" s="457">
        <v>0.0</v>
      </c>
      <c r="AS648" s="652"/>
      <c r="AU648" s="652"/>
    </row>
    <row r="649">
      <c r="M649" s="226"/>
      <c r="N649" s="226"/>
      <c r="O649" s="226"/>
      <c r="P649" s="226"/>
      <c r="AN649" s="454" t="s">
        <v>994</v>
      </c>
      <c r="AO649" s="456">
        <v>0.0</v>
      </c>
      <c r="AP649" s="515" t="s">
        <v>994</v>
      </c>
      <c r="AQ649" s="457">
        <v>0.0</v>
      </c>
      <c r="AS649" s="652"/>
      <c r="AU649" s="652"/>
    </row>
    <row r="650">
      <c r="M650" s="226"/>
      <c r="N650" s="226"/>
      <c r="O650" s="226"/>
      <c r="P650" s="226"/>
      <c r="AS650" s="652"/>
      <c r="AU650" s="652"/>
    </row>
    <row r="651">
      <c r="M651" s="226"/>
      <c r="N651" s="226"/>
      <c r="O651" s="226"/>
      <c r="P651" s="226"/>
      <c r="AS651" s="652"/>
      <c r="AU651" s="652"/>
    </row>
    <row r="652">
      <c r="M652" s="226"/>
      <c r="N652" s="226"/>
      <c r="O652" s="226"/>
      <c r="P652" s="226"/>
      <c r="AS652" s="652"/>
      <c r="AU652" s="652"/>
    </row>
    <row r="653">
      <c r="M653" s="226"/>
      <c r="N653" s="226"/>
      <c r="O653" s="226"/>
      <c r="P653" s="226"/>
      <c r="AS653" s="652"/>
      <c r="AU653" s="652"/>
    </row>
    <row r="654">
      <c r="M654" s="226"/>
      <c r="N654" s="226"/>
      <c r="O654" s="226"/>
      <c r="P654" s="226"/>
      <c r="AS654" s="652"/>
      <c r="AU654" s="652"/>
    </row>
    <row r="655">
      <c r="M655" s="226"/>
      <c r="N655" s="226"/>
      <c r="O655" s="226"/>
      <c r="P655" s="226"/>
      <c r="AS655" s="652"/>
      <c r="AU655" s="652"/>
    </row>
    <row r="656">
      <c r="M656" s="226"/>
      <c r="N656" s="226"/>
      <c r="O656" s="226"/>
      <c r="P656" s="226"/>
      <c r="AS656" s="652"/>
      <c r="AU656" s="652"/>
    </row>
    <row r="657">
      <c r="M657" s="226"/>
      <c r="N657" s="226"/>
      <c r="O657" s="226"/>
      <c r="P657" s="226"/>
      <c r="AS657" s="652"/>
      <c r="AU657" s="652"/>
    </row>
    <row r="658">
      <c r="M658" s="226"/>
      <c r="N658" s="226"/>
      <c r="O658" s="226"/>
      <c r="P658" s="226"/>
      <c r="AS658" s="652"/>
      <c r="AU658" s="652"/>
    </row>
    <row r="659">
      <c r="M659" s="226"/>
      <c r="N659" s="226"/>
      <c r="O659" s="226"/>
      <c r="P659" s="226"/>
      <c r="AS659" s="652"/>
      <c r="AU659" s="652"/>
    </row>
    <row r="660">
      <c r="M660" s="226"/>
      <c r="N660" s="226"/>
      <c r="O660" s="226"/>
      <c r="P660" s="226"/>
      <c r="AS660" s="652"/>
      <c r="AU660" s="652"/>
    </row>
    <row r="661">
      <c r="M661" s="226"/>
      <c r="N661" s="226"/>
      <c r="O661" s="226"/>
      <c r="P661" s="226"/>
      <c r="AS661" s="652"/>
      <c r="AU661" s="652"/>
    </row>
    <row r="662">
      <c r="M662" s="226"/>
      <c r="N662" s="226"/>
      <c r="O662" s="226"/>
      <c r="P662" s="226"/>
      <c r="AS662" s="652"/>
      <c r="AU662" s="652"/>
    </row>
    <row r="663">
      <c r="M663" s="226"/>
      <c r="N663" s="226"/>
      <c r="O663" s="226"/>
      <c r="P663" s="226"/>
      <c r="AS663" s="652"/>
      <c r="AU663" s="652"/>
    </row>
    <row r="664">
      <c r="M664" s="226"/>
      <c r="N664" s="226"/>
      <c r="O664" s="226"/>
      <c r="P664" s="226"/>
      <c r="AS664" s="652"/>
      <c r="AU664" s="652"/>
    </row>
    <row r="665">
      <c r="M665" s="226"/>
      <c r="N665" s="226"/>
      <c r="O665" s="226"/>
      <c r="P665" s="226"/>
      <c r="AS665" s="652"/>
      <c r="AU665" s="652"/>
    </row>
    <row r="666">
      <c r="M666" s="226"/>
      <c r="N666" s="226"/>
      <c r="O666" s="226"/>
      <c r="P666" s="226"/>
      <c r="AS666" s="652"/>
      <c r="AU666" s="652"/>
    </row>
    <row r="667">
      <c r="M667" s="226"/>
      <c r="N667" s="226"/>
      <c r="O667" s="226"/>
      <c r="P667" s="226"/>
      <c r="AS667" s="652"/>
      <c r="AU667" s="652"/>
    </row>
    <row r="668">
      <c r="M668" s="226"/>
      <c r="N668" s="226"/>
      <c r="O668" s="226"/>
      <c r="P668" s="226"/>
      <c r="AS668" s="652"/>
      <c r="AU668" s="652"/>
    </row>
    <row r="669">
      <c r="M669" s="226"/>
      <c r="N669" s="226"/>
      <c r="O669" s="226"/>
      <c r="P669" s="226"/>
      <c r="AS669" s="652"/>
      <c r="AU669" s="652"/>
    </row>
    <row r="670">
      <c r="M670" s="226"/>
      <c r="N670" s="226"/>
      <c r="O670" s="226"/>
      <c r="P670" s="226"/>
      <c r="AS670" s="652"/>
      <c r="AU670" s="652"/>
    </row>
    <row r="671">
      <c r="M671" s="226"/>
      <c r="N671" s="226"/>
      <c r="O671" s="226"/>
      <c r="P671" s="226"/>
      <c r="AS671" s="652"/>
      <c r="AU671" s="652"/>
    </row>
    <row r="672">
      <c r="M672" s="226"/>
      <c r="N672" s="226"/>
      <c r="O672" s="226"/>
      <c r="P672" s="226"/>
      <c r="AS672" s="652"/>
      <c r="AU672" s="652"/>
    </row>
    <row r="673">
      <c r="M673" s="226"/>
      <c r="N673" s="226"/>
      <c r="O673" s="226"/>
      <c r="P673" s="226"/>
      <c r="AS673" s="652"/>
      <c r="AU673" s="652"/>
    </row>
    <row r="674">
      <c r="M674" s="226"/>
      <c r="N674" s="226"/>
      <c r="O674" s="226"/>
      <c r="P674" s="226"/>
      <c r="AS674" s="652"/>
      <c r="AU674" s="652"/>
    </row>
    <row r="675">
      <c r="M675" s="226"/>
      <c r="N675" s="226"/>
      <c r="O675" s="226"/>
      <c r="P675" s="226"/>
      <c r="AS675" s="652"/>
      <c r="AU675" s="652"/>
    </row>
    <row r="676">
      <c r="M676" s="226"/>
      <c r="N676" s="226"/>
      <c r="O676" s="226"/>
      <c r="P676" s="226"/>
      <c r="AS676" s="652"/>
      <c r="AU676" s="652"/>
    </row>
    <row r="677">
      <c r="M677" s="226"/>
      <c r="N677" s="226"/>
      <c r="O677" s="226"/>
      <c r="P677" s="226"/>
      <c r="AS677" s="652"/>
      <c r="AU677" s="652"/>
    </row>
    <row r="678">
      <c r="M678" s="226"/>
      <c r="N678" s="226"/>
      <c r="O678" s="226"/>
      <c r="P678" s="226"/>
      <c r="AS678" s="652"/>
      <c r="AU678" s="652"/>
    </row>
    <row r="679">
      <c r="M679" s="226"/>
      <c r="N679" s="226"/>
      <c r="O679" s="226"/>
      <c r="P679" s="226"/>
      <c r="AS679" s="652"/>
      <c r="AU679" s="652"/>
    </row>
    <row r="680">
      <c r="M680" s="226"/>
      <c r="N680" s="226"/>
      <c r="O680" s="226"/>
      <c r="P680" s="226"/>
      <c r="AS680" s="652"/>
      <c r="AU680" s="652"/>
    </row>
    <row r="681">
      <c r="M681" s="226"/>
      <c r="N681" s="226"/>
      <c r="O681" s="226"/>
      <c r="P681" s="226"/>
      <c r="AS681" s="652"/>
      <c r="AU681" s="652"/>
    </row>
    <row r="682">
      <c r="M682" s="226"/>
      <c r="N682" s="226"/>
      <c r="O682" s="226"/>
      <c r="P682" s="226"/>
      <c r="AS682" s="652"/>
      <c r="AU682" s="652"/>
    </row>
    <row r="683">
      <c r="M683" s="226"/>
      <c r="N683" s="226"/>
      <c r="O683" s="226"/>
      <c r="P683" s="226"/>
      <c r="AS683" s="652"/>
      <c r="AU683" s="652"/>
    </row>
    <row r="684">
      <c r="M684" s="226"/>
      <c r="N684" s="226"/>
      <c r="O684" s="226"/>
      <c r="P684" s="226"/>
      <c r="AS684" s="652"/>
      <c r="AU684" s="652"/>
    </row>
    <row r="685">
      <c r="M685" s="226"/>
      <c r="N685" s="226"/>
      <c r="O685" s="226"/>
      <c r="P685" s="226"/>
      <c r="AS685" s="652"/>
      <c r="AU685" s="652"/>
    </row>
    <row r="686">
      <c r="M686" s="226"/>
      <c r="N686" s="226"/>
      <c r="O686" s="226"/>
      <c r="P686" s="226"/>
      <c r="AS686" s="652"/>
      <c r="AU686" s="652"/>
    </row>
    <row r="687">
      <c r="M687" s="226"/>
      <c r="N687" s="226"/>
      <c r="O687" s="226"/>
      <c r="P687" s="226"/>
      <c r="AS687" s="652"/>
      <c r="AU687" s="652"/>
    </row>
    <row r="688">
      <c r="M688" s="226"/>
      <c r="N688" s="226"/>
      <c r="O688" s="226"/>
      <c r="P688" s="226"/>
      <c r="AS688" s="652"/>
      <c r="AU688" s="652"/>
    </row>
    <row r="689">
      <c r="M689" s="226"/>
      <c r="N689" s="226"/>
      <c r="O689" s="226"/>
      <c r="P689" s="226"/>
      <c r="AS689" s="652"/>
      <c r="AU689" s="652"/>
    </row>
    <row r="690">
      <c r="M690" s="226"/>
      <c r="N690" s="226"/>
      <c r="O690" s="226"/>
      <c r="P690" s="226"/>
      <c r="AS690" s="652"/>
      <c r="AU690" s="652"/>
    </row>
    <row r="691">
      <c r="M691" s="226"/>
      <c r="N691" s="226"/>
      <c r="O691" s="226"/>
      <c r="P691" s="226"/>
      <c r="AS691" s="652"/>
      <c r="AU691" s="652"/>
    </row>
    <row r="692">
      <c r="M692" s="226"/>
      <c r="N692" s="226"/>
      <c r="O692" s="226"/>
      <c r="P692" s="226"/>
      <c r="AS692" s="652"/>
      <c r="AU692" s="652"/>
    </row>
    <row r="693">
      <c r="M693" s="226"/>
      <c r="N693" s="226"/>
      <c r="O693" s="226"/>
      <c r="P693" s="226"/>
      <c r="AS693" s="652"/>
      <c r="AU693" s="652"/>
    </row>
    <row r="694">
      <c r="M694" s="226"/>
      <c r="N694" s="226"/>
      <c r="O694" s="226"/>
      <c r="P694" s="226"/>
      <c r="AS694" s="652"/>
      <c r="AU694" s="652"/>
    </row>
    <row r="695">
      <c r="M695" s="226"/>
      <c r="N695" s="226"/>
      <c r="O695" s="226"/>
      <c r="P695" s="226"/>
      <c r="AS695" s="652"/>
      <c r="AU695" s="652"/>
    </row>
    <row r="696">
      <c r="M696" s="226"/>
      <c r="N696" s="226"/>
      <c r="O696" s="226"/>
      <c r="P696" s="226"/>
      <c r="AS696" s="652"/>
      <c r="AU696" s="652"/>
    </row>
    <row r="697">
      <c r="M697" s="226"/>
      <c r="N697" s="226"/>
      <c r="O697" s="226"/>
      <c r="P697" s="226"/>
      <c r="AS697" s="652"/>
      <c r="AU697" s="652"/>
    </row>
    <row r="698">
      <c r="M698" s="226"/>
      <c r="N698" s="226"/>
      <c r="O698" s="226"/>
      <c r="P698" s="226"/>
      <c r="AS698" s="652"/>
      <c r="AU698" s="652"/>
    </row>
    <row r="699">
      <c r="M699" s="226"/>
      <c r="N699" s="226"/>
      <c r="O699" s="226"/>
      <c r="P699" s="226"/>
      <c r="AS699" s="652"/>
      <c r="AU699" s="652"/>
    </row>
    <row r="700">
      <c r="M700" s="226"/>
      <c r="N700" s="226"/>
      <c r="O700" s="226"/>
      <c r="P700" s="226"/>
      <c r="AS700" s="652"/>
      <c r="AU700" s="652"/>
    </row>
    <row r="701">
      <c r="M701" s="226"/>
      <c r="N701" s="226"/>
      <c r="O701" s="226"/>
      <c r="P701" s="226"/>
      <c r="AS701" s="652"/>
      <c r="AU701" s="652"/>
    </row>
    <row r="702">
      <c r="M702" s="226"/>
      <c r="N702" s="226"/>
      <c r="O702" s="226"/>
      <c r="P702" s="226"/>
      <c r="AS702" s="652"/>
      <c r="AU702" s="652"/>
    </row>
    <row r="703">
      <c r="M703" s="226"/>
      <c r="N703" s="226"/>
      <c r="O703" s="226"/>
      <c r="P703" s="226"/>
      <c r="AS703" s="652"/>
      <c r="AU703" s="652"/>
    </row>
    <row r="704">
      <c r="M704" s="226"/>
      <c r="N704" s="226"/>
      <c r="O704" s="226"/>
      <c r="P704" s="226"/>
      <c r="AS704" s="652"/>
      <c r="AU704" s="652"/>
    </row>
    <row r="705">
      <c r="M705" s="226"/>
      <c r="N705" s="226"/>
      <c r="O705" s="226"/>
      <c r="P705" s="226"/>
      <c r="AS705" s="652"/>
      <c r="AU705" s="652"/>
    </row>
    <row r="706">
      <c r="M706" s="226"/>
      <c r="N706" s="226"/>
      <c r="O706" s="226"/>
      <c r="P706" s="226"/>
      <c r="AS706" s="652"/>
      <c r="AU706" s="652"/>
    </row>
    <row r="707">
      <c r="M707" s="226"/>
      <c r="N707" s="226"/>
      <c r="O707" s="226"/>
      <c r="P707" s="226"/>
      <c r="AS707" s="652"/>
      <c r="AU707" s="652"/>
    </row>
    <row r="708">
      <c r="M708" s="226"/>
      <c r="N708" s="226"/>
      <c r="O708" s="226"/>
      <c r="P708" s="226"/>
      <c r="AS708" s="652"/>
      <c r="AU708" s="652"/>
    </row>
    <row r="709">
      <c r="M709" s="226"/>
      <c r="N709" s="226"/>
      <c r="O709" s="226"/>
      <c r="P709" s="226"/>
      <c r="AS709" s="652"/>
      <c r="AU709" s="652"/>
    </row>
    <row r="710">
      <c r="M710" s="226"/>
      <c r="N710" s="226"/>
      <c r="O710" s="226"/>
      <c r="P710" s="226"/>
      <c r="AS710" s="652"/>
      <c r="AU710" s="652"/>
    </row>
    <row r="711">
      <c r="M711" s="226"/>
      <c r="N711" s="226"/>
      <c r="O711" s="226"/>
      <c r="P711" s="226"/>
      <c r="AS711" s="652"/>
      <c r="AU711" s="652"/>
    </row>
    <row r="712">
      <c r="M712" s="226"/>
      <c r="N712" s="226"/>
      <c r="O712" s="226"/>
      <c r="P712" s="226"/>
      <c r="AS712" s="652"/>
      <c r="AU712" s="652"/>
    </row>
    <row r="713">
      <c r="M713" s="226"/>
      <c r="N713" s="226"/>
      <c r="O713" s="226"/>
      <c r="P713" s="226"/>
      <c r="AS713" s="652"/>
      <c r="AU713" s="652"/>
    </row>
    <row r="714">
      <c r="M714" s="226"/>
      <c r="N714" s="226"/>
      <c r="O714" s="226"/>
      <c r="P714" s="226"/>
      <c r="AS714" s="652"/>
      <c r="AU714" s="652"/>
    </row>
    <row r="715">
      <c r="M715" s="226"/>
      <c r="N715" s="226"/>
      <c r="O715" s="226"/>
      <c r="P715" s="226"/>
      <c r="AS715" s="652"/>
      <c r="AU715" s="652"/>
    </row>
    <row r="716">
      <c r="M716" s="226"/>
      <c r="N716" s="226"/>
      <c r="O716" s="226"/>
      <c r="P716" s="226"/>
      <c r="AS716" s="652"/>
      <c r="AU716" s="652"/>
    </row>
    <row r="717">
      <c r="M717" s="226"/>
      <c r="N717" s="226"/>
      <c r="O717" s="226"/>
      <c r="P717" s="226"/>
      <c r="AS717" s="652"/>
      <c r="AU717" s="652"/>
    </row>
    <row r="718">
      <c r="M718" s="226"/>
      <c r="N718" s="226"/>
      <c r="O718" s="226"/>
      <c r="P718" s="226"/>
      <c r="AS718" s="652"/>
      <c r="AU718" s="652"/>
    </row>
    <row r="719">
      <c r="M719" s="226"/>
      <c r="N719" s="226"/>
      <c r="O719" s="226"/>
      <c r="P719" s="226"/>
      <c r="AS719" s="652"/>
      <c r="AU719" s="652"/>
    </row>
    <row r="720">
      <c r="M720" s="226"/>
      <c r="N720" s="226"/>
      <c r="O720" s="226"/>
      <c r="P720" s="226"/>
      <c r="AS720" s="652"/>
      <c r="AU720" s="652"/>
    </row>
    <row r="721">
      <c r="M721" s="226"/>
      <c r="N721" s="226"/>
      <c r="O721" s="226"/>
      <c r="P721" s="226"/>
      <c r="AS721" s="652"/>
      <c r="AU721" s="652"/>
    </row>
    <row r="722">
      <c r="M722" s="226"/>
      <c r="N722" s="226"/>
      <c r="O722" s="226"/>
      <c r="P722" s="226"/>
      <c r="AS722" s="652"/>
      <c r="AU722" s="652"/>
    </row>
    <row r="723">
      <c r="M723" s="226"/>
      <c r="N723" s="226"/>
      <c r="O723" s="226"/>
      <c r="P723" s="226"/>
      <c r="AS723" s="652"/>
      <c r="AU723" s="652"/>
    </row>
    <row r="724">
      <c r="M724" s="226"/>
      <c r="N724" s="226"/>
      <c r="O724" s="226"/>
      <c r="P724" s="226"/>
      <c r="AS724" s="652"/>
      <c r="AU724" s="652"/>
    </row>
    <row r="725">
      <c r="M725" s="226"/>
      <c r="N725" s="226"/>
      <c r="O725" s="226"/>
      <c r="P725" s="226"/>
      <c r="AS725" s="652"/>
      <c r="AU725" s="652"/>
    </row>
    <row r="726">
      <c r="M726" s="226"/>
      <c r="N726" s="226"/>
      <c r="O726" s="226"/>
      <c r="P726" s="226"/>
      <c r="AS726" s="652"/>
      <c r="AU726" s="652"/>
    </row>
    <row r="727">
      <c r="M727" s="226"/>
      <c r="N727" s="226"/>
      <c r="O727" s="226"/>
      <c r="P727" s="226"/>
      <c r="AS727" s="652"/>
      <c r="AU727" s="652"/>
    </row>
    <row r="728">
      <c r="M728" s="226"/>
      <c r="N728" s="226"/>
      <c r="O728" s="226"/>
      <c r="P728" s="226"/>
      <c r="AS728" s="652"/>
      <c r="AU728" s="652"/>
    </row>
    <row r="729">
      <c r="M729" s="226"/>
      <c r="N729" s="226"/>
      <c r="O729" s="226"/>
      <c r="P729" s="226"/>
      <c r="AS729" s="652"/>
      <c r="AU729" s="652"/>
    </row>
    <row r="730">
      <c r="M730" s="226"/>
      <c r="N730" s="226"/>
      <c r="O730" s="226"/>
      <c r="P730" s="226"/>
      <c r="AS730" s="652"/>
      <c r="AU730" s="652"/>
    </row>
    <row r="731">
      <c r="M731" s="226"/>
      <c r="N731" s="226"/>
      <c r="O731" s="226"/>
      <c r="P731" s="226"/>
      <c r="AS731" s="652"/>
      <c r="AU731" s="652"/>
    </row>
    <row r="732">
      <c r="M732" s="226"/>
      <c r="N732" s="226"/>
      <c r="O732" s="226"/>
      <c r="P732" s="226"/>
      <c r="AS732" s="652"/>
      <c r="AU732" s="652"/>
    </row>
    <row r="733">
      <c r="M733" s="226"/>
      <c r="N733" s="226"/>
      <c r="O733" s="226"/>
      <c r="P733" s="226"/>
      <c r="AS733" s="652"/>
      <c r="AU733" s="652"/>
    </row>
    <row r="734">
      <c r="M734" s="226"/>
      <c r="N734" s="226"/>
      <c r="O734" s="226"/>
      <c r="P734" s="226"/>
      <c r="AS734" s="652"/>
      <c r="AU734" s="652"/>
    </row>
    <row r="735">
      <c r="M735" s="226"/>
      <c r="N735" s="226"/>
      <c r="O735" s="226"/>
      <c r="P735" s="226"/>
      <c r="AS735" s="652"/>
      <c r="AU735" s="652"/>
    </row>
    <row r="736">
      <c r="M736" s="226"/>
      <c r="N736" s="226"/>
      <c r="O736" s="226"/>
      <c r="P736" s="226"/>
      <c r="AS736" s="652"/>
      <c r="AU736" s="652"/>
    </row>
    <row r="737">
      <c r="M737" s="226"/>
      <c r="N737" s="226"/>
      <c r="O737" s="226"/>
      <c r="P737" s="226"/>
      <c r="AS737" s="652"/>
      <c r="AU737" s="652"/>
    </row>
    <row r="738">
      <c r="M738" s="226"/>
      <c r="N738" s="226"/>
      <c r="O738" s="226"/>
      <c r="P738" s="226"/>
      <c r="AS738" s="652"/>
      <c r="AU738" s="652"/>
    </row>
    <row r="739">
      <c r="M739" s="226"/>
      <c r="N739" s="226"/>
      <c r="O739" s="226"/>
      <c r="P739" s="226"/>
      <c r="AS739" s="652"/>
      <c r="AU739" s="652"/>
    </row>
    <row r="740">
      <c r="M740" s="226"/>
      <c r="N740" s="226"/>
      <c r="O740" s="226"/>
      <c r="P740" s="226"/>
      <c r="AS740" s="652"/>
      <c r="AU740" s="652"/>
    </row>
    <row r="741">
      <c r="M741" s="226"/>
      <c r="N741" s="226"/>
      <c r="O741" s="226"/>
      <c r="P741" s="226"/>
      <c r="AS741" s="652"/>
      <c r="AU741" s="652"/>
    </row>
    <row r="742">
      <c r="M742" s="226"/>
      <c r="N742" s="226"/>
      <c r="O742" s="226"/>
      <c r="P742" s="226"/>
      <c r="AS742" s="652"/>
      <c r="AU742" s="652"/>
    </row>
    <row r="743">
      <c r="M743" s="226"/>
      <c r="N743" s="226"/>
      <c r="O743" s="226"/>
      <c r="P743" s="226"/>
      <c r="AS743" s="652"/>
      <c r="AU743" s="652"/>
    </row>
    <row r="744">
      <c r="M744" s="226"/>
      <c r="N744" s="226"/>
      <c r="O744" s="226"/>
      <c r="P744" s="226"/>
      <c r="AS744" s="652"/>
      <c r="AU744" s="652"/>
    </row>
    <row r="745">
      <c r="M745" s="226"/>
      <c r="N745" s="226"/>
      <c r="O745" s="226"/>
      <c r="P745" s="226"/>
      <c r="AS745" s="652"/>
      <c r="AU745" s="652"/>
    </row>
    <row r="746">
      <c r="M746" s="226"/>
      <c r="N746" s="226"/>
      <c r="O746" s="226"/>
      <c r="P746" s="226"/>
      <c r="AS746" s="652"/>
      <c r="AU746" s="652"/>
    </row>
    <row r="747">
      <c r="M747" s="226"/>
      <c r="N747" s="226"/>
      <c r="O747" s="226"/>
      <c r="P747" s="226"/>
      <c r="AS747" s="652"/>
      <c r="AU747" s="652"/>
    </row>
    <row r="748">
      <c r="M748" s="226"/>
      <c r="N748" s="226"/>
      <c r="O748" s="226"/>
      <c r="P748" s="226"/>
      <c r="AS748" s="652"/>
      <c r="AU748" s="652"/>
    </row>
    <row r="749">
      <c r="M749" s="226"/>
      <c r="N749" s="226"/>
      <c r="O749" s="226"/>
      <c r="P749" s="226"/>
      <c r="AS749" s="652"/>
      <c r="AU749" s="652"/>
    </row>
    <row r="750">
      <c r="M750" s="226"/>
      <c r="N750" s="226"/>
      <c r="O750" s="226"/>
      <c r="P750" s="226"/>
      <c r="AS750" s="652"/>
      <c r="AU750" s="652"/>
    </row>
    <row r="751">
      <c r="M751" s="226"/>
      <c r="N751" s="226"/>
      <c r="O751" s="226"/>
      <c r="P751" s="226"/>
      <c r="AS751" s="652"/>
      <c r="AU751" s="652"/>
    </row>
    <row r="752">
      <c r="M752" s="226"/>
      <c r="N752" s="226"/>
      <c r="O752" s="226"/>
      <c r="P752" s="226"/>
      <c r="AS752" s="652"/>
      <c r="AU752" s="652"/>
    </row>
    <row r="753">
      <c r="M753" s="226"/>
      <c r="N753" s="226"/>
      <c r="O753" s="226"/>
      <c r="P753" s="226"/>
      <c r="AS753" s="652"/>
      <c r="AU753" s="652"/>
    </row>
    <row r="754">
      <c r="M754" s="226"/>
      <c r="N754" s="226"/>
      <c r="O754" s="226"/>
      <c r="P754" s="226"/>
      <c r="AS754" s="652"/>
      <c r="AU754" s="652"/>
    </row>
    <row r="755">
      <c r="M755" s="226"/>
      <c r="N755" s="226"/>
      <c r="O755" s="226"/>
      <c r="P755" s="226"/>
      <c r="AS755" s="652"/>
      <c r="AU755" s="652"/>
    </row>
    <row r="756">
      <c r="M756" s="226"/>
      <c r="N756" s="226"/>
      <c r="O756" s="226"/>
      <c r="P756" s="226"/>
      <c r="AS756" s="652"/>
      <c r="AU756" s="652"/>
    </row>
    <row r="757">
      <c r="M757" s="226"/>
      <c r="N757" s="226"/>
      <c r="O757" s="226"/>
      <c r="P757" s="226"/>
      <c r="AS757" s="652"/>
      <c r="AU757" s="652"/>
    </row>
    <row r="758">
      <c r="M758" s="226"/>
      <c r="N758" s="226"/>
      <c r="O758" s="226"/>
      <c r="P758" s="226"/>
      <c r="AS758" s="652"/>
      <c r="AU758" s="652"/>
    </row>
    <row r="759">
      <c r="M759" s="226"/>
      <c r="N759" s="226"/>
      <c r="O759" s="226"/>
      <c r="P759" s="226"/>
      <c r="AS759" s="652"/>
      <c r="AU759" s="652"/>
    </row>
    <row r="760">
      <c r="M760" s="226"/>
      <c r="N760" s="226"/>
      <c r="O760" s="226"/>
      <c r="P760" s="226"/>
      <c r="AS760" s="652"/>
      <c r="AU760" s="652"/>
    </row>
    <row r="761">
      <c r="M761" s="226"/>
      <c r="N761" s="226"/>
      <c r="O761" s="226"/>
      <c r="P761" s="226"/>
      <c r="AS761" s="652"/>
      <c r="AU761" s="652"/>
    </row>
    <row r="762">
      <c r="M762" s="226"/>
      <c r="N762" s="226"/>
      <c r="O762" s="226"/>
      <c r="P762" s="226"/>
      <c r="AS762" s="652"/>
      <c r="AU762" s="652"/>
    </row>
    <row r="763">
      <c r="M763" s="226"/>
      <c r="N763" s="226"/>
      <c r="O763" s="226"/>
      <c r="P763" s="226"/>
      <c r="AS763" s="652"/>
      <c r="AU763" s="652"/>
    </row>
    <row r="764">
      <c r="M764" s="226"/>
      <c r="N764" s="226"/>
      <c r="O764" s="226"/>
      <c r="P764" s="226"/>
      <c r="AS764" s="652"/>
      <c r="AU764" s="652"/>
    </row>
    <row r="765">
      <c r="M765" s="226"/>
      <c r="N765" s="226"/>
      <c r="O765" s="226"/>
      <c r="P765" s="226"/>
      <c r="AS765" s="652"/>
      <c r="AU765" s="652"/>
    </row>
    <row r="766">
      <c r="M766" s="226"/>
      <c r="N766" s="226"/>
      <c r="O766" s="226"/>
      <c r="P766" s="226"/>
      <c r="AS766" s="652"/>
      <c r="AU766" s="652"/>
    </row>
    <row r="767">
      <c r="M767" s="226"/>
      <c r="N767" s="226"/>
      <c r="O767" s="226"/>
      <c r="P767" s="226"/>
      <c r="AS767" s="652"/>
      <c r="AU767" s="652"/>
    </row>
    <row r="768">
      <c r="M768" s="226"/>
      <c r="N768" s="226"/>
      <c r="O768" s="226"/>
      <c r="P768" s="226"/>
      <c r="AS768" s="652"/>
      <c r="AU768" s="652"/>
    </row>
    <row r="769">
      <c r="M769" s="226"/>
      <c r="N769" s="226"/>
      <c r="O769" s="226"/>
      <c r="P769" s="226"/>
      <c r="AS769" s="652"/>
      <c r="AU769" s="652"/>
    </row>
    <row r="770">
      <c r="M770" s="226"/>
      <c r="N770" s="226"/>
      <c r="O770" s="226"/>
      <c r="P770" s="226"/>
      <c r="AS770" s="652"/>
      <c r="AU770" s="652"/>
    </row>
    <row r="771">
      <c r="M771" s="226"/>
      <c r="N771" s="226"/>
      <c r="O771" s="226"/>
      <c r="P771" s="226"/>
      <c r="AS771" s="652"/>
      <c r="AU771" s="652"/>
    </row>
    <row r="772">
      <c r="M772" s="226"/>
      <c r="N772" s="226"/>
      <c r="O772" s="226"/>
      <c r="P772" s="226"/>
      <c r="AS772" s="652"/>
      <c r="AU772" s="652"/>
    </row>
    <row r="773">
      <c r="M773" s="226"/>
      <c r="N773" s="226"/>
      <c r="O773" s="226"/>
      <c r="P773" s="226"/>
      <c r="AS773" s="652"/>
      <c r="AU773" s="652"/>
    </row>
    <row r="774">
      <c r="M774" s="226"/>
      <c r="N774" s="226"/>
      <c r="O774" s="226"/>
      <c r="P774" s="226"/>
      <c r="AS774" s="652"/>
      <c r="AU774" s="652"/>
    </row>
    <row r="775">
      <c r="M775" s="226"/>
      <c r="N775" s="226"/>
      <c r="O775" s="226"/>
      <c r="P775" s="226"/>
      <c r="AS775" s="652"/>
      <c r="AU775" s="652"/>
    </row>
    <row r="776">
      <c r="M776" s="226"/>
      <c r="N776" s="226"/>
      <c r="O776" s="226"/>
      <c r="P776" s="226"/>
      <c r="AS776" s="652"/>
      <c r="AU776" s="652"/>
    </row>
    <row r="777">
      <c r="M777" s="226"/>
      <c r="N777" s="226"/>
      <c r="O777" s="226"/>
      <c r="P777" s="226"/>
      <c r="AS777" s="652"/>
      <c r="AU777" s="652"/>
    </row>
    <row r="778">
      <c r="M778" s="226"/>
      <c r="N778" s="226"/>
      <c r="O778" s="226"/>
      <c r="P778" s="226"/>
      <c r="AS778" s="652"/>
      <c r="AU778" s="652"/>
    </row>
    <row r="779">
      <c r="M779" s="226"/>
      <c r="N779" s="226"/>
      <c r="O779" s="226"/>
      <c r="P779" s="226"/>
      <c r="AS779" s="652"/>
      <c r="AU779" s="652"/>
    </row>
    <row r="780">
      <c r="M780" s="226"/>
      <c r="N780" s="226"/>
      <c r="O780" s="226"/>
      <c r="P780" s="226"/>
      <c r="AS780" s="652"/>
      <c r="AU780" s="652"/>
    </row>
    <row r="781">
      <c r="M781" s="226"/>
      <c r="N781" s="226"/>
      <c r="O781" s="226"/>
      <c r="P781" s="226"/>
      <c r="AS781" s="652"/>
      <c r="AU781" s="652"/>
    </row>
    <row r="782">
      <c r="M782" s="226"/>
      <c r="N782" s="226"/>
      <c r="O782" s="226"/>
      <c r="P782" s="226"/>
      <c r="AS782" s="652"/>
      <c r="AU782" s="652"/>
    </row>
    <row r="783">
      <c r="M783" s="226"/>
      <c r="N783" s="226"/>
      <c r="O783" s="226"/>
      <c r="P783" s="226"/>
      <c r="AS783" s="652"/>
      <c r="AU783" s="652"/>
    </row>
    <row r="784">
      <c r="M784" s="226"/>
      <c r="N784" s="226"/>
      <c r="O784" s="226"/>
      <c r="P784" s="226"/>
      <c r="AS784" s="652"/>
      <c r="AU784" s="652"/>
    </row>
    <row r="785">
      <c r="M785" s="226"/>
      <c r="N785" s="226"/>
      <c r="O785" s="226"/>
      <c r="P785" s="226"/>
      <c r="AS785" s="652"/>
      <c r="AU785" s="652"/>
    </row>
    <row r="786">
      <c r="M786" s="226"/>
      <c r="N786" s="226"/>
      <c r="O786" s="226"/>
      <c r="P786" s="226"/>
      <c r="AS786" s="652"/>
      <c r="AU786" s="652"/>
    </row>
    <row r="787">
      <c r="M787" s="226"/>
      <c r="N787" s="226"/>
      <c r="O787" s="226"/>
      <c r="P787" s="226"/>
      <c r="AS787" s="652"/>
      <c r="AU787" s="652"/>
    </row>
    <row r="788">
      <c r="M788" s="226"/>
      <c r="N788" s="226"/>
      <c r="O788" s="226"/>
      <c r="P788" s="226"/>
      <c r="AS788" s="652"/>
      <c r="AU788" s="652"/>
    </row>
    <row r="789">
      <c r="M789" s="226"/>
      <c r="N789" s="226"/>
      <c r="O789" s="226"/>
      <c r="P789" s="226"/>
      <c r="AS789" s="652"/>
      <c r="AU789" s="652"/>
    </row>
    <row r="790">
      <c r="M790" s="226"/>
      <c r="N790" s="226"/>
      <c r="O790" s="226"/>
      <c r="P790" s="226"/>
      <c r="AS790" s="652"/>
      <c r="AU790" s="652"/>
    </row>
    <row r="791">
      <c r="M791" s="226"/>
      <c r="N791" s="226"/>
      <c r="O791" s="226"/>
      <c r="P791" s="226"/>
      <c r="AS791" s="652"/>
      <c r="AU791" s="652"/>
    </row>
    <row r="792">
      <c r="M792" s="226"/>
      <c r="N792" s="226"/>
      <c r="O792" s="226"/>
      <c r="P792" s="226"/>
      <c r="AS792" s="652"/>
      <c r="AU792" s="652"/>
    </row>
    <row r="793">
      <c r="M793" s="226"/>
      <c r="N793" s="226"/>
      <c r="O793" s="226"/>
      <c r="P793" s="226"/>
      <c r="AS793" s="652"/>
      <c r="AU793" s="652"/>
    </row>
    <row r="794">
      <c r="M794" s="226"/>
      <c r="N794" s="226"/>
      <c r="O794" s="226"/>
      <c r="P794" s="226"/>
      <c r="AS794" s="652"/>
      <c r="AU794" s="652"/>
    </row>
    <row r="795">
      <c r="M795" s="226"/>
      <c r="N795" s="226"/>
      <c r="O795" s="226"/>
      <c r="P795" s="226"/>
      <c r="AS795" s="652"/>
      <c r="AU795" s="652"/>
    </row>
    <row r="796">
      <c r="M796" s="226"/>
      <c r="N796" s="226"/>
      <c r="O796" s="226"/>
      <c r="P796" s="226"/>
      <c r="AS796" s="652"/>
      <c r="AU796" s="652"/>
    </row>
    <row r="797">
      <c r="M797" s="226"/>
      <c r="N797" s="226"/>
      <c r="O797" s="226"/>
      <c r="P797" s="226"/>
      <c r="AS797" s="652"/>
      <c r="AU797" s="652"/>
    </row>
    <row r="798">
      <c r="M798" s="226"/>
      <c r="N798" s="226"/>
      <c r="O798" s="226"/>
      <c r="P798" s="226"/>
      <c r="AS798" s="652"/>
      <c r="AU798" s="652"/>
    </row>
    <row r="799">
      <c r="M799" s="226"/>
      <c r="N799" s="226"/>
      <c r="O799" s="226"/>
      <c r="P799" s="226"/>
      <c r="AS799" s="652"/>
      <c r="AU799" s="652"/>
    </row>
    <row r="800">
      <c r="M800" s="226"/>
      <c r="N800" s="226"/>
      <c r="O800" s="226"/>
      <c r="P800" s="226"/>
      <c r="AS800" s="652"/>
      <c r="AU800" s="652"/>
    </row>
    <row r="801">
      <c r="M801" s="226"/>
      <c r="N801" s="226"/>
      <c r="O801" s="226"/>
      <c r="P801" s="226"/>
      <c r="AS801" s="652"/>
      <c r="AU801" s="652"/>
    </row>
    <row r="802">
      <c r="M802" s="226"/>
      <c r="N802" s="226"/>
      <c r="O802" s="226"/>
      <c r="P802" s="226"/>
      <c r="AS802" s="652"/>
      <c r="AU802" s="652"/>
    </row>
    <row r="803">
      <c r="M803" s="226"/>
      <c r="N803" s="226"/>
      <c r="O803" s="226"/>
      <c r="P803" s="226"/>
      <c r="AS803" s="652"/>
      <c r="AU803" s="652"/>
    </row>
    <row r="804">
      <c r="M804" s="226"/>
      <c r="N804" s="226"/>
      <c r="O804" s="226"/>
      <c r="P804" s="226"/>
      <c r="AS804" s="652"/>
      <c r="AU804" s="652"/>
    </row>
    <row r="805">
      <c r="M805" s="226"/>
      <c r="N805" s="226"/>
      <c r="O805" s="226"/>
      <c r="P805" s="226"/>
      <c r="AS805" s="652"/>
      <c r="AU805" s="652"/>
    </row>
    <row r="806">
      <c r="M806" s="226"/>
      <c r="N806" s="226"/>
      <c r="O806" s="226"/>
      <c r="P806" s="226"/>
      <c r="AS806" s="652"/>
      <c r="AU806" s="652"/>
    </row>
    <row r="807">
      <c r="M807" s="226"/>
      <c r="N807" s="226"/>
      <c r="O807" s="226"/>
      <c r="P807" s="226"/>
      <c r="AS807" s="652"/>
      <c r="AU807" s="652"/>
    </row>
    <row r="808">
      <c r="M808" s="226"/>
      <c r="N808" s="226"/>
      <c r="O808" s="226"/>
      <c r="P808" s="226"/>
      <c r="AS808" s="652"/>
      <c r="AU808" s="652"/>
    </row>
    <row r="809">
      <c r="M809" s="226"/>
      <c r="N809" s="226"/>
      <c r="O809" s="226"/>
      <c r="P809" s="226"/>
      <c r="AS809" s="652"/>
      <c r="AU809" s="652"/>
    </row>
    <row r="810">
      <c r="M810" s="226"/>
      <c r="N810" s="226"/>
      <c r="O810" s="226"/>
      <c r="P810" s="226"/>
      <c r="AS810" s="652"/>
      <c r="AU810" s="652"/>
    </row>
    <row r="811">
      <c r="M811" s="226"/>
      <c r="N811" s="226"/>
      <c r="O811" s="226"/>
      <c r="P811" s="226"/>
      <c r="AS811" s="652"/>
      <c r="AU811" s="652"/>
    </row>
    <row r="812">
      <c r="M812" s="226"/>
      <c r="N812" s="226"/>
      <c r="O812" s="226"/>
      <c r="P812" s="226"/>
      <c r="AS812" s="652"/>
      <c r="AU812" s="652"/>
    </row>
    <row r="813">
      <c r="M813" s="226"/>
      <c r="N813" s="226"/>
      <c r="O813" s="226"/>
      <c r="P813" s="226"/>
      <c r="AS813" s="652"/>
      <c r="AU813" s="652"/>
    </row>
    <row r="814">
      <c r="M814" s="226"/>
      <c r="N814" s="226"/>
      <c r="O814" s="226"/>
      <c r="P814" s="226"/>
      <c r="AS814" s="652"/>
      <c r="AU814" s="652"/>
    </row>
    <row r="815">
      <c r="M815" s="226"/>
      <c r="N815" s="226"/>
      <c r="O815" s="226"/>
      <c r="P815" s="226"/>
      <c r="AS815" s="652"/>
      <c r="AU815" s="652"/>
    </row>
    <row r="816">
      <c r="M816" s="226"/>
      <c r="N816" s="226"/>
      <c r="O816" s="226"/>
      <c r="P816" s="226"/>
      <c r="AS816" s="652"/>
      <c r="AU816" s="652"/>
    </row>
    <row r="817">
      <c r="M817" s="226"/>
      <c r="N817" s="226"/>
      <c r="O817" s="226"/>
      <c r="P817" s="226"/>
      <c r="AS817" s="652"/>
      <c r="AU817" s="652"/>
    </row>
    <row r="818">
      <c r="M818" s="226"/>
      <c r="N818" s="226"/>
      <c r="O818" s="226"/>
      <c r="P818" s="226"/>
      <c r="AS818" s="652"/>
      <c r="AU818" s="652"/>
    </row>
    <row r="819">
      <c r="M819" s="226"/>
      <c r="N819" s="226"/>
      <c r="O819" s="226"/>
      <c r="P819" s="226"/>
      <c r="AS819" s="652"/>
      <c r="AU819" s="652"/>
    </row>
    <row r="820">
      <c r="M820" s="226"/>
      <c r="N820" s="226"/>
      <c r="O820" s="226"/>
      <c r="P820" s="226"/>
      <c r="AS820" s="652"/>
      <c r="AU820" s="652"/>
    </row>
    <row r="821">
      <c r="M821" s="226"/>
      <c r="N821" s="226"/>
      <c r="O821" s="226"/>
      <c r="P821" s="226"/>
      <c r="AS821" s="652"/>
      <c r="AU821" s="652"/>
    </row>
    <row r="822">
      <c r="M822" s="226"/>
      <c r="N822" s="226"/>
      <c r="O822" s="226"/>
      <c r="P822" s="226"/>
      <c r="AS822" s="652"/>
      <c r="AU822" s="652"/>
    </row>
    <row r="823">
      <c r="M823" s="226"/>
      <c r="N823" s="226"/>
      <c r="O823" s="226"/>
      <c r="P823" s="226"/>
      <c r="AS823" s="652"/>
      <c r="AU823" s="652"/>
    </row>
    <row r="824">
      <c r="M824" s="226"/>
      <c r="N824" s="226"/>
      <c r="O824" s="226"/>
      <c r="P824" s="226"/>
      <c r="AS824" s="652"/>
      <c r="AU824" s="652"/>
    </row>
    <row r="825">
      <c r="M825" s="226"/>
      <c r="N825" s="226"/>
      <c r="O825" s="226"/>
      <c r="P825" s="226"/>
      <c r="AS825" s="652"/>
      <c r="AU825" s="652"/>
    </row>
    <row r="826">
      <c r="M826" s="226"/>
      <c r="N826" s="226"/>
      <c r="O826" s="226"/>
      <c r="P826" s="226"/>
      <c r="AS826" s="652"/>
      <c r="AU826" s="652"/>
    </row>
    <row r="827">
      <c r="M827" s="226"/>
      <c r="N827" s="226"/>
      <c r="O827" s="226"/>
      <c r="P827" s="226"/>
      <c r="AS827" s="652"/>
      <c r="AU827" s="652"/>
    </row>
    <row r="828">
      <c r="M828" s="226"/>
      <c r="N828" s="226"/>
      <c r="O828" s="226"/>
      <c r="P828" s="226"/>
      <c r="AS828" s="652"/>
      <c r="AU828" s="652"/>
    </row>
    <row r="829">
      <c r="M829" s="226"/>
      <c r="N829" s="226"/>
      <c r="O829" s="226"/>
      <c r="P829" s="226"/>
      <c r="AS829" s="652"/>
      <c r="AU829" s="652"/>
    </row>
    <row r="830">
      <c r="M830" s="226"/>
      <c r="N830" s="226"/>
      <c r="O830" s="226"/>
      <c r="P830" s="226"/>
      <c r="AS830" s="652"/>
      <c r="AU830" s="652"/>
    </row>
    <row r="831">
      <c r="M831" s="226"/>
      <c r="N831" s="226"/>
      <c r="O831" s="226"/>
      <c r="P831" s="226"/>
      <c r="AS831" s="652"/>
      <c r="AU831" s="652"/>
    </row>
    <row r="832">
      <c r="M832" s="226"/>
      <c r="N832" s="226"/>
      <c r="O832" s="226"/>
      <c r="P832" s="226"/>
      <c r="AS832" s="652"/>
      <c r="AU832" s="652"/>
    </row>
    <row r="833">
      <c r="M833" s="226"/>
      <c r="N833" s="226"/>
      <c r="O833" s="226"/>
      <c r="P833" s="226"/>
      <c r="AS833" s="652"/>
      <c r="AU833" s="652"/>
    </row>
    <row r="834">
      <c r="M834" s="226"/>
      <c r="N834" s="226"/>
      <c r="O834" s="226"/>
      <c r="P834" s="226"/>
      <c r="AS834" s="652"/>
      <c r="AU834" s="652"/>
    </row>
    <row r="835">
      <c r="M835" s="226"/>
      <c r="N835" s="226"/>
      <c r="O835" s="226"/>
      <c r="P835" s="226"/>
      <c r="AS835" s="652"/>
      <c r="AU835" s="652"/>
    </row>
    <row r="836">
      <c r="M836" s="226"/>
      <c r="N836" s="226"/>
      <c r="O836" s="226"/>
      <c r="P836" s="226"/>
      <c r="AS836" s="652"/>
      <c r="AU836" s="652"/>
    </row>
    <row r="837">
      <c r="M837" s="226"/>
      <c r="N837" s="226"/>
      <c r="O837" s="226"/>
      <c r="P837" s="226"/>
      <c r="AS837" s="652"/>
      <c r="AU837" s="652"/>
    </row>
    <row r="838">
      <c r="M838" s="226"/>
      <c r="N838" s="226"/>
      <c r="O838" s="226"/>
      <c r="P838" s="226"/>
      <c r="AS838" s="652"/>
      <c r="AU838" s="652"/>
    </row>
    <row r="839">
      <c r="M839" s="226"/>
      <c r="N839" s="226"/>
      <c r="O839" s="226"/>
      <c r="P839" s="226"/>
      <c r="AS839" s="652"/>
      <c r="AU839" s="652"/>
    </row>
    <row r="840">
      <c r="M840" s="226"/>
      <c r="N840" s="226"/>
      <c r="O840" s="226"/>
      <c r="P840" s="226"/>
      <c r="AS840" s="652"/>
      <c r="AU840" s="652"/>
    </row>
    <row r="841">
      <c r="M841" s="226"/>
      <c r="N841" s="226"/>
      <c r="O841" s="226"/>
      <c r="P841" s="226"/>
      <c r="AS841" s="652"/>
      <c r="AU841" s="652"/>
    </row>
    <row r="842">
      <c r="M842" s="226"/>
      <c r="N842" s="226"/>
      <c r="O842" s="226"/>
      <c r="P842" s="226"/>
      <c r="AS842" s="652"/>
      <c r="AU842" s="652"/>
    </row>
    <row r="843">
      <c r="M843" s="226"/>
      <c r="N843" s="226"/>
      <c r="O843" s="226"/>
      <c r="P843" s="226"/>
      <c r="AS843" s="652"/>
      <c r="AU843" s="652"/>
    </row>
    <row r="844">
      <c r="M844" s="226"/>
      <c r="N844" s="226"/>
      <c r="O844" s="226"/>
      <c r="P844" s="226"/>
      <c r="AS844" s="652"/>
      <c r="AU844" s="652"/>
    </row>
    <row r="845">
      <c r="M845" s="226"/>
      <c r="N845" s="226"/>
      <c r="O845" s="226"/>
      <c r="P845" s="226"/>
      <c r="AS845" s="652"/>
      <c r="AU845" s="652"/>
    </row>
    <row r="846">
      <c r="M846" s="226"/>
      <c r="N846" s="226"/>
      <c r="O846" s="226"/>
      <c r="P846" s="226"/>
      <c r="AS846" s="652"/>
      <c r="AU846" s="652"/>
    </row>
    <row r="847">
      <c r="M847" s="226"/>
      <c r="N847" s="226"/>
      <c r="O847" s="226"/>
      <c r="P847" s="226"/>
      <c r="AS847" s="652"/>
      <c r="AU847" s="652"/>
    </row>
    <row r="848">
      <c r="M848" s="226"/>
      <c r="N848" s="226"/>
      <c r="O848" s="226"/>
      <c r="P848" s="226"/>
      <c r="AS848" s="652"/>
      <c r="AU848" s="652"/>
    </row>
    <row r="849">
      <c r="M849" s="226"/>
      <c r="N849" s="226"/>
      <c r="O849" s="226"/>
      <c r="P849" s="226"/>
      <c r="AS849" s="652"/>
      <c r="AU849" s="652"/>
    </row>
    <row r="850">
      <c r="M850" s="226"/>
      <c r="N850" s="226"/>
      <c r="O850" s="226"/>
      <c r="P850" s="226"/>
      <c r="AS850" s="652"/>
      <c r="AU850" s="652"/>
    </row>
    <row r="851">
      <c r="M851" s="226"/>
      <c r="N851" s="226"/>
      <c r="O851" s="226"/>
      <c r="P851" s="226"/>
      <c r="AS851" s="652"/>
      <c r="AU851" s="652"/>
    </row>
    <row r="852">
      <c r="M852" s="226"/>
      <c r="N852" s="226"/>
      <c r="O852" s="226"/>
      <c r="P852" s="226"/>
      <c r="AS852" s="652"/>
      <c r="AU852" s="652"/>
    </row>
    <row r="853">
      <c r="M853" s="226"/>
      <c r="N853" s="226"/>
      <c r="O853" s="226"/>
      <c r="P853" s="226"/>
      <c r="AS853" s="652"/>
      <c r="AU853" s="652"/>
    </row>
    <row r="854">
      <c r="M854" s="226"/>
      <c r="N854" s="226"/>
      <c r="O854" s="226"/>
      <c r="P854" s="226"/>
      <c r="AS854" s="652"/>
      <c r="AU854" s="652"/>
    </row>
    <row r="855">
      <c r="M855" s="226"/>
      <c r="N855" s="226"/>
      <c r="O855" s="226"/>
      <c r="P855" s="226"/>
      <c r="AS855" s="652"/>
      <c r="AU855" s="652"/>
    </row>
    <row r="856">
      <c r="M856" s="226"/>
      <c r="N856" s="226"/>
      <c r="O856" s="226"/>
      <c r="P856" s="226"/>
      <c r="AS856" s="652"/>
      <c r="AU856" s="652"/>
    </row>
    <row r="857">
      <c r="M857" s="226"/>
      <c r="N857" s="226"/>
      <c r="O857" s="226"/>
      <c r="P857" s="226"/>
      <c r="AS857" s="652"/>
      <c r="AU857" s="652"/>
    </row>
    <row r="858">
      <c r="M858" s="226"/>
      <c r="N858" s="226"/>
      <c r="O858" s="226"/>
      <c r="P858" s="226"/>
      <c r="AS858" s="652"/>
      <c r="AU858" s="652"/>
    </row>
    <row r="859">
      <c r="M859" s="226"/>
      <c r="N859" s="226"/>
      <c r="O859" s="226"/>
      <c r="P859" s="226"/>
      <c r="AS859" s="652"/>
      <c r="AU859" s="652"/>
    </row>
    <row r="860">
      <c r="M860" s="226"/>
      <c r="N860" s="226"/>
      <c r="O860" s="226"/>
      <c r="P860" s="226"/>
      <c r="AS860" s="652"/>
      <c r="AU860" s="652"/>
    </row>
    <row r="861">
      <c r="M861" s="226"/>
      <c r="N861" s="226"/>
      <c r="O861" s="226"/>
      <c r="P861" s="226"/>
      <c r="AS861" s="652"/>
      <c r="AU861" s="652"/>
    </row>
    <row r="862">
      <c r="M862" s="226"/>
      <c r="N862" s="226"/>
      <c r="O862" s="226"/>
      <c r="P862" s="226"/>
      <c r="AS862" s="652"/>
      <c r="AU862" s="652"/>
    </row>
    <row r="863">
      <c r="M863" s="226"/>
      <c r="N863" s="226"/>
      <c r="O863" s="226"/>
      <c r="P863" s="226"/>
      <c r="AS863" s="652"/>
      <c r="AU863" s="652"/>
    </row>
    <row r="864">
      <c r="M864" s="226"/>
      <c r="N864" s="226"/>
      <c r="O864" s="226"/>
      <c r="P864" s="226"/>
      <c r="AS864" s="652"/>
      <c r="AU864" s="652"/>
    </row>
    <row r="865">
      <c r="M865" s="226"/>
      <c r="N865" s="226"/>
      <c r="O865" s="226"/>
      <c r="P865" s="226"/>
      <c r="AS865" s="652"/>
      <c r="AU865" s="652"/>
    </row>
    <row r="866">
      <c r="M866" s="226"/>
      <c r="N866" s="226"/>
      <c r="O866" s="226"/>
      <c r="P866" s="226"/>
      <c r="AS866" s="652"/>
      <c r="AU866" s="652"/>
    </row>
    <row r="867">
      <c r="M867" s="226"/>
      <c r="N867" s="226"/>
      <c r="O867" s="226"/>
      <c r="P867" s="226"/>
      <c r="AS867" s="652"/>
      <c r="AU867" s="652"/>
    </row>
    <row r="868">
      <c r="M868" s="226"/>
      <c r="N868" s="226"/>
      <c r="O868" s="226"/>
      <c r="P868" s="226"/>
      <c r="AS868" s="652"/>
      <c r="AU868" s="652"/>
    </row>
    <row r="869">
      <c r="M869" s="226"/>
      <c r="N869" s="226"/>
      <c r="O869" s="226"/>
      <c r="P869" s="226"/>
      <c r="AS869" s="652"/>
      <c r="AU869" s="652"/>
    </row>
    <row r="870">
      <c r="M870" s="226"/>
      <c r="N870" s="226"/>
      <c r="O870" s="226"/>
      <c r="P870" s="226"/>
      <c r="AS870" s="652"/>
      <c r="AU870" s="652"/>
    </row>
    <row r="871">
      <c r="M871" s="226"/>
      <c r="N871" s="226"/>
      <c r="O871" s="226"/>
      <c r="P871" s="226"/>
      <c r="AS871" s="652"/>
      <c r="AU871" s="652"/>
    </row>
    <row r="872">
      <c r="M872" s="226"/>
      <c r="N872" s="226"/>
      <c r="O872" s="226"/>
      <c r="P872" s="226"/>
      <c r="AS872" s="652"/>
      <c r="AU872" s="652"/>
    </row>
    <row r="873">
      <c r="M873" s="226"/>
      <c r="N873" s="226"/>
      <c r="O873" s="226"/>
      <c r="P873" s="226"/>
      <c r="AS873" s="652"/>
      <c r="AU873" s="652"/>
    </row>
    <row r="874">
      <c r="M874" s="226"/>
      <c r="N874" s="226"/>
      <c r="O874" s="226"/>
      <c r="P874" s="226"/>
      <c r="AS874" s="652"/>
      <c r="AU874" s="652"/>
    </row>
    <row r="875">
      <c r="M875" s="226"/>
      <c r="N875" s="226"/>
      <c r="O875" s="226"/>
      <c r="P875" s="226"/>
      <c r="AS875" s="652"/>
      <c r="AU875" s="652"/>
    </row>
    <row r="876">
      <c r="M876" s="226"/>
      <c r="N876" s="226"/>
      <c r="O876" s="226"/>
      <c r="P876" s="226"/>
      <c r="AS876" s="652"/>
      <c r="AU876" s="652"/>
    </row>
    <row r="877">
      <c r="M877" s="226"/>
      <c r="N877" s="226"/>
      <c r="O877" s="226"/>
      <c r="P877" s="226"/>
      <c r="AS877" s="652"/>
      <c r="AU877" s="652"/>
    </row>
    <row r="878">
      <c r="M878" s="226"/>
      <c r="N878" s="226"/>
      <c r="O878" s="226"/>
      <c r="P878" s="226"/>
      <c r="AS878" s="652"/>
      <c r="AU878" s="652"/>
    </row>
    <row r="879">
      <c r="M879" s="226"/>
      <c r="N879" s="226"/>
      <c r="O879" s="226"/>
      <c r="P879" s="226"/>
      <c r="AS879" s="652"/>
      <c r="AU879" s="652"/>
    </row>
    <row r="880">
      <c r="M880" s="226"/>
      <c r="N880" s="226"/>
      <c r="O880" s="226"/>
      <c r="P880" s="226"/>
      <c r="AS880" s="652"/>
      <c r="AU880" s="652"/>
    </row>
    <row r="881">
      <c r="M881" s="226"/>
      <c r="N881" s="226"/>
      <c r="O881" s="226"/>
      <c r="P881" s="226"/>
      <c r="AS881" s="652"/>
      <c r="AU881" s="652"/>
    </row>
    <row r="882">
      <c r="M882" s="226"/>
      <c r="N882" s="226"/>
      <c r="O882" s="226"/>
      <c r="P882" s="226"/>
      <c r="AS882" s="652"/>
      <c r="AU882" s="652"/>
    </row>
    <row r="883">
      <c r="M883" s="226"/>
      <c r="N883" s="226"/>
      <c r="O883" s="226"/>
      <c r="P883" s="226"/>
      <c r="AS883" s="652"/>
      <c r="AU883" s="652"/>
    </row>
    <row r="884">
      <c r="M884" s="226"/>
      <c r="N884" s="226"/>
      <c r="O884" s="226"/>
      <c r="P884" s="226"/>
      <c r="AS884" s="652"/>
      <c r="AU884" s="652"/>
    </row>
    <row r="885">
      <c r="M885" s="226"/>
      <c r="N885" s="226"/>
      <c r="O885" s="226"/>
      <c r="P885" s="226"/>
      <c r="AS885" s="652"/>
      <c r="AU885" s="652"/>
    </row>
    <row r="886">
      <c r="M886" s="226"/>
      <c r="N886" s="226"/>
      <c r="O886" s="226"/>
      <c r="P886" s="226"/>
      <c r="AS886" s="652"/>
      <c r="AU886" s="652"/>
    </row>
    <row r="887">
      <c r="M887" s="226"/>
      <c r="N887" s="226"/>
      <c r="O887" s="226"/>
      <c r="P887" s="226"/>
      <c r="AS887" s="652"/>
      <c r="AU887" s="652"/>
    </row>
    <row r="888">
      <c r="M888" s="226"/>
      <c r="N888" s="226"/>
      <c r="O888" s="226"/>
      <c r="P888" s="226"/>
      <c r="AS888" s="652"/>
      <c r="AU888" s="652"/>
    </row>
    <row r="889">
      <c r="M889" s="226"/>
      <c r="N889" s="226"/>
      <c r="O889" s="226"/>
      <c r="P889" s="226"/>
      <c r="AS889" s="652"/>
      <c r="AU889" s="652"/>
    </row>
    <row r="890">
      <c r="M890" s="226"/>
      <c r="N890" s="226"/>
      <c r="O890" s="226"/>
      <c r="P890" s="226"/>
      <c r="AS890" s="652"/>
      <c r="AU890" s="652"/>
    </row>
    <row r="891">
      <c r="M891" s="226"/>
      <c r="N891" s="226"/>
      <c r="O891" s="226"/>
      <c r="P891" s="226"/>
      <c r="AS891" s="652"/>
      <c r="AU891" s="652"/>
    </row>
    <row r="892">
      <c r="M892" s="226"/>
      <c r="N892" s="226"/>
      <c r="O892" s="226"/>
      <c r="P892" s="226"/>
      <c r="AS892" s="652"/>
      <c r="AU892" s="652"/>
    </row>
    <row r="893">
      <c r="M893" s="226"/>
      <c r="N893" s="226"/>
      <c r="O893" s="226"/>
      <c r="P893" s="226"/>
      <c r="AS893" s="652"/>
      <c r="AU893" s="652"/>
    </row>
    <row r="894">
      <c r="M894" s="226"/>
      <c r="N894" s="226"/>
      <c r="O894" s="226"/>
      <c r="P894" s="226"/>
      <c r="AS894" s="652"/>
      <c r="AU894" s="652"/>
    </row>
    <row r="895">
      <c r="M895" s="226"/>
      <c r="N895" s="226"/>
      <c r="O895" s="226"/>
      <c r="P895" s="226"/>
      <c r="AS895" s="652"/>
      <c r="AU895" s="652"/>
    </row>
    <row r="896">
      <c r="M896" s="226"/>
      <c r="N896" s="226"/>
      <c r="O896" s="226"/>
      <c r="P896" s="226"/>
      <c r="AS896" s="652"/>
      <c r="AU896" s="652"/>
    </row>
    <row r="897">
      <c r="M897" s="226"/>
      <c r="N897" s="226"/>
      <c r="O897" s="226"/>
      <c r="P897" s="226"/>
      <c r="AS897" s="652"/>
      <c r="AU897" s="652"/>
    </row>
    <row r="898">
      <c r="M898" s="226"/>
      <c r="N898" s="226"/>
      <c r="O898" s="226"/>
      <c r="P898" s="226"/>
      <c r="AS898" s="652"/>
      <c r="AU898" s="652"/>
    </row>
    <row r="899">
      <c r="M899" s="226"/>
      <c r="N899" s="226"/>
      <c r="O899" s="226"/>
      <c r="P899" s="226"/>
      <c r="AS899" s="652"/>
      <c r="AU899" s="652"/>
    </row>
    <row r="900">
      <c r="M900" s="226"/>
      <c r="N900" s="226"/>
      <c r="O900" s="226"/>
      <c r="P900" s="226"/>
      <c r="AS900" s="652"/>
      <c r="AU900" s="652"/>
    </row>
    <row r="901">
      <c r="M901" s="226"/>
      <c r="N901" s="226"/>
      <c r="O901" s="226"/>
      <c r="P901" s="226"/>
      <c r="AS901" s="652"/>
      <c r="AU901" s="652"/>
    </row>
    <row r="902">
      <c r="M902" s="226"/>
      <c r="N902" s="226"/>
      <c r="O902" s="226"/>
      <c r="P902" s="226"/>
      <c r="AS902" s="652"/>
      <c r="AU902" s="652"/>
    </row>
    <row r="903">
      <c r="M903" s="226"/>
      <c r="N903" s="226"/>
      <c r="O903" s="226"/>
      <c r="P903" s="226"/>
      <c r="AS903" s="652"/>
      <c r="AU903" s="652"/>
    </row>
    <row r="904">
      <c r="M904" s="226"/>
      <c r="N904" s="226"/>
      <c r="O904" s="226"/>
      <c r="P904" s="226"/>
      <c r="AS904" s="652"/>
      <c r="AU904" s="652"/>
    </row>
    <row r="905">
      <c r="M905" s="226"/>
      <c r="N905" s="226"/>
      <c r="O905" s="226"/>
      <c r="P905" s="226"/>
      <c r="AS905" s="652"/>
      <c r="AU905" s="652"/>
    </row>
    <row r="906">
      <c r="M906" s="226"/>
      <c r="N906" s="226"/>
      <c r="O906" s="226"/>
      <c r="P906" s="226"/>
      <c r="AS906" s="652"/>
      <c r="AU906" s="652"/>
    </row>
    <row r="907">
      <c r="M907" s="226"/>
      <c r="N907" s="226"/>
      <c r="O907" s="226"/>
      <c r="P907" s="226"/>
      <c r="AS907" s="652"/>
      <c r="AU907" s="652"/>
    </row>
    <row r="908">
      <c r="M908" s="226"/>
      <c r="N908" s="226"/>
      <c r="O908" s="226"/>
      <c r="P908" s="226"/>
      <c r="AS908" s="652"/>
      <c r="AU908" s="652"/>
    </row>
    <row r="909">
      <c r="M909" s="226"/>
      <c r="N909" s="226"/>
      <c r="O909" s="226"/>
      <c r="P909" s="226"/>
      <c r="AS909" s="652"/>
      <c r="AU909" s="652"/>
    </row>
    <row r="910">
      <c r="M910" s="226"/>
      <c r="N910" s="226"/>
      <c r="O910" s="226"/>
      <c r="P910" s="226"/>
      <c r="AS910" s="652"/>
      <c r="AU910" s="652"/>
    </row>
    <row r="911">
      <c r="M911" s="226"/>
      <c r="N911" s="226"/>
      <c r="O911" s="226"/>
      <c r="P911" s="226"/>
      <c r="AS911" s="652"/>
      <c r="AU911" s="652"/>
    </row>
    <row r="912">
      <c r="M912" s="226"/>
      <c r="N912" s="226"/>
      <c r="O912" s="226"/>
      <c r="P912" s="226"/>
      <c r="AS912" s="652"/>
      <c r="AU912" s="652"/>
    </row>
    <row r="913">
      <c r="M913" s="226"/>
      <c r="N913" s="226"/>
      <c r="O913" s="226"/>
      <c r="P913" s="226"/>
      <c r="AS913" s="652"/>
      <c r="AU913" s="652"/>
    </row>
    <row r="914">
      <c r="M914" s="226"/>
      <c r="N914" s="226"/>
      <c r="O914" s="226"/>
      <c r="P914" s="226"/>
      <c r="AS914" s="652"/>
      <c r="AU914" s="652"/>
    </row>
    <row r="915">
      <c r="M915" s="226"/>
      <c r="N915" s="226"/>
      <c r="O915" s="226"/>
      <c r="P915" s="226"/>
      <c r="AS915" s="652"/>
      <c r="AU915" s="652"/>
    </row>
    <row r="916">
      <c r="M916" s="226"/>
      <c r="N916" s="226"/>
      <c r="O916" s="226"/>
      <c r="P916" s="226"/>
      <c r="AS916" s="652"/>
      <c r="AU916" s="652"/>
    </row>
    <row r="917">
      <c r="M917" s="226"/>
      <c r="N917" s="226"/>
      <c r="O917" s="226"/>
      <c r="P917" s="226"/>
      <c r="AS917" s="652"/>
      <c r="AU917" s="652"/>
    </row>
    <row r="918">
      <c r="M918" s="226"/>
      <c r="N918" s="226"/>
      <c r="O918" s="226"/>
      <c r="P918" s="226"/>
      <c r="AS918" s="652"/>
      <c r="AU918" s="652"/>
    </row>
    <row r="919">
      <c r="M919" s="226"/>
      <c r="N919" s="226"/>
      <c r="O919" s="226"/>
      <c r="P919" s="226"/>
      <c r="AS919" s="652"/>
      <c r="AU919" s="652"/>
    </row>
    <row r="920">
      <c r="M920" s="226"/>
      <c r="N920" s="226"/>
      <c r="O920" s="226"/>
      <c r="P920" s="226"/>
      <c r="AS920" s="652"/>
      <c r="AU920" s="652"/>
    </row>
    <row r="921">
      <c r="M921" s="226"/>
      <c r="N921" s="226"/>
      <c r="O921" s="226"/>
      <c r="P921" s="226"/>
      <c r="AS921" s="652"/>
      <c r="AU921" s="652"/>
    </row>
    <row r="922">
      <c r="M922" s="226"/>
      <c r="N922" s="226"/>
      <c r="O922" s="226"/>
      <c r="P922" s="226"/>
      <c r="AS922" s="652"/>
      <c r="AU922" s="652"/>
    </row>
    <row r="923">
      <c r="M923" s="226"/>
      <c r="N923" s="226"/>
      <c r="O923" s="226"/>
      <c r="P923" s="226"/>
      <c r="AS923" s="652"/>
      <c r="AU923" s="652"/>
    </row>
    <row r="924">
      <c r="M924" s="226"/>
      <c r="N924" s="226"/>
      <c r="O924" s="226"/>
      <c r="P924" s="226"/>
      <c r="AS924" s="652"/>
      <c r="AU924" s="652"/>
    </row>
    <row r="925">
      <c r="M925" s="226"/>
      <c r="N925" s="226"/>
      <c r="O925" s="226"/>
      <c r="P925" s="226"/>
      <c r="AS925" s="652"/>
      <c r="AU925" s="652"/>
    </row>
    <row r="926">
      <c r="M926" s="226"/>
      <c r="N926" s="226"/>
      <c r="O926" s="226"/>
      <c r="P926" s="226"/>
      <c r="AS926" s="652"/>
      <c r="AU926" s="652"/>
    </row>
    <row r="927">
      <c r="M927" s="226"/>
      <c r="N927" s="226"/>
      <c r="O927" s="226"/>
      <c r="P927" s="226"/>
      <c r="AS927" s="652"/>
      <c r="AU927" s="652"/>
    </row>
    <row r="928">
      <c r="M928" s="226"/>
      <c r="N928" s="226"/>
      <c r="O928" s="226"/>
      <c r="P928" s="226"/>
      <c r="AS928" s="652"/>
      <c r="AU928" s="652"/>
    </row>
    <row r="929">
      <c r="M929" s="226"/>
      <c r="N929" s="226"/>
      <c r="O929" s="226"/>
      <c r="P929" s="226"/>
      <c r="AS929" s="652"/>
      <c r="AU929" s="652"/>
    </row>
    <row r="930">
      <c r="M930" s="226"/>
      <c r="N930" s="226"/>
      <c r="O930" s="226"/>
      <c r="P930" s="226"/>
      <c r="AS930" s="652"/>
      <c r="AU930" s="652"/>
    </row>
    <row r="931">
      <c r="M931" s="226"/>
      <c r="N931" s="226"/>
      <c r="O931" s="226"/>
      <c r="P931" s="226"/>
      <c r="AS931" s="652"/>
      <c r="AU931" s="652"/>
    </row>
    <row r="932">
      <c r="M932" s="226"/>
      <c r="N932" s="226"/>
      <c r="O932" s="226"/>
      <c r="P932" s="226"/>
      <c r="AS932" s="652"/>
      <c r="AU932" s="652"/>
    </row>
    <row r="933">
      <c r="M933" s="226"/>
      <c r="N933" s="226"/>
      <c r="O933" s="226"/>
      <c r="P933" s="226"/>
      <c r="AS933" s="652"/>
      <c r="AU933" s="652"/>
    </row>
    <row r="934">
      <c r="M934" s="226"/>
      <c r="N934" s="226"/>
      <c r="O934" s="226"/>
      <c r="P934" s="226"/>
      <c r="AS934" s="652"/>
      <c r="AU934" s="652"/>
    </row>
    <row r="935">
      <c r="M935" s="226"/>
      <c r="N935" s="226"/>
      <c r="O935" s="226"/>
      <c r="P935" s="226"/>
      <c r="AS935" s="652"/>
      <c r="AU935" s="652"/>
    </row>
    <row r="936">
      <c r="M936" s="226"/>
      <c r="N936" s="226"/>
      <c r="O936" s="226"/>
      <c r="P936" s="226"/>
      <c r="AS936" s="652"/>
      <c r="AU936" s="652"/>
    </row>
    <row r="937">
      <c r="M937" s="226"/>
      <c r="N937" s="226"/>
      <c r="O937" s="226"/>
      <c r="P937" s="226"/>
      <c r="AS937" s="652"/>
      <c r="AU937" s="652"/>
    </row>
    <row r="938">
      <c r="M938" s="226"/>
      <c r="N938" s="226"/>
      <c r="O938" s="226"/>
      <c r="P938" s="226"/>
      <c r="AS938" s="652"/>
      <c r="AU938" s="652"/>
    </row>
    <row r="939">
      <c r="M939" s="226"/>
      <c r="N939" s="226"/>
      <c r="O939" s="226"/>
      <c r="P939" s="226"/>
      <c r="AS939" s="652"/>
      <c r="AU939" s="652"/>
    </row>
    <row r="940">
      <c r="M940" s="226"/>
      <c r="N940" s="226"/>
      <c r="O940" s="226"/>
      <c r="P940" s="226"/>
      <c r="AS940" s="652"/>
      <c r="AU940" s="652"/>
    </row>
    <row r="941">
      <c r="M941" s="226"/>
      <c r="N941" s="226"/>
      <c r="O941" s="226"/>
      <c r="P941" s="226"/>
      <c r="AS941" s="652"/>
      <c r="AU941" s="652"/>
    </row>
    <row r="942">
      <c r="M942" s="226"/>
      <c r="N942" s="226"/>
      <c r="O942" s="226"/>
      <c r="P942" s="226"/>
      <c r="AS942" s="652"/>
      <c r="AU942" s="652"/>
    </row>
    <row r="943">
      <c r="M943" s="226"/>
      <c r="N943" s="226"/>
      <c r="O943" s="226"/>
      <c r="P943" s="226"/>
      <c r="AS943" s="652"/>
      <c r="AU943" s="652"/>
    </row>
    <row r="944">
      <c r="M944" s="226"/>
      <c r="N944" s="226"/>
      <c r="O944" s="226"/>
      <c r="P944" s="226"/>
      <c r="AS944" s="652"/>
      <c r="AU944" s="652"/>
    </row>
    <row r="945">
      <c r="M945" s="226"/>
      <c r="N945" s="226"/>
      <c r="O945" s="226"/>
      <c r="P945" s="226"/>
      <c r="AS945" s="652"/>
      <c r="AU945" s="652"/>
    </row>
    <row r="946">
      <c r="M946" s="226"/>
      <c r="N946" s="226"/>
      <c r="O946" s="226"/>
      <c r="P946" s="226"/>
      <c r="AS946" s="652"/>
      <c r="AU946" s="652"/>
    </row>
    <row r="947">
      <c r="M947" s="226"/>
      <c r="N947" s="226"/>
      <c r="O947" s="226"/>
      <c r="P947" s="226"/>
      <c r="AS947" s="652"/>
      <c r="AU947" s="652"/>
    </row>
    <row r="948">
      <c r="M948" s="226"/>
      <c r="N948" s="226"/>
      <c r="O948" s="226"/>
      <c r="P948" s="226"/>
      <c r="AS948" s="652"/>
      <c r="AU948" s="652"/>
    </row>
    <row r="949">
      <c r="M949" s="226"/>
      <c r="N949" s="226"/>
      <c r="O949" s="226"/>
      <c r="P949" s="226"/>
      <c r="AS949" s="652"/>
      <c r="AU949" s="652"/>
    </row>
    <row r="950">
      <c r="M950" s="226"/>
      <c r="N950" s="226"/>
      <c r="O950" s="226"/>
      <c r="P950" s="226"/>
      <c r="AS950" s="652"/>
      <c r="AU950" s="652"/>
    </row>
    <row r="951">
      <c r="M951" s="226"/>
      <c r="N951" s="226"/>
      <c r="O951" s="226"/>
      <c r="P951" s="226"/>
      <c r="AS951" s="652"/>
      <c r="AU951" s="652"/>
    </row>
    <row r="952">
      <c r="M952" s="226"/>
      <c r="N952" s="226"/>
      <c r="O952" s="226"/>
      <c r="P952" s="226"/>
      <c r="AS952" s="652"/>
      <c r="AU952" s="652"/>
    </row>
    <row r="953">
      <c r="M953" s="226"/>
      <c r="N953" s="226"/>
      <c r="O953" s="226"/>
      <c r="P953" s="226"/>
      <c r="AS953" s="652"/>
      <c r="AU953" s="652"/>
    </row>
    <row r="954">
      <c r="M954" s="226"/>
      <c r="N954" s="226"/>
      <c r="O954" s="226"/>
      <c r="P954" s="226"/>
      <c r="AS954" s="652"/>
      <c r="AU954" s="652"/>
    </row>
    <row r="955">
      <c r="M955" s="226"/>
      <c r="N955" s="226"/>
      <c r="O955" s="226"/>
      <c r="P955" s="226"/>
      <c r="AS955" s="652"/>
      <c r="AU955" s="652"/>
    </row>
    <row r="956">
      <c r="M956" s="226"/>
      <c r="N956" s="226"/>
      <c r="O956" s="226"/>
      <c r="P956" s="226"/>
      <c r="AS956" s="652"/>
      <c r="AU956" s="652"/>
    </row>
    <row r="957">
      <c r="M957" s="226"/>
      <c r="N957" s="226"/>
      <c r="O957" s="226"/>
      <c r="P957" s="226"/>
      <c r="AS957" s="652"/>
      <c r="AU957" s="652"/>
    </row>
    <row r="958">
      <c r="M958" s="226"/>
      <c r="N958" s="226"/>
      <c r="O958" s="226"/>
      <c r="P958" s="226"/>
      <c r="AS958" s="652"/>
      <c r="AU958" s="652"/>
    </row>
    <row r="959">
      <c r="M959" s="226"/>
      <c r="N959" s="226"/>
      <c r="O959" s="226"/>
      <c r="P959" s="226"/>
      <c r="AS959" s="652"/>
      <c r="AU959" s="652"/>
    </row>
    <row r="960">
      <c r="M960" s="226"/>
      <c r="N960" s="226"/>
      <c r="O960" s="226"/>
      <c r="P960" s="226"/>
      <c r="AS960" s="652"/>
      <c r="AU960" s="652"/>
    </row>
    <row r="961">
      <c r="M961" s="226"/>
      <c r="N961" s="226"/>
      <c r="O961" s="226"/>
      <c r="P961" s="226"/>
      <c r="AS961" s="652"/>
      <c r="AU961" s="652"/>
    </row>
    <row r="962">
      <c r="M962" s="226"/>
      <c r="N962" s="226"/>
      <c r="O962" s="226"/>
      <c r="P962" s="226"/>
      <c r="AS962" s="652"/>
      <c r="AU962" s="652"/>
    </row>
    <row r="963">
      <c r="M963" s="226"/>
      <c r="N963" s="226"/>
      <c r="O963" s="226"/>
      <c r="P963" s="226"/>
      <c r="AS963" s="652"/>
      <c r="AU963" s="652"/>
    </row>
    <row r="964">
      <c r="M964" s="226"/>
      <c r="N964" s="226"/>
      <c r="O964" s="226"/>
      <c r="P964" s="226"/>
      <c r="AS964" s="652"/>
      <c r="AU964" s="652"/>
    </row>
    <row r="965">
      <c r="M965" s="226"/>
      <c r="N965" s="226"/>
      <c r="O965" s="226"/>
      <c r="P965" s="226"/>
      <c r="AS965" s="652"/>
      <c r="AU965" s="652"/>
    </row>
    <row r="966">
      <c r="M966" s="226"/>
      <c r="N966" s="226"/>
      <c r="O966" s="226"/>
      <c r="P966" s="226"/>
      <c r="AS966" s="652"/>
      <c r="AU966" s="652"/>
    </row>
    <row r="967">
      <c r="M967" s="226"/>
      <c r="N967" s="226"/>
      <c r="O967" s="226"/>
      <c r="P967" s="226"/>
      <c r="AS967" s="652"/>
      <c r="AU967" s="652"/>
    </row>
    <row r="968">
      <c r="M968" s="226"/>
      <c r="N968" s="226"/>
      <c r="O968" s="226"/>
      <c r="P968" s="226"/>
      <c r="AS968" s="652"/>
      <c r="AU968" s="652"/>
    </row>
    <row r="969">
      <c r="M969" s="226"/>
      <c r="N969" s="226"/>
      <c r="O969" s="226"/>
      <c r="P969" s="226"/>
      <c r="AS969" s="652"/>
      <c r="AU969" s="652"/>
    </row>
    <row r="970">
      <c r="M970" s="226"/>
      <c r="N970" s="226"/>
      <c r="O970" s="226"/>
      <c r="P970" s="226"/>
      <c r="AS970" s="652"/>
      <c r="AU970" s="652"/>
    </row>
    <row r="971">
      <c r="M971" s="226"/>
      <c r="N971" s="226"/>
      <c r="O971" s="226"/>
      <c r="P971" s="226"/>
      <c r="AS971" s="652"/>
      <c r="AU971" s="652"/>
    </row>
    <row r="972">
      <c r="M972" s="226"/>
      <c r="N972" s="226"/>
      <c r="O972" s="226"/>
      <c r="P972" s="226"/>
      <c r="AS972" s="652"/>
      <c r="AU972" s="652"/>
    </row>
    <row r="973">
      <c r="M973" s="226"/>
      <c r="N973" s="226"/>
      <c r="O973" s="226"/>
      <c r="P973" s="226"/>
      <c r="AS973" s="652"/>
      <c r="AU973" s="652"/>
    </row>
    <row r="974">
      <c r="M974" s="226"/>
      <c r="N974" s="226"/>
      <c r="O974" s="226"/>
      <c r="P974" s="226"/>
      <c r="AS974" s="652"/>
      <c r="AU974" s="652"/>
    </row>
    <row r="975">
      <c r="M975" s="226"/>
      <c r="N975" s="226"/>
      <c r="O975" s="226"/>
      <c r="P975" s="226"/>
      <c r="AS975" s="652"/>
      <c r="AU975" s="652"/>
    </row>
    <row r="976">
      <c r="M976" s="226"/>
      <c r="N976" s="226"/>
      <c r="O976" s="226"/>
      <c r="P976" s="226"/>
      <c r="AS976" s="652"/>
      <c r="AU976" s="652"/>
    </row>
    <row r="977">
      <c r="M977" s="226"/>
      <c r="N977" s="226"/>
      <c r="O977" s="226"/>
      <c r="P977" s="226"/>
      <c r="AS977" s="652"/>
      <c r="AU977" s="652"/>
    </row>
    <row r="978">
      <c r="M978" s="226"/>
      <c r="N978" s="226"/>
      <c r="O978" s="226"/>
      <c r="P978" s="226"/>
      <c r="AS978" s="652"/>
      <c r="AU978" s="652"/>
    </row>
    <row r="979">
      <c r="M979" s="226"/>
      <c r="N979" s="226"/>
      <c r="O979" s="226"/>
      <c r="P979" s="226"/>
      <c r="AS979" s="652"/>
      <c r="AU979" s="652"/>
    </row>
    <row r="980">
      <c r="M980" s="226"/>
      <c r="N980" s="226"/>
      <c r="O980" s="226"/>
      <c r="P980" s="226"/>
      <c r="AS980" s="652"/>
      <c r="AU980" s="652"/>
    </row>
    <row r="981">
      <c r="M981" s="226"/>
      <c r="N981" s="226"/>
      <c r="O981" s="226"/>
      <c r="P981" s="226"/>
      <c r="AS981" s="652"/>
      <c r="AU981" s="652"/>
    </row>
    <row r="982">
      <c r="M982" s="226"/>
      <c r="N982" s="226"/>
      <c r="O982" s="226"/>
      <c r="P982" s="226"/>
      <c r="AS982" s="652"/>
      <c r="AU982" s="652"/>
    </row>
    <row r="983">
      <c r="M983" s="226"/>
      <c r="N983" s="226"/>
      <c r="O983" s="226"/>
      <c r="P983" s="226"/>
      <c r="AS983" s="652"/>
      <c r="AU983" s="652"/>
    </row>
    <row r="984">
      <c r="M984" s="226"/>
      <c r="N984" s="226"/>
      <c r="O984" s="226"/>
      <c r="P984" s="226"/>
      <c r="AS984" s="652"/>
      <c r="AU984" s="652"/>
    </row>
    <row r="985">
      <c r="M985" s="226"/>
      <c r="N985" s="226"/>
      <c r="O985" s="226"/>
      <c r="P985" s="226"/>
      <c r="AS985" s="652"/>
      <c r="AU985" s="652"/>
    </row>
    <row r="986">
      <c r="M986" s="226"/>
      <c r="N986" s="226"/>
      <c r="O986" s="226"/>
      <c r="P986" s="226"/>
      <c r="AS986" s="652"/>
      <c r="AU986" s="652"/>
    </row>
    <row r="987">
      <c r="M987" s="226"/>
      <c r="N987" s="226"/>
      <c r="O987" s="226"/>
      <c r="P987" s="226"/>
      <c r="AS987" s="652"/>
      <c r="AU987" s="652"/>
    </row>
    <row r="988">
      <c r="M988" s="226"/>
      <c r="N988" s="226"/>
      <c r="O988" s="226"/>
      <c r="P988" s="226"/>
      <c r="AS988" s="652"/>
      <c r="AU988" s="652"/>
    </row>
    <row r="989">
      <c r="M989" s="226"/>
      <c r="N989" s="226"/>
      <c r="O989" s="226"/>
      <c r="P989" s="226"/>
      <c r="AS989" s="652"/>
      <c r="AU989" s="652"/>
    </row>
    <row r="990">
      <c r="M990" s="226"/>
      <c r="N990" s="226"/>
      <c r="O990" s="226"/>
      <c r="P990" s="226"/>
      <c r="AS990" s="652"/>
      <c r="AU990" s="652"/>
    </row>
    <row r="991">
      <c r="M991" s="226"/>
      <c r="N991" s="226"/>
      <c r="O991" s="226"/>
      <c r="P991" s="226"/>
      <c r="AS991" s="652"/>
      <c r="AU991" s="652"/>
    </row>
    <row r="992">
      <c r="M992" s="226"/>
      <c r="N992" s="226"/>
      <c r="O992" s="226"/>
      <c r="P992" s="226"/>
      <c r="AS992" s="652"/>
      <c r="AU992" s="652"/>
    </row>
    <row r="993">
      <c r="M993" s="226"/>
      <c r="N993" s="226"/>
      <c r="O993" s="226"/>
      <c r="P993" s="226"/>
      <c r="AS993" s="652"/>
      <c r="AU993" s="652"/>
    </row>
    <row r="994">
      <c r="M994" s="226"/>
      <c r="N994" s="226"/>
      <c r="O994" s="226"/>
      <c r="P994" s="226"/>
      <c r="AS994" s="652"/>
      <c r="AU994" s="652"/>
    </row>
    <row r="995">
      <c r="M995" s="226"/>
      <c r="N995" s="226"/>
      <c r="O995" s="226"/>
      <c r="P995" s="226"/>
      <c r="AS995" s="652"/>
      <c r="AU995" s="652"/>
    </row>
    <row r="996">
      <c r="M996" s="226"/>
      <c r="N996" s="226"/>
      <c r="O996" s="226"/>
      <c r="P996" s="226"/>
      <c r="AS996" s="652"/>
      <c r="AU996" s="652"/>
    </row>
    <row r="997">
      <c r="M997" s="226"/>
      <c r="N997" s="226"/>
      <c r="O997" s="226"/>
      <c r="P997" s="226"/>
      <c r="AS997" s="652"/>
      <c r="AU997" s="652"/>
    </row>
    <row r="998">
      <c r="M998" s="226"/>
      <c r="N998" s="226"/>
      <c r="O998" s="226"/>
      <c r="P998" s="226"/>
      <c r="AS998" s="652"/>
      <c r="AU998" s="652"/>
    </row>
    <row r="999">
      <c r="M999" s="226"/>
      <c r="N999" s="226"/>
      <c r="O999" s="226"/>
      <c r="P999" s="226"/>
      <c r="AS999" s="652"/>
      <c r="AU999" s="652"/>
    </row>
    <row r="1000">
      <c r="M1000" s="226"/>
      <c r="N1000" s="226"/>
      <c r="O1000" s="226"/>
      <c r="P1000" s="226"/>
      <c r="AS1000" s="652"/>
      <c r="AU1000" s="652"/>
    </row>
    <row r="1001">
      <c r="M1001" s="226"/>
      <c r="N1001" s="226"/>
      <c r="O1001" s="226"/>
      <c r="P1001" s="226"/>
      <c r="AS1001" s="652"/>
      <c r="AU1001" s="652"/>
    </row>
    <row r="1002">
      <c r="M1002" s="226"/>
      <c r="N1002" s="226"/>
      <c r="O1002" s="226"/>
      <c r="P1002" s="226"/>
      <c r="AS1002" s="652"/>
      <c r="AU1002" s="652"/>
    </row>
    <row r="1003">
      <c r="M1003" s="226"/>
      <c r="N1003" s="226"/>
      <c r="O1003" s="226"/>
      <c r="P1003" s="226"/>
      <c r="AS1003" s="652"/>
      <c r="AU1003" s="652"/>
    </row>
    <row r="1004">
      <c r="M1004" s="226"/>
      <c r="N1004" s="226"/>
      <c r="O1004" s="226"/>
      <c r="P1004" s="226"/>
      <c r="AS1004" s="652"/>
      <c r="AU1004" s="652"/>
    </row>
    <row r="1005">
      <c r="M1005" s="226"/>
      <c r="N1005" s="226"/>
      <c r="O1005" s="226"/>
      <c r="P1005" s="226"/>
      <c r="AS1005" s="652"/>
      <c r="AU1005" s="652"/>
    </row>
    <row r="1006">
      <c r="M1006" s="226"/>
      <c r="N1006" s="226"/>
      <c r="O1006" s="226"/>
      <c r="P1006" s="226"/>
      <c r="AS1006" s="652"/>
      <c r="AU1006" s="652"/>
    </row>
    <row r="1007">
      <c r="M1007" s="226"/>
      <c r="N1007" s="226"/>
      <c r="O1007" s="226"/>
      <c r="P1007" s="226"/>
      <c r="AS1007" s="652"/>
      <c r="AU1007" s="652"/>
    </row>
    <row r="1008">
      <c r="M1008" s="226"/>
      <c r="N1008" s="226"/>
      <c r="O1008" s="226"/>
      <c r="P1008" s="226"/>
      <c r="AS1008" s="652"/>
      <c r="AU1008" s="652"/>
    </row>
    <row r="1009">
      <c r="M1009" s="226"/>
      <c r="N1009" s="226"/>
      <c r="O1009" s="226"/>
      <c r="P1009" s="226"/>
      <c r="AS1009" s="652"/>
      <c r="AU1009" s="652"/>
    </row>
    <row r="1010">
      <c r="M1010" s="226"/>
      <c r="N1010" s="226"/>
      <c r="O1010" s="226"/>
      <c r="P1010" s="226"/>
      <c r="AS1010" s="652"/>
      <c r="AU1010" s="652"/>
    </row>
    <row r="1011">
      <c r="M1011" s="226"/>
      <c r="N1011" s="226"/>
      <c r="O1011" s="226"/>
      <c r="P1011" s="226"/>
      <c r="AS1011" s="652"/>
      <c r="AU1011" s="652"/>
    </row>
    <row r="1012">
      <c r="M1012" s="226"/>
      <c r="N1012" s="226"/>
      <c r="O1012" s="226"/>
      <c r="P1012" s="226"/>
      <c r="AS1012" s="652"/>
      <c r="AU1012" s="652"/>
    </row>
    <row r="1013">
      <c r="M1013" s="226"/>
      <c r="N1013" s="226"/>
      <c r="O1013" s="226"/>
      <c r="P1013" s="226"/>
      <c r="AS1013" s="652"/>
      <c r="AU1013" s="652"/>
    </row>
    <row r="1014">
      <c r="M1014" s="226"/>
      <c r="N1014" s="226"/>
      <c r="O1014" s="226"/>
      <c r="P1014" s="226"/>
      <c r="AS1014" s="652"/>
      <c r="AU1014" s="652"/>
    </row>
    <row r="1015">
      <c r="M1015" s="226"/>
      <c r="N1015" s="226"/>
      <c r="O1015" s="226"/>
      <c r="P1015" s="226"/>
      <c r="AS1015" s="652"/>
      <c r="AU1015" s="652"/>
    </row>
    <row r="1016">
      <c r="M1016" s="226"/>
      <c r="N1016" s="226"/>
      <c r="O1016" s="226"/>
      <c r="P1016" s="226"/>
      <c r="AS1016" s="652"/>
      <c r="AU1016" s="652"/>
    </row>
  </sheetData>
  <mergeCells count="7">
    <mergeCell ref="AA9:AA13"/>
    <mergeCell ref="AA2:AA5"/>
    <mergeCell ref="AK22:AO24"/>
    <mergeCell ref="B59:F60"/>
    <mergeCell ref="H59:I61"/>
    <mergeCell ref="F68:G69"/>
    <mergeCell ref="F67:G67"/>
  </mergeCells>
  <conditionalFormatting sqref="B19">
    <cfRule type="cellIs" dxfId="5" priority="1" operator="equal">
      <formula>"Thori'dal, the Stars' Fury"</formula>
    </cfRule>
  </conditionalFormatting>
  <conditionalFormatting sqref="B17">
    <cfRule type="cellIs" dxfId="5" priority="2" operator="equal">
      <formula>"Warglaive of Azzinoth"</formula>
    </cfRule>
  </conditionalFormatting>
  <conditionalFormatting sqref="B18">
    <cfRule type="cellIs" dxfId="5" priority="3" operator="equal">
      <formula>"Warglaive of Azzinoth"</formula>
    </cfRule>
  </conditionalFormatting>
  <conditionalFormatting sqref="B5">
    <cfRule type="cellIs" dxfId="4" priority="4" operator="equal">
      <formula>"Ragesteel Shoulders"</formula>
    </cfRule>
  </conditionalFormatting>
  <conditionalFormatting sqref="B15">
    <cfRule type="cellIs" dxfId="4" priority="5" operator="equal">
      <formula>"Hourglass of the Unraveller"</formula>
    </cfRule>
  </conditionalFormatting>
  <conditionalFormatting sqref="B16">
    <cfRule type="cellIs" dxfId="4" priority="6" operator="equal">
      <formula>"Hourglass of the Unraveller"</formula>
    </cfRule>
  </conditionalFormatting>
  <conditionalFormatting sqref="B30:C30">
    <cfRule type="cellIs" dxfId="6" priority="7" operator="greaterThan">
      <formula>6.25</formula>
    </cfRule>
  </conditionalFormatting>
  <conditionalFormatting sqref="B63">
    <cfRule type="cellIs" dxfId="2" priority="8" operator="equal">
      <formula>"Warglaive of Azzinoth"</formula>
    </cfRule>
  </conditionalFormatting>
  <conditionalFormatting sqref="B64">
    <cfRule type="cellIs" dxfId="2" priority="9" operator="equal">
      <formula>"Warglaive of Azzinoth"</formula>
    </cfRule>
  </conditionalFormatting>
  <dataValidations>
    <dataValidation type="list" allowBlank="1" sqref="Y3">
      <formula1>'Fury Set Builder'!$V$28:$V$29</formula1>
    </dataValidation>
    <dataValidation type="list" allowBlank="1" sqref="A65">
      <formula1>'Fury Set Builder'!$F$76:$F$77</formula1>
    </dataValidation>
    <dataValidation type="list" allowBlank="1" sqref="B64">
      <formula1>'Fury Set Builder'!$AS$524:$AS$554</formula1>
    </dataValidation>
    <dataValidation type="list" allowBlank="1" sqref="A69">
      <formula1>'Fury Set Builder'!$F$78:$F$79</formula1>
    </dataValidation>
    <dataValidation type="list" allowBlank="1" showErrorMessage="1" sqref="B11">
      <formula1>'Fury Set Builder'!$AN$148:$AN$160</formula1>
    </dataValidation>
    <dataValidation type="list" allowBlank="1" showErrorMessage="1" sqref="B3">
      <formula1>'Fury Set Builder'!$AW$26:$AW$36</formula1>
    </dataValidation>
    <dataValidation type="list" allowBlank="1" showErrorMessage="1" sqref="B9">
      <formula1>'Fury Set Builder'!$AN$125:$AN$135</formula1>
    </dataValidation>
    <dataValidation type="list" allowBlank="1" sqref="C31">
      <formula1>'Fury Set Builder'!$S$28:$S$30</formula1>
    </dataValidation>
    <dataValidation type="custom" allowBlank="1" showDropDown="1" sqref="AW11 AY11">
      <formula1>AX11</formula1>
    </dataValidation>
    <dataValidation type="list" allowBlank="1" sqref="B63">
      <formula1>'Fury Set Builder'!$AS$494:$AS$520</formula1>
    </dataValidation>
    <dataValidation type="list" allowBlank="1" showErrorMessage="1" sqref="B6">
      <formula1>'Fury Set Builder'!$AW$40:$AW$45</formula1>
    </dataValidation>
    <dataValidation type="list" allowBlank="1" sqref="A52">
      <formula1>'Fury Set Builder'!$F$44:$F$46</formula1>
    </dataValidation>
    <dataValidation type="list" allowBlank="1" showErrorMessage="1" sqref="B165">
      <formula1>'Fury Set Builder'!$C$51:$C$52</formula1>
    </dataValidation>
    <dataValidation type="list" allowBlank="1" sqref="B74">
      <formula1>'Fury Set Builder'!$C$76:$C$78</formula1>
    </dataValidation>
    <dataValidation type="list" allowBlank="1" sqref="C32">
      <formula1>'Fury Set Builder'!$S$31:$S$32</formula1>
    </dataValidation>
    <dataValidation type="list" allowBlank="1" showErrorMessage="1" sqref="AA8">
      <formula1>'Fury Set Builder'!$Y$15:$Y$18</formula1>
    </dataValidation>
    <dataValidation type="list" allowBlank="1" sqref="A68">
      <formula1>'Fury Set Builder'!$G$73:$G$74</formula1>
    </dataValidation>
    <dataValidation type="list" allowBlank="1" showErrorMessage="1" sqref="B5">
      <formula1>'Fury Set Builder'!$AW$11:$AW$23</formula1>
    </dataValidation>
    <dataValidation type="list" allowBlank="1" showErrorMessage="1" sqref="B8">
      <formula1>'Fury Set Builder'!$AN$117:$AN$122</formula1>
    </dataValidation>
    <dataValidation type="list" allowBlank="1" sqref="B18">
      <formula1>'Fury Set Builder'!$AW$82:$AW$100</formula1>
    </dataValidation>
    <dataValidation type="list" allowBlank="1" showErrorMessage="1" sqref="B15:B16">
      <formula1>'Fury Set Builder'!$AN$214:$AN$222</formula1>
    </dataValidation>
    <dataValidation type="list" allowBlank="1" showErrorMessage="1" sqref="B10">
      <formula1>'Fury Set Builder'!$AN$138:$AN$145</formula1>
    </dataValidation>
    <dataValidation type="list" allowBlank="1" showErrorMessage="1" sqref="B42">
      <formula1>'Fury Set Builder'!$E$51:$E$52</formula1>
    </dataValidation>
    <dataValidation type="list" allowBlank="1" sqref="Y5">
      <formula1>'Fury Set Builder'!$AA$16:$AA$18</formula1>
    </dataValidation>
    <dataValidation type="list" allowBlank="1" showErrorMessage="1" sqref="B49">
      <formula1>'Fury Set Builder'!$C$47:$C$48</formula1>
    </dataValidation>
    <dataValidation type="list" allowBlank="1" showErrorMessage="1" sqref="B50">
      <formula1>'Fury Set Builder'!$C$49:$C$50</formula1>
    </dataValidation>
    <dataValidation type="list" allowBlank="1" showErrorMessage="1" sqref="B12">
      <formula1>'Fury Set Builder'!$AN$164:$AN$173</formula1>
    </dataValidation>
    <dataValidation type="list" allowBlank="1" sqref="A32">
      <formula1>'Fury Set Builder'!$Y$19:$Y$20</formula1>
    </dataValidation>
    <dataValidation type="list" allowBlank="1" showErrorMessage="1" sqref="B48">
      <formula1>'Fury Set Builder'!$C$45:$C$46</formula1>
    </dataValidation>
    <dataValidation type="list" allowBlank="1" showErrorMessage="1" sqref="B166">
      <formula1>'Fury Set Builder'!$C$53:$C$56</formula1>
    </dataValidation>
    <dataValidation type="list" allowBlank="1" showErrorMessage="1" sqref="B47">
      <formula1>'Fury Set Builder'!$C$43:$C$44</formula1>
    </dataValidation>
    <dataValidation type="list" allowBlank="1" sqref="Y4">
      <formula1>'Fury Set Builder'!$AA$19:$AA$20</formula1>
    </dataValidation>
    <dataValidation type="list" allowBlank="1" showErrorMessage="1" sqref="AA7">
      <formula1>'Fury Set Builder'!$Y$11:$Y$12</formula1>
    </dataValidation>
    <dataValidation type="list" allowBlank="1" showErrorMessage="1" sqref="B19">
      <formula1>'Fury Set Builder'!$AN$198:$AN$210</formula1>
    </dataValidation>
    <dataValidation type="list" allowBlank="1" sqref="B75">
      <formula1>'Fury Set Builder'!$C$79:$C$80</formula1>
    </dataValidation>
    <dataValidation type="list" allowBlank="1" showErrorMessage="1" sqref="B46">
      <formula1>'Fury Set Builder'!$C$41:$C$42</formula1>
    </dataValidation>
    <dataValidation type="list" allowBlank="1" showErrorMessage="1" sqref="B17">
      <formula1>'Fury Set Builder'!$AW$64:$AW$79</formula1>
    </dataValidation>
    <dataValidation type="list" allowBlank="1" showErrorMessage="1" sqref="P3">
      <formula1>'Fury Set Builder'!$P$4:$P$5</formula1>
    </dataValidation>
    <dataValidation type="list" allowBlank="1" showErrorMessage="1" sqref="B13:B14">
      <formula1>'Fury Set Builder'!$AN$177:$AN$194</formula1>
    </dataValidation>
    <dataValidation type="list" allowBlank="1" showErrorMessage="1" sqref="B43">
      <formula1>'Fury Set Builder'!$E$53:$E$54</formula1>
    </dataValidation>
    <dataValidation type="list" allowBlank="1" showErrorMessage="1" sqref="B7">
      <formula1>'Fury Set Builder'!$AW$48:$AW$60</formula1>
    </dataValidation>
    <dataValidation type="list" allowBlank="1" showErrorMessage="1" sqref="B45">
      <formula1>'Fury Set Builder'!$A$146:$A$149</formula1>
    </dataValidation>
    <dataValidation type="list" allowBlank="1" showErrorMessage="1" sqref="B4">
      <formula1>'Fury Set Builder'!$AW$2:$AW$9</formula1>
    </dataValidation>
  </dataValidations>
  <drawing r:id="rId2"/>
  <legacyDrawing r:id="rId3"/>
</worksheet>
</file>