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 &amp; Regen based approach" sheetId="1" r:id="rId3"/>
    <sheet state="visible" name="Spell damage based approach" sheetId="2" r:id="rId4"/>
    <sheet state="visible" name="Haste based approach" sheetId="3" r:id="rId5"/>
  </sheets>
  <definedNames/>
  <calcPr/>
</workbook>
</file>

<file path=xl/sharedStrings.xml><?xml version="1.0" encoding="utf-8"?>
<sst xmlns="http://schemas.openxmlformats.org/spreadsheetml/2006/main" count="1394" uniqueCount="322">
  <si>
    <t>Sheet not up to date, please do NOT take this information as valid any more.</t>
  </si>
  <si>
    <t>These BIS lists are made so you have as little loot overlap as possible with other classes' loot priorities and can gear up fast.</t>
  </si>
  <si>
    <t>Since Arcane depends on so many factors (raid buffs, fight length, cooldown stacking, ...), intellect is the more useful stat in most situations.</t>
  </si>
  <si>
    <t>There might be slightly better gear combos, but the focus of this sheet is on gearing efficiency for a whole raid and not for one person.</t>
  </si>
  <si>
    <t>Since Warlocks and Fire Mages rely much more on some key items (e.g. Tempest of Chaos+Off Hand), this sheet is looking for alternatives to highly sought after gear.</t>
  </si>
  <si>
    <t>Pre Raid BIS (2.0 stats)</t>
  </si>
  <si>
    <t>Slot</t>
  </si>
  <si>
    <t>Name</t>
  </si>
  <si>
    <t>Source</t>
  </si>
  <si>
    <t>Gems</t>
  </si>
  <si>
    <t>Enchant</t>
  </si>
  <si>
    <t>head</t>
  </si>
  <si>
    <t>Hood of Oblivion</t>
  </si>
  <si>
    <t>Harbinger Skyriss (Arcatraz)</t>
  </si>
  <si>
    <t>Insigthful Earthstorm Diamond, 8 spirit</t>
  </si>
  <si>
    <t>glyph of power (shat'ar revered)</t>
  </si>
  <si>
    <t>neck</t>
  </si>
  <si>
    <t>Brooch of Heightened Potential</t>
  </si>
  <si>
    <t>Blackheart the Inciter (Shadow Lab)</t>
  </si>
  <si>
    <t>shoulder</t>
  </si>
  <si>
    <t>Mana-Etched Spaulders</t>
  </si>
  <si>
    <t>Quagmirran (Slave Pens HC)</t>
  </si>
  <si>
    <t>2x8 int</t>
  </si>
  <si>
    <t>scryer / aldor exalted</t>
  </si>
  <si>
    <t>back</t>
  </si>
  <si>
    <t>Baba's Cloak of Arcanistry</t>
  </si>
  <si>
    <t>Pathaleon the Calculator (Mechanar)</t>
  </si>
  <si>
    <t>20 spell pen / -2% threat, spell pen good for mobs without coe</t>
  </si>
  <si>
    <t>chest</t>
  </si>
  <si>
    <t>Anchorite's Robes</t>
  </si>
  <si>
    <t>Aldor Honored</t>
  </si>
  <si>
    <t>3x8 int</t>
  </si>
  <si>
    <t>6 stats</t>
  </si>
  <si>
    <t>wrists</t>
  </si>
  <si>
    <t>Bracers of Havok</t>
  </si>
  <si>
    <t>Tailoring</t>
  </si>
  <si>
    <t>8 int</t>
  </si>
  <si>
    <t>15 spell dmg / 12 int</t>
  </si>
  <si>
    <t>weapon</t>
  </si>
  <si>
    <t>Stormcaller</t>
  </si>
  <si>
    <t>Thrallmar exalted</t>
  </si>
  <si>
    <t>40 spell dmg / 30 int</t>
  </si>
  <si>
    <t>off hand</t>
  </si>
  <si>
    <t>Lamp of Peaceful Radiance</t>
  </si>
  <si>
    <t>wand</t>
  </si>
  <si>
    <t>Nether Core's Control Rod</t>
  </si>
  <si>
    <t>Dalliah the Doomsayer (Arcatraz)</t>
  </si>
  <si>
    <t>hands</t>
  </si>
  <si>
    <t>Mana-Etched Gloves</t>
  </si>
  <si>
    <t>Omor the Unscarred (Ramps HC)</t>
  </si>
  <si>
    <t>20 spell dmg</t>
  </si>
  <si>
    <t>waist</t>
  </si>
  <si>
    <t>Glyph-Lined Sash</t>
  </si>
  <si>
    <t>Nexus-Prince Shaffar (MT HC)</t>
  </si>
  <si>
    <t>legs</t>
  </si>
  <si>
    <t>Aran's Sorcerous Slacks</t>
  </si>
  <si>
    <t>Lieutenant Drake (CoT1 HC)</t>
  </si>
  <si>
    <t>9 spelldmg, 8 int, 8 spirit</t>
  </si>
  <si>
    <t>golden runethread (35 spell dmg)</t>
  </si>
  <si>
    <t>boots</t>
  </si>
  <si>
    <t>Sigil-Laced Boots</t>
  </si>
  <si>
    <t>9 spelldmg, 8 int</t>
  </si>
  <si>
    <t>boar's speed</t>
  </si>
  <si>
    <t>ring1</t>
  </si>
  <si>
    <t>Ryngo's Band of Ingenuity</t>
  </si>
  <si>
    <t>Wrath-Scryer Soccothrates (Arcatraz)</t>
  </si>
  <si>
    <t>12 spelldmg (enchanting only)</t>
  </si>
  <si>
    <t>ring2</t>
  </si>
  <si>
    <t>Sparking Arcanite Ring</t>
  </si>
  <si>
    <t>Epoch Hunter (CoT1 HC)</t>
  </si>
  <si>
    <t>trinket1</t>
  </si>
  <si>
    <t>Shiffar's Nexus Horn</t>
  </si>
  <si>
    <t>trinkets may vary, those are the only useful</t>
  </si>
  <si>
    <t>trinket2</t>
  </si>
  <si>
    <t>Icon of the Silver Crescent</t>
  </si>
  <si>
    <t>Badges of Justice</t>
  </si>
  <si>
    <t>ones you can instantly buy on NW ptr</t>
  </si>
  <si>
    <t>Reputation reward - You will get Shat'ar rep while farming Arcatraz.</t>
  </si>
  <si>
    <t>Caverns of Time: Old Hillsbrad Foothills</t>
  </si>
  <si>
    <t>Arcatraz - Farm the stuff here while doing the pre quest for Magtheridon</t>
  </si>
  <si>
    <t>Hellfire Ramparts Heroic - Farm your Gloves here while farming the rep for your Stormcaller</t>
  </si>
  <si>
    <t>T4 BIS (2.0 stats)</t>
  </si>
  <si>
    <t>Collar of the Aldor</t>
  </si>
  <si>
    <t>Prince Malchezaar (Karazhan)</t>
  </si>
  <si>
    <t>Pauldrons of the Aldor</t>
  </si>
  <si>
    <t>High King Maulgar (Gruul's Lair)</t>
  </si>
  <si>
    <t>8 int, 9 spelldmg</t>
  </si>
  <si>
    <t>Ruby Drape of the Mysticant</t>
  </si>
  <si>
    <t>20 spell pen / -2% threat</t>
  </si>
  <si>
    <t>Vestments of the Aldor</t>
  </si>
  <si>
    <t>Magtheridon</t>
  </si>
  <si>
    <t>8 int, 2x8 spirit</t>
  </si>
  <si>
    <t>Nathrezim Mindblade</t>
  </si>
  <si>
    <t>Tirisfal Wand of Ascendancy</t>
  </si>
  <si>
    <t>Shade of Aran (Karazhan)</t>
  </si>
  <si>
    <t>Handwraps of Flowing Thought</t>
  </si>
  <si>
    <t>Attumen the Huntsman (Karazhan)</t>
  </si>
  <si>
    <t>8 int, 8 spirit</t>
  </si>
  <si>
    <t>Trial-Fire Trousers</t>
  </si>
  <si>
    <t>Opera Event (Karazhan)</t>
  </si>
  <si>
    <t>3x 8 int</t>
  </si>
  <si>
    <t>Violet Signet of the Archmage</t>
  </si>
  <si>
    <t>Karazhan Reputation</t>
  </si>
  <si>
    <t>The Lightning Capacitor</t>
  </si>
  <si>
    <t>Terestian Illhoof (Karazhan)</t>
  </si>
  <si>
    <t>T5 BIS (2.0 &amp; 2.1 stats)</t>
  </si>
  <si>
    <t>2.0 stats (with gems &amp; enchants)</t>
  </si>
  <si>
    <t>2.1 stats (with gems &amp; enchants)</t>
  </si>
  <si>
    <t>int</t>
  </si>
  <si>
    <t>spi</t>
  </si>
  <si>
    <t>crit</t>
  </si>
  <si>
    <t>hit</t>
  </si>
  <si>
    <t>haste</t>
  </si>
  <si>
    <t>spd</t>
  </si>
  <si>
    <t>Cowl of Tirisfal</t>
  </si>
  <si>
    <t>Lady Vashj</t>
  </si>
  <si>
    <t>Insigthful Earthstorm Diamond, 8 int</t>
  </si>
  <si>
    <t>The Sun King's Talisman (BIS when the sphere drops from Kael'Thas)</t>
  </si>
  <si>
    <t>Mantle of Tirisfal</t>
  </si>
  <si>
    <t>Void Reaver</t>
  </si>
  <si>
    <t>8 int,Glowing Nightseye</t>
  </si>
  <si>
    <t>aldor exalted</t>
  </si>
  <si>
    <t>Robes of Tirisfal</t>
  </si>
  <si>
    <t>Kael'thas Sunstrider</t>
  </si>
  <si>
    <t>2x8 int, 1x Glowing Nightseye</t>
  </si>
  <si>
    <t>Mindstorm Wristbands</t>
  </si>
  <si>
    <t xml:space="preserve">Al'ar </t>
  </si>
  <si>
    <t>12 int</t>
  </si>
  <si>
    <t>The Nexus Key</t>
  </si>
  <si>
    <t>30 int</t>
  </si>
  <si>
    <t>Tirisfal Wand of Ascendancy (BIS pre 2.1- Nether Core's Control Rod is basically as good)</t>
  </si>
  <si>
    <t>High Astromancer Solarian</t>
  </si>
  <si>
    <t>Gloves of Tirisfal</t>
  </si>
  <si>
    <t>Leotheras the Blind</t>
  </si>
  <si>
    <t>Cord of Screaming Terrors</t>
  </si>
  <si>
    <t>The Lurker Below</t>
  </si>
  <si>
    <t>2x8 int (after patch 2.1)</t>
  </si>
  <si>
    <t>Trial-Fire Trousers (BIS pre 2.1)</t>
  </si>
  <si>
    <t>3x 8 int (trial fire), 8 int, 2x8 spi (astro)</t>
  </si>
  <si>
    <t>Velvet Boots of the Guardian</t>
  </si>
  <si>
    <t>Sparking Arcanite Ring (if hit is needed)</t>
  </si>
  <si>
    <t>The Lightning Capacitor (pre 2.1)</t>
  </si>
  <si>
    <t>41 Badges of Justice</t>
  </si>
  <si>
    <t>T6 BIS (pre Zul'Aman, with 4/5 t5 set bonus, use t6 chest and gloves if you don't want the 4/5 t5 bonus)</t>
  </si>
  <si>
    <t>(with gems &amp; enchants)</t>
  </si>
  <si>
    <t>Insigthful Earthstorm Diamond, 10 int</t>
  </si>
  <si>
    <t>The Sun King's Talisman</t>
  </si>
  <si>
    <t>Kael'Thas</t>
  </si>
  <si>
    <t>1x10 int,Glowing Nightseye</t>
  </si>
  <si>
    <t>Cloak of the Illidari Council</t>
  </si>
  <si>
    <t>Illidari Council</t>
  </si>
  <si>
    <t>2x10 int, 1xGlowing Nightseye</t>
  </si>
  <si>
    <t>Cuffs of Devastation</t>
  </si>
  <si>
    <t>Rage Winterchill</t>
  </si>
  <si>
    <t>1x10 int</t>
  </si>
  <si>
    <t>Zhar'doom Greatstaff of the Devourer</t>
  </si>
  <si>
    <t>Illidan Stormrage</t>
  </si>
  <si>
    <t>Wand of the Forgotten Star</t>
  </si>
  <si>
    <t>15 spell hit rating</t>
  </si>
  <si>
    <t>Anetheron's Noose</t>
  </si>
  <si>
    <t>Anetheron</t>
  </si>
  <si>
    <t>1x10 int, 1x10spi</t>
  </si>
  <si>
    <t>Leggings of the Tempest</t>
  </si>
  <si>
    <t>1x10 spi</t>
  </si>
  <si>
    <t>Slippers of the Seacaller</t>
  </si>
  <si>
    <t>High Warlord Naj'entus</t>
  </si>
  <si>
    <t>1x10 int, 1x10 spi</t>
  </si>
  <si>
    <t>Ring of Ancient Knowledge</t>
  </si>
  <si>
    <t>Black Temple Trash Mobs</t>
  </si>
  <si>
    <t>Serpent-Coil Braid</t>
  </si>
  <si>
    <t>Morogrim Tidewalker</t>
  </si>
  <si>
    <t>T6 BIS (with Zul'Aman, pre Sunwell)</t>
  </si>
  <si>
    <t>Chaotic Skyfire Diamond,1x 10 int</t>
  </si>
  <si>
    <t>Brooch of Nature's Mercy</t>
  </si>
  <si>
    <t>Akil'zon</t>
  </si>
  <si>
    <t>1x10 int,1x10 spi</t>
  </si>
  <si>
    <t>2x10 int, 1x10 sp</t>
  </si>
  <si>
    <t>Mana Attuned Band</t>
  </si>
  <si>
    <t>ZA Timed run</t>
  </si>
  <si>
    <t>Hex Shrunken Head</t>
  </si>
  <si>
    <t>Hex Lord Malacrass</t>
  </si>
  <si>
    <t>T6 BIS (Sunwell)</t>
  </si>
  <si>
    <t>Pendant of Sunfire</t>
  </si>
  <si>
    <t>Jewelcrafting (BOP)</t>
  </si>
  <si>
    <t>Tattered Cape of Antonidas</t>
  </si>
  <si>
    <t>Kil'Jaeden</t>
  </si>
  <si>
    <t>1x12 spd</t>
  </si>
  <si>
    <t>Robes of Ghostly Hatred</t>
  </si>
  <si>
    <t>Entropious (Robes of Faltered Light)</t>
  </si>
  <si>
    <t>2x12 spd, 1x10 int</t>
  </si>
  <si>
    <t>Bracers of the Tempest</t>
  </si>
  <si>
    <t>Kalecgos / Eredar Twins</t>
  </si>
  <si>
    <t>1xFluorescent Tanzanite</t>
  </si>
  <si>
    <t>Grand Magister's Staff of Torrents</t>
  </si>
  <si>
    <t>Felmyst</t>
  </si>
  <si>
    <t>3x10 int</t>
  </si>
  <si>
    <t>Wand of the Demonsoul</t>
  </si>
  <si>
    <t>Sunwell Trash</t>
  </si>
  <si>
    <t>Gloves of Tyri's Power</t>
  </si>
  <si>
    <t>Kil'Jaeden (Handguards of the Dawn)</t>
  </si>
  <si>
    <t>1x10 int, 1x12 spd</t>
  </si>
  <si>
    <t>Belt of the Tempest</t>
  </si>
  <si>
    <t>Brutallus / Eredar Twins</t>
  </si>
  <si>
    <t>Pantaloons of Growing Strife</t>
  </si>
  <si>
    <t>Kalecgos (Pantaloons of Calming Strife)</t>
  </si>
  <si>
    <t>1x12 spd, 2x 10 int</t>
  </si>
  <si>
    <t>Boots of the Tempest</t>
  </si>
  <si>
    <t>Felmyst / Eredar Twins</t>
  </si>
  <si>
    <t>Loop of Forged Power</t>
  </si>
  <si>
    <t>Ring of Omnipotence</t>
  </si>
  <si>
    <t>Shifting Naaru Sliver</t>
  </si>
  <si>
    <t>The spell damage gearing list overlaps more with other's people loot priorities and you should only go for spell damage based gear, when you have at least 1 shadow priest, 1 tide, 2+ innervates per fight.</t>
  </si>
  <si>
    <t>UNDER CONSTRUCTION</t>
  </si>
  <si>
    <t>Pre Raid BIS (2.0 stats) &lt;- this is still the old int shit</t>
  </si>
  <si>
    <t>Spellstrike Hood</t>
  </si>
  <si>
    <t>3x9 spelldmg</t>
  </si>
  <si>
    <t>Charlotte's Ivy</t>
  </si>
  <si>
    <t>World Drop Epic</t>
  </si>
  <si>
    <t>2x9 spelldmg</t>
  </si>
  <si>
    <t>Brute Cloak of the Ogre-Magi</t>
  </si>
  <si>
    <t>Spellfire Robe</t>
  </si>
  <si>
    <t>9 spelldmg</t>
  </si>
  <si>
    <t>15 spell dmg</t>
  </si>
  <si>
    <t>Sunfire</t>
  </si>
  <si>
    <t>Talisman of Kalecgos</t>
  </si>
  <si>
    <t>Badges of Justice (25)</t>
  </si>
  <si>
    <t>Spellfire Gloves</t>
  </si>
  <si>
    <t>Spellfire Belt</t>
  </si>
  <si>
    <t>Spellstrike Pants</t>
  </si>
  <si>
    <t>Lola's Eve</t>
  </si>
  <si>
    <t>Badges of Justice (41)</t>
  </si>
  <si>
    <t>T5 BIS (2.0 stats)</t>
  </si>
  <si>
    <t>Swift Starfire Diamond, Infused Fire Opal</t>
  </si>
  <si>
    <t>Vivid Chrysoprase, Fluorescent Tanzanite</t>
  </si>
  <si>
    <t>Royal Cloak of the Sunstriders</t>
  </si>
  <si>
    <t>2x Runed Living Ruby</t>
  </si>
  <si>
    <t>15 spelldmg</t>
  </si>
  <si>
    <t>Aran</t>
  </si>
  <si>
    <t>Girdle of Ruination</t>
  </si>
  <si>
    <t>Leggings of Tirisfal</t>
  </si>
  <si>
    <t>Fathom-Lord Karathres</t>
  </si>
  <si>
    <t>whatever</t>
  </si>
  <si>
    <t>Band of Eternity</t>
  </si>
  <si>
    <t>Kael + Vashj Vial quest reward</t>
  </si>
  <si>
    <t>T5 BIS (2.1 stats)</t>
  </si>
  <si>
    <t>Swift Starfire Diamond, 1x Runed Living Ruby</t>
  </si>
  <si>
    <t>t5 shoulders</t>
  </si>
  <si>
    <t>Kael'thas Sunstrider Verdant Sphere</t>
  </si>
  <si>
    <t>t5 robe</t>
  </si>
  <si>
    <t>belt of blasting</t>
  </si>
  <si>
    <t>t5 legs</t>
  </si>
  <si>
    <t>Infused Fire Opal, 8 int, Fluorescent Tanzanite</t>
  </si>
  <si>
    <t>Fang of the Leviathan</t>
  </si>
  <si>
    <t>Leotheras</t>
  </si>
  <si>
    <t>Fathomstone</t>
  </si>
  <si>
    <t>Hydross the Unstable</t>
  </si>
  <si>
    <t>Eredar Wand of Obliteration</t>
  </si>
  <si>
    <t>Solarian wand is slightly better but locks need it</t>
  </si>
  <si>
    <t>Gauntlets of the Sun King</t>
  </si>
  <si>
    <t>Belt of Blasting</t>
  </si>
  <si>
    <t>1x Runed Living Ruby</t>
  </si>
  <si>
    <t>T6 BIS (pre Zul'Aman)</t>
  </si>
  <si>
    <t>t6 weapons comparison (without enchants)</t>
  </si>
  <si>
    <t>upgrade compared to the nexus key</t>
  </si>
  <si>
    <t>Swift Starfire Diamond, Runed Crimson Spinel</t>
  </si>
  <si>
    <t>chronicle+toc</t>
  </si>
  <si>
    <t>zhardoom</t>
  </si>
  <si>
    <t>10 haste, Seer's Chrysoprase</t>
  </si>
  <si>
    <t>3 Runed Crimson Spinel</t>
  </si>
  <si>
    <t>bracers nimble thought</t>
  </si>
  <si>
    <t>Runed Crimson Spinel</t>
  </si>
  <si>
    <t>Tempest of Chaos</t>
  </si>
  <si>
    <t>Archimonde</t>
  </si>
  <si>
    <t>bt trash ring</t>
  </si>
  <si>
    <t>Chronicle of Dark Secrets</t>
  </si>
  <si>
    <t>Solarian wand is better but locks need it</t>
  </si>
  <si>
    <t>mantle of nimble thought</t>
  </si>
  <si>
    <t>sum</t>
  </si>
  <si>
    <t>2 Runed Crimson Spinel</t>
  </si>
  <si>
    <t>Leggings of Channeled Elements</t>
  </si>
  <si>
    <t>Kaz'rogal</t>
  </si>
  <si>
    <t>both rings crucial to</t>
  </si>
  <si>
    <t>reach haste cap for cd stacking</t>
  </si>
  <si>
    <t>T6 BIS (with Zul'Aman, pre Sunwell) - If you don't have mana problems, use more haste (gems/cloak)</t>
  </si>
  <si>
    <t>META GEM?</t>
  </si>
  <si>
    <t>crucial for haste cap</t>
  </si>
  <si>
    <t>10 int, Seer's Chrysoprase</t>
  </si>
  <si>
    <t>Carved Witch Doctor's Stick</t>
  </si>
  <si>
    <t>G'eras</t>
  </si>
  <si>
    <t>Band of the Eternal Sage</t>
  </si>
  <si>
    <t>Hyjal Rep</t>
  </si>
  <si>
    <t>Spelldmg proc</t>
  </si>
  <si>
    <r>
      <t xml:space="preserve">T6 BIS (Sunwell) </t>
    </r>
    <r>
      <rPr>
        <color rgb="FFFF0000"/>
      </rPr>
      <t>TBD from here on</t>
    </r>
  </si>
  <si>
    <t>Dynamic Haste Caps</t>
  </si>
  <si>
    <t>Fully stacked AB cast time during CD stacking with haste. When the cell is green, you have enough haste to cast 15 ABs within the time of Arcane Power.</t>
  </si>
  <si>
    <t>Time between casts:</t>
  </si>
  <si>
    <t>seconds (not lag, but the time between your key presses of the AB button)</t>
  </si>
  <si>
    <t>Troll racial cast speed bonus:</t>
  </si>
  <si>
    <t>(select 1 if you want 0 cast speed bonus from troll racial)</t>
  </si>
  <si>
    <t>Haste %</t>
  </si>
  <si>
    <t>Haste rating</t>
  </si>
  <si>
    <t>standard AB</t>
  </si>
  <si>
    <t>BL</t>
  </si>
  <si>
    <t>IV</t>
  </si>
  <si>
    <t>ab+BL+IV</t>
  </si>
  <si>
    <t>BL+IV+drums</t>
  </si>
  <si>
    <t>IV+Drums</t>
  </si>
  <si>
    <t>Drums</t>
  </si>
  <si>
    <t>Fully stacked FrB cast time during CD stacking with haste. When the cell is green, you have enough haste to cast 15 FrBs within the time of Arcane Power.</t>
  </si>
  <si>
    <t>seconds (not lag, but the time between your key presses of the FrB button)</t>
  </si>
  <si>
    <t>standard FrB</t>
  </si>
  <si>
    <t>Only go for haste gear if you have nice mana support. This guide starts at T6 gear level.</t>
  </si>
  <si>
    <t>Cowl of the Tempest</t>
  </si>
  <si>
    <t>3% crit meta + 10 int</t>
  </si>
  <si>
    <t>Robes of the Tempest</t>
  </si>
  <si>
    <t>2x 10 int, 1x 10 spi</t>
  </si>
  <si>
    <t>15 spirit</t>
  </si>
  <si>
    <t>Bracers of Nimble Thought</t>
  </si>
  <si>
    <t>Zhar'doom, Greatstaff of the Devourer</t>
  </si>
  <si>
    <t>10 spi, 10 int</t>
  </si>
  <si>
    <t>Ashtongue Talisman of Insight</t>
  </si>
  <si>
    <r>
      <t xml:space="preserve">T6 BIS (Sunwell) </t>
    </r>
    <r>
      <rPr>
        <color rgb="FFFF0000"/>
      </rPr>
      <t>TBD from here on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</si>
</sst>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19">
    <font>
      <sz val="10.0"/>
      <color rgb="FF000000"/>
      <name val="Arial"/>
    </font>
    <font>
      <b/>
      <sz val="14.0"/>
      <color rgb="FFFF0000"/>
    </font>
    <font/>
    <font>
      <sz val="18.0"/>
    </font>
    <font>
      <sz val="8.0"/>
    </font>
    <font>
      <b/>
    </font>
    <font>
      <color rgb="FF000000"/>
      <name val="Arial"/>
    </font>
    <font>
      <b/>
      <sz val="8.0"/>
    </font>
    <font>
      <b/>
      <sz val="8.0"/>
      <color rgb="FF000000"/>
      <name val="Arial"/>
    </font>
    <font>
      <name val="Arial"/>
    </font>
    <font>
      <sz val="24.0"/>
      <color rgb="FFFF0000"/>
    </font>
    <font>
      <sz val="10.0"/>
    </font>
    <font>
      <b/>
      <sz val="18.0"/>
      <color rgb="FFFF0000"/>
    </font>
    <font>
      <b/>
      <sz val="8.0"/>
      <name val="Arial"/>
    </font>
    <font>
      <b/>
      <sz val="18.0"/>
    </font>
    <font>
      <color rgb="FFFF0000"/>
    </font>
    <font>
      <b/>
      <sz val="24.0"/>
    </font>
    <font>
      <b/>
      <sz val="12.0"/>
    </font>
    <font>
      <color rgb="FFFFFFFF"/>
    </font>
  </fonts>
  <fills count="11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FFD966"/>
        <bgColor rgb="FFFFD966"/>
      </patternFill>
    </fill>
    <fill>
      <patternFill patternType="solid">
        <fgColor rgb="FF93C47D"/>
        <bgColor rgb="FF93C47D"/>
      </patternFill>
    </fill>
    <fill>
      <patternFill patternType="solid">
        <fgColor rgb="FF6AA84F"/>
        <bgColor rgb="FF6AA84F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5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4" fillId="0" fontId="2" numFmtId="0" xfId="0" applyBorder="1" applyFont="1"/>
    <xf borderId="3" fillId="0" fontId="2" numFmtId="0" xfId="0" applyBorder="1" applyFont="1"/>
    <xf borderId="5" fillId="0" fontId="2" numFmtId="0" xfId="0" applyAlignment="1" applyBorder="1" applyFont="1">
      <alignment readingOrder="0"/>
    </xf>
    <xf borderId="6" fillId="0" fontId="2" numFmtId="0" xfId="0" applyAlignment="1" applyBorder="1" applyFont="1">
      <alignment readingOrder="0"/>
    </xf>
    <xf borderId="0" fillId="2" fontId="2" numFmtId="0" xfId="0" applyAlignment="1" applyFill="1" applyFont="1">
      <alignment readingOrder="0"/>
    </xf>
    <xf borderId="5" fillId="0" fontId="4" numFmtId="0" xfId="0" applyAlignment="1" applyBorder="1" applyFont="1">
      <alignment readingOrder="0"/>
    </xf>
    <xf borderId="7" fillId="0" fontId="2" numFmtId="0" xfId="0" applyBorder="1" applyFont="1"/>
    <xf borderId="5" fillId="0" fontId="2" numFmtId="0" xfId="0" applyBorder="1" applyFont="1"/>
    <xf borderId="0" fillId="3" fontId="2" numFmtId="0" xfId="0" applyFill="1" applyFont="1"/>
    <xf borderId="0" fillId="4" fontId="2" numFmtId="0" xfId="0" applyAlignment="1" applyFill="1" applyFont="1">
      <alignment readingOrder="0"/>
    </xf>
    <xf borderId="0" fillId="5" fontId="2" numFmtId="0" xfId="0" applyAlignment="1" applyFill="1" applyFont="1">
      <alignment readingOrder="0"/>
    </xf>
    <xf borderId="0" fillId="6" fontId="2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8" fillId="0" fontId="2" numFmtId="0" xfId="0" applyAlignment="1" applyBorder="1" applyFont="1">
      <alignment readingOrder="0"/>
    </xf>
    <xf borderId="9" fillId="0" fontId="2" numFmtId="0" xfId="0" applyAlignment="1" applyBorder="1" applyFont="1">
      <alignment readingOrder="0"/>
    </xf>
    <xf borderId="10" fillId="0" fontId="2" numFmtId="0" xfId="0" applyAlignment="1" applyBorder="1" applyFont="1">
      <alignment readingOrder="0"/>
    </xf>
    <xf borderId="8" fillId="0" fontId="2" numFmtId="0" xfId="0" applyBorder="1" applyFont="1"/>
    <xf borderId="11" fillId="0" fontId="2" numFmtId="0" xfId="0" applyBorder="1" applyFont="1"/>
    <xf borderId="10" fillId="0" fontId="5" numFmtId="0" xfId="0" applyAlignment="1" applyBorder="1" applyFont="1">
      <alignment readingOrder="0"/>
    </xf>
    <xf borderId="10" fillId="0" fontId="2" numFmtId="0" xfId="0" applyBorder="1" applyFont="1"/>
    <xf borderId="0" fillId="4" fontId="6" numFmtId="0" xfId="0" applyAlignment="1" applyFont="1">
      <alignment readingOrder="0"/>
    </xf>
    <xf borderId="0" fillId="4" fontId="2" numFmtId="0" xfId="0" applyFont="1"/>
    <xf borderId="0" fillId="6" fontId="2" numFmtId="0" xfId="0" applyFont="1"/>
    <xf borderId="0" fillId="2" fontId="2" numFmtId="0" xfId="0" applyFont="1"/>
    <xf borderId="0" fillId="5" fontId="2" numFmtId="0" xfId="0" applyFont="1"/>
    <xf borderId="0" fillId="0" fontId="2" numFmtId="1" xfId="0" applyFont="1" applyNumberFormat="1"/>
    <xf borderId="0" fillId="0" fontId="2" numFmtId="1" xfId="0" applyAlignment="1" applyFont="1" applyNumberFormat="1">
      <alignment readingOrder="0"/>
    </xf>
    <xf borderId="0" fillId="7" fontId="2" numFmtId="0" xfId="0" applyAlignment="1" applyFill="1" applyFont="1">
      <alignment readingOrder="0"/>
    </xf>
    <xf borderId="12" fillId="0" fontId="2" numFmtId="1" xfId="0" applyAlignment="1" applyBorder="1" applyFont="1" applyNumberFormat="1">
      <alignment readingOrder="0"/>
    </xf>
    <xf borderId="13" fillId="0" fontId="2" numFmtId="1" xfId="0" applyAlignment="1" applyBorder="1" applyFont="1" applyNumberFormat="1">
      <alignment readingOrder="0"/>
    </xf>
    <xf borderId="13" fillId="0" fontId="2" numFmtId="1" xfId="0" applyBorder="1" applyFont="1" applyNumberFormat="1"/>
    <xf borderId="14" fillId="0" fontId="2" numFmtId="1" xfId="0" applyBorder="1" applyFont="1" applyNumberFormat="1"/>
    <xf borderId="5" fillId="0" fontId="2" numFmtId="1" xfId="0" applyAlignment="1" applyBorder="1" applyFont="1" applyNumberFormat="1">
      <alignment readingOrder="0"/>
    </xf>
    <xf borderId="7" fillId="0" fontId="2" numFmtId="1" xfId="0" applyBorder="1" applyFont="1" applyNumberFormat="1"/>
    <xf borderId="5" fillId="0" fontId="2" numFmtId="1" xfId="0" applyBorder="1" applyFont="1" applyNumberFormat="1"/>
    <xf borderId="8" fillId="0" fontId="2" numFmtId="1" xfId="0" applyBorder="1" applyFont="1" applyNumberFormat="1"/>
    <xf borderId="10" fillId="0" fontId="2" numFmtId="1" xfId="0" applyBorder="1" applyFont="1" applyNumberFormat="1"/>
    <xf borderId="11" fillId="0" fontId="2" numFmtId="1" xfId="0" applyBorder="1" applyFont="1" applyNumberFormat="1"/>
    <xf borderId="0" fillId="3" fontId="2" numFmtId="0" xfId="0" applyAlignment="1" applyFill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4" numFmtId="0" xfId="0" applyAlignment="1" applyFont="1">
      <alignment readingOrder="0"/>
    </xf>
    <xf borderId="2" fillId="0" fontId="9" numFmtId="0" xfId="0" applyAlignment="1" applyBorder="1" applyFont="1">
      <alignment vertical="bottom"/>
    </xf>
    <xf borderId="4" fillId="0" fontId="9" numFmtId="0" xfId="0" applyAlignment="1" applyBorder="1" applyFont="1">
      <alignment vertical="bottom"/>
    </xf>
    <xf borderId="4" fillId="0" fontId="9" numFmtId="0" xfId="0" applyAlignment="1" applyBorder="1" applyFont="1">
      <alignment vertical="bottom"/>
    </xf>
    <xf borderId="0" fillId="7" fontId="2" numFmtId="0" xfId="0" applyFont="1"/>
    <xf borderId="7" fillId="0" fontId="2" numFmtId="0" xfId="0" applyAlignment="1" applyBorder="1" applyFont="1">
      <alignment readingOrder="0"/>
    </xf>
    <xf borderId="11" fillId="0" fontId="2" numFmtId="0" xfId="0" applyAlignment="1" applyBorder="1" applyFont="1">
      <alignment readingOrder="0"/>
    </xf>
    <xf borderId="0" fillId="0" fontId="10" numFmtId="0" xfId="0" applyAlignment="1" applyFont="1">
      <alignment readingOrder="0"/>
    </xf>
    <xf borderId="1" fillId="0" fontId="2" numFmtId="0" xfId="0" applyBorder="1" applyFont="1"/>
    <xf borderId="1" fillId="0" fontId="11" numFmtId="0" xfId="0" applyAlignment="1" applyBorder="1" applyFont="1">
      <alignment readingOrder="0"/>
    </xf>
    <xf borderId="15" fillId="0" fontId="9" numFmtId="0" xfId="0" applyAlignment="1" applyBorder="1" applyFont="1">
      <alignment vertical="bottom"/>
    </xf>
    <xf borderId="14" fillId="0" fontId="9" numFmtId="0" xfId="0" applyAlignment="1" applyBorder="1" applyFont="1">
      <alignment vertical="bottom"/>
    </xf>
    <xf borderId="6" fillId="0" fontId="9" numFmtId="0" xfId="0" applyAlignment="1" applyBorder="1" applyFont="1">
      <alignment readingOrder="0" vertical="bottom"/>
    </xf>
    <xf borderId="7" fillId="0" fontId="9" numFmtId="0" xfId="0" applyAlignment="1" applyBorder="1" applyFont="1">
      <alignment readingOrder="0" vertical="bottom"/>
    </xf>
    <xf borderId="6" fillId="0" fontId="9" numFmtId="0" xfId="0" applyAlignment="1" applyBorder="1" applyFont="1">
      <alignment vertical="bottom"/>
    </xf>
    <xf borderId="7" fillId="0" fontId="9" numFmtId="0" xfId="0" applyAlignment="1" applyBorder="1" applyFont="1">
      <alignment vertical="bottom"/>
    </xf>
    <xf borderId="5" fillId="0" fontId="11" numFmtId="0" xfId="0" applyAlignment="1" applyBorder="1" applyFont="1">
      <alignment readingOrder="0"/>
    </xf>
    <xf borderId="5" fillId="0" fontId="11" numFmtId="0" xfId="0" applyBorder="1" applyFont="1"/>
    <xf borderId="5" fillId="0" fontId="9" numFmtId="0" xfId="0" applyAlignment="1" applyBorder="1" applyFont="1">
      <alignment horizontal="right" readingOrder="0" vertical="bottom"/>
    </xf>
    <xf borderId="0" fillId="0" fontId="9" numFmtId="0" xfId="0" applyAlignment="1" applyFont="1">
      <alignment horizontal="right" vertical="bottom"/>
    </xf>
    <xf borderId="0" fillId="0" fontId="9" numFmtId="0" xfId="0" applyAlignment="1" applyFont="1">
      <alignment vertical="bottom"/>
    </xf>
    <xf borderId="7" fillId="0" fontId="9" numFmtId="0" xfId="0" applyAlignment="1" applyBorder="1" applyFont="1">
      <alignment horizontal="right" vertical="bottom"/>
    </xf>
    <xf borderId="5" fillId="0" fontId="9" numFmtId="0" xfId="0" applyAlignment="1" applyBorder="1" applyFont="1">
      <alignment horizontal="right" vertical="bottom"/>
    </xf>
    <xf borderId="0" fillId="0" fontId="9" numFmtId="0" xfId="0" applyAlignment="1" applyFont="1">
      <alignment readingOrder="0" vertical="bottom"/>
    </xf>
    <xf borderId="7" fillId="0" fontId="9" numFmtId="0" xfId="0" applyAlignment="1" applyBorder="1" applyFont="1">
      <alignment horizontal="right" readingOrder="0" vertical="bottom"/>
    </xf>
    <xf borderId="8" fillId="0" fontId="11" numFmtId="0" xfId="0" applyBorder="1" applyFont="1"/>
    <xf borderId="0" fillId="0" fontId="11" numFmtId="0" xfId="0" applyFont="1"/>
    <xf borderId="0" fillId="0" fontId="9" numFmtId="0" xfId="0" applyAlignment="1" applyFont="1">
      <alignment horizontal="right" readingOrder="0" vertical="bottom"/>
    </xf>
    <xf borderId="9" fillId="0" fontId="6" numFmtId="0" xfId="0" applyAlignment="1" applyBorder="1" applyFont="1">
      <alignment readingOrder="0"/>
    </xf>
    <xf borderId="0" fillId="0" fontId="11" numFmtId="0" xfId="0" applyAlignment="1" applyFont="1">
      <alignment readingOrder="0"/>
    </xf>
    <xf borderId="9" fillId="0" fontId="9" numFmtId="0" xfId="0" applyAlignment="1" applyBorder="1" applyFont="1">
      <alignment readingOrder="0" shrinkToFit="0" vertical="bottom" wrapText="0"/>
    </xf>
    <xf borderId="10" fillId="0" fontId="11" numFmtId="0" xfId="0" applyAlignment="1" applyBorder="1" applyFont="1">
      <alignment readingOrder="0"/>
    </xf>
    <xf borderId="0" fillId="0" fontId="9" numFmtId="0" xfId="0" applyAlignment="1" applyFont="1">
      <alignment horizontal="left" readingOrder="0" vertical="bottom"/>
    </xf>
    <xf borderId="0" fillId="0" fontId="2" numFmtId="0" xfId="0" applyAlignment="1" applyFont="1">
      <alignment horizontal="left" readingOrder="0"/>
    </xf>
    <xf borderId="0" fillId="0" fontId="12" numFmtId="0" xfId="0" applyAlignment="1" applyFont="1">
      <alignment readingOrder="0"/>
    </xf>
    <xf borderId="10" fillId="0" fontId="13" numFmtId="1" xfId="0" applyAlignment="1" applyBorder="1" applyFont="1" applyNumberFormat="1">
      <alignment vertical="bottom"/>
    </xf>
    <xf borderId="9" fillId="0" fontId="9" numFmtId="1" xfId="0" applyAlignment="1" applyBorder="1" applyFont="1" applyNumberFormat="1">
      <alignment vertical="bottom"/>
    </xf>
    <xf borderId="11" fillId="0" fontId="9" numFmtId="1" xfId="0" applyAlignment="1" applyBorder="1" applyFont="1" applyNumberFormat="1">
      <alignment vertical="bottom"/>
    </xf>
    <xf borderId="10" fillId="0" fontId="9" numFmtId="1" xfId="0" applyAlignment="1" applyBorder="1" applyFont="1" applyNumberFormat="1">
      <alignment vertical="bottom"/>
    </xf>
    <xf borderId="5" fillId="0" fontId="9" numFmtId="1" xfId="0" applyAlignment="1" applyBorder="1" applyFont="1" applyNumberFormat="1">
      <alignment horizontal="right" readingOrder="0" vertical="bottom"/>
    </xf>
    <xf borderId="0" fillId="0" fontId="9" numFmtId="1" xfId="0" applyAlignment="1" applyFont="1" applyNumberFormat="1">
      <alignment horizontal="right" vertical="bottom"/>
    </xf>
    <xf borderId="0" fillId="0" fontId="9" numFmtId="1" xfId="0" applyAlignment="1" applyFont="1" applyNumberFormat="1">
      <alignment horizontal="right" readingOrder="0" vertical="bottom"/>
    </xf>
    <xf borderId="0" fillId="0" fontId="9" numFmtId="1" xfId="0" applyAlignment="1" applyFont="1" applyNumberFormat="1">
      <alignment vertical="bottom"/>
    </xf>
    <xf borderId="0" fillId="0" fontId="9" numFmtId="1" xfId="0" applyAlignment="1" applyFont="1" applyNumberFormat="1">
      <alignment readingOrder="0" vertical="bottom"/>
    </xf>
    <xf borderId="5" fillId="0" fontId="9" numFmtId="1" xfId="0" applyAlignment="1" applyBorder="1" applyFont="1" applyNumberFormat="1">
      <alignment horizontal="right" vertical="bottom"/>
    </xf>
    <xf borderId="0" fillId="0" fontId="9" numFmtId="2" xfId="0" applyAlignment="1" applyFont="1" applyNumberFormat="1">
      <alignment vertical="bottom"/>
    </xf>
    <xf borderId="0" fillId="0" fontId="2" numFmtId="2" xfId="0" applyFont="1" applyNumberFormat="1"/>
    <xf borderId="5" fillId="0" fontId="9" numFmtId="1" xfId="0" applyAlignment="1" applyBorder="1" applyFont="1" applyNumberFormat="1">
      <alignment readingOrder="0" vertical="bottom"/>
    </xf>
    <xf borderId="0" fillId="0" fontId="9" numFmtId="2" xfId="0" applyAlignment="1" applyFont="1" applyNumberFormat="1">
      <alignment horizontal="right" readingOrder="0" vertical="bottom"/>
    </xf>
    <xf borderId="7" fillId="0" fontId="9" numFmtId="1" xfId="0" applyAlignment="1" applyBorder="1" applyFont="1" applyNumberFormat="1">
      <alignment horizontal="right" vertical="bottom"/>
    </xf>
    <xf borderId="7" fillId="0" fontId="9" numFmtId="1" xfId="0" applyAlignment="1" applyBorder="1" applyFont="1" applyNumberFormat="1">
      <alignment horizontal="right" readingOrder="0" vertical="bottom"/>
    </xf>
    <xf borderId="5" fillId="0" fontId="9" numFmtId="1" xfId="0" applyAlignment="1" applyBorder="1" applyFont="1" applyNumberFormat="1">
      <alignment vertical="bottom"/>
    </xf>
    <xf borderId="7" fillId="0" fontId="9" numFmtId="1" xfId="0" applyAlignment="1" applyBorder="1" applyFont="1" applyNumberFormat="1">
      <alignment vertical="bottom"/>
    </xf>
    <xf borderId="8" fillId="0" fontId="9" numFmtId="0" xfId="0" applyAlignment="1" applyBorder="1" applyFont="1">
      <alignment vertical="bottom"/>
    </xf>
    <xf borderId="10" fillId="0" fontId="9" numFmtId="0" xfId="0" applyAlignment="1" applyBorder="1" applyFont="1">
      <alignment vertical="bottom"/>
    </xf>
    <xf borderId="11" fillId="0" fontId="9" numFmtId="0" xfId="0" applyAlignment="1" applyBorder="1" applyFont="1">
      <alignment horizontal="right" vertical="bottom"/>
    </xf>
    <xf borderId="8" fillId="0" fontId="9" numFmtId="1" xfId="0" applyAlignment="1" applyBorder="1" applyFont="1" applyNumberFormat="1">
      <alignment horizontal="right" vertical="bottom"/>
    </xf>
    <xf borderId="10" fillId="0" fontId="9" numFmtId="1" xfId="0" applyAlignment="1" applyBorder="1" applyFont="1" applyNumberFormat="1">
      <alignment horizontal="right" vertical="bottom"/>
    </xf>
    <xf borderId="10" fillId="0" fontId="9" numFmtId="2" xfId="0" applyAlignment="1" applyBorder="1" applyFont="1" applyNumberFormat="1">
      <alignment horizontal="right" vertical="bottom"/>
    </xf>
    <xf borderId="11" fillId="0" fontId="9" numFmtId="1" xfId="0" applyAlignment="1" applyBorder="1" applyFont="1" applyNumberFormat="1">
      <alignment horizontal="right" vertical="bottom"/>
    </xf>
    <xf borderId="0" fillId="0" fontId="9" numFmtId="0" xfId="0" applyAlignment="1" applyFont="1">
      <alignment vertical="bottom"/>
    </xf>
    <xf borderId="6" fillId="0" fontId="6" numFmtId="0" xfId="0" applyAlignment="1" applyBorder="1" applyFont="1">
      <alignment readingOrder="0"/>
    </xf>
    <xf borderId="12" fillId="8" fontId="2" numFmtId="1" xfId="0" applyAlignment="1" applyBorder="1" applyFill="1" applyFont="1" applyNumberFormat="1">
      <alignment readingOrder="0"/>
    </xf>
    <xf borderId="13" fillId="8" fontId="2" numFmtId="1" xfId="0" applyAlignment="1" applyBorder="1" applyFont="1" applyNumberFormat="1">
      <alignment readingOrder="0"/>
    </xf>
    <xf borderId="13" fillId="8" fontId="2" numFmtId="1" xfId="0" applyBorder="1" applyFont="1" applyNumberFormat="1"/>
    <xf borderId="5" fillId="8" fontId="2" numFmtId="1" xfId="0" applyAlignment="1" applyBorder="1" applyFont="1" applyNumberFormat="1">
      <alignment readingOrder="0"/>
    </xf>
    <xf borderId="0" fillId="8" fontId="2" numFmtId="1" xfId="0" applyAlignment="1" applyFont="1" applyNumberFormat="1">
      <alignment readingOrder="0"/>
    </xf>
    <xf borderId="0" fillId="8" fontId="2" numFmtId="1" xfId="0" applyFont="1" applyNumberFormat="1"/>
    <xf borderId="8" fillId="8" fontId="2" numFmtId="1" xfId="0" applyAlignment="1" applyBorder="1" applyFont="1" applyNumberFormat="1">
      <alignment readingOrder="0"/>
    </xf>
    <xf borderId="10" fillId="8" fontId="2" numFmtId="1" xfId="0" applyAlignment="1" applyBorder="1" applyFont="1" applyNumberFormat="1">
      <alignment readingOrder="0"/>
    </xf>
    <xf borderId="10" fillId="8" fontId="2" numFmtId="1" xfId="0" applyBorder="1" applyFont="1" applyNumberFormat="1"/>
    <xf borderId="5" fillId="8" fontId="2" numFmtId="1" xfId="0" applyBorder="1" applyFont="1" applyNumberFormat="1"/>
    <xf borderId="8" fillId="8" fontId="2" numFmtId="1" xfId="0" applyBorder="1" applyFont="1" applyNumberFormat="1"/>
    <xf borderId="10" fillId="8" fontId="2" numFmtId="2" xfId="0" applyBorder="1" applyFont="1" applyNumberFormat="1"/>
    <xf borderId="5" fillId="9" fontId="11" numFmtId="0" xfId="0" applyAlignment="1" applyBorder="1" applyFill="1" applyFont="1">
      <alignment readingOrder="0"/>
    </xf>
    <xf borderId="7" fillId="9" fontId="2" numFmtId="0" xfId="0" applyBorder="1" applyFont="1"/>
    <xf borderId="0" fillId="0" fontId="14" numFmtId="0" xfId="0" applyAlignment="1" applyFont="1">
      <alignment readingOrder="0"/>
    </xf>
    <xf borderId="5" fillId="10" fontId="4" numFmtId="0" xfId="0" applyAlignment="1" applyBorder="1" applyFill="1" applyFont="1">
      <alignment readingOrder="0"/>
    </xf>
    <xf borderId="7" fillId="10" fontId="2" numFmtId="0" xfId="0" applyBorder="1" applyFont="1"/>
    <xf borderId="7" fillId="0" fontId="15" numFmtId="0" xfId="0" applyAlignment="1" applyBorder="1" applyFont="1">
      <alignment readingOrder="0"/>
    </xf>
    <xf borderId="0" fillId="9" fontId="2" numFmtId="0" xfId="0" applyAlignment="1" applyFont="1">
      <alignment readingOrder="0"/>
    </xf>
    <xf borderId="0" fillId="0" fontId="16" numFmtId="0" xfId="0" applyAlignment="1" applyFont="1">
      <alignment readingOrder="0"/>
    </xf>
    <xf borderId="0" fillId="0" fontId="17" numFmtId="0" xfId="0" applyAlignment="1" applyFont="1">
      <alignment readingOrder="0"/>
    </xf>
    <xf borderId="0" fillId="0" fontId="6" numFmtId="0" xfId="0" applyAlignment="1" applyFont="1">
      <alignment horizontal="right" readingOrder="0"/>
    </xf>
    <xf borderId="0" fillId="0" fontId="9" numFmtId="0" xfId="0" applyAlignment="1" applyFont="1">
      <alignment horizontal="center" readingOrder="0" vertical="bottom"/>
    </xf>
    <xf borderId="0" fillId="0" fontId="2" numFmtId="164" xfId="0" applyFont="1" applyNumberFormat="1"/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center" readingOrder="0"/>
    </xf>
    <xf borderId="0" fillId="0" fontId="18" numFmtId="0" xfId="0" applyAlignment="1" applyFont="1">
      <alignment readingOrder="0"/>
    </xf>
    <xf borderId="10" fillId="0" fontId="5" numFmtId="0" xfId="0" applyAlignment="1" applyBorder="1" applyFont="1">
      <alignment horizontal="center" readingOrder="0"/>
    </xf>
    <xf borderId="10" fillId="0" fontId="5" numFmtId="164" xfId="0" applyAlignment="1" applyBorder="1" applyFont="1" applyNumberFormat="1">
      <alignment horizontal="center" readingOrder="0"/>
    </xf>
    <xf borderId="0" fillId="0" fontId="2" numFmtId="0" xfId="0" applyAlignment="1" applyFont="1">
      <alignment horizontal="center"/>
    </xf>
    <xf borderId="0" fillId="0" fontId="2" numFmtId="164" xfId="0" applyAlignment="1" applyFont="1" applyNumberFormat="1">
      <alignment horizontal="center"/>
    </xf>
    <xf borderId="0" fillId="0" fontId="2" numFmtId="0" xfId="0" applyAlignment="1" applyFont="1">
      <alignment horizontal="left"/>
    </xf>
    <xf borderId="0" fillId="0" fontId="5" numFmtId="0" xfId="0" applyFont="1"/>
    <xf borderId="15" fillId="0" fontId="9" numFmtId="0" xfId="0" applyAlignment="1" applyBorder="1" applyFont="1">
      <alignment readingOrder="0" vertical="bottom"/>
    </xf>
    <xf borderId="14" fillId="0" fontId="9" numFmtId="0" xfId="0" applyAlignment="1" applyBorder="1" applyFont="1">
      <alignment readingOrder="0" vertical="bottom"/>
    </xf>
    <xf borderId="0" fillId="0" fontId="6" numFmtId="0" xfId="0" applyAlignment="1" applyFont="1">
      <alignment readingOrder="0"/>
    </xf>
    <xf borderId="0" fillId="0" fontId="5" numFmtId="0" xfId="0" applyAlignment="1" applyFont="1">
      <alignment horizontal="center" readingOrder="0"/>
    </xf>
    <xf borderId="0" fillId="0" fontId="2" numFmtId="1" xfId="0" applyAlignment="1" applyFont="1" applyNumberFormat="1">
      <alignment horizontal="center"/>
    </xf>
    <xf borderId="0" fillId="0" fontId="2" numFmtId="0" xfId="0" applyAlignment="1" applyFont="1">
      <alignment horizontal="right"/>
    </xf>
    <xf borderId="0" fillId="0" fontId="2" numFmtId="164" xfId="0" applyAlignment="1" applyFont="1" applyNumberFormat="1">
      <alignment readingOrder="0"/>
    </xf>
    <xf borderId="0" fillId="0" fontId="2" numFmtId="2" xfId="0" applyAlignment="1" applyFont="1" applyNumberFormat="1">
      <alignment horizontal="center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3.14"/>
    <col customWidth="1" min="4" max="4" width="31.86"/>
    <col customWidth="1" min="10" max="10" width="4.29"/>
    <col customWidth="1" min="11" max="11" width="4.43"/>
    <col customWidth="1" min="12" max="13" width="4.14"/>
    <col customWidth="1" min="14" max="14" width="5.71"/>
    <col customWidth="1" min="15" max="15" width="4.86"/>
    <col customWidth="1" min="16" max="16" width="4.29"/>
    <col customWidth="1" min="17" max="17" width="4.43"/>
    <col customWidth="1" min="18" max="19" width="4.14"/>
    <col customWidth="1" min="20" max="20" width="5.71"/>
    <col customWidth="1" min="21" max="21" width="4.86"/>
    <col customWidth="1" min="23" max="23" width="3.86"/>
    <col customWidth="1" min="24" max="24" width="4.14"/>
    <col customWidth="1" min="25" max="25" width="4.0"/>
    <col customWidth="1" min="26" max="26" width="3.29"/>
    <col customWidth="1" min="27" max="27" width="5.57"/>
    <col customWidth="1" min="28" max="28" width="4.71"/>
    <col customWidth="1" min="29" max="31" width="22.57"/>
  </cols>
  <sheetData>
    <row r="2">
      <c r="B2" s="1" t="s">
        <v>0</v>
      </c>
    </row>
    <row r="4">
      <c r="B4" s="2" t="s">
        <v>1</v>
      </c>
    </row>
    <row r="5">
      <c r="B5" s="2" t="s">
        <v>2</v>
      </c>
    </row>
    <row r="6">
      <c r="B6" s="2" t="s">
        <v>3</v>
      </c>
    </row>
    <row r="7">
      <c r="B7" s="2" t="s">
        <v>4</v>
      </c>
    </row>
    <row r="8">
      <c r="B8" s="2"/>
    </row>
    <row r="9">
      <c r="B9" s="3" t="s">
        <v>5</v>
      </c>
    </row>
    <row r="10">
      <c r="B10" s="4" t="s">
        <v>6</v>
      </c>
      <c r="C10" s="5" t="s">
        <v>7</v>
      </c>
      <c r="D10" s="6" t="s">
        <v>8</v>
      </c>
      <c r="E10" s="4" t="s">
        <v>9</v>
      </c>
      <c r="F10" s="7"/>
      <c r="G10" s="6" t="s">
        <v>10</v>
      </c>
      <c r="H10" s="8"/>
      <c r="I10" s="7"/>
    </row>
    <row r="11">
      <c r="B11" s="9" t="s">
        <v>11</v>
      </c>
      <c r="C11" s="10" t="s">
        <v>12</v>
      </c>
      <c r="D11" s="11" t="s">
        <v>13</v>
      </c>
      <c r="E11" s="12" t="s">
        <v>14</v>
      </c>
      <c r="F11" s="13"/>
      <c r="G11" s="2" t="s">
        <v>15</v>
      </c>
      <c r="I11" s="13"/>
    </row>
    <row r="12">
      <c r="B12" s="9" t="s">
        <v>16</v>
      </c>
      <c r="C12" s="10" t="s">
        <v>17</v>
      </c>
      <c r="D12" s="2" t="s">
        <v>18</v>
      </c>
      <c r="E12" s="14"/>
      <c r="F12" s="13"/>
      <c r="I12" s="13"/>
    </row>
    <row r="13">
      <c r="B13" s="9" t="s">
        <v>19</v>
      </c>
      <c r="C13" s="10" t="s">
        <v>20</v>
      </c>
      <c r="D13" s="2" t="s">
        <v>21</v>
      </c>
      <c r="E13" s="9" t="s">
        <v>22</v>
      </c>
      <c r="F13" s="13"/>
      <c r="G13" s="2" t="s">
        <v>23</v>
      </c>
      <c r="I13" s="13"/>
    </row>
    <row r="14">
      <c r="A14" s="15"/>
      <c r="B14" s="9" t="s">
        <v>24</v>
      </c>
      <c r="C14" s="10" t="s">
        <v>25</v>
      </c>
      <c r="D14" s="2" t="s">
        <v>26</v>
      </c>
      <c r="E14" s="14"/>
      <c r="F14" s="13"/>
      <c r="G14" s="2" t="s">
        <v>27</v>
      </c>
      <c r="I14" s="13"/>
    </row>
    <row r="15">
      <c r="A15" s="15"/>
      <c r="B15" s="9" t="s">
        <v>28</v>
      </c>
      <c r="C15" s="10" t="s">
        <v>29</v>
      </c>
      <c r="D15" s="16" t="s">
        <v>30</v>
      </c>
      <c r="E15" s="9" t="s">
        <v>31</v>
      </c>
      <c r="F15" s="13"/>
      <c r="G15" s="2" t="s">
        <v>32</v>
      </c>
      <c r="I15" s="13"/>
    </row>
    <row r="16">
      <c r="A16" s="15"/>
      <c r="B16" s="9" t="s">
        <v>33</v>
      </c>
      <c r="C16" s="10" t="s">
        <v>34</v>
      </c>
      <c r="D16" s="2" t="s">
        <v>35</v>
      </c>
      <c r="E16" s="9" t="s">
        <v>36</v>
      </c>
      <c r="F16" s="13"/>
      <c r="G16" s="2" t="s">
        <v>37</v>
      </c>
      <c r="I16" s="13"/>
    </row>
    <row r="17">
      <c r="A17" s="15"/>
      <c r="B17" s="9" t="s">
        <v>38</v>
      </c>
      <c r="C17" s="10" t="s">
        <v>39</v>
      </c>
      <c r="D17" s="16" t="s">
        <v>40</v>
      </c>
      <c r="E17" s="14"/>
      <c r="F17" s="13"/>
      <c r="G17" s="2" t="s">
        <v>41</v>
      </c>
      <c r="I17" s="13"/>
    </row>
    <row r="18">
      <c r="A18" s="15"/>
      <c r="B18" s="9" t="s">
        <v>42</v>
      </c>
      <c r="C18" s="10" t="s">
        <v>43</v>
      </c>
      <c r="D18" s="11" t="s">
        <v>13</v>
      </c>
      <c r="E18" s="14"/>
      <c r="F18" s="13"/>
      <c r="I18" s="13"/>
    </row>
    <row r="19">
      <c r="A19" s="15"/>
      <c r="B19" s="9" t="s">
        <v>44</v>
      </c>
      <c r="C19" s="10" t="s">
        <v>45</v>
      </c>
      <c r="D19" s="11" t="s">
        <v>46</v>
      </c>
      <c r="E19" s="14"/>
      <c r="F19" s="13"/>
      <c r="I19" s="13"/>
    </row>
    <row r="20">
      <c r="A20" s="15"/>
      <c r="B20" s="9" t="s">
        <v>47</v>
      </c>
      <c r="C20" s="10" t="s">
        <v>48</v>
      </c>
      <c r="D20" s="17" t="s">
        <v>49</v>
      </c>
      <c r="E20" s="9" t="s">
        <v>22</v>
      </c>
      <c r="F20" s="13"/>
      <c r="G20" s="2" t="s">
        <v>50</v>
      </c>
      <c r="I20" s="13"/>
    </row>
    <row r="21">
      <c r="A21" s="15"/>
      <c r="B21" s="9" t="s">
        <v>51</v>
      </c>
      <c r="C21" s="10" t="s">
        <v>52</v>
      </c>
      <c r="D21" s="2" t="s">
        <v>53</v>
      </c>
      <c r="E21" s="9" t="s">
        <v>22</v>
      </c>
      <c r="F21" s="13"/>
      <c r="I21" s="13"/>
    </row>
    <row r="22">
      <c r="A22" s="15"/>
      <c r="B22" s="9" t="s">
        <v>54</v>
      </c>
      <c r="C22" s="10" t="s">
        <v>55</v>
      </c>
      <c r="D22" s="18" t="s">
        <v>56</v>
      </c>
      <c r="E22" s="9" t="s">
        <v>57</v>
      </c>
      <c r="F22" s="13"/>
      <c r="G22" s="2" t="s">
        <v>58</v>
      </c>
      <c r="I22" s="13"/>
    </row>
    <row r="23">
      <c r="A23" s="15"/>
      <c r="B23" s="9" t="s">
        <v>59</v>
      </c>
      <c r="C23" s="10" t="s">
        <v>60</v>
      </c>
      <c r="D23" s="11" t="s">
        <v>13</v>
      </c>
      <c r="E23" s="9" t="s">
        <v>61</v>
      </c>
      <c r="F23" s="13"/>
      <c r="G23" s="2" t="s">
        <v>62</v>
      </c>
      <c r="I23" s="13"/>
    </row>
    <row r="24">
      <c r="A24" s="15"/>
      <c r="B24" s="9" t="s">
        <v>63</v>
      </c>
      <c r="C24" s="10" t="s">
        <v>64</v>
      </c>
      <c r="D24" s="11" t="s">
        <v>65</v>
      </c>
      <c r="E24" s="14"/>
      <c r="F24" s="13"/>
      <c r="G24" s="2" t="s">
        <v>66</v>
      </c>
      <c r="I24" s="13"/>
    </row>
    <row r="25">
      <c r="A25" s="15"/>
      <c r="B25" s="9" t="s">
        <v>67</v>
      </c>
      <c r="C25" s="10" t="s">
        <v>68</v>
      </c>
      <c r="D25" s="18" t="s">
        <v>69</v>
      </c>
      <c r="E25" s="14"/>
      <c r="F25" s="13"/>
      <c r="G25" s="2" t="s">
        <v>66</v>
      </c>
      <c r="I25" s="13"/>
    </row>
    <row r="26">
      <c r="A26" s="15"/>
      <c r="B26" s="9" t="s">
        <v>70</v>
      </c>
      <c r="C26" s="10" t="s">
        <v>71</v>
      </c>
      <c r="D26" s="11" t="s">
        <v>13</v>
      </c>
      <c r="E26" s="14"/>
      <c r="F26" s="13"/>
      <c r="G26" s="19" t="s">
        <v>72</v>
      </c>
      <c r="I26" s="13"/>
    </row>
    <row r="27">
      <c r="B27" s="20" t="s">
        <v>73</v>
      </c>
      <c r="C27" s="21" t="s">
        <v>74</v>
      </c>
      <c r="D27" s="22" t="s">
        <v>75</v>
      </c>
      <c r="E27" s="23"/>
      <c r="F27" s="24"/>
      <c r="G27" s="25" t="s">
        <v>76</v>
      </c>
      <c r="H27" s="26"/>
      <c r="I27" s="24"/>
    </row>
    <row r="28">
      <c r="B28" s="27" t="s">
        <v>77</v>
      </c>
      <c r="C28" s="28"/>
      <c r="D28" s="28"/>
      <c r="E28" s="18" t="s">
        <v>78</v>
      </c>
      <c r="F28" s="29"/>
      <c r="G28" s="29"/>
    </row>
    <row r="29">
      <c r="B29" s="11" t="s">
        <v>79</v>
      </c>
      <c r="C29" s="30"/>
      <c r="D29" s="30"/>
      <c r="E29" s="17" t="s">
        <v>80</v>
      </c>
      <c r="F29" s="31"/>
      <c r="G29" s="31"/>
      <c r="H29" s="31"/>
      <c r="I29" s="31"/>
      <c r="J29" s="31"/>
    </row>
    <row r="30">
      <c r="B30" s="2"/>
    </row>
    <row r="31">
      <c r="B31" s="3" t="s">
        <v>81</v>
      </c>
    </row>
    <row r="32">
      <c r="B32" s="4" t="s">
        <v>6</v>
      </c>
      <c r="C32" s="5" t="s">
        <v>7</v>
      </c>
      <c r="D32" s="6" t="s">
        <v>8</v>
      </c>
      <c r="E32" s="4" t="s">
        <v>9</v>
      </c>
      <c r="F32" s="7"/>
      <c r="G32" s="6" t="s">
        <v>10</v>
      </c>
      <c r="H32" s="8"/>
      <c r="I32" s="7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3"/>
      <c r="W32" s="32"/>
      <c r="X32" s="33"/>
      <c r="Y32" s="32"/>
      <c r="Z32" s="32"/>
      <c r="AA32" s="33"/>
      <c r="AB32" s="33"/>
      <c r="AC32" s="32"/>
    </row>
    <row r="33">
      <c r="B33" s="9" t="s">
        <v>11</v>
      </c>
      <c r="C33" s="10" t="s">
        <v>82</v>
      </c>
      <c r="D33" s="34" t="s">
        <v>83</v>
      </c>
      <c r="E33" s="12" t="s">
        <v>14</v>
      </c>
      <c r="F33" s="13"/>
      <c r="G33" s="2" t="s">
        <v>15</v>
      </c>
      <c r="I33" s="13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3"/>
      <c r="W33" s="33"/>
      <c r="X33" s="33"/>
      <c r="Y33" s="32"/>
      <c r="Z33" s="32"/>
      <c r="AA33" s="32"/>
      <c r="AB33" s="33"/>
      <c r="AC33" s="32"/>
    </row>
    <row r="34">
      <c r="B34" s="9" t="s">
        <v>16</v>
      </c>
      <c r="C34" s="10" t="s">
        <v>17</v>
      </c>
      <c r="D34" s="2" t="s">
        <v>18</v>
      </c>
      <c r="E34" s="14"/>
      <c r="F34" s="13"/>
      <c r="I34" s="13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3"/>
      <c r="W34" s="32"/>
      <c r="X34" s="33"/>
      <c r="Y34" s="32"/>
      <c r="Z34" s="32"/>
      <c r="AA34" s="32"/>
      <c r="AB34" s="33"/>
      <c r="AC34" s="32"/>
    </row>
    <row r="35">
      <c r="B35" s="9" t="s">
        <v>19</v>
      </c>
      <c r="C35" s="10" t="s">
        <v>84</v>
      </c>
      <c r="D35" s="2" t="s">
        <v>85</v>
      </c>
      <c r="E35" s="9" t="s">
        <v>86</v>
      </c>
      <c r="F35" s="13"/>
      <c r="G35" s="2" t="s">
        <v>23</v>
      </c>
      <c r="I35" s="13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3"/>
      <c r="W35" s="33"/>
      <c r="X35" s="33"/>
      <c r="Y35" s="33"/>
      <c r="Z35" s="32"/>
      <c r="AA35" s="33"/>
      <c r="AB35" s="33"/>
      <c r="AC35" s="32"/>
    </row>
    <row r="36">
      <c r="B36" s="9" t="s">
        <v>24</v>
      </c>
      <c r="C36" s="10" t="s">
        <v>87</v>
      </c>
      <c r="D36" s="34" t="s">
        <v>83</v>
      </c>
      <c r="E36" s="14"/>
      <c r="F36" s="13"/>
      <c r="G36" s="2" t="s">
        <v>88</v>
      </c>
      <c r="I36" s="13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</row>
    <row r="37">
      <c r="B37" s="9" t="s">
        <v>28</v>
      </c>
      <c r="C37" s="10" t="s">
        <v>89</v>
      </c>
      <c r="D37" s="2" t="s">
        <v>90</v>
      </c>
      <c r="E37" s="9" t="s">
        <v>91</v>
      </c>
      <c r="F37" s="13"/>
      <c r="G37" s="2" t="s">
        <v>32</v>
      </c>
      <c r="I37" s="13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</row>
    <row r="38">
      <c r="B38" s="9" t="s">
        <v>33</v>
      </c>
      <c r="C38" s="10" t="s">
        <v>34</v>
      </c>
      <c r="D38" s="2" t="s">
        <v>35</v>
      </c>
      <c r="E38" s="9" t="s">
        <v>36</v>
      </c>
      <c r="F38" s="13"/>
      <c r="G38" s="2" t="s">
        <v>37</v>
      </c>
      <c r="I38" s="13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3"/>
      <c r="AB38" s="32"/>
      <c r="AC38" s="32"/>
    </row>
    <row r="39">
      <c r="B39" s="9" t="s">
        <v>38</v>
      </c>
      <c r="C39" s="10" t="s">
        <v>92</v>
      </c>
      <c r="D39" s="34" t="s">
        <v>83</v>
      </c>
      <c r="E39" s="14"/>
      <c r="F39" s="13"/>
      <c r="G39" s="2" t="s">
        <v>41</v>
      </c>
      <c r="I39" s="13"/>
      <c r="J39" s="33"/>
      <c r="K39" s="33"/>
      <c r="L39" s="32"/>
      <c r="M39" s="33"/>
      <c r="N39" s="32"/>
      <c r="O39" s="32"/>
      <c r="P39" s="33"/>
      <c r="Q39" s="32"/>
      <c r="R39" s="32"/>
      <c r="S39" s="32"/>
      <c r="T39" s="32"/>
      <c r="U39" s="32"/>
      <c r="V39" s="35"/>
      <c r="W39" s="36"/>
      <c r="X39" s="37"/>
      <c r="Y39" s="36"/>
      <c r="Z39" s="37"/>
      <c r="AA39" s="37"/>
      <c r="AB39" s="36"/>
      <c r="AC39" s="38"/>
    </row>
    <row r="40">
      <c r="B40" s="9" t="s">
        <v>42</v>
      </c>
      <c r="C40" s="10" t="s">
        <v>43</v>
      </c>
      <c r="D40" s="2" t="s">
        <v>13</v>
      </c>
      <c r="E40" s="14"/>
      <c r="F40" s="13"/>
      <c r="I40" s="13"/>
      <c r="J40" s="33"/>
      <c r="K40" s="32"/>
      <c r="L40" s="33"/>
      <c r="M40" s="32"/>
      <c r="N40" s="32"/>
      <c r="O40" s="32"/>
      <c r="P40" s="33"/>
      <c r="Q40" s="32"/>
      <c r="R40" s="32"/>
      <c r="S40" s="32"/>
      <c r="T40" s="32"/>
      <c r="U40" s="32"/>
      <c r="V40" s="39"/>
      <c r="W40" s="33"/>
      <c r="X40" s="33"/>
      <c r="Y40" s="32"/>
      <c r="Z40" s="32"/>
      <c r="AA40" s="32"/>
      <c r="AB40" s="33"/>
      <c r="AC40" s="40"/>
    </row>
    <row r="41">
      <c r="B41" s="9" t="s">
        <v>44</v>
      </c>
      <c r="C41" s="10" t="s">
        <v>93</v>
      </c>
      <c r="D41" s="34" t="s">
        <v>94</v>
      </c>
      <c r="E41" s="14"/>
      <c r="F41" s="13"/>
      <c r="I41" s="13"/>
      <c r="J41" s="33"/>
      <c r="K41" s="32"/>
      <c r="L41" s="33"/>
      <c r="M41" s="32"/>
      <c r="N41" s="32"/>
      <c r="O41" s="32"/>
      <c r="P41" s="33"/>
      <c r="Q41" s="32"/>
      <c r="R41" s="32"/>
      <c r="S41" s="32"/>
      <c r="T41" s="32"/>
      <c r="U41" s="32"/>
      <c r="V41" s="39"/>
      <c r="W41" s="32"/>
      <c r="X41" s="32"/>
      <c r="Y41" s="33"/>
      <c r="Z41" s="32"/>
      <c r="AA41" s="33"/>
      <c r="AB41" s="33"/>
      <c r="AC41" s="40"/>
    </row>
    <row r="42">
      <c r="B42" s="9" t="s">
        <v>47</v>
      </c>
      <c r="C42" s="10" t="s">
        <v>95</v>
      </c>
      <c r="D42" s="34" t="s">
        <v>96</v>
      </c>
      <c r="E42" s="9" t="s">
        <v>97</v>
      </c>
      <c r="F42" s="13"/>
      <c r="G42" s="2" t="s">
        <v>50</v>
      </c>
      <c r="I42" s="13"/>
      <c r="J42" s="33"/>
      <c r="K42" s="33"/>
      <c r="L42" s="33"/>
      <c r="M42" s="33"/>
      <c r="N42" s="32"/>
      <c r="O42" s="33"/>
      <c r="P42" s="33"/>
      <c r="Q42" s="32"/>
      <c r="R42" s="32"/>
      <c r="S42" s="32"/>
      <c r="T42" s="32"/>
      <c r="U42" s="32"/>
      <c r="V42" s="39"/>
      <c r="W42" s="32"/>
      <c r="X42" s="32"/>
      <c r="Y42" s="32"/>
      <c r="Z42" s="32"/>
      <c r="AA42" s="32"/>
      <c r="AB42" s="33"/>
      <c r="AC42" s="40"/>
    </row>
    <row r="43">
      <c r="B43" s="9" t="s">
        <v>51</v>
      </c>
      <c r="C43" s="10" t="s">
        <v>52</v>
      </c>
      <c r="D43" s="2" t="s">
        <v>53</v>
      </c>
      <c r="E43" s="9" t="s">
        <v>22</v>
      </c>
      <c r="F43" s="13"/>
      <c r="I43" s="13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41"/>
      <c r="W43" s="32"/>
      <c r="X43" s="32"/>
      <c r="Y43" s="32"/>
      <c r="Z43" s="32"/>
      <c r="AA43" s="32"/>
      <c r="AB43" s="32"/>
      <c r="AC43" s="40"/>
    </row>
    <row r="44">
      <c r="B44" s="9" t="s">
        <v>54</v>
      </c>
      <c r="C44" s="10" t="s">
        <v>98</v>
      </c>
      <c r="D44" s="34" t="s">
        <v>99</v>
      </c>
      <c r="E44" s="9" t="s">
        <v>100</v>
      </c>
      <c r="F44" s="13"/>
      <c r="G44" s="2" t="s">
        <v>58</v>
      </c>
      <c r="I44" s="13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42"/>
      <c r="W44" s="43"/>
      <c r="X44" s="43"/>
      <c r="Y44" s="43"/>
      <c r="Z44" s="43"/>
      <c r="AA44" s="43"/>
      <c r="AB44" s="43"/>
      <c r="AC44" s="44"/>
    </row>
    <row r="45">
      <c r="B45" s="9" t="s">
        <v>59</v>
      </c>
      <c r="C45" s="10" t="s">
        <v>60</v>
      </c>
      <c r="D45" s="2" t="s">
        <v>13</v>
      </c>
      <c r="E45" s="9" t="s">
        <v>61</v>
      </c>
      <c r="F45" s="13"/>
      <c r="G45" s="2" t="s">
        <v>62</v>
      </c>
      <c r="I45" s="13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</row>
    <row r="46">
      <c r="B46" s="9" t="s">
        <v>63</v>
      </c>
      <c r="C46" s="10" t="s">
        <v>101</v>
      </c>
      <c r="D46" s="34" t="s">
        <v>102</v>
      </c>
      <c r="E46" s="14"/>
      <c r="F46" s="13"/>
      <c r="G46" s="2" t="s">
        <v>66</v>
      </c>
      <c r="I46" s="13"/>
      <c r="J46" s="33"/>
      <c r="K46" s="33"/>
      <c r="L46" s="33"/>
      <c r="M46" s="33"/>
      <c r="N46" s="33"/>
      <c r="O46" s="32"/>
      <c r="P46" s="33"/>
      <c r="Q46" s="32"/>
      <c r="R46" s="32"/>
      <c r="S46" s="32"/>
      <c r="T46" s="32"/>
      <c r="U46" s="32"/>
      <c r="V46" s="33"/>
      <c r="W46" s="32"/>
      <c r="X46" s="33"/>
      <c r="Y46" s="33"/>
      <c r="Z46" s="32"/>
      <c r="AA46" s="33"/>
      <c r="AB46" s="33"/>
      <c r="AC46" s="32"/>
    </row>
    <row r="47">
      <c r="B47" s="9" t="s">
        <v>67</v>
      </c>
      <c r="C47" s="10" t="s">
        <v>68</v>
      </c>
      <c r="D47" s="2" t="s">
        <v>69</v>
      </c>
      <c r="E47" s="14"/>
      <c r="F47" s="13"/>
      <c r="G47" s="2" t="s">
        <v>66</v>
      </c>
      <c r="I47" s="13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</row>
    <row r="48">
      <c r="B48" s="9" t="s">
        <v>70</v>
      </c>
      <c r="C48" s="10" t="s">
        <v>103</v>
      </c>
      <c r="D48" s="45" t="s">
        <v>104</v>
      </c>
      <c r="E48" s="14"/>
      <c r="F48" s="13"/>
      <c r="G48" s="19"/>
      <c r="I48" s="13"/>
      <c r="J48" s="33"/>
      <c r="K48" s="32"/>
      <c r="L48" s="33"/>
      <c r="M48" s="33"/>
      <c r="N48" s="32"/>
      <c r="O48" s="32"/>
      <c r="P48" s="33"/>
      <c r="Q48" s="32"/>
      <c r="R48" s="32"/>
      <c r="S48" s="32"/>
      <c r="T48" s="32"/>
      <c r="U48" s="32"/>
      <c r="V48" s="33"/>
      <c r="W48" s="33"/>
      <c r="X48" s="33"/>
      <c r="Y48" s="32"/>
      <c r="Z48" s="32"/>
      <c r="AA48" s="32"/>
      <c r="AB48" s="33"/>
      <c r="AC48" s="32"/>
    </row>
    <row r="49">
      <c r="B49" s="20" t="s">
        <v>73</v>
      </c>
      <c r="C49" s="21" t="s">
        <v>74</v>
      </c>
      <c r="D49" s="22" t="s">
        <v>75</v>
      </c>
      <c r="E49" s="23"/>
      <c r="F49" s="24"/>
      <c r="G49" s="25"/>
      <c r="H49" s="26"/>
      <c r="I49" s="24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</row>
    <row r="51">
      <c r="B51" s="3" t="s">
        <v>105</v>
      </c>
      <c r="J51" s="46" t="s">
        <v>106</v>
      </c>
      <c r="P51" s="47" t="s">
        <v>107</v>
      </c>
      <c r="Q51" s="46"/>
      <c r="R51" s="48"/>
      <c r="S51" s="48"/>
      <c r="T51" s="48"/>
      <c r="U51" s="48"/>
    </row>
    <row r="52">
      <c r="B52" s="4" t="s">
        <v>6</v>
      </c>
      <c r="C52" s="5" t="s">
        <v>7</v>
      </c>
      <c r="D52" s="6" t="s">
        <v>8</v>
      </c>
      <c r="E52" s="4" t="s">
        <v>9</v>
      </c>
      <c r="F52" s="7"/>
      <c r="G52" s="6" t="s">
        <v>10</v>
      </c>
      <c r="H52" s="8"/>
      <c r="I52" s="7"/>
      <c r="J52" s="49" t="s">
        <v>108</v>
      </c>
      <c r="K52" s="50" t="s">
        <v>109</v>
      </c>
      <c r="L52" s="50" t="s">
        <v>110</v>
      </c>
      <c r="M52" s="50" t="s">
        <v>111</v>
      </c>
      <c r="N52" s="51" t="s">
        <v>112</v>
      </c>
      <c r="O52" s="51" t="s">
        <v>113</v>
      </c>
      <c r="P52" s="49" t="s">
        <v>108</v>
      </c>
      <c r="Q52" s="50" t="s">
        <v>109</v>
      </c>
      <c r="R52" s="50" t="s">
        <v>110</v>
      </c>
      <c r="S52" s="50" t="s">
        <v>111</v>
      </c>
      <c r="T52" s="51" t="s">
        <v>112</v>
      </c>
      <c r="U52" s="51" t="s">
        <v>113</v>
      </c>
    </row>
    <row r="53">
      <c r="A53" s="52"/>
      <c r="B53" s="9" t="s">
        <v>11</v>
      </c>
      <c r="C53" s="10" t="s">
        <v>114</v>
      </c>
      <c r="D53" s="2" t="s">
        <v>115</v>
      </c>
      <c r="E53" s="12" t="s">
        <v>116</v>
      </c>
      <c r="F53" s="13"/>
      <c r="G53" s="2" t="s">
        <v>15</v>
      </c>
      <c r="I53" s="13"/>
      <c r="J53" s="2">
        <v>43.0</v>
      </c>
      <c r="K53" s="2">
        <v>17.0</v>
      </c>
      <c r="L53" s="2">
        <v>25.0</v>
      </c>
      <c r="M53" s="2">
        <v>18.0</v>
      </c>
      <c r="O53" s="53">
        <v>66.0</v>
      </c>
      <c r="P53" s="2">
        <v>56.0</v>
      </c>
      <c r="Q53" s="2">
        <v>24.0</v>
      </c>
      <c r="R53" s="2">
        <v>24.0</v>
      </c>
      <c r="S53" s="2">
        <v>18.0</v>
      </c>
      <c r="U53" s="53">
        <v>77.0</v>
      </c>
    </row>
    <row r="54">
      <c r="B54" s="9" t="s">
        <v>16</v>
      </c>
      <c r="C54" s="10" t="s">
        <v>117</v>
      </c>
      <c r="D54" s="2" t="s">
        <v>18</v>
      </c>
      <c r="E54" s="14"/>
      <c r="F54" s="13"/>
      <c r="I54" s="13"/>
      <c r="J54" s="2">
        <v>14.0</v>
      </c>
      <c r="L54" s="2">
        <v>14.0</v>
      </c>
      <c r="M54" s="2">
        <v>9.0</v>
      </c>
      <c r="O54" s="53">
        <v>22.0</v>
      </c>
      <c r="P54" s="2">
        <v>16.0</v>
      </c>
      <c r="R54" s="2">
        <v>24.0</v>
      </c>
      <c r="U54" s="53">
        <v>41.0</v>
      </c>
    </row>
    <row r="55">
      <c r="B55" s="9" t="s">
        <v>19</v>
      </c>
      <c r="C55" s="10" t="s">
        <v>118</v>
      </c>
      <c r="D55" s="2" t="s">
        <v>119</v>
      </c>
      <c r="E55" s="12" t="s">
        <v>120</v>
      </c>
      <c r="F55" s="13"/>
      <c r="G55" s="2" t="s">
        <v>121</v>
      </c>
      <c r="I55" s="13"/>
      <c r="J55" s="2">
        <v>28.0</v>
      </c>
      <c r="K55" s="2">
        <v>10.0</v>
      </c>
      <c r="L55" s="2">
        <v>10.0</v>
      </c>
      <c r="M55" s="2">
        <v>11.0</v>
      </c>
      <c r="O55" s="53">
        <v>62.0</v>
      </c>
      <c r="P55" s="2">
        <v>32.0</v>
      </c>
      <c r="Q55" s="2">
        <v>24.0</v>
      </c>
      <c r="R55" s="2">
        <v>27.0</v>
      </c>
      <c r="U55" s="53">
        <v>67.0</v>
      </c>
    </row>
    <row r="56">
      <c r="B56" s="9" t="s">
        <v>24</v>
      </c>
      <c r="C56" s="10" t="s">
        <v>87</v>
      </c>
      <c r="D56" s="2" t="s">
        <v>83</v>
      </c>
      <c r="E56" s="14"/>
      <c r="F56" s="13"/>
      <c r="G56" s="2" t="s">
        <v>88</v>
      </c>
      <c r="I56" s="13"/>
      <c r="J56" s="2">
        <v>19.0</v>
      </c>
      <c r="M56" s="2">
        <v>15.0</v>
      </c>
      <c r="O56" s="53">
        <v>27.0</v>
      </c>
      <c r="P56" s="2">
        <v>19.0</v>
      </c>
      <c r="S56" s="2">
        <v>15.0</v>
      </c>
      <c r="U56" s="53">
        <v>27.0</v>
      </c>
    </row>
    <row r="57">
      <c r="B57" s="9" t="s">
        <v>28</v>
      </c>
      <c r="C57" s="10" t="s">
        <v>122</v>
      </c>
      <c r="D57" s="2" t="s">
        <v>123</v>
      </c>
      <c r="E57" s="9" t="s">
        <v>124</v>
      </c>
      <c r="F57" s="13"/>
      <c r="G57" s="2" t="s">
        <v>32</v>
      </c>
      <c r="I57" s="13"/>
      <c r="J57" s="2">
        <v>51.0</v>
      </c>
      <c r="K57" s="2">
        <v>29.0</v>
      </c>
      <c r="L57" s="2">
        <v>15.0</v>
      </c>
      <c r="O57" s="53">
        <v>47.0</v>
      </c>
      <c r="P57" s="2">
        <v>57.0</v>
      </c>
      <c r="Q57" s="2">
        <v>26.0</v>
      </c>
      <c r="R57" s="2">
        <v>19.0</v>
      </c>
      <c r="U57" s="53">
        <v>60.0</v>
      </c>
    </row>
    <row r="58">
      <c r="B58" s="9" t="s">
        <v>33</v>
      </c>
      <c r="C58" s="10" t="s">
        <v>125</v>
      </c>
      <c r="D58" s="2" t="s">
        <v>126</v>
      </c>
      <c r="E58" s="9"/>
      <c r="F58" s="13"/>
      <c r="G58" s="2" t="s">
        <v>127</v>
      </c>
      <c r="I58" s="13"/>
      <c r="J58" s="2">
        <v>23.0</v>
      </c>
      <c r="L58" s="2">
        <v>21.0</v>
      </c>
      <c r="O58" s="53">
        <v>34.0</v>
      </c>
      <c r="P58" s="2">
        <v>25.0</v>
      </c>
      <c r="R58" s="2">
        <v>23.0</v>
      </c>
      <c r="U58" s="53">
        <v>36.0</v>
      </c>
    </row>
    <row r="59">
      <c r="B59" s="9" t="s">
        <v>38</v>
      </c>
      <c r="C59" s="10" t="s">
        <v>128</v>
      </c>
      <c r="D59" s="2" t="s">
        <v>123</v>
      </c>
      <c r="E59" s="14"/>
      <c r="F59" s="13"/>
      <c r="G59" s="2" t="s">
        <v>129</v>
      </c>
      <c r="I59" s="13"/>
      <c r="J59" s="2">
        <v>82.0</v>
      </c>
      <c r="L59" s="2">
        <v>51.0</v>
      </c>
      <c r="O59" s="53">
        <v>236.0</v>
      </c>
      <c r="P59" s="2">
        <v>82.0</v>
      </c>
      <c r="R59" s="2">
        <v>51.0</v>
      </c>
      <c r="U59" s="53">
        <v>236.0</v>
      </c>
    </row>
    <row r="60">
      <c r="B60" s="9" t="s">
        <v>42</v>
      </c>
      <c r="C60" s="10"/>
      <c r="E60" s="14"/>
      <c r="F60" s="13"/>
      <c r="I60" s="13"/>
      <c r="O60" s="13"/>
      <c r="U60" s="13"/>
    </row>
    <row r="61">
      <c r="B61" s="9" t="s">
        <v>44</v>
      </c>
      <c r="C61" s="10" t="s">
        <v>130</v>
      </c>
      <c r="D61" s="2" t="s">
        <v>131</v>
      </c>
      <c r="E61" s="14"/>
      <c r="F61" s="13"/>
      <c r="I61" s="13"/>
      <c r="J61" s="2">
        <v>9.0</v>
      </c>
      <c r="M61" s="2">
        <v>11.0</v>
      </c>
      <c r="O61" s="53">
        <v>13.0</v>
      </c>
      <c r="R61" s="2">
        <v>14.0</v>
      </c>
      <c r="S61" s="2">
        <v>11.0</v>
      </c>
      <c r="U61" s="53">
        <v>23.0</v>
      </c>
    </row>
    <row r="62">
      <c r="B62" s="9" t="s">
        <v>47</v>
      </c>
      <c r="C62" s="10" t="s">
        <v>132</v>
      </c>
      <c r="D62" s="2" t="s">
        <v>133</v>
      </c>
      <c r="E62" s="9"/>
      <c r="F62" s="13"/>
      <c r="G62" s="2" t="s">
        <v>50</v>
      </c>
      <c r="I62" s="13"/>
      <c r="J62" s="2">
        <v>20.0</v>
      </c>
      <c r="K62" s="2">
        <v>18.0</v>
      </c>
      <c r="L62" s="2">
        <v>25.0</v>
      </c>
      <c r="O62" s="53">
        <v>55.0</v>
      </c>
      <c r="P62" s="2">
        <v>27.0</v>
      </c>
      <c r="Q62" s="2">
        <v>18.0</v>
      </c>
      <c r="R62" s="2">
        <v>27.0</v>
      </c>
      <c r="U62" s="53">
        <v>61.0</v>
      </c>
    </row>
    <row r="63">
      <c r="A63" s="52"/>
      <c r="B63" s="9" t="s">
        <v>51</v>
      </c>
      <c r="C63" s="10" t="s">
        <v>134</v>
      </c>
      <c r="D63" s="2" t="s">
        <v>135</v>
      </c>
      <c r="E63" s="9" t="s">
        <v>136</v>
      </c>
      <c r="F63" s="13"/>
      <c r="I63" s="13"/>
      <c r="J63" s="2">
        <v>25.0</v>
      </c>
      <c r="M63" s="2">
        <v>15.0</v>
      </c>
      <c r="O63" s="53">
        <v>43.0</v>
      </c>
      <c r="P63" s="2">
        <v>31.0</v>
      </c>
      <c r="S63" s="2">
        <v>24.0</v>
      </c>
      <c r="U63" s="53">
        <v>50.0</v>
      </c>
    </row>
    <row r="64">
      <c r="A64" s="52"/>
      <c r="B64" s="9" t="s">
        <v>54</v>
      </c>
      <c r="C64" s="10" t="s">
        <v>137</v>
      </c>
      <c r="D64" s="2" t="s">
        <v>99</v>
      </c>
      <c r="E64" s="12" t="s">
        <v>138</v>
      </c>
      <c r="F64" s="13"/>
      <c r="G64" s="2" t="s">
        <v>58</v>
      </c>
      <c r="I64" s="13"/>
      <c r="J64" s="2">
        <v>59.0</v>
      </c>
      <c r="O64" s="53">
        <v>82.0</v>
      </c>
      <c r="P64" s="2">
        <v>42.0</v>
      </c>
      <c r="Q64" s="2">
        <v>38.0</v>
      </c>
      <c r="U64" s="53">
        <v>94.0</v>
      </c>
    </row>
    <row r="65">
      <c r="A65" s="52"/>
      <c r="B65" s="9" t="s">
        <v>59</v>
      </c>
      <c r="C65" s="10" t="s">
        <v>139</v>
      </c>
      <c r="D65" s="2" t="s">
        <v>135</v>
      </c>
      <c r="E65" s="9"/>
      <c r="F65" s="13"/>
      <c r="G65" s="2" t="s">
        <v>62</v>
      </c>
      <c r="I65" s="13"/>
      <c r="J65" s="2">
        <v>19.0</v>
      </c>
      <c r="K65" s="2">
        <v>18.0</v>
      </c>
      <c r="L65" s="2">
        <v>21.0</v>
      </c>
      <c r="O65" s="53">
        <v>42.0</v>
      </c>
      <c r="P65" s="2">
        <v>21.0</v>
      </c>
      <c r="Q65" s="2">
        <v>15.0</v>
      </c>
      <c r="R65" s="2">
        <v>24.0</v>
      </c>
      <c r="U65" s="53">
        <v>49.0</v>
      </c>
    </row>
    <row r="66">
      <c r="A66" s="52"/>
      <c r="B66" s="9" t="s">
        <v>63</v>
      </c>
      <c r="C66" s="10" t="s">
        <v>140</v>
      </c>
      <c r="D66" s="2" t="s">
        <v>69</v>
      </c>
      <c r="E66" s="14"/>
      <c r="F66" s="13"/>
      <c r="G66" s="2" t="s">
        <v>66</v>
      </c>
      <c r="I66" s="13"/>
      <c r="J66" s="2">
        <v>14.0</v>
      </c>
      <c r="L66" s="2">
        <v>14.0</v>
      </c>
      <c r="M66" s="2">
        <v>10.0</v>
      </c>
      <c r="O66" s="53">
        <v>34.0</v>
      </c>
      <c r="P66" s="2">
        <v>15.0</v>
      </c>
      <c r="R66" s="2">
        <v>19.0</v>
      </c>
      <c r="U66" s="53">
        <v>44.0</v>
      </c>
    </row>
    <row r="67">
      <c r="A67" s="52"/>
      <c r="B67" s="9" t="s">
        <v>67</v>
      </c>
      <c r="C67" s="10" t="s">
        <v>101</v>
      </c>
      <c r="D67" s="2" t="s">
        <v>102</v>
      </c>
      <c r="E67" s="14"/>
      <c r="F67" s="13"/>
      <c r="G67" s="2" t="s">
        <v>66</v>
      </c>
      <c r="I67" s="13"/>
      <c r="J67" s="2">
        <v>21.0</v>
      </c>
      <c r="L67" s="2">
        <v>14.0</v>
      </c>
      <c r="O67" s="53">
        <v>40.0</v>
      </c>
      <c r="P67" s="2">
        <v>23.0</v>
      </c>
      <c r="R67" s="2">
        <v>17.0</v>
      </c>
      <c r="U67" s="53">
        <v>41.0</v>
      </c>
    </row>
    <row r="68">
      <c r="B68" s="9" t="s">
        <v>70</v>
      </c>
      <c r="C68" s="10" t="s">
        <v>141</v>
      </c>
      <c r="E68" s="14"/>
      <c r="F68" s="13"/>
      <c r="G68" s="19"/>
      <c r="I68" s="13"/>
      <c r="O68" s="13"/>
      <c r="R68" s="2">
        <v>30.0</v>
      </c>
      <c r="S68" s="2">
        <v>12.0</v>
      </c>
      <c r="U68" s="13"/>
    </row>
    <row r="69">
      <c r="A69" s="52"/>
      <c r="B69" s="20" t="s">
        <v>73</v>
      </c>
      <c r="C69" s="21" t="s">
        <v>74</v>
      </c>
      <c r="D69" s="22" t="s">
        <v>142</v>
      </c>
      <c r="E69" s="23"/>
      <c r="F69" s="24"/>
      <c r="G69" s="25"/>
      <c r="H69" s="26"/>
      <c r="I69" s="24"/>
      <c r="J69" s="26"/>
      <c r="K69" s="26"/>
      <c r="L69" s="26"/>
      <c r="M69" s="26"/>
      <c r="N69" s="26"/>
      <c r="O69" s="54">
        <v>42.0</v>
      </c>
      <c r="P69" s="26"/>
      <c r="Q69" s="26"/>
      <c r="R69" s="26"/>
      <c r="S69" s="26"/>
      <c r="T69" s="26"/>
      <c r="U69" s="54">
        <v>42.0</v>
      </c>
    </row>
    <row r="70">
      <c r="B70" s="55"/>
      <c r="J70" s="56">
        <f t="shared" ref="J70:U70" si="1">SUM(J53:J69)</f>
        <v>427</v>
      </c>
      <c r="K70" s="8">
        <f t="shared" si="1"/>
        <v>92</v>
      </c>
      <c r="L70" s="8">
        <f t="shared" si="1"/>
        <v>210</v>
      </c>
      <c r="M70" s="8">
        <f t="shared" si="1"/>
        <v>89</v>
      </c>
      <c r="N70" s="8">
        <f t="shared" si="1"/>
        <v>0</v>
      </c>
      <c r="O70" s="7">
        <f t="shared" si="1"/>
        <v>845</v>
      </c>
      <c r="P70" s="56">
        <f t="shared" si="1"/>
        <v>446</v>
      </c>
      <c r="Q70" s="8">
        <f t="shared" si="1"/>
        <v>145</v>
      </c>
      <c r="R70" s="8">
        <f t="shared" si="1"/>
        <v>299</v>
      </c>
      <c r="S70" s="8">
        <f t="shared" si="1"/>
        <v>80</v>
      </c>
      <c r="T70" s="8">
        <f t="shared" si="1"/>
        <v>0</v>
      </c>
      <c r="U70" s="7">
        <f t="shared" si="1"/>
        <v>948</v>
      </c>
    </row>
    <row r="71">
      <c r="B71" s="3" t="s">
        <v>143</v>
      </c>
      <c r="J71" s="48" t="s">
        <v>144</v>
      </c>
    </row>
    <row r="72">
      <c r="B72" s="4" t="s">
        <v>6</v>
      </c>
      <c r="C72" s="5" t="s">
        <v>7</v>
      </c>
      <c r="D72" s="6" t="s">
        <v>8</v>
      </c>
      <c r="E72" s="57" t="s">
        <v>9</v>
      </c>
      <c r="F72" s="7"/>
      <c r="G72" s="6" t="s">
        <v>10</v>
      </c>
      <c r="H72" s="8"/>
      <c r="I72" s="7"/>
      <c r="J72" s="49" t="s">
        <v>108</v>
      </c>
      <c r="K72" s="50" t="s">
        <v>109</v>
      </c>
      <c r="L72" s="50" t="s">
        <v>110</v>
      </c>
      <c r="M72" s="50" t="s">
        <v>111</v>
      </c>
      <c r="N72" s="51" t="s">
        <v>112</v>
      </c>
      <c r="O72" s="51" t="s">
        <v>113</v>
      </c>
      <c r="AD72" s="2"/>
      <c r="AE72" s="2"/>
    </row>
    <row r="73">
      <c r="B73" s="9" t="s">
        <v>11</v>
      </c>
      <c r="C73" s="58" t="s">
        <v>114</v>
      </c>
      <c r="D73" s="59" t="s">
        <v>115</v>
      </c>
      <c r="E73" s="12" t="s">
        <v>145</v>
      </c>
      <c r="F73" s="13"/>
      <c r="G73" s="2" t="s">
        <v>15</v>
      </c>
      <c r="I73" s="13"/>
      <c r="J73" s="2">
        <v>58.0</v>
      </c>
      <c r="K73" s="2">
        <v>24.0</v>
      </c>
      <c r="L73" s="2">
        <v>24.0</v>
      </c>
      <c r="M73" s="2">
        <v>18.0</v>
      </c>
      <c r="O73" s="53">
        <v>77.0</v>
      </c>
    </row>
    <row r="74">
      <c r="B74" s="9" t="s">
        <v>16</v>
      </c>
      <c r="C74" s="60" t="s">
        <v>146</v>
      </c>
      <c r="D74" s="61" t="s">
        <v>147</v>
      </c>
      <c r="F74" s="13"/>
      <c r="I74" s="13"/>
      <c r="J74" s="2">
        <v>16.0</v>
      </c>
      <c r="L74" s="2">
        <v>24.0</v>
      </c>
      <c r="O74" s="53">
        <v>41.0</v>
      </c>
    </row>
    <row r="75">
      <c r="B75" s="9" t="s">
        <v>19</v>
      </c>
      <c r="C75" s="62" t="s">
        <v>118</v>
      </c>
      <c r="D75" s="63" t="s">
        <v>119</v>
      </c>
      <c r="E75" s="64" t="s">
        <v>148</v>
      </c>
      <c r="F75" s="13"/>
      <c r="G75" s="2" t="s">
        <v>121</v>
      </c>
      <c r="I75" s="13"/>
      <c r="J75" s="2">
        <v>34.0</v>
      </c>
      <c r="K75" s="2">
        <v>24.0</v>
      </c>
      <c r="L75" s="2">
        <v>27.0</v>
      </c>
      <c r="O75" s="53">
        <v>67.0</v>
      </c>
    </row>
    <row r="76">
      <c r="B76" s="9" t="s">
        <v>24</v>
      </c>
      <c r="C76" s="10" t="s">
        <v>149</v>
      </c>
      <c r="D76" s="2" t="s">
        <v>150</v>
      </c>
      <c r="E76" s="65"/>
      <c r="F76" s="13"/>
      <c r="G76" s="2" t="s">
        <v>88</v>
      </c>
      <c r="I76" s="13"/>
      <c r="J76" s="2">
        <v>16.0</v>
      </c>
      <c r="L76" s="2">
        <v>25.0</v>
      </c>
      <c r="O76" s="53">
        <v>42.0</v>
      </c>
    </row>
    <row r="77">
      <c r="B77" s="9" t="s">
        <v>28</v>
      </c>
      <c r="C77" s="10" t="s">
        <v>122</v>
      </c>
      <c r="D77" s="2" t="s">
        <v>123</v>
      </c>
      <c r="E77" s="64" t="s">
        <v>151</v>
      </c>
      <c r="F77" s="13"/>
      <c r="G77" s="2" t="s">
        <v>32</v>
      </c>
      <c r="I77" s="13"/>
      <c r="J77" s="66">
        <v>61.0</v>
      </c>
      <c r="K77" s="67">
        <v>26.0</v>
      </c>
      <c r="L77" s="67">
        <v>19.0</v>
      </c>
      <c r="M77" s="68"/>
      <c r="N77" s="68"/>
      <c r="O77" s="69">
        <v>60.0</v>
      </c>
    </row>
    <row r="78">
      <c r="B78" s="9" t="s">
        <v>33</v>
      </c>
      <c r="C78" s="10" t="s">
        <v>152</v>
      </c>
      <c r="D78" s="2" t="s">
        <v>153</v>
      </c>
      <c r="E78" s="64" t="s">
        <v>154</v>
      </c>
      <c r="F78" s="13"/>
      <c r="G78" s="2" t="s">
        <v>127</v>
      </c>
      <c r="I78" s="13"/>
      <c r="J78" s="2">
        <v>42.0</v>
      </c>
      <c r="K78" s="2">
        <v>19.0</v>
      </c>
      <c r="L78" s="2">
        <v>14.0</v>
      </c>
      <c r="O78" s="53">
        <v>34.0</v>
      </c>
    </row>
    <row r="79">
      <c r="B79" s="9" t="s">
        <v>38</v>
      </c>
      <c r="C79" s="10" t="s">
        <v>155</v>
      </c>
      <c r="D79" s="2" t="s">
        <v>156</v>
      </c>
      <c r="E79" s="65"/>
      <c r="F79" s="13"/>
      <c r="G79" s="2" t="s">
        <v>129</v>
      </c>
      <c r="I79" s="13"/>
      <c r="J79" s="2">
        <v>77.0</v>
      </c>
      <c r="L79" s="2">
        <v>36.0</v>
      </c>
      <c r="N79" s="2">
        <v>55.0</v>
      </c>
      <c r="O79" s="53">
        <v>259.0</v>
      </c>
    </row>
    <row r="80">
      <c r="B80" s="9" t="s">
        <v>42</v>
      </c>
      <c r="C80" s="10"/>
      <c r="E80" s="65"/>
      <c r="F80" s="13"/>
      <c r="I80" s="13"/>
      <c r="O80" s="13"/>
    </row>
    <row r="81">
      <c r="B81" s="9" t="s">
        <v>44</v>
      </c>
      <c r="C81" s="10" t="s">
        <v>157</v>
      </c>
      <c r="D81" s="2" t="s">
        <v>131</v>
      </c>
      <c r="E81" s="65"/>
      <c r="F81" s="13"/>
      <c r="I81" s="13"/>
      <c r="L81" s="2">
        <v>14.0</v>
      </c>
      <c r="M81" s="2">
        <v>11.0</v>
      </c>
      <c r="O81" s="53">
        <v>23.0</v>
      </c>
    </row>
    <row r="82">
      <c r="B82" s="9" t="s">
        <v>47</v>
      </c>
      <c r="C82" s="10" t="s">
        <v>132</v>
      </c>
      <c r="D82" s="2" t="s">
        <v>133</v>
      </c>
      <c r="E82" s="64"/>
      <c r="F82" s="13"/>
      <c r="G82" s="2" t="s">
        <v>158</v>
      </c>
      <c r="I82" s="13"/>
      <c r="J82" s="70">
        <v>27.0</v>
      </c>
      <c r="K82" s="67">
        <v>18.0</v>
      </c>
      <c r="L82" s="67">
        <v>27.0</v>
      </c>
      <c r="M82" s="71">
        <v>15.0</v>
      </c>
      <c r="N82" s="68"/>
      <c r="O82" s="72">
        <v>41.0</v>
      </c>
    </row>
    <row r="83">
      <c r="B83" s="9" t="s">
        <v>51</v>
      </c>
      <c r="C83" s="10" t="s">
        <v>159</v>
      </c>
      <c r="D83" s="2" t="s">
        <v>160</v>
      </c>
      <c r="E83" s="64" t="s">
        <v>161</v>
      </c>
      <c r="F83" s="13"/>
      <c r="I83" s="13"/>
      <c r="J83" s="2">
        <v>33.0</v>
      </c>
      <c r="K83" s="2">
        <v>10.0</v>
      </c>
      <c r="L83" s="2">
        <v>24.0</v>
      </c>
      <c r="O83" s="53">
        <v>59.0</v>
      </c>
      <c r="U83" s="2"/>
    </row>
    <row r="84">
      <c r="B84" s="9" t="s">
        <v>54</v>
      </c>
      <c r="C84" s="10" t="s">
        <v>162</v>
      </c>
      <c r="D84" s="2" t="s">
        <v>150</v>
      </c>
      <c r="E84" s="64" t="s">
        <v>163</v>
      </c>
      <c r="F84" s="13"/>
      <c r="G84" s="2" t="s">
        <v>58</v>
      </c>
      <c r="I84" s="13"/>
      <c r="J84" s="2">
        <v>47.0</v>
      </c>
      <c r="K84" s="2">
        <v>38.0</v>
      </c>
      <c r="L84" s="2">
        <v>29.0</v>
      </c>
      <c r="M84" s="2">
        <v>20.0</v>
      </c>
      <c r="O84" s="53">
        <v>99.0</v>
      </c>
    </row>
    <row r="85">
      <c r="B85" s="9" t="s">
        <v>59</v>
      </c>
      <c r="C85" s="10" t="s">
        <v>164</v>
      </c>
      <c r="D85" s="2" t="s">
        <v>165</v>
      </c>
      <c r="E85" s="64" t="s">
        <v>166</v>
      </c>
      <c r="F85" s="13"/>
      <c r="G85" s="2" t="s">
        <v>62</v>
      </c>
      <c r="I85" s="13"/>
      <c r="J85" s="2">
        <v>28.0</v>
      </c>
      <c r="K85" s="2">
        <v>28.0</v>
      </c>
      <c r="L85" s="2">
        <v>29.0</v>
      </c>
      <c r="O85" s="53">
        <v>48.0</v>
      </c>
    </row>
    <row r="86">
      <c r="B86" s="9" t="s">
        <v>63</v>
      </c>
      <c r="C86" s="10" t="s">
        <v>167</v>
      </c>
      <c r="D86" s="2" t="s">
        <v>168</v>
      </c>
      <c r="E86" s="65"/>
      <c r="F86" s="13"/>
      <c r="G86" s="2" t="s">
        <v>66</v>
      </c>
      <c r="I86" s="13"/>
      <c r="J86" s="2">
        <v>20.0</v>
      </c>
      <c r="N86" s="2">
        <v>31.0</v>
      </c>
      <c r="O86" s="53">
        <v>51.0</v>
      </c>
    </row>
    <row r="87">
      <c r="B87" s="9" t="s">
        <v>67</v>
      </c>
      <c r="C87" s="10" t="s">
        <v>167</v>
      </c>
      <c r="D87" s="2" t="s">
        <v>168</v>
      </c>
      <c r="E87" s="65"/>
      <c r="F87" s="13"/>
      <c r="G87" s="2" t="s">
        <v>66</v>
      </c>
      <c r="I87" s="13"/>
      <c r="J87" s="2">
        <v>20.0</v>
      </c>
      <c r="N87" s="2">
        <v>31.0</v>
      </c>
      <c r="O87" s="53">
        <v>51.0</v>
      </c>
    </row>
    <row r="88">
      <c r="B88" s="9" t="s">
        <v>70</v>
      </c>
      <c r="C88" s="10" t="s">
        <v>169</v>
      </c>
      <c r="D88" s="2" t="s">
        <v>170</v>
      </c>
      <c r="E88" s="65"/>
      <c r="F88" s="13"/>
      <c r="G88" s="19"/>
      <c r="I88" s="13"/>
      <c r="L88" s="2">
        <v>30.0</v>
      </c>
      <c r="M88" s="2">
        <v>12.0</v>
      </c>
      <c r="O88" s="13"/>
    </row>
    <row r="89">
      <c r="B89" s="20" t="s">
        <v>73</v>
      </c>
      <c r="C89" s="21" t="s">
        <v>74</v>
      </c>
      <c r="D89" s="22" t="s">
        <v>142</v>
      </c>
      <c r="E89" s="73"/>
      <c r="F89" s="24"/>
      <c r="G89" s="25"/>
      <c r="H89" s="26"/>
      <c r="I89" s="24"/>
      <c r="O89" s="53">
        <v>42.0</v>
      </c>
    </row>
    <row r="90">
      <c r="E90" s="74"/>
      <c r="J90" s="56">
        <f t="shared" ref="J90:O90" si="2">SUM(J73:J89)</f>
        <v>479</v>
      </c>
      <c r="K90" s="8">
        <f t="shared" si="2"/>
        <v>187</v>
      </c>
      <c r="L90" s="8">
        <f t="shared" si="2"/>
        <v>322</v>
      </c>
      <c r="M90" s="8">
        <f t="shared" si="2"/>
        <v>76</v>
      </c>
      <c r="N90" s="8">
        <f t="shared" si="2"/>
        <v>117</v>
      </c>
      <c r="O90" s="7">
        <f t="shared" si="2"/>
        <v>994</v>
      </c>
    </row>
    <row r="91">
      <c r="B91" s="3" t="s">
        <v>171</v>
      </c>
      <c r="E91" s="74"/>
      <c r="J91" s="48" t="s">
        <v>144</v>
      </c>
    </row>
    <row r="92">
      <c r="B92" s="4" t="s">
        <v>6</v>
      </c>
      <c r="C92" s="5" t="s">
        <v>7</v>
      </c>
      <c r="D92" s="6" t="s">
        <v>8</v>
      </c>
      <c r="E92" s="57"/>
      <c r="F92" s="7"/>
      <c r="G92" s="6" t="s">
        <v>10</v>
      </c>
      <c r="H92" s="8"/>
      <c r="I92" s="7"/>
      <c r="J92" s="49" t="s">
        <v>108</v>
      </c>
      <c r="K92" s="50" t="s">
        <v>109</v>
      </c>
      <c r="L92" s="50" t="s">
        <v>110</v>
      </c>
      <c r="M92" s="50" t="s">
        <v>111</v>
      </c>
      <c r="N92" s="51" t="s">
        <v>112</v>
      </c>
      <c r="O92" s="51" t="s">
        <v>113</v>
      </c>
    </row>
    <row r="93">
      <c r="B93" s="9" t="s">
        <v>11</v>
      </c>
      <c r="C93" s="58" t="s">
        <v>114</v>
      </c>
      <c r="D93" s="59" t="s">
        <v>115</v>
      </c>
      <c r="E93" s="64" t="s">
        <v>172</v>
      </c>
      <c r="F93" s="13"/>
      <c r="G93" s="2" t="s">
        <v>15</v>
      </c>
      <c r="I93" s="13"/>
      <c r="J93" s="2">
        <v>58.0</v>
      </c>
      <c r="K93" s="2">
        <v>24.0</v>
      </c>
      <c r="L93" s="2">
        <v>24.0</v>
      </c>
      <c r="M93" s="2">
        <v>18.0</v>
      </c>
      <c r="O93" s="53">
        <v>77.0</v>
      </c>
    </row>
    <row r="94">
      <c r="B94" s="9" t="s">
        <v>16</v>
      </c>
      <c r="C94" s="60" t="s">
        <v>173</v>
      </c>
      <c r="D94" s="61" t="s">
        <v>174</v>
      </c>
      <c r="F94" s="13"/>
      <c r="I94" s="13"/>
      <c r="J94" s="2">
        <v>24.0</v>
      </c>
      <c r="K94" s="2">
        <v>19.0</v>
      </c>
      <c r="N94" s="2">
        <v>33.0</v>
      </c>
      <c r="O94" s="53">
        <v>25.0</v>
      </c>
    </row>
    <row r="95">
      <c r="B95" s="9" t="s">
        <v>19</v>
      </c>
      <c r="C95" s="62" t="s">
        <v>118</v>
      </c>
      <c r="D95" s="63" t="s">
        <v>119</v>
      </c>
      <c r="E95" s="64" t="s">
        <v>175</v>
      </c>
      <c r="F95" s="13"/>
      <c r="G95" s="2" t="s">
        <v>121</v>
      </c>
      <c r="I95" s="13"/>
      <c r="J95" s="2">
        <v>34.0</v>
      </c>
      <c r="K95" s="2">
        <v>34.0</v>
      </c>
      <c r="L95" s="2">
        <v>27.0</v>
      </c>
      <c r="O95" s="53">
        <v>62.0</v>
      </c>
    </row>
    <row r="96">
      <c r="B96" s="9" t="s">
        <v>24</v>
      </c>
      <c r="C96" s="10" t="s">
        <v>149</v>
      </c>
      <c r="D96" s="2" t="s">
        <v>150</v>
      </c>
      <c r="E96" s="65"/>
      <c r="F96" s="13"/>
      <c r="G96" s="2" t="s">
        <v>88</v>
      </c>
      <c r="I96" s="13"/>
      <c r="J96" s="2">
        <v>16.0</v>
      </c>
      <c r="L96" s="2">
        <v>25.0</v>
      </c>
      <c r="O96" s="53">
        <v>42.0</v>
      </c>
    </row>
    <row r="97">
      <c r="B97" s="9" t="s">
        <v>28</v>
      </c>
      <c r="C97" s="10" t="s">
        <v>122</v>
      </c>
      <c r="D97" s="2" t="s">
        <v>123</v>
      </c>
      <c r="E97" s="64" t="s">
        <v>176</v>
      </c>
      <c r="F97" s="13"/>
      <c r="G97" s="2" t="s">
        <v>32</v>
      </c>
      <c r="I97" s="13"/>
      <c r="J97" s="66">
        <v>61.0</v>
      </c>
      <c r="K97" s="75">
        <v>36.0</v>
      </c>
      <c r="L97" s="67">
        <v>19.0</v>
      </c>
      <c r="M97" s="68"/>
      <c r="N97" s="68"/>
      <c r="O97" s="72">
        <v>55.0</v>
      </c>
    </row>
    <row r="98">
      <c r="B98" s="9" t="s">
        <v>33</v>
      </c>
      <c r="C98" s="10" t="s">
        <v>152</v>
      </c>
      <c r="D98" s="2" t="s">
        <v>153</v>
      </c>
      <c r="E98" s="64" t="s">
        <v>154</v>
      </c>
      <c r="F98" s="13"/>
      <c r="G98" s="2" t="s">
        <v>127</v>
      </c>
      <c r="I98" s="13"/>
      <c r="J98" s="2">
        <v>42.0</v>
      </c>
      <c r="K98" s="2">
        <v>19.0</v>
      </c>
      <c r="L98" s="2">
        <v>14.0</v>
      </c>
      <c r="O98" s="53">
        <v>34.0</v>
      </c>
    </row>
    <row r="99">
      <c r="B99" s="9" t="s">
        <v>38</v>
      </c>
      <c r="C99" s="10" t="s">
        <v>155</v>
      </c>
      <c r="D99" s="2" t="s">
        <v>156</v>
      </c>
      <c r="E99" s="65"/>
      <c r="F99" s="13"/>
      <c r="G99" s="2" t="s">
        <v>129</v>
      </c>
      <c r="I99" s="13"/>
      <c r="J99" s="2">
        <v>77.0</v>
      </c>
      <c r="L99" s="2">
        <v>36.0</v>
      </c>
      <c r="N99" s="2">
        <v>55.0</v>
      </c>
      <c r="O99" s="53">
        <v>259.0</v>
      </c>
    </row>
    <row r="100">
      <c r="B100" s="9" t="s">
        <v>42</v>
      </c>
      <c r="C100" s="10"/>
      <c r="E100" s="65"/>
      <c r="F100" s="13"/>
      <c r="I100" s="13"/>
      <c r="O100" s="13"/>
    </row>
    <row r="101">
      <c r="B101" s="9" t="s">
        <v>44</v>
      </c>
      <c r="C101" s="10" t="s">
        <v>157</v>
      </c>
      <c r="D101" s="2" t="s">
        <v>131</v>
      </c>
      <c r="E101" s="65"/>
      <c r="F101" s="13"/>
      <c r="I101" s="13"/>
      <c r="L101" s="2">
        <v>14.0</v>
      </c>
      <c r="M101" s="2">
        <v>11.0</v>
      </c>
      <c r="O101" s="53">
        <v>23.0</v>
      </c>
    </row>
    <row r="102">
      <c r="B102" s="9" t="s">
        <v>47</v>
      </c>
      <c r="C102" s="10" t="s">
        <v>132</v>
      </c>
      <c r="D102" s="2" t="s">
        <v>133</v>
      </c>
      <c r="E102" s="64"/>
      <c r="F102" s="13"/>
      <c r="G102" s="2" t="s">
        <v>50</v>
      </c>
      <c r="I102" s="13"/>
      <c r="J102" s="70">
        <v>27.0</v>
      </c>
      <c r="K102" s="67">
        <v>18.0</v>
      </c>
      <c r="L102" s="67">
        <v>27.0</v>
      </c>
      <c r="M102" s="68"/>
      <c r="N102" s="68"/>
      <c r="O102" s="69">
        <v>61.0</v>
      </c>
    </row>
    <row r="103">
      <c r="B103" s="9" t="s">
        <v>51</v>
      </c>
      <c r="C103" s="10" t="s">
        <v>159</v>
      </c>
      <c r="D103" s="2" t="s">
        <v>160</v>
      </c>
      <c r="E103" s="64" t="s">
        <v>161</v>
      </c>
      <c r="F103" s="13"/>
      <c r="I103" s="13"/>
      <c r="J103" s="2">
        <v>33.0</v>
      </c>
      <c r="K103" s="2">
        <v>10.0</v>
      </c>
      <c r="L103" s="2">
        <v>24.0</v>
      </c>
      <c r="O103" s="53">
        <v>59.0</v>
      </c>
    </row>
    <row r="104">
      <c r="B104" s="9" t="s">
        <v>54</v>
      </c>
      <c r="C104" s="10" t="s">
        <v>162</v>
      </c>
      <c r="D104" s="2" t="s">
        <v>150</v>
      </c>
      <c r="E104" s="64" t="s">
        <v>163</v>
      </c>
      <c r="F104" s="13"/>
      <c r="G104" s="2" t="s">
        <v>58</v>
      </c>
      <c r="I104" s="13"/>
      <c r="J104" s="2">
        <v>47.0</v>
      </c>
      <c r="K104" s="2">
        <v>38.0</v>
      </c>
      <c r="L104" s="2">
        <v>29.0</v>
      </c>
      <c r="M104" s="2">
        <v>20.0</v>
      </c>
      <c r="O104" s="53">
        <v>99.0</v>
      </c>
    </row>
    <row r="105">
      <c r="B105" s="9" t="s">
        <v>59</v>
      </c>
      <c r="C105" s="10" t="s">
        <v>164</v>
      </c>
      <c r="D105" s="2" t="s">
        <v>165</v>
      </c>
      <c r="E105" s="64" t="s">
        <v>166</v>
      </c>
      <c r="F105" s="13"/>
      <c r="G105" s="2" t="s">
        <v>62</v>
      </c>
      <c r="I105" s="13"/>
      <c r="J105" s="2">
        <v>28.0</v>
      </c>
      <c r="K105" s="2">
        <v>28.0</v>
      </c>
      <c r="L105" s="2">
        <v>29.0</v>
      </c>
      <c r="O105" s="53">
        <v>48.0</v>
      </c>
    </row>
    <row r="106">
      <c r="B106" s="9" t="s">
        <v>63</v>
      </c>
      <c r="C106" s="10" t="s">
        <v>167</v>
      </c>
      <c r="D106" s="2" t="s">
        <v>168</v>
      </c>
      <c r="E106" s="65"/>
      <c r="F106" s="13"/>
      <c r="G106" s="2" t="s">
        <v>66</v>
      </c>
      <c r="I106" s="13"/>
      <c r="J106" s="2">
        <v>20.0</v>
      </c>
      <c r="N106" s="2">
        <v>31.0</v>
      </c>
      <c r="O106" s="53">
        <v>51.0</v>
      </c>
    </row>
    <row r="107">
      <c r="B107" s="9" t="s">
        <v>67</v>
      </c>
      <c r="C107" s="10" t="s">
        <v>177</v>
      </c>
      <c r="D107" s="2" t="s">
        <v>178</v>
      </c>
      <c r="E107" s="65"/>
      <c r="F107" s="13"/>
      <c r="G107" s="2" t="s">
        <v>66</v>
      </c>
      <c r="I107" s="13"/>
      <c r="J107" s="2">
        <v>19.0</v>
      </c>
      <c r="M107" s="2">
        <v>18.0</v>
      </c>
      <c r="N107" s="2">
        <v>29.0</v>
      </c>
      <c r="O107" s="53">
        <v>46.0</v>
      </c>
    </row>
    <row r="108">
      <c r="B108" s="9" t="s">
        <v>70</v>
      </c>
      <c r="C108" s="10" t="s">
        <v>169</v>
      </c>
      <c r="D108" s="2" t="s">
        <v>170</v>
      </c>
      <c r="E108" s="65"/>
      <c r="F108" s="13"/>
      <c r="G108" s="19"/>
      <c r="I108" s="13"/>
      <c r="L108" s="2">
        <v>30.0</v>
      </c>
      <c r="M108" s="2">
        <v>12.0</v>
      </c>
      <c r="O108" s="13"/>
    </row>
    <row r="109">
      <c r="B109" s="20" t="s">
        <v>73</v>
      </c>
      <c r="C109" s="76" t="s">
        <v>179</v>
      </c>
      <c r="D109" s="22" t="s">
        <v>180</v>
      </c>
      <c r="E109" s="73"/>
      <c r="F109" s="24"/>
      <c r="G109" s="25"/>
      <c r="H109" s="26"/>
      <c r="I109" s="24"/>
      <c r="O109" s="53">
        <v>53.0</v>
      </c>
    </row>
    <row r="110">
      <c r="E110" s="74"/>
      <c r="J110" s="56">
        <f t="shared" ref="J110:O110" si="3">SUM(J93:J109)</f>
        <v>486</v>
      </c>
      <c r="K110" s="8">
        <f t="shared" si="3"/>
        <v>226</v>
      </c>
      <c r="L110" s="8">
        <f t="shared" si="3"/>
        <v>298</v>
      </c>
      <c r="M110" s="8">
        <f t="shared" si="3"/>
        <v>79</v>
      </c>
      <c r="N110" s="8">
        <f t="shared" si="3"/>
        <v>148</v>
      </c>
      <c r="O110" s="7">
        <f t="shared" si="3"/>
        <v>994</v>
      </c>
    </row>
    <row r="111">
      <c r="B111" s="3" t="s">
        <v>181</v>
      </c>
      <c r="E111" s="74"/>
      <c r="J111" s="48" t="s">
        <v>144</v>
      </c>
    </row>
    <row r="112">
      <c r="B112" s="4" t="s">
        <v>6</v>
      </c>
      <c r="C112" s="5" t="s">
        <v>7</v>
      </c>
      <c r="D112" s="6" t="s">
        <v>8</v>
      </c>
      <c r="E112" s="57"/>
      <c r="F112" s="7"/>
      <c r="G112" s="6" t="s">
        <v>10</v>
      </c>
      <c r="H112" s="8"/>
      <c r="I112" s="7"/>
      <c r="J112" s="49" t="s">
        <v>108</v>
      </c>
      <c r="K112" s="50" t="s">
        <v>109</v>
      </c>
      <c r="L112" s="50" t="s">
        <v>110</v>
      </c>
      <c r="M112" s="50" t="s">
        <v>111</v>
      </c>
      <c r="N112" s="51" t="s">
        <v>112</v>
      </c>
      <c r="O112" s="51" t="s">
        <v>113</v>
      </c>
    </row>
    <row r="113">
      <c r="B113" s="9" t="s">
        <v>11</v>
      </c>
      <c r="C113" s="58" t="s">
        <v>114</v>
      </c>
      <c r="D113" s="59" t="s">
        <v>115</v>
      </c>
      <c r="E113" s="64" t="s">
        <v>172</v>
      </c>
      <c r="F113" s="13"/>
      <c r="G113" s="2" t="s">
        <v>15</v>
      </c>
      <c r="I113" s="13"/>
      <c r="J113" s="2">
        <v>58.0</v>
      </c>
      <c r="K113" s="2">
        <v>24.0</v>
      </c>
      <c r="L113" s="2">
        <v>24.0</v>
      </c>
      <c r="M113" s="2">
        <v>18.0</v>
      </c>
      <c r="O113" s="53">
        <v>77.0</v>
      </c>
    </row>
    <row r="114">
      <c r="B114" s="9" t="s">
        <v>16</v>
      </c>
      <c r="C114" s="60" t="s">
        <v>182</v>
      </c>
      <c r="D114" s="61" t="s">
        <v>183</v>
      </c>
      <c r="E114" s="64" t="s">
        <v>154</v>
      </c>
      <c r="F114" s="13"/>
      <c r="I114" s="13"/>
      <c r="J114" s="2">
        <v>29.0</v>
      </c>
      <c r="L114" s="2">
        <v>25.0</v>
      </c>
      <c r="N114" s="2">
        <v>25.0</v>
      </c>
      <c r="O114" s="53">
        <v>36.0</v>
      </c>
    </row>
    <row r="115">
      <c r="B115" s="9" t="s">
        <v>19</v>
      </c>
      <c r="C115" s="62" t="s">
        <v>118</v>
      </c>
      <c r="D115" s="63" t="s">
        <v>119</v>
      </c>
      <c r="E115" s="64" t="s">
        <v>166</v>
      </c>
      <c r="F115" s="13"/>
      <c r="G115" s="2" t="s">
        <v>121</v>
      </c>
      <c r="I115" s="13"/>
      <c r="J115" s="2">
        <v>34.0</v>
      </c>
      <c r="K115" s="2">
        <v>34.0</v>
      </c>
      <c r="L115" s="2">
        <v>27.0</v>
      </c>
      <c r="O115" s="53">
        <v>62.0</v>
      </c>
    </row>
    <row r="116">
      <c r="B116" s="9" t="s">
        <v>24</v>
      </c>
      <c r="C116" s="10" t="s">
        <v>184</v>
      </c>
      <c r="D116" s="2" t="s">
        <v>185</v>
      </c>
      <c r="E116" s="64" t="s">
        <v>186</v>
      </c>
      <c r="F116" s="13"/>
      <c r="G116" s="2" t="s">
        <v>88</v>
      </c>
      <c r="I116" s="13"/>
      <c r="J116" s="2">
        <v>26.0</v>
      </c>
      <c r="N116" s="2">
        <v>32.0</v>
      </c>
      <c r="O116" s="53">
        <v>66.0</v>
      </c>
    </row>
    <row r="117">
      <c r="B117" s="9" t="s">
        <v>28</v>
      </c>
      <c r="C117" s="10" t="s">
        <v>187</v>
      </c>
      <c r="D117" s="77" t="s">
        <v>188</v>
      </c>
      <c r="E117" s="64" t="s">
        <v>189</v>
      </c>
      <c r="F117" s="13"/>
      <c r="G117" s="2" t="s">
        <v>32</v>
      </c>
      <c r="I117" s="13"/>
      <c r="J117" s="2">
        <v>56.0</v>
      </c>
      <c r="K117" s="2">
        <v>32.0</v>
      </c>
      <c r="L117" s="2">
        <v>26.0</v>
      </c>
      <c r="N117" s="2">
        <v>27.0</v>
      </c>
      <c r="O117" s="53">
        <v>100.0</v>
      </c>
    </row>
    <row r="118">
      <c r="B118" s="9" t="s">
        <v>33</v>
      </c>
      <c r="C118" s="10" t="s">
        <v>190</v>
      </c>
      <c r="D118" s="2" t="s">
        <v>191</v>
      </c>
      <c r="E118" s="64" t="s">
        <v>192</v>
      </c>
      <c r="F118" s="13"/>
      <c r="G118" s="2" t="s">
        <v>127</v>
      </c>
      <c r="I118" s="13"/>
      <c r="J118" s="2">
        <v>29.0</v>
      </c>
      <c r="K118" s="2">
        <v>18.0</v>
      </c>
      <c r="L118" s="2">
        <v>13.0</v>
      </c>
      <c r="N118" s="2">
        <v>26.0</v>
      </c>
      <c r="O118" s="53">
        <v>47.0</v>
      </c>
    </row>
    <row r="119">
      <c r="B119" s="9" t="s">
        <v>38</v>
      </c>
      <c r="C119" s="10" t="s">
        <v>193</v>
      </c>
      <c r="D119" s="2" t="s">
        <v>194</v>
      </c>
      <c r="E119" s="64" t="s">
        <v>195</v>
      </c>
      <c r="F119" s="13"/>
      <c r="G119" s="2" t="s">
        <v>129</v>
      </c>
      <c r="I119" s="13"/>
      <c r="J119" s="2">
        <v>112.0</v>
      </c>
      <c r="L119" s="2">
        <v>49.0</v>
      </c>
      <c r="M119" s="2">
        <v>50.0</v>
      </c>
      <c r="O119" s="53">
        <v>271.0</v>
      </c>
    </row>
    <row r="120">
      <c r="B120" s="9" t="s">
        <v>42</v>
      </c>
      <c r="C120" s="10"/>
      <c r="E120" s="65"/>
      <c r="F120" s="13"/>
      <c r="I120" s="13"/>
      <c r="O120" s="13"/>
    </row>
    <row r="121">
      <c r="B121" s="9" t="s">
        <v>44</v>
      </c>
      <c r="C121" s="10" t="s">
        <v>196</v>
      </c>
      <c r="D121" s="2" t="s">
        <v>197</v>
      </c>
      <c r="E121" s="64" t="s">
        <v>154</v>
      </c>
      <c r="F121" s="13"/>
      <c r="I121" s="13"/>
      <c r="J121" s="2">
        <v>20.0</v>
      </c>
      <c r="N121" s="2">
        <v>18.0</v>
      </c>
      <c r="O121" s="53">
        <v>24.0</v>
      </c>
    </row>
    <row r="122">
      <c r="B122" s="9" t="s">
        <v>47</v>
      </c>
      <c r="C122" s="10" t="s">
        <v>198</v>
      </c>
      <c r="D122" s="2" t="s">
        <v>199</v>
      </c>
      <c r="E122" s="64" t="s">
        <v>200</v>
      </c>
      <c r="F122" s="13"/>
      <c r="G122" s="2" t="s">
        <v>50</v>
      </c>
      <c r="I122" s="13"/>
      <c r="J122" s="2">
        <v>42.0</v>
      </c>
      <c r="K122" s="2">
        <v>27.0</v>
      </c>
      <c r="N122" s="2">
        <v>36.0</v>
      </c>
      <c r="O122" s="53">
        <v>83.0</v>
      </c>
    </row>
    <row r="123">
      <c r="B123" s="9" t="s">
        <v>51</v>
      </c>
      <c r="C123" s="10" t="s">
        <v>201</v>
      </c>
      <c r="D123" s="2" t="s">
        <v>202</v>
      </c>
      <c r="E123" s="64" t="s">
        <v>154</v>
      </c>
      <c r="F123" s="13"/>
      <c r="I123" s="13"/>
      <c r="J123" s="2">
        <v>39.0</v>
      </c>
      <c r="K123" s="2">
        <v>20.0</v>
      </c>
      <c r="L123" s="2">
        <v>17.0</v>
      </c>
      <c r="M123" s="2">
        <v>14.0</v>
      </c>
      <c r="N123" s="2">
        <v>29.0</v>
      </c>
      <c r="O123" s="53">
        <v>52.0</v>
      </c>
    </row>
    <row r="124">
      <c r="B124" s="9" t="s">
        <v>54</v>
      </c>
      <c r="C124" s="10" t="s">
        <v>203</v>
      </c>
      <c r="D124" s="2" t="s">
        <v>204</v>
      </c>
      <c r="E124" s="64" t="s">
        <v>205</v>
      </c>
      <c r="F124" s="13"/>
      <c r="G124" s="2" t="s">
        <v>58</v>
      </c>
      <c r="I124" s="13"/>
      <c r="J124" s="2">
        <v>56.0</v>
      </c>
      <c r="K124" s="2">
        <v>25.0</v>
      </c>
      <c r="N124" s="2">
        <v>42.0</v>
      </c>
      <c r="O124" s="53">
        <v>123.0</v>
      </c>
    </row>
    <row r="125">
      <c r="B125" s="9" t="s">
        <v>59</v>
      </c>
      <c r="C125" s="10" t="s">
        <v>206</v>
      </c>
      <c r="D125" s="2" t="s">
        <v>207</v>
      </c>
      <c r="E125" s="64" t="s">
        <v>154</v>
      </c>
      <c r="F125" s="13"/>
      <c r="G125" s="2" t="s">
        <v>62</v>
      </c>
      <c r="I125" s="13"/>
      <c r="J125" s="2">
        <v>39.0</v>
      </c>
      <c r="K125" s="2">
        <v>20.0</v>
      </c>
      <c r="L125" s="2">
        <v>20.0</v>
      </c>
      <c r="M125" s="2">
        <v>15.0</v>
      </c>
      <c r="N125" s="2">
        <v>25.0</v>
      </c>
      <c r="O125" s="53">
        <v>52.0</v>
      </c>
    </row>
    <row r="126">
      <c r="B126" s="9" t="s">
        <v>63</v>
      </c>
      <c r="C126" s="60" t="s">
        <v>208</v>
      </c>
      <c r="D126" s="61" t="s">
        <v>183</v>
      </c>
      <c r="E126" s="65"/>
      <c r="F126" s="13"/>
      <c r="G126" s="2" t="s">
        <v>66</v>
      </c>
      <c r="I126" s="13"/>
      <c r="J126" s="2">
        <v>28.0</v>
      </c>
      <c r="M126" s="2">
        <v>19.0</v>
      </c>
      <c r="N126" s="2">
        <v>30.0</v>
      </c>
      <c r="O126" s="53">
        <v>46.0</v>
      </c>
    </row>
    <row r="127">
      <c r="B127" s="9" t="s">
        <v>67</v>
      </c>
      <c r="C127" s="60" t="s">
        <v>209</v>
      </c>
      <c r="D127" s="77" t="s">
        <v>188</v>
      </c>
      <c r="E127" s="65"/>
      <c r="F127" s="13"/>
      <c r="G127" s="2" t="s">
        <v>66</v>
      </c>
      <c r="I127" s="13"/>
      <c r="J127" s="2">
        <v>14.0</v>
      </c>
      <c r="L127" s="2">
        <v>22.0</v>
      </c>
      <c r="N127" s="2">
        <v>31.0</v>
      </c>
      <c r="O127" s="53">
        <v>52.0</v>
      </c>
    </row>
    <row r="128">
      <c r="B128" s="9" t="s">
        <v>70</v>
      </c>
      <c r="C128" s="10" t="s">
        <v>169</v>
      </c>
      <c r="D128" s="2" t="s">
        <v>170</v>
      </c>
      <c r="E128" s="65"/>
      <c r="F128" s="13"/>
      <c r="G128" s="19"/>
      <c r="I128" s="13"/>
      <c r="L128" s="2">
        <v>30.0</v>
      </c>
      <c r="M128" s="2">
        <v>12.0</v>
      </c>
      <c r="O128" s="13"/>
    </row>
    <row r="129">
      <c r="B129" s="20" t="s">
        <v>73</v>
      </c>
      <c r="C129" s="78" t="s">
        <v>210</v>
      </c>
      <c r="D129" s="79" t="s">
        <v>188</v>
      </c>
      <c r="E129" s="73"/>
      <c r="F129" s="24"/>
      <c r="G129" s="25"/>
      <c r="H129" s="26"/>
      <c r="I129" s="24"/>
      <c r="J129" s="26"/>
      <c r="K129" s="26"/>
      <c r="L129" s="26"/>
      <c r="M129" s="26"/>
      <c r="N129" s="22">
        <v>54.0</v>
      </c>
      <c r="O129" s="54"/>
    </row>
    <row r="130">
      <c r="J130" s="56">
        <f t="shared" ref="J130:O130" si="4">SUM(J113:J129)</f>
        <v>582</v>
      </c>
      <c r="K130" s="8">
        <f t="shared" si="4"/>
        <v>200</v>
      </c>
      <c r="L130" s="8">
        <f t="shared" si="4"/>
        <v>253</v>
      </c>
      <c r="M130" s="8">
        <f t="shared" si="4"/>
        <v>128</v>
      </c>
      <c r="N130" s="8">
        <f t="shared" si="4"/>
        <v>375</v>
      </c>
      <c r="O130" s="7">
        <f t="shared" si="4"/>
        <v>1091</v>
      </c>
    </row>
    <row r="133">
      <c r="D133" s="80"/>
    </row>
    <row r="134">
      <c r="D134" s="80"/>
    </row>
    <row r="135">
      <c r="D135" s="80"/>
    </row>
    <row r="136">
      <c r="D136" s="80"/>
    </row>
    <row r="137">
      <c r="D137" s="80"/>
    </row>
    <row r="138">
      <c r="D138" s="80"/>
    </row>
    <row r="139">
      <c r="D139" s="80"/>
    </row>
    <row r="140">
      <c r="D140" s="80"/>
    </row>
    <row r="141">
      <c r="D141" s="80"/>
    </row>
    <row r="142">
      <c r="D142" s="80"/>
    </row>
    <row r="143">
      <c r="D143" s="80"/>
    </row>
    <row r="144">
      <c r="D144" s="80"/>
    </row>
    <row r="145">
      <c r="D145" s="80"/>
    </row>
    <row r="146">
      <c r="D146" s="80"/>
    </row>
    <row r="147">
      <c r="D147" s="81"/>
    </row>
    <row r="148">
      <c r="D148" s="81"/>
    </row>
    <row r="149">
      <c r="D149" s="81"/>
    </row>
    <row r="150">
      <c r="D150" s="81"/>
    </row>
  </sheetData>
  <mergeCells count="4">
    <mergeCell ref="J51:O51"/>
    <mergeCell ref="J71:O71"/>
    <mergeCell ref="J91:O91"/>
    <mergeCell ref="J111:O111"/>
  </mergeCells>
  <dataValidations>
    <dataValidation type="list" allowBlank="1" sqref="C22">
      <formula1>"Aran's Sorcerous Slacks,Devil-Stitched Leggings from Laj in Botanica are also okay but not as good.,Leggings from Lower City Revered"</formula1>
    </dataValidation>
    <dataValidation type="list" allowBlank="1" sqref="C84 C104">
      <formula1>"Leggings of the Tempest,Leggings of Channeled Elements are a little bit better but you will need T6 Legs in Sunwell."</formula1>
    </dataValidation>
    <dataValidation type="list" allowBlank="1" sqref="C64">
      <formula1>"Trial-Fire Trousers (BIS pre 2.1),Trousers of the Astromancer (BIS Post 2.1)"</formula1>
    </dataValidation>
    <dataValidation type="list" allowBlank="1" sqref="C54">
      <formula1>"Brooch of Heightened Potential (BIS pre Kaelthas Sphere),The Sun King's Talisman (BIS when the sphere drops from Kael'Thas)"</formula1>
    </dataValidation>
    <dataValidation type="list" allowBlank="1" sqref="C94">
      <formula1>"Brooch of Nature's Mercy,(Small upgrade)"</formula1>
    </dataValidation>
    <dataValidation type="list" allowBlank="1" sqref="C15">
      <formula1>"Anchorite's Robes,If you don't wanna go Aldor you can also use the quest reward ""Auchenai Anchorite's Robes"",or Robe of the Crimson Order"</formula1>
    </dataValidation>
    <dataValidation type="list" allowBlank="1" sqref="C21">
      <formula1>"Glyph-Lined Sash,Girdle of Ruination (Tailoring. Better but expensive)"</formula1>
    </dataValidation>
    <dataValidation type="list" allowBlank="1" sqref="C25">
      <formula1>"Sparking Arcanite Ring,Any other decent ring. If you still need hit,you can also go for Scryers trinket."</formula1>
    </dataValidation>
    <dataValidation type="list" allowBlank="1" sqref="C12">
      <formula1>"Brooch of Heightened Potential,You can also get the Lola's Eve Neck+Ring set"</formula1>
    </dataValidation>
    <dataValidation type="list" allowBlank="1" sqref="C37">
      <formula1>"Vestments of the Aldor,Anchorite's Robes (It's basically the same)"</formula1>
    </dataValidation>
    <dataValidation type="list" allowBlank="1" sqref="C68">
      <formula1>"Serpent-Coil Braid (post patch 2.1),The Lightning Capacitor (pre 2.1)"</formula1>
    </dataValidation>
    <dataValidation type="list" allowBlank="1" sqref="C79 C99">
      <formula1>"Zhar'doom Greatstaff of the Devourer,Tempest of Chaos+Offhand is also fine but locks and fire mages need hit more than arcane mages."</formula1>
    </dataValidation>
    <dataValidation type="list" allowBlank="1" sqref="C11">
      <formula1>"Hood of Oblivion,Incanters Cowl (but then you have to gem your chest with 8 spirit to get the meta gem requirement again)"</formula1>
    </dataValidation>
    <dataValidation type="list" allowBlank="1" sqref="C66">
      <formula1>"Ring of Recurrence (post 2.1),Sparking Arcanite Ring (if hit is needed)"</formula1>
    </dataValidation>
    <dataValidation type="list" allowBlank="1" sqref="C76">
      <formula1>"Cloak of the Illidari Council,Shroud of the Highborne is better but only healing until patch 2.3"</formula1>
    </dataValidation>
    <dataValidation type="list" allowBlank="1" sqref="C119">
      <formula1>"Grand Magister's Staff of Torrents,KJ weapon + any off hand that makes sense is better but only a little bit"</formula1>
    </dataValidation>
    <dataValidation type="list" allowBlank="1" sqref="C89">
      <formula1>"Icon of the Silver Crescent,Unless you get skull from illidan which is bis forever for destro locks and fire mages"</formula1>
    </dataValidation>
    <dataValidation type="list" allowBlank="1" sqref="C61">
      <formula1>"Tirisfal Wand of Ascendancy (BIS pre 2.1- Nether Core's Control Rod is basically as good),Wand of the Forgotten Star (BIS post patch 2.1)"</formula1>
    </dataValidation>
    <dataValidation type="list" allowBlank="1" sqref="C41">
      <formula1>"Tirisfal Wand of Ascendancy,Nether Core's Control Rod (basically as good)"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3.14"/>
    <col customWidth="1" min="4" max="4" width="31.86"/>
    <col customWidth="1" min="10" max="10" width="4.29"/>
    <col customWidth="1" min="11" max="11" width="4.43"/>
    <col customWidth="1" min="12" max="13" width="4.14"/>
    <col customWidth="1" min="14" max="14" width="5.71"/>
    <col customWidth="1" min="15" max="15" width="4.86"/>
    <col customWidth="1" min="16" max="16" width="4.29"/>
    <col customWidth="1" min="17" max="17" width="4.43"/>
    <col customWidth="1" min="18" max="19" width="4.14"/>
    <col customWidth="1" min="20" max="20" width="5.71"/>
    <col customWidth="1" min="21" max="21" width="4.86"/>
    <col customWidth="1" min="23" max="23" width="3.86"/>
    <col customWidth="1" min="24" max="24" width="4.14"/>
    <col customWidth="1" min="25" max="25" width="4.0"/>
    <col customWidth="1" min="26" max="26" width="3.29"/>
    <col customWidth="1" min="27" max="27" width="5.57"/>
    <col customWidth="1" min="28" max="28" width="4.71"/>
    <col customWidth="1" min="29" max="31" width="22.57"/>
  </cols>
  <sheetData>
    <row r="2">
      <c r="B2" s="1" t="s">
        <v>0</v>
      </c>
    </row>
    <row r="3">
      <c r="B3" s="2"/>
    </row>
    <row r="4">
      <c r="B4" s="2" t="s">
        <v>211</v>
      </c>
    </row>
    <row r="5">
      <c r="B5" s="2" t="s">
        <v>2</v>
      </c>
    </row>
    <row r="6">
      <c r="B6" s="2" t="s">
        <v>3</v>
      </c>
    </row>
    <row r="7">
      <c r="B7" s="2" t="s">
        <v>4</v>
      </c>
    </row>
    <row r="8">
      <c r="B8" s="82" t="s">
        <v>212</v>
      </c>
    </row>
    <row r="9">
      <c r="B9" s="3" t="s">
        <v>213</v>
      </c>
    </row>
    <row r="10">
      <c r="B10" s="4" t="s">
        <v>6</v>
      </c>
      <c r="C10" s="5" t="s">
        <v>7</v>
      </c>
      <c r="D10" s="6" t="s">
        <v>8</v>
      </c>
      <c r="E10" s="4" t="s">
        <v>9</v>
      </c>
      <c r="F10" s="7"/>
      <c r="G10" s="6" t="s">
        <v>10</v>
      </c>
      <c r="H10" s="8"/>
      <c r="I10" s="7"/>
    </row>
    <row r="11">
      <c r="B11" s="9" t="s">
        <v>11</v>
      </c>
      <c r="C11" s="10" t="s">
        <v>12</v>
      </c>
      <c r="D11" s="11" t="s">
        <v>13</v>
      </c>
      <c r="E11" s="12" t="s">
        <v>14</v>
      </c>
      <c r="F11" s="13"/>
      <c r="G11" s="2" t="s">
        <v>15</v>
      </c>
      <c r="I11" s="13"/>
    </row>
    <row r="12">
      <c r="B12" s="9" t="s">
        <v>16</v>
      </c>
      <c r="C12" s="10" t="s">
        <v>17</v>
      </c>
      <c r="D12" s="2" t="s">
        <v>18</v>
      </c>
      <c r="E12" s="14"/>
      <c r="F12" s="13"/>
      <c r="I12" s="13"/>
    </row>
    <row r="13">
      <c r="B13" s="9" t="s">
        <v>19</v>
      </c>
      <c r="C13" s="10" t="s">
        <v>20</v>
      </c>
      <c r="D13" s="2" t="s">
        <v>21</v>
      </c>
      <c r="E13" s="9" t="s">
        <v>22</v>
      </c>
      <c r="F13" s="13"/>
      <c r="G13" s="2" t="s">
        <v>23</v>
      </c>
      <c r="I13" s="13"/>
    </row>
    <row r="14">
      <c r="A14" s="15"/>
      <c r="B14" s="9" t="s">
        <v>24</v>
      </c>
      <c r="C14" s="10" t="s">
        <v>25</v>
      </c>
      <c r="D14" s="2" t="s">
        <v>26</v>
      </c>
      <c r="E14" s="14"/>
      <c r="F14" s="13"/>
      <c r="G14" s="2" t="s">
        <v>27</v>
      </c>
      <c r="I14" s="13"/>
    </row>
    <row r="15">
      <c r="A15" s="15"/>
      <c r="B15" s="9" t="s">
        <v>28</v>
      </c>
      <c r="C15" s="10" t="s">
        <v>29</v>
      </c>
      <c r="D15" s="16" t="s">
        <v>30</v>
      </c>
      <c r="E15" s="9" t="s">
        <v>31</v>
      </c>
      <c r="F15" s="13"/>
      <c r="G15" s="2" t="s">
        <v>32</v>
      </c>
      <c r="I15" s="13"/>
    </row>
    <row r="16">
      <c r="A16" s="15"/>
      <c r="B16" s="9" t="s">
        <v>33</v>
      </c>
      <c r="C16" s="10" t="s">
        <v>34</v>
      </c>
      <c r="D16" s="2" t="s">
        <v>35</v>
      </c>
      <c r="E16" s="9" t="s">
        <v>36</v>
      </c>
      <c r="F16" s="13"/>
      <c r="G16" s="2" t="s">
        <v>37</v>
      </c>
      <c r="I16" s="13"/>
    </row>
    <row r="17">
      <c r="A17" s="15"/>
      <c r="B17" s="9" t="s">
        <v>38</v>
      </c>
      <c r="C17" s="10" t="s">
        <v>39</v>
      </c>
      <c r="D17" s="16" t="s">
        <v>40</v>
      </c>
      <c r="E17" s="14"/>
      <c r="F17" s="13"/>
      <c r="G17" s="2" t="s">
        <v>41</v>
      </c>
      <c r="I17" s="13"/>
    </row>
    <row r="18">
      <c r="A18" s="15"/>
      <c r="B18" s="9" t="s">
        <v>42</v>
      </c>
      <c r="C18" s="10" t="s">
        <v>43</v>
      </c>
      <c r="D18" s="11" t="s">
        <v>13</v>
      </c>
      <c r="E18" s="14"/>
      <c r="F18" s="13"/>
      <c r="I18" s="13"/>
    </row>
    <row r="19">
      <c r="A19" s="15"/>
      <c r="B19" s="9" t="s">
        <v>44</v>
      </c>
      <c r="C19" s="10" t="s">
        <v>45</v>
      </c>
      <c r="D19" s="11" t="s">
        <v>46</v>
      </c>
      <c r="E19" s="14"/>
      <c r="F19" s="13"/>
      <c r="I19" s="13"/>
    </row>
    <row r="20">
      <c r="A20" s="15"/>
      <c r="B20" s="9" t="s">
        <v>47</v>
      </c>
      <c r="C20" s="10" t="s">
        <v>48</v>
      </c>
      <c r="D20" s="17" t="s">
        <v>49</v>
      </c>
      <c r="E20" s="9" t="s">
        <v>22</v>
      </c>
      <c r="F20" s="13"/>
      <c r="G20" s="2" t="s">
        <v>50</v>
      </c>
      <c r="I20" s="13"/>
    </row>
    <row r="21">
      <c r="A21" s="15"/>
      <c r="B21" s="9" t="s">
        <v>51</v>
      </c>
      <c r="C21" s="10" t="s">
        <v>52</v>
      </c>
      <c r="D21" s="2" t="s">
        <v>53</v>
      </c>
      <c r="E21" s="9" t="s">
        <v>22</v>
      </c>
      <c r="F21" s="13"/>
      <c r="I21" s="13"/>
    </row>
    <row r="22">
      <c r="A22" s="15"/>
      <c r="B22" s="9" t="s">
        <v>54</v>
      </c>
      <c r="C22" s="10" t="s">
        <v>55</v>
      </c>
      <c r="D22" s="18" t="s">
        <v>56</v>
      </c>
      <c r="E22" s="9" t="s">
        <v>57</v>
      </c>
      <c r="F22" s="13"/>
      <c r="G22" s="2" t="s">
        <v>58</v>
      </c>
      <c r="I22" s="13"/>
    </row>
    <row r="23">
      <c r="A23" s="15"/>
      <c r="B23" s="9" t="s">
        <v>59</v>
      </c>
      <c r="C23" s="10" t="s">
        <v>60</v>
      </c>
      <c r="D23" s="11" t="s">
        <v>13</v>
      </c>
      <c r="E23" s="9" t="s">
        <v>61</v>
      </c>
      <c r="F23" s="13"/>
      <c r="G23" s="2" t="s">
        <v>62</v>
      </c>
      <c r="I23" s="13"/>
    </row>
    <row r="24">
      <c r="A24" s="15"/>
      <c r="B24" s="9" t="s">
        <v>63</v>
      </c>
      <c r="C24" s="10" t="s">
        <v>64</v>
      </c>
      <c r="D24" s="11" t="s">
        <v>65</v>
      </c>
      <c r="E24" s="14"/>
      <c r="F24" s="13"/>
      <c r="G24" s="2" t="s">
        <v>66</v>
      </c>
      <c r="I24" s="13"/>
    </row>
    <row r="25">
      <c r="A25" s="15"/>
      <c r="B25" s="9" t="s">
        <v>67</v>
      </c>
      <c r="C25" s="10" t="s">
        <v>68</v>
      </c>
      <c r="D25" s="18" t="s">
        <v>69</v>
      </c>
      <c r="E25" s="14"/>
      <c r="F25" s="13"/>
      <c r="G25" s="2" t="s">
        <v>66</v>
      </c>
      <c r="I25" s="13"/>
    </row>
    <row r="26">
      <c r="A26" s="15"/>
      <c r="B26" s="9" t="s">
        <v>70</v>
      </c>
      <c r="C26" s="10" t="s">
        <v>71</v>
      </c>
      <c r="D26" s="11" t="s">
        <v>13</v>
      </c>
      <c r="E26" s="14"/>
      <c r="F26" s="13"/>
      <c r="G26" s="19" t="s">
        <v>72</v>
      </c>
      <c r="I26" s="13"/>
    </row>
    <row r="27">
      <c r="B27" s="20" t="s">
        <v>73</v>
      </c>
      <c r="C27" s="21" t="s">
        <v>74</v>
      </c>
      <c r="D27" s="22" t="s">
        <v>75</v>
      </c>
      <c r="E27" s="23"/>
      <c r="F27" s="24"/>
      <c r="G27" s="25" t="s">
        <v>76</v>
      </c>
      <c r="H27" s="26"/>
      <c r="I27" s="24"/>
    </row>
    <row r="28">
      <c r="B28" s="27" t="s">
        <v>77</v>
      </c>
      <c r="C28" s="28"/>
      <c r="D28" s="28"/>
      <c r="E28" s="18" t="s">
        <v>78</v>
      </c>
      <c r="F28" s="29"/>
      <c r="G28" s="29"/>
    </row>
    <row r="29">
      <c r="B29" s="11" t="s">
        <v>79</v>
      </c>
      <c r="C29" s="30"/>
      <c r="D29" s="30"/>
      <c r="E29" s="17" t="s">
        <v>80</v>
      </c>
      <c r="F29" s="31"/>
      <c r="G29" s="31"/>
      <c r="H29" s="31"/>
      <c r="I29" s="31"/>
      <c r="J29" s="31"/>
    </row>
    <row r="30">
      <c r="B30" s="2"/>
    </row>
    <row r="31">
      <c r="B31" s="3" t="s">
        <v>81</v>
      </c>
      <c r="J31" s="83" t="s">
        <v>106</v>
      </c>
      <c r="K31" s="26"/>
      <c r="L31" s="26"/>
      <c r="M31" s="26"/>
      <c r="N31" s="26"/>
      <c r="O31" s="26"/>
      <c r="P31" s="33"/>
      <c r="Q31" s="32"/>
      <c r="R31" s="32"/>
      <c r="S31" s="32"/>
      <c r="V31" s="33"/>
      <c r="W31" s="32"/>
      <c r="X31" s="32"/>
      <c r="Y31" s="32"/>
      <c r="Z31" s="32"/>
      <c r="AA31" s="33"/>
      <c r="AB31" s="32"/>
      <c r="AC31" s="32"/>
    </row>
    <row r="32">
      <c r="B32" s="4" t="s">
        <v>6</v>
      </c>
      <c r="C32" s="5" t="s">
        <v>7</v>
      </c>
      <c r="D32" s="6" t="s">
        <v>8</v>
      </c>
      <c r="E32" s="4" t="s">
        <v>9</v>
      </c>
      <c r="F32" s="7"/>
      <c r="G32" s="6" t="s">
        <v>10</v>
      </c>
      <c r="H32" s="8"/>
      <c r="I32" s="8"/>
      <c r="J32" s="84" t="s">
        <v>108</v>
      </c>
      <c r="K32" s="85" t="s">
        <v>109</v>
      </c>
      <c r="L32" s="85" t="s">
        <v>110</v>
      </c>
      <c r="M32" s="85" t="s">
        <v>111</v>
      </c>
      <c r="N32" s="85" t="s">
        <v>112</v>
      </c>
      <c r="O32" s="86" t="s">
        <v>113</v>
      </c>
      <c r="P32" s="41"/>
      <c r="Q32" s="33"/>
      <c r="R32" s="32"/>
      <c r="S32" s="32"/>
      <c r="T32" s="32"/>
      <c r="U32" s="33"/>
      <c r="V32" s="33"/>
      <c r="W32" s="33"/>
      <c r="X32" s="33"/>
      <c r="Y32" s="33"/>
      <c r="Z32" s="32"/>
      <c r="AA32" s="32"/>
      <c r="AB32" s="33"/>
      <c r="AC32" s="32"/>
    </row>
    <row r="33">
      <c r="B33" s="9" t="s">
        <v>11</v>
      </c>
      <c r="C33" s="10" t="s">
        <v>214</v>
      </c>
      <c r="D33" s="2" t="s">
        <v>35</v>
      </c>
      <c r="E33" s="64" t="s">
        <v>215</v>
      </c>
      <c r="F33" s="13"/>
      <c r="G33" s="2" t="s">
        <v>15</v>
      </c>
      <c r="J33" s="87">
        <v>12.0</v>
      </c>
      <c r="K33" s="88"/>
      <c r="L33" s="89">
        <v>24.0</v>
      </c>
      <c r="M33" s="88">
        <f>14+16</f>
        <v>30</v>
      </c>
      <c r="N33" s="90"/>
      <c r="O33" s="88">
        <f>46+27+22</f>
        <v>95</v>
      </c>
      <c r="P33" s="41"/>
      <c r="Q33" s="33"/>
      <c r="R33" s="32"/>
      <c r="S33" s="32"/>
      <c r="T33" s="32"/>
      <c r="U33" s="32"/>
      <c r="V33" s="33"/>
      <c r="W33" s="33"/>
      <c r="X33" s="33"/>
      <c r="Y33" s="32"/>
      <c r="Z33" s="32"/>
      <c r="AA33" s="32"/>
      <c r="AB33" s="33"/>
      <c r="AC33" s="32"/>
    </row>
    <row r="34">
      <c r="B34" s="9" t="s">
        <v>16</v>
      </c>
      <c r="C34" s="10" t="s">
        <v>216</v>
      </c>
      <c r="D34" s="2" t="s">
        <v>217</v>
      </c>
      <c r="E34" s="14"/>
      <c r="F34" s="13"/>
      <c r="J34" s="87">
        <v>19.0</v>
      </c>
      <c r="K34" s="91">
        <v>13.0</v>
      </c>
      <c r="L34" s="88"/>
      <c r="M34" s="88"/>
      <c r="N34" s="90"/>
      <c r="O34" s="88">
        <f>23+15</f>
        <v>38</v>
      </c>
      <c r="P34" s="39"/>
      <c r="Q34" s="33"/>
      <c r="R34" s="32"/>
      <c r="S34" s="32"/>
      <c r="T34" s="32"/>
      <c r="U34" s="32"/>
      <c r="V34" s="33"/>
      <c r="W34" s="32"/>
      <c r="X34" s="33"/>
      <c r="Y34" s="33"/>
      <c r="Z34" s="32"/>
      <c r="AA34" s="33"/>
      <c r="AB34" s="33"/>
      <c r="AC34" s="32"/>
    </row>
    <row r="35">
      <c r="B35" s="9" t="s">
        <v>19</v>
      </c>
      <c r="C35" s="10" t="s">
        <v>84</v>
      </c>
      <c r="D35" s="2" t="s">
        <v>85</v>
      </c>
      <c r="E35" s="9" t="s">
        <v>218</v>
      </c>
      <c r="F35" s="13"/>
      <c r="G35" s="2" t="s">
        <v>23</v>
      </c>
      <c r="J35" s="92">
        <v>20.0</v>
      </c>
      <c r="K35" s="88">
        <v>14.0</v>
      </c>
      <c r="L35" s="88">
        <v>10.0</v>
      </c>
      <c r="M35" s="88">
        <f>11+5</f>
        <v>16</v>
      </c>
      <c r="N35" s="90"/>
      <c r="O35" s="88">
        <f>35+18+10</f>
        <v>63</v>
      </c>
      <c r="P35" s="41"/>
      <c r="Q35" s="33"/>
      <c r="R35" s="32"/>
      <c r="S35" s="32"/>
      <c r="T35" s="32"/>
      <c r="U35" s="32"/>
      <c r="V35" s="33"/>
      <c r="W35" s="32"/>
      <c r="X35" s="32"/>
      <c r="Y35" s="32"/>
      <c r="Z35" s="32"/>
      <c r="AA35" s="32"/>
      <c r="AB35" s="33"/>
      <c r="AC35" s="32"/>
    </row>
    <row r="36">
      <c r="B36" s="9" t="s">
        <v>24</v>
      </c>
      <c r="C36" s="10" t="s">
        <v>219</v>
      </c>
      <c r="D36" s="2" t="s">
        <v>85</v>
      </c>
      <c r="E36" s="14"/>
      <c r="F36" s="13"/>
      <c r="G36" s="2" t="s">
        <v>88</v>
      </c>
      <c r="J36" s="87">
        <v>17.0</v>
      </c>
      <c r="K36" s="90"/>
      <c r="L36" s="91">
        <v>21.0</v>
      </c>
      <c r="M36" s="90"/>
      <c r="N36" s="90"/>
      <c r="O36" s="89">
        <v>25.0</v>
      </c>
      <c r="P36" s="41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</row>
    <row r="37">
      <c r="B37" s="9" t="s">
        <v>28</v>
      </c>
      <c r="C37" s="10" t="s">
        <v>220</v>
      </c>
      <c r="D37" s="2" t="s">
        <v>35</v>
      </c>
      <c r="E37" s="9" t="s">
        <v>218</v>
      </c>
      <c r="F37" s="13"/>
      <c r="G37" s="2" t="s">
        <v>32</v>
      </c>
      <c r="J37" s="87">
        <f>17+6</f>
        <v>23</v>
      </c>
      <c r="K37" s="89">
        <v>6.0</v>
      </c>
      <c r="L37" s="89">
        <v>28.0</v>
      </c>
      <c r="M37" s="93"/>
      <c r="N37" s="93"/>
      <c r="O37" s="88">
        <f>72+18</f>
        <v>90</v>
      </c>
      <c r="P37" s="41"/>
      <c r="Q37" s="32"/>
      <c r="R37" s="32"/>
      <c r="S37" s="32"/>
      <c r="T37" s="32"/>
      <c r="U37" s="32"/>
      <c r="V37" s="32"/>
      <c r="W37" s="32"/>
      <c r="X37" s="94"/>
      <c r="Y37" s="94"/>
      <c r="Z37" s="32"/>
      <c r="AA37" s="32"/>
      <c r="AB37" s="32"/>
      <c r="AC37" s="32"/>
    </row>
    <row r="38">
      <c r="B38" s="9" t="s">
        <v>33</v>
      </c>
      <c r="C38" s="10" t="s">
        <v>34</v>
      </c>
      <c r="D38" s="2" t="s">
        <v>35</v>
      </c>
      <c r="E38" s="9" t="s">
        <v>221</v>
      </c>
      <c r="F38" s="13"/>
      <c r="G38" s="2" t="s">
        <v>222</v>
      </c>
      <c r="J38" s="87">
        <v>12.0</v>
      </c>
      <c r="K38" s="90"/>
      <c r="L38" s="88"/>
      <c r="M38" s="90"/>
      <c r="N38" s="90"/>
      <c r="O38" s="88">
        <f>30+9+15</f>
        <v>54</v>
      </c>
      <c r="P38" s="39"/>
      <c r="Q38" s="32"/>
      <c r="R38" s="32"/>
      <c r="S38" s="32"/>
      <c r="T38" s="32"/>
      <c r="U38" s="32"/>
      <c r="V38" s="33"/>
      <c r="W38" s="32"/>
      <c r="X38" s="32"/>
      <c r="Y38" s="32"/>
      <c r="Z38" s="32"/>
      <c r="AA38" s="33"/>
      <c r="AB38" s="32"/>
      <c r="AC38" s="32"/>
    </row>
    <row r="39">
      <c r="B39" s="9" t="s">
        <v>38</v>
      </c>
      <c r="C39" s="10" t="s">
        <v>92</v>
      </c>
      <c r="D39" s="2" t="s">
        <v>83</v>
      </c>
      <c r="E39" s="14"/>
      <c r="F39" s="13"/>
      <c r="G39" s="2" t="s">
        <v>223</v>
      </c>
      <c r="J39" s="87">
        <v>15.0</v>
      </c>
      <c r="K39" s="90"/>
      <c r="L39" s="89">
        <v>21.0</v>
      </c>
      <c r="M39" s="90"/>
      <c r="N39" s="90"/>
      <c r="O39" s="88">
        <f>178+50</f>
        <v>228</v>
      </c>
      <c r="P39" s="41"/>
      <c r="Q39" s="33"/>
      <c r="R39" s="32"/>
      <c r="S39" s="32"/>
      <c r="T39" s="32"/>
      <c r="U39" s="32"/>
      <c r="V39" s="33"/>
      <c r="W39" s="33"/>
      <c r="X39" s="32"/>
      <c r="Y39" s="33"/>
      <c r="Z39" s="32"/>
      <c r="AA39" s="32"/>
      <c r="AB39" s="33"/>
      <c r="AC39" s="32"/>
    </row>
    <row r="40">
      <c r="B40" s="9" t="s">
        <v>42</v>
      </c>
      <c r="C40" s="10" t="s">
        <v>224</v>
      </c>
      <c r="D40" s="2" t="s">
        <v>225</v>
      </c>
      <c r="E40" s="14"/>
      <c r="F40" s="13"/>
      <c r="J40" s="95">
        <v>12.0</v>
      </c>
      <c r="K40" s="90"/>
      <c r="L40" s="90"/>
      <c r="M40" s="90"/>
      <c r="N40" s="90"/>
      <c r="O40" s="91">
        <v>47.0</v>
      </c>
      <c r="P40" s="41"/>
      <c r="Q40" s="33"/>
      <c r="R40" s="32"/>
      <c r="S40" s="32"/>
      <c r="T40" s="32"/>
      <c r="U40" s="32"/>
      <c r="V40" s="33"/>
      <c r="W40" s="33"/>
      <c r="X40" s="33"/>
      <c r="Y40" s="32"/>
      <c r="Z40" s="32"/>
      <c r="AA40" s="32"/>
      <c r="AB40" s="33"/>
      <c r="AC40" s="32"/>
    </row>
    <row r="41">
      <c r="B41" s="9" t="s">
        <v>44</v>
      </c>
      <c r="C41" s="10" t="s">
        <v>93</v>
      </c>
      <c r="D41" s="2" t="s">
        <v>94</v>
      </c>
      <c r="E41" s="14"/>
      <c r="F41" s="13"/>
      <c r="J41" s="87">
        <v>9.0</v>
      </c>
      <c r="K41" s="90"/>
      <c r="L41" s="90"/>
      <c r="M41" s="89">
        <v>11.0</v>
      </c>
      <c r="N41" s="90"/>
      <c r="O41" s="89">
        <v>13.0</v>
      </c>
      <c r="P41" s="39"/>
      <c r="Q41" s="33"/>
      <c r="R41" s="32"/>
      <c r="S41" s="32"/>
      <c r="T41" s="32"/>
      <c r="U41" s="32"/>
      <c r="V41" s="33"/>
      <c r="W41" s="32"/>
      <c r="X41" s="32"/>
      <c r="Y41" s="33"/>
      <c r="Z41" s="32"/>
      <c r="AA41" s="33"/>
      <c r="AB41" s="33"/>
      <c r="AC41" s="32"/>
    </row>
    <row r="42">
      <c r="B42" s="9" t="s">
        <v>47</v>
      </c>
      <c r="C42" s="10" t="s">
        <v>226</v>
      </c>
      <c r="D42" s="2" t="s">
        <v>35</v>
      </c>
      <c r="E42" s="9" t="s">
        <v>218</v>
      </c>
      <c r="F42" s="13"/>
      <c r="G42" s="2" t="s">
        <v>50</v>
      </c>
      <c r="J42" s="87">
        <v>10.0</v>
      </c>
      <c r="K42" s="88"/>
      <c r="L42" s="89">
        <v>23.0</v>
      </c>
      <c r="M42" s="88"/>
      <c r="N42" s="90"/>
      <c r="O42" s="88">
        <f>50+18+20</f>
        <v>88</v>
      </c>
      <c r="P42" s="41"/>
      <c r="Q42" s="33"/>
      <c r="R42" s="32"/>
      <c r="S42" s="32"/>
      <c r="T42" s="32"/>
      <c r="U42" s="32"/>
      <c r="V42" s="33"/>
      <c r="W42" s="32"/>
      <c r="X42" s="32"/>
      <c r="Y42" s="32"/>
      <c r="Z42" s="32"/>
      <c r="AA42" s="32"/>
      <c r="AB42" s="33"/>
      <c r="AC42" s="32"/>
    </row>
    <row r="43">
      <c r="B43" s="9" t="s">
        <v>51</v>
      </c>
      <c r="C43" s="10" t="s">
        <v>227</v>
      </c>
      <c r="D43" s="2" t="s">
        <v>35</v>
      </c>
      <c r="E43" s="9" t="s">
        <v>218</v>
      </c>
      <c r="F43" s="13"/>
      <c r="J43" s="87">
        <v>15.0</v>
      </c>
      <c r="K43" s="90"/>
      <c r="L43" s="89">
        <v>18.0</v>
      </c>
      <c r="M43" s="90"/>
      <c r="N43" s="90"/>
      <c r="O43" s="88">
        <f>50+18</f>
        <v>68</v>
      </c>
      <c r="P43" s="41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</row>
    <row r="44">
      <c r="B44" s="9" t="s">
        <v>54</v>
      </c>
      <c r="C44" s="10" t="s">
        <v>228</v>
      </c>
      <c r="D44" s="2" t="s">
        <v>35</v>
      </c>
      <c r="E44" s="9" t="s">
        <v>215</v>
      </c>
      <c r="F44" s="13"/>
      <c r="G44" s="2" t="s">
        <v>58</v>
      </c>
      <c r="J44" s="87">
        <v>8.0</v>
      </c>
      <c r="K44" s="88"/>
      <c r="L44" s="89">
        <v>26.0</v>
      </c>
      <c r="M44" s="96">
        <v>22.0</v>
      </c>
      <c r="N44" s="93"/>
      <c r="O44" s="88">
        <f>46+35+27</f>
        <v>108</v>
      </c>
      <c r="P44" s="41"/>
      <c r="Q44" s="32"/>
      <c r="R44" s="32"/>
      <c r="S44" s="32"/>
      <c r="T44" s="32"/>
      <c r="U44" s="32"/>
      <c r="V44" s="32"/>
      <c r="W44" s="32"/>
      <c r="X44" s="94"/>
      <c r="Y44" s="94"/>
      <c r="Z44" s="32"/>
      <c r="AA44" s="32"/>
      <c r="AB44" s="32"/>
      <c r="AC44" s="32"/>
    </row>
    <row r="45">
      <c r="B45" s="9" t="s">
        <v>59</v>
      </c>
      <c r="C45" s="10" t="s">
        <v>60</v>
      </c>
      <c r="D45" s="2" t="s">
        <v>13</v>
      </c>
      <c r="E45" s="9" t="s">
        <v>218</v>
      </c>
      <c r="F45" s="13"/>
      <c r="G45" s="2" t="s">
        <v>62</v>
      </c>
      <c r="I45" s="13"/>
      <c r="J45" s="87">
        <v>18.0</v>
      </c>
      <c r="K45" s="88"/>
      <c r="L45" s="89">
        <v>17.0</v>
      </c>
      <c r="M45" s="90"/>
      <c r="N45" s="90"/>
      <c r="O45" s="97">
        <f>20+18</f>
        <v>38</v>
      </c>
      <c r="P45" s="33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</row>
    <row r="46">
      <c r="B46" s="9" t="s">
        <v>63</v>
      </c>
      <c r="C46" s="10" t="s">
        <v>101</v>
      </c>
      <c r="D46" s="2" t="s">
        <v>102</v>
      </c>
      <c r="E46" s="14"/>
      <c r="F46" s="13"/>
      <c r="G46" s="2" t="s">
        <v>66</v>
      </c>
      <c r="I46" s="13"/>
      <c r="J46" s="87">
        <v>21.0</v>
      </c>
      <c r="K46" s="90"/>
      <c r="L46" s="96">
        <v>14.0</v>
      </c>
      <c r="M46" s="93"/>
      <c r="N46" s="90"/>
      <c r="O46" s="97">
        <f>26+12</f>
        <v>38</v>
      </c>
      <c r="P46" s="32"/>
      <c r="Q46" s="32"/>
      <c r="R46" s="32"/>
      <c r="S46" s="32"/>
      <c r="T46" s="32"/>
      <c r="U46" s="32"/>
      <c r="V46" s="33"/>
      <c r="W46" s="32"/>
      <c r="X46" s="33"/>
      <c r="Y46" s="33"/>
      <c r="Z46" s="32"/>
      <c r="AA46" s="33"/>
      <c r="AB46" s="33"/>
      <c r="AC46" s="32"/>
    </row>
    <row r="47">
      <c r="B47" s="9" t="s">
        <v>67</v>
      </c>
      <c r="C47" s="10" t="s">
        <v>229</v>
      </c>
      <c r="D47" s="2" t="s">
        <v>217</v>
      </c>
      <c r="E47" s="14"/>
      <c r="F47" s="13"/>
      <c r="G47" s="2" t="s">
        <v>66</v>
      </c>
      <c r="I47" s="13"/>
      <c r="J47" s="87">
        <v>14.0</v>
      </c>
      <c r="K47" s="91">
        <v>13.0</v>
      </c>
      <c r="L47" s="88"/>
      <c r="M47" s="90"/>
      <c r="N47" s="90"/>
      <c r="O47" s="98">
        <v>29.0</v>
      </c>
      <c r="P47" s="33"/>
      <c r="Q47" s="32"/>
      <c r="R47" s="32"/>
      <c r="S47" s="32"/>
      <c r="T47" s="32"/>
      <c r="U47" s="32"/>
      <c r="V47" s="32"/>
      <c r="W47" s="32"/>
      <c r="X47" s="94"/>
      <c r="Y47" s="94"/>
      <c r="Z47" s="32"/>
      <c r="AA47" s="32"/>
      <c r="AB47" s="32"/>
      <c r="AC47" s="32"/>
    </row>
    <row r="48">
      <c r="B48" s="9" t="s">
        <v>70</v>
      </c>
      <c r="C48" s="10" t="s">
        <v>103</v>
      </c>
      <c r="D48" s="45" t="s">
        <v>104</v>
      </c>
      <c r="E48" s="14"/>
      <c r="F48" s="13"/>
      <c r="G48" s="19"/>
      <c r="I48" s="13"/>
      <c r="J48" s="99"/>
      <c r="K48" s="90"/>
      <c r="L48" s="93"/>
      <c r="M48" s="93"/>
      <c r="N48" s="90"/>
      <c r="O48" s="100"/>
      <c r="P48" s="32"/>
      <c r="Q48" s="32"/>
      <c r="R48" s="32"/>
      <c r="S48" s="32"/>
      <c r="T48" s="32"/>
      <c r="U48" s="32"/>
      <c r="V48" s="33"/>
      <c r="W48" s="33"/>
      <c r="X48" s="33"/>
      <c r="Y48" s="32"/>
      <c r="Z48" s="32"/>
      <c r="AA48" s="32"/>
      <c r="AB48" s="33"/>
      <c r="AC48" s="32"/>
    </row>
    <row r="49">
      <c r="B49" s="20" t="s">
        <v>73</v>
      </c>
      <c r="C49" s="21" t="s">
        <v>74</v>
      </c>
      <c r="D49" s="22" t="s">
        <v>230</v>
      </c>
      <c r="E49" s="23"/>
      <c r="F49" s="24"/>
      <c r="G49" s="25"/>
      <c r="H49" s="26"/>
      <c r="I49" s="24"/>
      <c r="J49" s="101"/>
      <c r="K49" s="102"/>
      <c r="L49" s="102"/>
      <c r="M49" s="102"/>
      <c r="N49" s="102"/>
      <c r="O49" s="103">
        <v>42.0</v>
      </c>
      <c r="R49" s="32"/>
      <c r="S49" s="32"/>
      <c r="T49" s="32"/>
      <c r="U49" s="32"/>
      <c r="V49" s="32"/>
      <c r="W49" s="32"/>
      <c r="X49" s="94"/>
      <c r="Y49" s="94"/>
      <c r="Z49" s="32"/>
      <c r="AA49" s="32"/>
      <c r="AB49" s="32"/>
      <c r="AC49" s="32"/>
    </row>
    <row r="50">
      <c r="J50" s="104">
        <f t="shared" ref="J50:O50" si="1">SUM(J33:J49)</f>
        <v>225</v>
      </c>
      <c r="K50" s="105">
        <f t="shared" si="1"/>
        <v>46</v>
      </c>
      <c r="L50" s="106">
        <f t="shared" si="1"/>
        <v>202</v>
      </c>
      <c r="M50" s="106">
        <f t="shared" si="1"/>
        <v>79</v>
      </c>
      <c r="N50" s="105">
        <f t="shared" si="1"/>
        <v>0</v>
      </c>
      <c r="O50" s="107">
        <f t="shared" si="1"/>
        <v>1064</v>
      </c>
    </row>
    <row r="51">
      <c r="B51" s="3" t="s">
        <v>231</v>
      </c>
      <c r="J51" s="46" t="s">
        <v>106</v>
      </c>
      <c r="P51" s="47"/>
      <c r="Q51" s="46"/>
      <c r="R51" s="48"/>
      <c r="S51" s="48"/>
      <c r="T51" s="48"/>
      <c r="U51" s="48"/>
    </row>
    <row r="52">
      <c r="B52" s="4" t="s">
        <v>6</v>
      </c>
      <c r="C52" s="5" t="s">
        <v>7</v>
      </c>
      <c r="D52" s="6" t="s">
        <v>8</v>
      </c>
      <c r="E52" s="4" t="s">
        <v>9</v>
      </c>
      <c r="F52" s="7"/>
      <c r="G52" s="6" t="s">
        <v>10</v>
      </c>
      <c r="H52" s="8"/>
      <c r="I52" s="7"/>
      <c r="J52" s="49" t="s">
        <v>108</v>
      </c>
      <c r="K52" s="50" t="s">
        <v>109</v>
      </c>
      <c r="L52" s="50" t="s">
        <v>110</v>
      </c>
      <c r="M52" s="50" t="s">
        <v>111</v>
      </c>
      <c r="N52" s="51" t="s">
        <v>112</v>
      </c>
      <c r="O52" s="51" t="s">
        <v>113</v>
      </c>
      <c r="P52" s="108"/>
      <c r="Q52" s="108"/>
      <c r="R52" s="108"/>
      <c r="S52" s="108"/>
      <c r="T52" s="68"/>
      <c r="U52" s="68"/>
    </row>
    <row r="53">
      <c r="B53" s="9" t="s">
        <v>11</v>
      </c>
      <c r="C53" s="10" t="s">
        <v>114</v>
      </c>
      <c r="D53" s="2" t="s">
        <v>115</v>
      </c>
      <c r="E53" s="12" t="s">
        <v>232</v>
      </c>
      <c r="F53" s="13"/>
      <c r="G53" s="2" t="s">
        <v>15</v>
      </c>
      <c r="I53" s="13"/>
      <c r="J53" s="2">
        <f>23+4</f>
        <v>27</v>
      </c>
      <c r="K53" s="2">
        <v>17.0</v>
      </c>
      <c r="L53" s="2">
        <v>25.0</v>
      </c>
      <c r="M53" s="2">
        <f>18+4</f>
        <v>22</v>
      </c>
      <c r="O53" s="53">
        <f>66+12+6</f>
        <v>84</v>
      </c>
      <c r="U53" s="2"/>
    </row>
    <row r="54">
      <c r="B54" s="9" t="s">
        <v>16</v>
      </c>
      <c r="C54" s="10" t="s">
        <v>17</v>
      </c>
      <c r="D54" s="2" t="s">
        <v>18</v>
      </c>
      <c r="E54" s="14"/>
      <c r="F54" s="13"/>
      <c r="I54" s="13"/>
      <c r="J54" s="2">
        <v>14.0</v>
      </c>
      <c r="L54" s="2">
        <v>14.0</v>
      </c>
      <c r="M54" s="2">
        <v>9.0</v>
      </c>
      <c r="O54" s="53">
        <v>22.0</v>
      </c>
      <c r="U54" s="2"/>
    </row>
    <row r="55">
      <c r="B55" s="9" t="s">
        <v>19</v>
      </c>
      <c r="C55" s="10" t="s">
        <v>118</v>
      </c>
      <c r="D55" s="2" t="s">
        <v>119</v>
      </c>
      <c r="E55" s="12" t="s">
        <v>233</v>
      </c>
      <c r="F55" s="13"/>
      <c r="G55" s="2" t="s">
        <v>121</v>
      </c>
      <c r="I55" s="13"/>
      <c r="J55" s="2">
        <v>20.0</v>
      </c>
      <c r="K55" s="2">
        <v>14.0</v>
      </c>
      <c r="L55" s="2">
        <v>10.0</v>
      </c>
      <c r="M55" s="2">
        <f>11+5</f>
        <v>16</v>
      </c>
      <c r="O55" s="53">
        <f>35+18+10</f>
        <v>63</v>
      </c>
      <c r="U55" s="2"/>
    </row>
    <row r="56">
      <c r="B56" s="9" t="s">
        <v>24</v>
      </c>
      <c r="C56" s="10" t="s">
        <v>234</v>
      </c>
      <c r="D56" s="2" t="s">
        <v>123</v>
      </c>
      <c r="E56" s="14"/>
      <c r="F56" s="13"/>
      <c r="G56" s="2" t="s">
        <v>88</v>
      </c>
      <c r="I56" s="13"/>
      <c r="J56" s="2">
        <v>22.0</v>
      </c>
      <c r="O56" s="53">
        <v>44.0</v>
      </c>
      <c r="U56" s="2"/>
    </row>
    <row r="57">
      <c r="B57" s="9" t="s">
        <v>28</v>
      </c>
      <c r="C57" s="10" t="s">
        <v>220</v>
      </c>
      <c r="D57" s="2" t="s">
        <v>35</v>
      </c>
      <c r="E57" s="9" t="s">
        <v>235</v>
      </c>
      <c r="F57" s="13"/>
      <c r="G57" s="2" t="s">
        <v>32</v>
      </c>
      <c r="I57" s="13"/>
      <c r="J57" s="2">
        <v>23.0</v>
      </c>
      <c r="K57" s="2">
        <v>6.0</v>
      </c>
      <c r="L57" s="2">
        <v>28.0</v>
      </c>
      <c r="O57" s="53">
        <f>72+18</f>
        <v>90</v>
      </c>
      <c r="U57" s="2"/>
    </row>
    <row r="58">
      <c r="B58" s="9" t="s">
        <v>33</v>
      </c>
      <c r="C58" s="10" t="s">
        <v>125</v>
      </c>
      <c r="D58" s="2" t="s">
        <v>126</v>
      </c>
      <c r="E58" s="9"/>
      <c r="F58" s="13"/>
      <c r="G58" s="2" t="s">
        <v>236</v>
      </c>
      <c r="I58" s="13"/>
      <c r="J58" s="2">
        <v>11.0</v>
      </c>
      <c r="L58" s="2">
        <v>21.0</v>
      </c>
      <c r="O58" s="53">
        <f>34+15</f>
        <v>49</v>
      </c>
      <c r="U58" s="2"/>
    </row>
    <row r="59">
      <c r="B59" s="9" t="s">
        <v>38</v>
      </c>
      <c r="C59" s="10" t="s">
        <v>128</v>
      </c>
      <c r="D59" s="2" t="s">
        <v>123</v>
      </c>
      <c r="E59" s="14"/>
      <c r="F59" s="13"/>
      <c r="G59" s="2" t="s">
        <v>223</v>
      </c>
      <c r="I59" s="13"/>
      <c r="J59" s="2">
        <v>52.0</v>
      </c>
      <c r="L59" s="2">
        <v>51.0</v>
      </c>
      <c r="O59" s="53">
        <f>236+50</f>
        <v>286</v>
      </c>
      <c r="U59" s="2"/>
    </row>
    <row r="60">
      <c r="B60" s="9" t="s">
        <v>42</v>
      </c>
      <c r="C60" s="10"/>
      <c r="E60" s="14"/>
      <c r="F60" s="13"/>
      <c r="I60" s="13"/>
      <c r="O60" s="13"/>
    </row>
    <row r="61">
      <c r="B61" s="9" t="s">
        <v>44</v>
      </c>
      <c r="C61" s="10" t="s">
        <v>93</v>
      </c>
      <c r="D61" s="2" t="s">
        <v>237</v>
      </c>
      <c r="E61" s="14"/>
      <c r="F61" s="13"/>
      <c r="I61" s="13"/>
      <c r="J61" s="2">
        <v>9.0</v>
      </c>
      <c r="M61" s="2">
        <v>11.0</v>
      </c>
      <c r="O61" s="53">
        <v>13.0</v>
      </c>
      <c r="U61" s="2"/>
    </row>
    <row r="62">
      <c r="B62" s="9" t="s">
        <v>47</v>
      </c>
      <c r="C62" s="10" t="s">
        <v>132</v>
      </c>
      <c r="D62" s="2" t="s">
        <v>133</v>
      </c>
      <c r="E62" s="9"/>
      <c r="F62" s="13"/>
      <c r="G62" s="2" t="s">
        <v>50</v>
      </c>
      <c r="I62" s="13"/>
      <c r="J62" s="2">
        <v>20.0</v>
      </c>
      <c r="K62" s="2">
        <v>18.0</v>
      </c>
      <c r="L62" s="2">
        <v>25.0</v>
      </c>
      <c r="M62" s="2">
        <v>0.0</v>
      </c>
      <c r="O62" s="53">
        <v>55.0</v>
      </c>
      <c r="U62" s="2"/>
    </row>
    <row r="63">
      <c r="B63" s="9" t="s">
        <v>51</v>
      </c>
      <c r="C63" s="10" t="s">
        <v>238</v>
      </c>
      <c r="D63" s="2" t="s">
        <v>35</v>
      </c>
      <c r="E63" s="9" t="s">
        <v>235</v>
      </c>
      <c r="F63" s="13"/>
      <c r="I63" s="13"/>
      <c r="J63" s="2">
        <v>13.0</v>
      </c>
      <c r="L63" s="2">
        <v>20.0</v>
      </c>
      <c r="O63" s="53">
        <f>39+18</f>
        <v>57</v>
      </c>
      <c r="U63" s="2"/>
    </row>
    <row r="64">
      <c r="B64" s="9" t="s">
        <v>54</v>
      </c>
      <c r="C64" s="10" t="s">
        <v>239</v>
      </c>
      <c r="D64" s="2" t="s">
        <v>240</v>
      </c>
      <c r="E64" s="12"/>
      <c r="F64" s="13"/>
      <c r="G64" s="2" t="s">
        <v>58</v>
      </c>
      <c r="I64" s="13"/>
      <c r="J64" s="2">
        <v>28.0</v>
      </c>
      <c r="K64" s="2">
        <v>17.0</v>
      </c>
      <c r="L64" s="2">
        <v>25.0</v>
      </c>
      <c r="M64" s="2">
        <v>18.0</v>
      </c>
      <c r="O64" s="53">
        <f>43+35</f>
        <v>78</v>
      </c>
      <c r="U64" s="2"/>
    </row>
    <row r="65">
      <c r="B65" s="9" t="s">
        <v>59</v>
      </c>
      <c r="C65" s="10" t="s">
        <v>139</v>
      </c>
      <c r="D65" s="2" t="s">
        <v>135</v>
      </c>
      <c r="E65" s="9"/>
      <c r="F65" s="13"/>
      <c r="G65" s="2" t="s">
        <v>241</v>
      </c>
      <c r="I65" s="13"/>
      <c r="J65" s="2">
        <v>19.0</v>
      </c>
      <c r="K65" s="2">
        <v>18.0</v>
      </c>
      <c r="L65" s="2">
        <v>21.0</v>
      </c>
      <c r="O65" s="53">
        <v>42.0</v>
      </c>
      <c r="U65" s="2"/>
    </row>
    <row r="66">
      <c r="B66" s="9" t="s">
        <v>63</v>
      </c>
      <c r="C66" s="10" t="s">
        <v>242</v>
      </c>
      <c r="D66" s="2" t="s">
        <v>243</v>
      </c>
      <c r="E66" s="14"/>
      <c r="F66" s="13"/>
      <c r="G66" s="2" t="s">
        <v>66</v>
      </c>
      <c r="I66" s="13"/>
      <c r="J66" s="2">
        <v>22.0</v>
      </c>
      <c r="L66" s="2">
        <v>21.0</v>
      </c>
      <c r="O66" s="53">
        <f>29+12</f>
        <v>41</v>
      </c>
      <c r="U66" s="2"/>
    </row>
    <row r="67">
      <c r="B67" s="9" t="s">
        <v>67</v>
      </c>
      <c r="C67" s="10" t="s">
        <v>101</v>
      </c>
      <c r="D67" s="2" t="s">
        <v>102</v>
      </c>
      <c r="E67" s="14"/>
      <c r="F67" s="13"/>
      <c r="G67" s="2" t="s">
        <v>66</v>
      </c>
      <c r="I67" s="13"/>
      <c r="J67" s="2">
        <v>21.0</v>
      </c>
      <c r="L67" s="2">
        <v>14.0</v>
      </c>
      <c r="O67" s="53">
        <v>40.0</v>
      </c>
      <c r="U67" s="2"/>
    </row>
    <row r="68">
      <c r="B68" s="9" t="s">
        <v>70</v>
      </c>
      <c r="C68" s="109" t="s">
        <v>103</v>
      </c>
      <c r="E68" s="14"/>
      <c r="F68" s="13"/>
      <c r="G68" s="19"/>
      <c r="I68" s="13"/>
      <c r="O68" s="13"/>
    </row>
    <row r="69">
      <c r="B69" s="20" t="s">
        <v>73</v>
      </c>
      <c r="C69" s="21" t="s">
        <v>74</v>
      </c>
      <c r="D69" s="22" t="s">
        <v>142</v>
      </c>
      <c r="E69" s="23"/>
      <c r="F69" s="24"/>
      <c r="G69" s="25"/>
      <c r="H69" s="26"/>
      <c r="I69" s="24"/>
      <c r="J69" s="26"/>
      <c r="K69" s="26"/>
      <c r="L69" s="26"/>
      <c r="M69" s="26"/>
      <c r="N69" s="26"/>
      <c r="O69" s="54">
        <v>42.0</v>
      </c>
      <c r="U69" s="2"/>
    </row>
    <row r="70">
      <c r="B70" s="55"/>
      <c r="J70" s="56">
        <f t="shared" ref="J70:O70" si="2">SUM(J53:J69)</f>
        <v>301</v>
      </c>
      <c r="K70" s="8">
        <f t="shared" si="2"/>
        <v>90</v>
      </c>
      <c r="L70" s="8">
        <f t="shared" si="2"/>
        <v>275</v>
      </c>
      <c r="M70" s="8">
        <f t="shared" si="2"/>
        <v>76</v>
      </c>
      <c r="N70" s="8">
        <f t="shared" si="2"/>
        <v>0</v>
      </c>
      <c r="O70" s="7">
        <f t="shared" si="2"/>
        <v>1006</v>
      </c>
    </row>
    <row r="71">
      <c r="B71" s="3" t="s">
        <v>244</v>
      </c>
      <c r="J71" s="46" t="s">
        <v>106</v>
      </c>
    </row>
    <row r="72">
      <c r="B72" s="4" t="s">
        <v>6</v>
      </c>
      <c r="C72" s="5" t="s">
        <v>7</v>
      </c>
      <c r="D72" s="6" t="s">
        <v>8</v>
      </c>
      <c r="E72" s="4" t="s">
        <v>9</v>
      </c>
      <c r="F72" s="7"/>
      <c r="G72" s="6" t="s">
        <v>10</v>
      </c>
      <c r="H72" s="8"/>
      <c r="I72" s="7"/>
      <c r="J72" s="49" t="s">
        <v>108</v>
      </c>
      <c r="K72" s="50" t="s">
        <v>109</v>
      </c>
      <c r="L72" s="50" t="s">
        <v>110</v>
      </c>
      <c r="M72" s="50" t="s">
        <v>111</v>
      </c>
      <c r="N72" s="51" t="s">
        <v>112</v>
      </c>
      <c r="O72" s="51" t="s">
        <v>113</v>
      </c>
    </row>
    <row r="73">
      <c r="B73" s="9" t="s">
        <v>11</v>
      </c>
      <c r="C73" s="10" t="s">
        <v>114</v>
      </c>
      <c r="D73" s="2" t="s">
        <v>115</v>
      </c>
      <c r="E73" s="12" t="s">
        <v>245</v>
      </c>
      <c r="F73" s="13"/>
      <c r="G73" s="2" t="s">
        <v>15</v>
      </c>
      <c r="I73" s="13"/>
      <c r="J73" s="2">
        <v>36.0</v>
      </c>
      <c r="K73" s="2">
        <v>24.0</v>
      </c>
      <c r="L73" s="2">
        <v>24.0</v>
      </c>
      <c r="M73" s="2">
        <v>18.0</v>
      </c>
      <c r="O73" s="53">
        <f>55+12+22+9</f>
        <v>98</v>
      </c>
      <c r="Q73" s="110">
        <v>24.0</v>
      </c>
      <c r="R73" s="111">
        <v>24.0</v>
      </c>
      <c r="S73" s="111">
        <v>17.0</v>
      </c>
      <c r="T73" s="111"/>
      <c r="U73" s="112"/>
      <c r="V73" s="112">
        <f>40+24</f>
        <v>64</v>
      </c>
      <c r="W73" s="111" t="s">
        <v>246</v>
      </c>
    </row>
    <row r="74">
      <c r="B74" s="9" t="s">
        <v>16</v>
      </c>
      <c r="C74" s="10" t="s">
        <v>146</v>
      </c>
      <c r="D74" s="2" t="s">
        <v>247</v>
      </c>
      <c r="E74" s="14"/>
      <c r="F74" s="13"/>
      <c r="I74" s="13"/>
      <c r="J74" s="2">
        <v>16.0</v>
      </c>
      <c r="L74" s="2">
        <v>24.0</v>
      </c>
      <c r="O74" s="53">
        <v>41.0</v>
      </c>
      <c r="Q74" s="113">
        <v>35.0</v>
      </c>
      <c r="R74" s="114">
        <v>20.0</v>
      </c>
      <c r="S74" s="114">
        <v>19.0</v>
      </c>
      <c r="T74" s="115"/>
      <c r="U74" s="115"/>
      <c r="V74" s="115">
        <f>55+36</f>
        <v>91</v>
      </c>
      <c r="W74" s="114" t="s">
        <v>248</v>
      </c>
    </row>
    <row r="75">
      <c r="B75" s="9" t="s">
        <v>19</v>
      </c>
      <c r="C75" s="10" t="s">
        <v>118</v>
      </c>
      <c r="D75" s="2" t="s">
        <v>119</v>
      </c>
      <c r="E75" s="12" t="s">
        <v>235</v>
      </c>
      <c r="F75" s="13"/>
      <c r="G75" s="2" t="s">
        <v>121</v>
      </c>
      <c r="I75" s="13"/>
      <c r="J75" s="2">
        <v>24.0</v>
      </c>
      <c r="K75" s="2">
        <v>24.0</v>
      </c>
      <c r="L75" s="2">
        <v>27.0</v>
      </c>
      <c r="O75" s="53">
        <f>40+18+18</f>
        <v>76</v>
      </c>
      <c r="Q75" s="113"/>
      <c r="R75" s="115"/>
      <c r="S75" s="114">
        <v>30.0</v>
      </c>
      <c r="T75" s="114">
        <v>23.0</v>
      </c>
      <c r="U75" s="115"/>
      <c r="V75" s="114">
        <f>50+24</f>
        <v>74</v>
      </c>
      <c r="W75" s="114" t="s">
        <v>249</v>
      </c>
    </row>
    <row r="76">
      <c r="B76" s="9" t="s">
        <v>24</v>
      </c>
      <c r="C76" s="10" t="s">
        <v>234</v>
      </c>
      <c r="D76" s="2" t="s">
        <v>123</v>
      </c>
      <c r="E76" s="14"/>
      <c r="F76" s="13"/>
      <c r="G76" s="2" t="s">
        <v>88</v>
      </c>
      <c r="I76" s="13"/>
      <c r="J76" s="2">
        <v>22.0</v>
      </c>
      <c r="O76" s="53">
        <v>44.0</v>
      </c>
      <c r="Q76" s="116">
        <v>36.0</v>
      </c>
      <c r="R76" s="117">
        <v>26.0</v>
      </c>
      <c r="S76" s="117">
        <v>17.0</v>
      </c>
      <c r="T76" s="117">
        <v>26.0</v>
      </c>
      <c r="U76" s="118"/>
      <c r="V76" s="118">
        <f>54+12</f>
        <v>66</v>
      </c>
      <c r="W76" s="117" t="s">
        <v>250</v>
      </c>
    </row>
    <row r="77">
      <c r="B77" s="9" t="s">
        <v>28</v>
      </c>
      <c r="C77" s="10" t="s">
        <v>122</v>
      </c>
      <c r="D77" s="2" t="s">
        <v>123</v>
      </c>
      <c r="E77" s="12" t="s">
        <v>251</v>
      </c>
      <c r="F77" s="13"/>
      <c r="G77" s="2" t="s">
        <v>32</v>
      </c>
      <c r="I77" s="13"/>
      <c r="J77" s="2">
        <f>35+6+8+4</f>
        <v>53</v>
      </c>
      <c r="K77" s="2">
        <f>26+4</f>
        <v>30</v>
      </c>
      <c r="L77" s="2">
        <v>19.0</v>
      </c>
      <c r="O77" s="53">
        <f>55+6+6+5</f>
        <v>72</v>
      </c>
      <c r="Q77" s="119">
        <f t="shared" ref="Q77:V77" si="3">SUM(Q73:Q76)</f>
        <v>95</v>
      </c>
      <c r="R77" s="115">
        <f t="shared" si="3"/>
        <v>70</v>
      </c>
      <c r="S77" s="115">
        <f t="shared" si="3"/>
        <v>83</v>
      </c>
      <c r="T77" s="115">
        <f t="shared" si="3"/>
        <v>49</v>
      </c>
      <c r="U77" s="115">
        <f t="shared" si="3"/>
        <v>0</v>
      </c>
      <c r="V77" s="115">
        <f t="shared" si="3"/>
        <v>295</v>
      </c>
      <c r="W77" s="115"/>
    </row>
    <row r="78">
      <c r="B78" s="9" t="s">
        <v>33</v>
      </c>
      <c r="C78" s="10" t="s">
        <v>125</v>
      </c>
      <c r="D78" s="2" t="s">
        <v>126</v>
      </c>
      <c r="E78" s="9"/>
      <c r="F78" s="13"/>
      <c r="G78" s="2" t="s">
        <v>236</v>
      </c>
      <c r="I78" s="13"/>
      <c r="J78" s="2">
        <v>13.0</v>
      </c>
      <c r="L78" s="2">
        <v>23.0</v>
      </c>
      <c r="O78" s="53">
        <f>36+15</f>
        <v>51</v>
      </c>
      <c r="Q78" s="120"/>
      <c r="R78" s="118"/>
      <c r="S78" s="121">
        <f>S77/22.1+Q77*1.1*1.15/80</f>
        <v>5.257843609</v>
      </c>
      <c r="T78" s="121">
        <f>T77/12.6</f>
        <v>3.888888889</v>
      </c>
      <c r="U78" s="118"/>
      <c r="V78" s="118">
        <f>0.25*1.1*1.15*Q77+V77</f>
        <v>325.04375</v>
      </c>
      <c r="W78" s="118"/>
    </row>
    <row r="79">
      <c r="B79" s="9" t="s">
        <v>38</v>
      </c>
      <c r="C79" s="10" t="s">
        <v>252</v>
      </c>
      <c r="D79" s="2" t="s">
        <v>253</v>
      </c>
      <c r="E79" s="14"/>
      <c r="F79" s="13"/>
      <c r="G79" s="2" t="s">
        <v>223</v>
      </c>
      <c r="I79" s="13"/>
      <c r="J79" s="2">
        <v>20.0</v>
      </c>
      <c r="L79" s="2">
        <v>21.0</v>
      </c>
      <c r="O79" s="53">
        <f>221+50</f>
        <v>271</v>
      </c>
    </row>
    <row r="80">
      <c r="B80" s="9" t="s">
        <v>42</v>
      </c>
      <c r="C80" s="10" t="s">
        <v>254</v>
      </c>
      <c r="D80" s="2" t="s">
        <v>255</v>
      </c>
      <c r="E80" s="14"/>
      <c r="F80" s="13"/>
      <c r="I80" s="13"/>
      <c r="J80" s="2">
        <v>12.0</v>
      </c>
      <c r="L80" s="2">
        <v>23.0</v>
      </c>
      <c r="O80" s="53">
        <v>36.0</v>
      </c>
    </row>
    <row r="81">
      <c r="B81" s="9" t="s">
        <v>44</v>
      </c>
      <c r="C81" s="10" t="s">
        <v>256</v>
      </c>
      <c r="D81" s="2" t="s">
        <v>90</v>
      </c>
      <c r="E81" s="14"/>
      <c r="F81" s="13"/>
      <c r="G81" s="2" t="s">
        <v>257</v>
      </c>
      <c r="I81" s="13"/>
      <c r="J81" s="2">
        <v>11.0</v>
      </c>
      <c r="L81" s="2">
        <v>14.0</v>
      </c>
      <c r="O81" s="53">
        <v>16.0</v>
      </c>
    </row>
    <row r="82">
      <c r="B82" s="9" t="s">
        <v>47</v>
      </c>
      <c r="C82" s="10" t="s">
        <v>258</v>
      </c>
      <c r="D82" s="2" t="s">
        <v>123</v>
      </c>
      <c r="E82" s="9"/>
      <c r="F82" s="13"/>
      <c r="G82" s="2" t="s">
        <v>50</v>
      </c>
      <c r="I82" s="13"/>
      <c r="J82" s="2">
        <v>29.0</v>
      </c>
      <c r="K82" s="2">
        <v>20.0</v>
      </c>
      <c r="L82" s="2">
        <v>28.0</v>
      </c>
      <c r="O82" s="53">
        <v>62.0</v>
      </c>
    </row>
    <row r="83">
      <c r="B83" s="9" t="s">
        <v>51</v>
      </c>
      <c r="C83" s="10" t="s">
        <v>259</v>
      </c>
      <c r="D83" s="2" t="s">
        <v>35</v>
      </c>
      <c r="E83" s="9" t="s">
        <v>235</v>
      </c>
      <c r="F83" s="13"/>
      <c r="I83" s="13"/>
      <c r="L83" s="2">
        <v>30.0</v>
      </c>
      <c r="M83" s="2">
        <v>23.0</v>
      </c>
      <c r="O83" s="53">
        <f>50+18</f>
        <v>68</v>
      </c>
    </row>
    <row r="84">
      <c r="B84" s="9" t="s">
        <v>54</v>
      </c>
      <c r="C84" s="10" t="s">
        <v>239</v>
      </c>
      <c r="D84" s="2" t="s">
        <v>240</v>
      </c>
      <c r="E84" s="12" t="s">
        <v>260</v>
      </c>
      <c r="F84" s="13"/>
      <c r="G84" s="2" t="s">
        <v>58</v>
      </c>
      <c r="I84" s="13"/>
      <c r="J84" s="2">
        <v>36.0</v>
      </c>
      <c r="K84" s="2">
        <v>26.0</v>
      </c>
      <c r="L84" s="2">
        <v>17.0</v>
      </c>
      <c r="M84" s="2">
        <v>26.0</v>
      </c>
      <c r="O84" s="53">
        <f>54+35+9</f>
        <v>98</v>
      </c>
    </row>
    <row r="85">
      <c r="B85" s="9" t="s">
        <v>59</v>
      </c>
      <c r="C85" s="10" t="s">
        <v>139</v>
      </c>
      <c r="D85" s="2" t="s">
        <v>135</v>
      </c>
      <c r="E85" s="9"/>
      <c r="F85" s="13"/>
      <c r="G85" s="2" t="s">
        <v>241</v>
      </c>
      <c r="I85" s="13"/>
      <c r="J85" s="2">
        <v>21.0</v>
      </c>
      <c r="K85" s="2">
        <v>15.0</v>
      </c>
      <c r="L85" s="2">
        <v>24.0</v>
      </c>
      <c r="O85" s="53">
        <v>49.0</v>
      </c>
    </row>
    <row r="86">
      <c r="B86" s="9" t="s">
        <v>63</v>
      </c>
      <c r="C86" s="10" t="s">
        <v>242</v>
      </c>
      <c r="D86" s="2" t="s">
        <v>243</v>
      </c>
      <c r="E86" s="14"/>
      <c r="F86" s="13"/>
      <c r="G86" s="2" t="s">
        <v>66</v>
      </c>
      <c r="I86" s="13"/>
      <c r="J86" s="2">
        <v>22.0</v>
      </c>
      <c r="L86" s="2">
        <v>21.0</v>
      </c>
      <c r="O86" s="53">
        <f t="shared" ref="O86:O87" si="4">29+12</f>
        <v>41</v>
      </c>
    </row>
    <row r="87">
      <c r="B87" s="9" t="s">
        <v>67</v>
      </c>
      <c r="C87" s="10" t="s">
        <v>101</v>
      </c>
      <c r="D87" s="2" t="s">
        <v>102</v>
      </c>
      <c r="E87" s="14"/>
      <c r="F87" s="13"/>
      <c r="G87" s="2" t="s">
        <v>66</v>
      </c>
      <c r="I87" s="13"/>
      <c r="J87" s="2">
        <v>23.0</v>
      </c>
      <c r="L87" s="2">
        <v>17.0</v>
      </c>
      <c r="O87" s="53">
        <f t="shared" si="4"/>
        <v>41</v>
      </c>
    </row>
    <row r="88">
      <c r="B88" s="9" t="s">
        <v>70</v>
      </c>
      <c r="C88" s="109" t="s">
        <v>169</v>
      </c>
      <c r="E88" s="14"/>
      <c r="F88" s="13"/>
      <c r="G88" s="19"/>
      <c r="I88" s="13"/>
      <c r="L88" s="2">
        <v>30.0</v>
      </c>
      <c r="M88" s="2">
        <v>12.0</v>
      </c>
      <c r="O88" s="13"/>
    </row>
    <row r="89">
      <c r="B89" s="20" t="s">
        <v>73</v>
      </c>
      <c r="C89" s="21" t="s">
        <v>74</v>
      </c>
      <c r="D89" s="22" t="s">
        <v>142</v>
      </c>
      <c r="E89" s="23"/>
      <c r="F89" s="24"/>
      <c r="G89" s="25"/>
      <c r="H89" s="26"/>
      <c r="I89" s="24"/>
      <c r="J89" s="26"/>
      <c r="K89" s="26"/>
      <c r="L89" s="26"/>
      <c r="M89" s="26"/>
      <c r="N89" s="26"/>
      <c r="O89" s="54">
        <v>43.0</v>
      </c>
    </row>
    <row r="90">
      <c r="B90" s="55"/>
      <c r="J90" s="56">
        <f t="shared" ref="J90:O90" si="5">SUM(J73:J89)</f>
        <v>338</v>
      </c>
      <c r="K90" s="8">
        <f t="shared" si="5"/>
        <v>139</v>
      </c>
      <c r="L90" s="8">
        <f t="shared" si="5"/>
        <v>342</v>
      </c>
      <c r="M90" s="8">
        <f t="shared" si="5"/>
        <v>79</v>
      </c>
      <c r="N90" s="8">
        <f t="shared" si="5"/>
        <v>0</v>
      </c>
      <c r="O90" s="7">
        <f t="shared" si="5"/>
        <v>1107</v>
      </c>
    </row>
    <row r="91">
      <c r="B91" s="3" t="s">
        <v>261</v>
      </c>
      <c r="J91" s="48" t="s">
        <v>144</v>
      </c>
      <c r="P91" s="2" t="s">
        <v>262</v>
      </c>
      <c r="W91" s="2" t="s">
        <v>263</v>
      </c>
    </row>
    <row r="92">
      <c r="B92" s="4" t="s">
        <v>6</v>
      </c>
      <c r="C92" s="5" t="s">
        <v>7</v>
      </c>
      <c r="D92" s="6" t="s">
        <v>8</v>
      </c>
      <c r="E92" s="57" t="s">
        <v>9</v>
      </c>
      <c r="F92" s="7"/>
      <c r="G92" s="6" t="s">
        <v>10</v>
      </c>
      <c r="H92" s="8"/>
      <c r="I92" s="7"/>
      <c r="J92" s="49" t="s">
        <v>108</v>
      </c>
      <c r="K92" s="50" t="s">
        <v>109</v>
      </c>
      <c r="L92" s="50" t="s">
        <v>110</v>
      </c>
      <c r="M92" s="50" t="s">
        <v>111</v>
      </c>
      <c r="N92" s="51" t="s">
        <v>112</v>
      </c>
      <c r="O92" s="51" t="s">
        <v>113</v>
      </c>
      <c r="P92" s="2" t="s">
        <v>108</v>
      </c>
      <c r="Q92" s="2" t="s">
        <v>109</v>
      </c>
      <c r="R92" s="2" t="s">
        <v>110</v>
      </c>
      <c r="S92" s="2" t="s">
        <v>111</v>
      </c>
      <c r="T92" s="2" t="s">
        <v>112</v>
      </c>
      <c r="U92" s="2" t="s">
        <v>113</v>
      </c>
      <c r="W92" s="2" t="s">
        <v>108</v>
      </c>
      <c r="X92" s="2" t="s">
        <v>109</v>
      </c>
      <c r="Y92" s="2" t="s">
        <v>110</v>
      </c>
      <c r="Z92" s="2" t="s">
        <v>111</v>
      </c>
      <c r="AA92" s="2" t="s">
        <v>112</v>
      </c>
      <c r="AB92" s="2" t="s">
        <v>113</v>
      </c>
      <c r="AC92" s="2"/>
      <c r="AD92" s="2"/>
      <c r="AE92" s="2"/>
    </row>
    <row r="93">
      <c r="B93" s="9" t="s">
        <v>11</v>
      </c>
      <c r="C93" s="58" t="s">
        <v>114</v>
      </c>
      <c r="D93" s="59" t="s">
        <v>115</v>
      </c>
      <c r="E93" s="12" t="s">
        <v>264</v>
      </c>
      <c r="F93" s="13"/>
      <c r="G93" s="2" t="s">
        <v>15</v>
      </c>
      <c r="I93" s="13"/>
      <c r="J93" s="2">
        <v>36.0</v>
      </c>
      <c r="K93" s="2">
        <v>24.0</v>
      </c>
      <c r="L93" s="2">
        <v>24.0</v>
      </c>
      <c r="M93">
        <f>18</f>
        <v>18</v>
      </c>
      <c r="O93" s="53">
        <f>55+12+22+12</f>
        <v>101</v>
      </c>
      <c r="P93" s="2">
        <f>22+12</f>
        <v>34</v>
      </c>
      <c r="R93" s="2">
        <f>24+23</f>
        <v>47</v>
      </c>
      <c r="S93" s="2">
        <f>2*17</f>
        <v>34</v>
      </c>
      <c r="U93" s="2">
        <f>259+42</f>
        <v>301</v>
      </c>
      <c r="V93" s="2" t="s">
        <v>265</v>
      </c>
      <c r="W93">
        <f>34-52</f>
        <v>-18</v>
      </c>
      <c r="Y93">
        <f>47-51</f>
        <v>-4</v>
      </c>
      <c r="Z93" s="2">
        <v>34.0</v>
      </c>
      <c r="AB93">
        <f>301-236</f>
        <v>65</v>
      </c>
    </row>
    <row r="94">
      <c r="B94" s="9" t="s">
        <v>16</v>
      </c>
      <c r="C94" s="60" t="s">
        <v>146</v>
      </c>
      <c r="D94" s="61" t="s">
        <v>147</v>
      </c>
      <c r="F94" s="13"/>
      <c r="I94" s="13"/>
      <c r="J94" s="2">
        <v>16.0</v>
      </c>
      <c r="L94" s="2">
        <v>24.0</v>
      </c>
      <c r="O94" s="53">
        <v>41.0</v>
      </c>
      <c r="P94" s="2">
        <v>47.0</v>
      </c>
      <c r="R94" s="2">
        <v>36.0</v>
      </c>
      <c r="T94" s="2">
        <v>55.0</v>
      </c>
      <c r="U94" s="2">
        <v>259.0</v>
      </c>
      <c r="V94" s="2" t="s">
        <v>266</v>
      </c>
      <c r="W94">
        <f>47-52</f>
        <v>-5</v>
      </c>
      <c r="Y94">
        <f>36-51</f>
        <v>-15</v>
      </c>
      <c r="AA94" s="2">
        <v>55.0</v>
      </c>
      <c r="AB94">
        <f>259-236</f>
        <v>23</v>
      </c>
    </row>
    <row r="95">
      <c r="B95" s="9" t="s">
        <v>19</v>
      </c>
      <c r="C95" s="62" t="s">
        <v>118</v>
      </c>
      <c r="D95" s="63" t="s">
        <v>119</v>
      </c>
      <c r="E95" s="64" t="s">
        <v>267</v>
      </c>
      <c r="F95" s="13"/>
      <c r="G95" s="2" t="s">
        <v>121</v>
      </c>
      <c r="I95" s="13"/>
      <c r="J95" s="2">
        <f>24+4</f>
        <v>28</v>
      </c>
      <c r="K95" s="2">
        <f>24+5</f>
        <v>29</v>
      </c>
      <c r="L95" s="2">
        <f>17+10</f>
        <v>27</v>
      </c>
      <c r="N95" s="2">
        <v>10.0</v>
      </c>
      <c r="O95" s="53">
        <f>40+18+4</f>
        <v>62</v>
      </c>
      <c r="P95">
        <f t="shared" ref="P95:U95" si="6">P94-P93</f>
        <v>13</v>
      </c>
      <c r="Q95">
        <f t="shared" si="6"/>
        <v>0</v>
      </c>
      <c r="R95">
        <f t="shared" si="6"/>
        <v>-11</v>
      </c>
      <c r="S95">
        <f t="shared" si="6"/>
        <v>-34</v>
      </c>
      <c r="T95">
        <f t="shared" si="6"/>
        <v>55</v>
      </c>
      <c r="U95">
        <f t="shared" si="6"/>
        <v>-42</v>
      </c>
    </row>
    <row r="96">
      <c r="B96" s="9" t="s">
        <v>24</v>
      </c>
      <c r="C96" s="10" t="s">
        <v>149</v>
      </c>
      <c r="D96" s="2" t="s">
        <v>150</v>
      </c>
      <c r="E96" s="65"/>
      <c r="F96" s="13"/>
      <c r="G96" s="2" t="s">
        <v>88</v>
      </c>
      <c r="I96" s="13"/>
      <c r="J96" s="2">
        <v>16.0</v>
      </c>
      <c r="L96" s="2">
        <v>25.0</v>
      </c>
      <c r="O96" s="53">
        <v>42.0</v>
      </c>
    </row>
    <row r="97">
      <c r="B97" s="9" t="s">
        <v>28</v>
      </c>
      <c r="C97" s="10" t="s">
        <v>122</v>
      </c>
      <c r="D97" s="2" t="s">
        <v>123</v>
      </c>
      <c r="E97" s="12" t="s">
        <v>268</v>
      </c>
      <c r="F97" s="13"/>
      <c r="G97" s="2" t="s">
        <v>32</v>
      </c>
      <c r="I97" s="13"/>
      <c r="J97" s="66">
        <f>35+6</f>
        <v>41</v>
      </c>
      <c r="K97" s="75">
        <v>20.0</v>
      </c>
      <c r="L97" s="75">
        <v>19.0</v>
      </c>
      <c r="M97" s="68"/>
      <c r="N97" s="68"/>
      <c r="O97" s="72">
        <f>55+36</f>
        <v>91</v>
      </c>
      <c r="T97" s="2">
        <v>28.0</v>
      </c>
      <c r="V97" s="2" t="s">
        <v>269</v>
      </c>
      <c r="AA97" s="2">
        <v>28.0</v>
      </c>
    </row>
    <row r="98">
      <c r="B98" s="9" t="s">
        <v>33</v>
      </c>
      <c r="C98" s="10" t="s">
        <v>152</v>
      </c>
      <c r="D98" s="2" t="s">
        <v>153</v>
      </c>
      <c r="E98" s="64" t="s">
        <v>270</v>
      </c>
      <c r="F98" s="13"/>
      <c r="G98" s="2" t="s">
        <v>236</v>
      </c>
      <c r="I98" s="13"/>
      <c r="J98" s="2">
        <v>20.0</v>
      </c>
      <c r="K98" s="2">
        <v>19.0</v>
      </c>
      <c r="L98" s="2">
        <v>14.0</v>
      </c>
      <c r="O98" s="53">
        <f>34+15+12</f>
        <v>61</v>
      </c>
      <c r="T98" s="2">
        <v>55.0</v>
      </c>
      <c r="V98" s="2" t="s">
        <v>266</v>
      </c>
      <c r="AA98" s="2">
        <v>55.0</v>
      </c>
    </row>
    <row r="99">
      <c r="B99" s="9" t="s">
        <v>38</v>
      </c>
      <c r="C99" s="10" t="s">
        <v>271</v>
      </c>
      <c r="D99" s="2" t="s">
        <v>272</v>
      </c>
      <c r="E99" s="65"/>
      <c r="F99" s="13"/>
      <c r="G99" s="2" t="s">
        <v>223</v>
      </c>
      <c r="I99" s="13"/>
      <c r="J99" s="2">
        <v>22.0</v>
      </c>
      <c r="L99" s="2">
        <v>24.0</v>
      </c>
      <c r="M99" s="2">
        <v>17.0</v>
      </c>
      <c r="O99" s="53">
        <f>259+50</f>
        <v>309</v>
      </c>
      <c r="T99" s="2">
        <v>31.0</v>
      </c>
      <c r="V99" s="2" t="s">
        <v>273</v>
      </c>
      <c r="AA99" s="2">
        <v>31.0</v>
      </c>
    </row>
    <row r="100">
      <c r="B100" s="9" t="s">
        <v>42</v>
      </c>
      <c r="C100" s="10" t="s">
        <v>274</v>
      </c>
      <c r="D100" s="2" t="s">
        <v>153</v>
      </c>
      <c r="E100" s="65"/>
      <c r="F100" s="13"/>
      <c r="I100" s="13"/>
      <c r="J100" s="2">
        <v>12.0</v>
      </c>
      <c r="L100" s="2">
        <v>23.0</v>
      </c>
      <c r="M100" s="2">
        <v>17.0</v>
      </c>
      <c r="O100" s="53">
        <v>42.0</v>
      </c>
      <c r="T100" s="2">
        <v>31.0</v>
      </c>
      <c r="V100" s="2" t="s">
        <v>273</v>
      </c>
      <c r="AA100" s="2">
        <v>31.0</v>
      </c>
    </row>
    <row r="101">
      <c r="B101" s="9" t="s">
        <v>44</v>
      </c>
      <c r="C101" s="10" t="s">
        <v>256</v>
      </c>
      <c r="D101" s="2" t="s">
        <v>90</v>
      </c>
      <c r="E101" s="14"/>
      <c r="F101" s="13"/>
      <c r="G101" s="2" t="s">
        <v>275</v>
      </c>
      <c r="I101" s="13"/>
      <c r="J101" s="2">
        <v>11.0</v>
      </c>
      <c r="L101" s="2">
        <v>14.0</v>
      </c>
      <c r="O101" s="53">
        <v>16.0</v>
      </c>
      <c r="T101" s="2">
        <v>38.0</v>
      </c>
      <c r="V101" s="2" t="s">
        <v>276</v>
      </c>
      <c r="AA101" s="2">
        <v>45.0</v>
      </c>
    </row>
    <row r="102">
      <c r="B102" s="9" t="s">
        <v>47</v>
      </c>
      <c r="C102" s="10" t="s">
        <v>132</v>
      </c>
      <c r="D102" s="2" t="s">
        <v>133</v>
      </c>
      <c r="E102" s="64"/>
      <c r="F102" s="13"/>
      <c r="G102" s="2" t="s">
        <v>50</v>
      </c>
      <c r="I102" s="13"/>
      <c r="J102" s="66">
        <v>27.0</v>
      </c>
      <c r="K102" s="75">
        <v>18.0</v>
      </c>
      <c r="L102" s="75">
        <v>27.0</v>
      </c>
      <c r="M102" s="71"/>
      <c r="N102" s="68"/>
      <c r="O102" s="72">
        <f>41+20</f>
        <v>61</v>
      </c>
      <c r="S102" s="2" t="s">
        <v>277</v>
      </c>
      <c r="T102">
        <f>SUM(T97:T101)</f>
        <v>183</v>
      </c>
      <c r="AA102">
        <f>SUM(AA97:AA101)</f>
        <v>190</v>
      </c>
    </row>
    <row r="103">
      <c r="B103" s="9" t="s">
        <v>51</v>
      </c>
      <c r="C103" s="10" t="s">
        <v>159</v>
      </c>
      <c r="D103" s="2" t="s">
        <v>160</v>
      </c>
      <c r="E103" s="64" t="s">
        <v>278</v>
      </c>
      <c r="F103" s="13"/>
      <c r="I103" s="13"/>
      <c r="J103" s="2">
        <v>23.0</v>
      </c>
      <c r="L103" s="2">
        <v>24.0</v>
      </c>
      <c r="O103" s="53">
        <f>55+24</f>
        <v>79</v>
      </c>
    </row>
    <row r="104">
      <c r="B104" s="9" t="s">
        <v>54</v>
      </c>
      <c r="C104" s="10" t="s">
        <v>279</v>
      </c>
      <c r="D104" s="2" t="s">
        <v>280</v>
      </c>
      <c r="E104" s="64" t="s">
        <v>268</v>
      </c>
      <c r="F104" s="13"/>
      <c r="G104" s="2" t="s">
        <v>58</v>
      </c>
      <c r="I104" s="13"/>
      <c r="J104" s="2">
        <v>28.0</v>
      </c>
      <c r="K104" s="2">
        <v>28.0</v>
      </c>
      <c r="L104" s="2">
        <v>34.0</v>
      </c>
      <c r="M104" s="2">
        <v>18.0</v>
      </c>
      <c r="O104" s="53">
        <f>59+36</f>
        <v>95</v>
      </c>
    </row>
    <row r="105">
      <c r="B105" s="9" t="s">
        <v>59</v>
      </c>
      <c r="C105" s="10" t="s">
        <v>164</v>
      </c>
      <c r="D105" s="2" t="s">
        <v>165</v>
      </c>
      <c r="E105" s="64" t="s">
        <v>278</v>
      </c>
      <c r="F105" s="13"/>
      <c r="G105" s="2" t="s">
        <v>241</v>
      </c>
      <c r="I105" s="13"/>
      <c r="J105" s="2">
        <v>18.0</v>
      </c>
      <c r="K105" s="2">
        <v>18.0</v>
      </c>
      <c r="L105" s="2">
        <v>29.0</v>
      </c>
      <c r="O105" s="53">
        <f>44+24</f>
        <v>68</v>
      </c>
    </row>
    <row r="106">
      <c r="B106" s="9" t="s">
        <v>63</v>
      </c>
      <c r="C106" s="10" t="s">
        <v>167</v>
      </c>
      <c r="D106" s="2" t="s">
        <v>168</v>
      </c>
      <c r="E106" s="122" t="s">
        <v>281</v>
      </c>
      <c r="F106" s="123"/>
      <c r="G106" s="2" t="s">
        <v>66</v>
      </c>
      <c r="I106" s="13"/>
      <c r="J106" s="2">
        <v>20.0</v>
      </c>
      <c r="N106" s="2">
        <v>31.0</v>
      </c>
      <c r="O106" s="53">
        <f t="shared" ref="O106:O107" si="7">39+12</f>
        <v>51</v>
      </c>
    </row>
    <row r="107">
      <c r="B107" s="9" t="s">
        <v>67</v>
      </c>
      <c r="C107" s="10" t="s">
        <v>167</v>
      </c>
      <c r="D107" s="2" t="s">
        <v>168</v>
      </c>
      <c r="E107" s="122" t="s">
        <v>282</v>
      </c>
      <c r="F107" s="123"/>
      <c r="G107" s="2" t="s">
        <v>66</v>
      </c>
      <c r="I107" s="13"/>
      <c r="J107" s="2">
        <v>20.0</v>
      </c>
      <c r="N107" s="2">
        <v>31.0</v>
      </c>
      <c r="O107" s="53">
        <f t="shared" si="7"/>
        <v>51</v>
      </c>
    </row>
    <row r="108">
      <c r="B108" s="9" t="s">
        <v>70</v>
      </c>
      <c r="C108" s="109" t="s">
        <v>169</v>
      </c>
      <c r="E108" s="14"/>
      <c r="F108" s="13"/>
      <c r="G108" s="19"/>
      <c r="I108" s="13"/>
      <c r="L108" s="2">
        <v>30.0</v>
      </c>
      <c r="M108" s="2">
        <v>12.0</v>
      </c>
      <c r="O108" s="13"/>
    </row>
    <row r="109">
      <c r="B109" s="20" t="s">
        <v>73</v>
      </c>
      <c r="C109" s="21" t="s">
        <v>74</v>
      </c>
      <c r="D109" s="22" t="s">
        <v>142</v>
      </c>
      <c r="E109" s="73"/>
      <c r="F109" s="24"/>
      <c r="G109" s="25"/>
      <c r="H109" s="26"/>
      <c r="I109" s="24"/>
      <c r="O109" s="53">
        <v>43.0</v>
      </c>
    </row>
    <row r="110">
      <c r="B110" s="124"/>
      <c r="E110" s="74"/>
      <c r="J110" s="56">
        <f t="shared" ref="J110:O110" si="8">SUM(J93:J109)</f>
        <v>338</v>
      </c>
      <c r="K110" s="8">
        <f t="shared" si="8"/>
        <v>156</v>
      </c>
      <c r="L110" s="8">
        <f t="shared" si="8"/>
        <v>338</v>
      </c>
      <c r="M110" s="8">
        <f t="shared" si="8"/>
        <v>82</v>
      </c>
      <c r="N110" s="8">
        <f t="shared" si="8"/>
        <v>72</v>
      </c>
      <c r="O110" s="7">
        <f t="shared" si="8"/>
        <v>1213</v>
      </c>
    </row>
    <row r="111">
      <c r="B111" s="3" t="s">
        <v>283</v>
      </c>
      <c r="E111" s="74"/>
      <c r="J111" s="48" t="s">
        <v>144</v>
      </c>
    </row>
    <row r="112">
      <c r="B112" s="4" t="s">
        <v>6</v>
      </c>
      <c r="C112" s="5" t="s">
        <v>7</v>
      </c>
      <c r="D112" s="6" t="s">
        <v>8</v>
      </c>
      <c r="E112" s="57"/>
      <c r="F112" s="7"/>
      <c r="G112" s="6" t="s">
        <v>10</v>
      </c>
      <c r="H112" s="8"/>
      <c r="I112" s="7"/>
      <c r="J112" s="49" t="s">
        <v>108</v>
      </c>
      <c r="K112" s="50" t="s">
        <v>109</v>
      </c>
      <c r="L112" s="50" t="s">
        <v>110</v>
      </c>
      <c r="M112" s="50" t="s">
        <v>111</v>
      </c>
      <c r="N112" s="51" t="s">
        <v>112</v>
      </c>
      <c r="O112" s="51" t="s">
        <v>113</v>
      </c>
    </row>
    <row r="113">
      <c r="B113" s="9" t="s">
        <v>11</v>
      </c>
      <c r="C113" s="58" t="s">
        <v>114</v>
      </c>
      <c r="D113" s="59" t="s">
        <v>115</v>
      </c>
      <c r="E113" s="125" t="s">
        <v>264</v>
      </c>
      <c r="F113" s="126"/>
      <c r="G113" s="2" t="s">
        <v>15</v>
      </c>
      <c r="I113" s="127" t="s">
        <v>284</v>
      </c>
      <c r="J113" s="2">
        <v>36.0</v>
      </c>
      <c r="K113" s="2">
        <v>24.0</v>
      </c>
      <c r="L113" s="2">
        <v>24.0</v>
      </c>
      <c r="M113">
        <f>18</f>
        <v>18</v>
      </c>
      <c r="O113" s="53">
        <f>55+12+22+12</f>
        <v>101</v>
      </c>
    </row>
    <row r="114">
      <c r="B114" s="9" t="s">
        <v>16</v>
      </c>
      <c r="C114" s="60" t="s">
        <v>173</v>
      </c>
      <c r="D114" s="61" t="s">
        <v>174</v>
      </c>
      <c r="E114" s="128" t="s">
        <v>285</v>
      </c>
      <c r="F114" s="123"/>
      <c r="I114" s="13"/>
      <c r="J114" s="2">
        <v>24.0</v>
      </c>
      <c r="K114" s="2">
        <v>19.0</v>
      </c>
      <c r="N114" s="2">
        <v>33.0</v>
      </c>
      <c r="O114" s="53">
        <v>25.0</v>
      </c>
    </row>
    <row r="115">
      <c r="B115" s="9" t="s">
        <v>19</v>
      </c>
      <c r="C115" s="62" t="s">
        <v>118</v>
      </c>
      <c r="D115" s="63" t="s">
        <v>119</v>
      </c>
      <c r="E115" s="64" t="s">
        <v>286</v>
      </c>
      <c r="F115" s="13"/>
      <c r="G115" s="2" t="s">
        <v>121</v>
      </c>
      <c r="I115" s="13"/>
      <c r="J115" s="2">
        <f>24+4+10</f>
        <v>38</v>
      </c>
      <c r="K115" s="2">
        <f>24+5</f>
        <v>29</v>
      </c>
      <c r="L115" s="2">
        <f>17+10</f>
        <v>27</v>
      </c>
      <c r="O115" s="53">
        <f>40+18+4</f>
        <v>62</v>
      </c>
    </row>
    <row r="116">
      <c r="B116" s="9" t="s">
        <v>24</v>
      </c>
      <c r="C116" s="10" t="s">
        <v>149</v>
      </c>
      <c r="D116" s="2" t="s">
        <v>150</v>
      </c>
      <c r="E116" s="65"/>
      <c r="F116" s="13"/>
      <c r="G116" s="2" t="s">
        <v>88</v>
      </c>
      <c r="I116" s="13"/>
      <c r="J116" s="2">
        <v>16.0</v>
      </c>
      <c r="L116" s="2">
        <v>25.0</v>
      </c>
      <c r="O116" s="53">
        <v>42.0</v>
      </c>
    </row>
    <row r="117">
      <c r="B117" s="9" t="s">
        <v>28</v>
      </c>
      <c r="C117" s="10" t="s">
        <v>122</v>
      </c>
      <c r="D117" s="2" t="s">
        <v>123</v>
      </c>
      <c r="E117" s="12" t="s">
        <v>268</v>
      </c>
      <c r="F117" s="13"/>
      <c r="G117" s="2" t="s">
        <v>32</v>
      </c>
      <c r="I117" s="13"/>
      <c r="J117" s="66">
        <f>35+6</f>
        <v>41</v>
      </c>
      <c r="K117" s="75">
        <v>20.0</v>
      </c>
      <c r="L117" s="75">
        <v>19.0</v>
      </c>
      <c r="M117" s="68"/>
      <c r="N117" s="68"/>
      <c r="O117" s="72">
        <f>55+36</f>
        <v>91</v>
      </c>
    </row>
    <row r="118">
      <c r="B118" s="9" t="s">
        <v>33</v>
      </c>
      <c r="C118" s="10" t="s">
        <v>152</v>
      </c>
      <c r="D118" s="2" t="s">
        <v>153</v>
      </c>
      <c r="E118" s="64" t="s">
        <v>270</v>
      </c>
      <c r="F118" s="13"/>
      <c r="G118" s="2" t="s">
        <v>236</v>
      </c>
      <c r="I118" s="13"/>
      <c r="J118" s="2">
        <v>20.0</v>
      </c>
      <c r="K118" s="2">
        <v>19.0</v>
      </c>
      <c r="L118" s="2">
        <v>14.0</v>
      </c>
      <c r="O118" s="53">
        <f>34+15+12</f>
        <v>61</v>
      </c>
    </row>
    <row r="119">
      <c r="B119" s="9" t="s">
        <v>38</v>
      </c>
      <c r="C119" s="10" t="s">
        <v>271</v>
      </c>
      <c r="D119" s="2" t="s">
        <v>272</v>
      </c>
      <c r="E119" s="65"/>
      <c r="F119" s="13"/>
      <c r="G119" s="2" t="s">
        <v>223</v>
      </c>
      <c r="I119" s="13"/>
      <c r="J119" s="2">
        <v>22.0</v>
      </c>
      <c r="L119" s="2">
        <v>24.0</v>
      </c>
      <c r="M119" s="2">
        <v>17.0</v>
      </c>
      <c r="O119" s="53">
        <f>259+50</f>
        <v>309</v>
      </c>
    </row>
    <row r="120">
      <c r="B120" s="9" t="s">
        <v>42</v>
      </c>
      <c r="C120" s="10" t="s">
        <v>274</v>
      </c>
      <c r="D120" s="2" t="s">
        <v>153</v>
      </c>
      <c r="E120" s="65"/>
      <c r="F120" s="13"/>
      <c r="I120" s="13"/>
      <c r="J120" s="2">
        <v>12.0</v>
      </c>
      <c r="L120" s="2">
        <v>23.0</v>
      </c>
      <c r="M120" s="2">
        <v>17.0</v>
      </c>
      <c r="O120" s="53">
        <v>42.0</v>
      </c>
    </row>
    <row r="121">
      <c r="B121" s="9" t="s">
        <v>44</v>
      </c>
      <c r="C121" s="10" t="s">
        <v>287</v>
      </c>
      <c r="D121" s="2" t="s">
        <v>288</v>
      </c>
      <c r="E121" s="64" t="s">
        <v>270</v>
      </c>
      <c r="F121" s="13"/>
      <c r="I121" s="13"/>
      <c r="J121" s="2">
        <v>15.0</v>
      </c>
      <c r="O121" s="53">
        <f>18+12</f>
        <v>30</v>
      </c>
    </row>
    <row r="122">
      <c r="B122" s="9" t="s">
        <v>47</v>
      </c>
      <c r="C122" s="10" t="s">
        <v>132</v>
      </c>
      <c r="D122" s="2" t="s">
        <v>133</v>
      </c>
      <c r="E122" s="64"/>
      <c r="F122" s="13"/>
      <c r="G122" s="2" t="s">
        <v>50</v>
      </c>
      <c r="I122" s="13"/>
      <c r="J122" s="66">
        <v>27.0</v>
      </c>
      <c r="K122" s="75">
        <v>18.0</v>
      </c>
      <c r="L122" s="75">
        <v>27.0</v>
      </c>
      <c r="M122" s="71"/>
      <c r="N122" s="68"/>
      <c r="O122" s="72">
        <f>41+20</f>
        <v>61</v>
      </c>
    </row>
    <row r="123">
      <c r="B123" s="9" t="s">
        <v>51</v>
      </c>
      <c r="C123" s="10" t="s">
        <v>159</v>
      </c>
      <c r="D123" s="2" t="s">
        <v>160</v>
      </c>
      <c r="E123" s="64" t="s">
        <v>278</v>
      </c>
      <c r="F123" s="13"/>
      <c r="I123" s="13"/>
      <c r="J123" s="2">
        <v>23.0</v>
      </c>
      <c r="L123" s="2">
        <v>24.0</v>
      </c>
      <c r="O123" s="53">
        <f>55+24</f>
        <v>79</v>
      </c>
    </row>
    <row r="124">
      <c r="B124" s="9" t="s">
        <v>54</v>
      </c>
      <c r="C124" s="10" t="s">
        <v>279</v>
      </c>
      <c r="D124" s="2" t="s">
        <v>280</v>
      </c>
      <c r="E124" s="64" t="s">
        <v>268</v>
      </c>
      <c r="F124" s="13"/>
      <c r="G124" s="2" t="s">
        <v>58</v>
      </c>
      <c r="I124" s="13"/>
      <c r="J124" s="2">
        <v>28.0</v>
      </c>
      <c r="K124" s="2">
        <v>28.0</v>
      </c>
      <c r="L124" s="2">
        <v>34.0</v>
      </c>
      <c r="M124" s="2">
        <v>18.0</v>
      </c>
      <c r="O124" s="53">
        <f>59+36</f>
        <v>95</v>
      </c>
    </row>
    <row r="125">
      <c r="B125" s="9" t="s">
        <v>59</v>
      </c>
      <c r="C125" s="10" t="s">
        <v>164</v>
      </c>
      <c r="D125" s="2" t="s">
        <v>165</v>
      </c>
      <c r="E125" s="64" t="s">
        <v>278</v>
      </c>
      <c r="F125" s="13"/>
      <c r="G125" s="2" t="s">
        <v>241</v>
      </c>
      <c r="I125" s="13"/>
      <c r="J125" s="2">
        <v>18.0</v>
      </c>
      <c r="K125" s="2">
        <v>18.0</v>
      </c>
      <c r="L125" s="2">
        <v>29.0</v>
      </c>
      <c r="O125" s="53">
        <f>44+24</f>
        <v>68</v>
      </c>
    </row>
    <row r="126">
      <c r="B126" s="9" t="s">
        <v>63</v>
      </c>
      <c r="C126" s="10" t="s">
        <v>167</v>
      </c>
      <c r="D126" s="2" t="s">
        <v>168</v>
      </c>
      <c r="E126" s="122" t="s">
        <v>285</v>
      </c>
      <c r="F126" s="123"/>
      <c r="G126" s="2" t="s">
        <v>66</v>
      </c>
      <c r="I126" s="13"/>
      <c r="J126" s="2">
        <v>20.0</v>
      </c>
      <c r="N126" s="2">
        <v>31.0</v>
      </c>
      <c r="O126" s="53">
        <f>39+12</f>
        <v>51</v>
      </c>
    </row>
    <row r="127">
      <c r="B127" s="9" t="s">
        <v>67</v>
      </c>
      <c r="C127" s="10" t="s">
        <v>289</v>
      </c>
      <c r="D127" s="2" t="s">
        <v>290</v>
      </c>
      <c r="E127" s="64" t="s">
        <v>291</v>
      </c>
      <c r="F127" s="13"/>
      <c r="G127" s="2" t="s">
        <v>66</v>
      </c>
      <c r="I127" s="13"/>
      <c r="J127" s="2">
        <v>25.0</v>
      </c>
      <c r="L127" s="2">
        <v>24.0</v>
      </c>
      <c r="O127" s="53">
        <f>34+12</f>
        <v>46</v>
      </c>
    </row>
    <row r="128">
      <c r="B128" s="9" t="s">
        <v>70</v>
      </c>
      <c r="C128" s="10" t="s">
        <v>169</v>
      </c>
      <c r="D128" s="2" t="s">
        <v>170</v>
      </c>
      <c r="E128" s="65"/>
      <c r="F128" s="13"/>
      <c r="G128" s="19"/>
      <c r="I128" s="13"/>
      <c r="L128" s="2">
        <v>30.0</v>
      </c>
      <c r="M128" s="2">
        <v>12.0</v>
      </c>
      <c r="O128" s="13"/>
    </row>
    <row r="129">
      <c r="B129" s="20" t="s">
        <v>73</v>
      </c>
      <c r="C129" s="76" t="s">
        <v>179</v>
      </c>
      <c r="D129" s="22" t="s">
        <v>180</v>
      </c>
      <c r="E129" s="73"/>
      <c r="F129" s="24"/>
      <c r="G129" s="25"/>
      <c r="H129" s="26"/>
      <c r="I129" s="24"/>
      <c r="O129" s="53">
        <v>53.0</v>
      </c>
    </row>
    <row r="130">
      <c r="E130" s="74"/>
      <c r="J130" s="56">
        <f t="shared" ref="J130:O130" si="9">SUM(J113:J129)</f>
        <v>365</v>
      </c>
      <c r="K130" s="8">
        <f t="shared" si="9"/>
        <v>175</v>
      </c>
      <c r="L130" s="8">
        <f t="shared" si="9"/>
        <v>324</v>
      </c>
      <c r="M130" s="8">
        <f t="shared" si="9"/>
        <v>82</v>
      </c>
      <c r="N130" s="8">
        <f t="shared" si="9"/>
        <v>64</v>
      </c>
      <c r="O130" s="7">
        <f t="shared" si="9"/>
        <v>1216</v>
      </c>
    </row>
    <row r="131">
      <c r="B131" s="3" t="s">
        <v>292</v>
      </c>
      <c r="E131" s="74"/>
      <c r="J131" s="48" t="s">
        <v>144</v>
      </c>
    </row>
    <row r="132">
      <c r="B132" s="4" t="s">
        <v>6</v>
      </c>
      <c r="C132" s="5" t="s">
        <v>7</v>
      </c>
      <c r="D132" s="6" t="s">
        <v>8</v>
      </c>
      <c r="E132" s="57"/>
      <c r="F132" s="7"/>
      <c r="G132" s="6" t="s">
        <v>10</v>
      </c>
      <c r="H132" s="8"/>
      <c r="I132" s="7"/>
      <c r="J132" s="49" t="s">
        <v>108</v>
      </c>
      <c r="K132" s="50" t="s">
        <v>109</v>
      </c>
      <c r="L132" s="50" t="s">
        <v>110</v>
      </c>
      <c r="M132" s="50" t="s">
        <v>111</v>
      </c>
      <c r="N132" s="51" t="s">
        <v>112</v>
      </c>
      <c r="O132" s="51" t="s">
        <v>113</v>
      </c>
    </row>
    <row r="133">
      <c r="B133" s="9" t="s">
        <v>11</v>
      </c>
      <c r="C133" s="58" t="s">
        <v>114</v>
      </c>
      <c r="D133" s="59" t="s">
        <v>115</v>
      </c>
      <c r="E133" s="64" t="s">
        <v>172</v>
      </c>
      <c r="F133" s="13"/>
      <c r="G133" s="2" t="s">
        <v>15</v>
      </c>
      <c r="I133" s="13"/>
      <c r="J133" s="2">
        <v>58.0</v>
      </c>
      <c r="K133" s="2">
        <v>24.0</v>
      </c>
      <c r="L133" s="2">
        <v>24.0</v>
      </c>
      <c r="M133" s="2">
        <v>18.0</v>
      </c>
      <c r="O133" s="53">
        <v>77.0</v>
      </c>
    </row>
    <row r="134">
      <c r="B134" s="9" t="s">
        <v>16</v>
      </c>
      <c r="C134" s="60" t="s">
        <v>182</v>
      </c>
      <c r="D134" s="61" t="s">
        <v>183</v>
      </c>
      <c r="E134" s="64" t="s">
        <v>154</v>
      </c>
      <c r="F134" s="13"/>
      <c r="I134" s="13"/>
      <c r="J134" s="2">
        <v>29.0</v>
      </c>
      <c r="L134" s="2">
        <v>25.0</v>
      </c>
      <c r="N134" s="2">
        <v>25.0</v>
      </c>
      <c r="O134" s="53">
        <v>36.0</v>
      </c>
    </row>
    <row r="135">
      <c r="B135" s="9" t="s">
        <v>19</v>
      </c>
      <c r="C135" s="62" t="s">
        <v>118</v>
      </c>
      <c r="D135" s="63" t="s">
        <v>119</v>
      </c>
      <c r="E135" s="64" t="s">
        <v>166</v>
      </c>
      <c r="F135" s="13"/>
      <c r="G135" s="2" t="s">
        <v>121</v>
      </c>
      <c r="I135" s="13"/>
      <c r="J135" s="2">
        <v>34.0</v>
      </c>
      <c r="K135" s="2">
        <v>34.0</v>
      </c>
      <c r="L135" s="2">
        <v>27.0</v>
      </c>
      <c r="O135" s="53">
        <v>62.0</v>
      </c>
    </row>
    <row r="136">
      <c r="B136" s="9" t="s">
        <v>24</v>
      </c>
      <c r="C136" s="10" t="s">
        <v>184</v>
      </c>
      <c r="D136" s="2" t="s">
        <v>185</v>
      </c>
      <c r="E136" s="64" t="s">
        <v>186</v>
      </c>
      <c r="F136" s="13"/>
      <c r="G136" s="2" t="s">
        <v>88</v>
      </c>
      <c r="I136" s="13"/>
      <c r="J136" s="2">
        <v>26.0</v>
      </c>
      <c r="N136" s="2">
        <v>32.0</v>
      </c>
      <c r="O136" s="53">
        <v>66.0</v>
      </c>
    </row>
    <row r="137">
      <c r="B137" s="9" t="s">
        <v>28</v>
      </c>
      <c r="C137" s="10" t="s">
        <v>187</v>
      </c>
      <c r="D137" s="77" t="s">
        <v>188</v>
      </c>
      <c r="E137" s="64" t="s">
        <v>189</v>
      </c>
      <c r="F137" s="13"/>
      <c r="G137" s="2" t="s">
        <v>32</v>
      </c>
      <c r="I137" s="13"/>
      <c r="J137" s="2">
        <v>56.0</v>
      </c>
      <c r="K137" s="2">
        <v>32.0</v>
      </c>
      <c r="L137" s="2">
        <v>26.0</v>
      </c>
      <c r="N137" s="2">
        <v>27.0</v>
      </c>
      <c r="O137" s="53">
        <v>100.0</v>
      </c>
    </row>
    <row r="138">
      <c r="B138" s="9" t="s">
        <v>33</v>
      </c>
      <c r="C138" s="10" t="s">
        <v>190</v>
      </c>
      <c r="D138" s="2" t="s">
        <v>191</v>
      </c>
      <c r="E138" s="64" t="s">
        <v>192</v>
      </c>
      <c r="F138" s="13"/>
      <c r="G138" s="2" t="s">
        <v>127</v>
      </c>
      <c r="I138" s="13"/>
      <c r="J138" s="2">
        <v>29.0</v>
      </c>
      <c r="K138" s="2">
        <v>18.0</v>
      </c>
      <c r="L138" s="2">
        <v>13.0</v>
      </c>
      <c r="N138" s="2">
        <v>26.0</v>
      </c>
      <c r="O138" s="53">
        <v>47.0</v>
      </c>
    </row>
    <row r="139">
      <c r="B139" s="9" t="s">
        <v>38</v>
      </c>
      <c r="C139" s="10" t="s">
        <v>193</v>
      </c>
      <c r="D139" s="2" t="s">
        <v>194</v>
      </c>
      <c r="E139" s="64" t="s">
        <v>195</v>
      </c>
      <c r="F139" s="13"/>
      <c r="G139" s="2" t="s">
        <v>129</v>
      </c>
      <c r="I139" s="13"/>
      <c r="J139" s="2">
        <v>112.0</v>
      </c>
      <c r="L139" s="2">
        <v>49.0</v>
      </c>
      <c r="M139" s="2">
        <v>50.0</v>
      </c>
      <c r="O139" s="53">
        <v>271.0</v>
      </c>
    </row>
    <row r="140">
      <c r="B140" s="9" t="s">
        <v>42</v>
      </c>
      <c r="C140" s="10"/>
      <c r="E140" s="65"/>
      <c r="F140" s="13"/>
      <c r="I140" s="13"/>
      <c r="O140" s="13"/>
    </row>
    <row r="141">
      <c r="B141" s="9" t="s">
        <v>44</v>
      </c>
      <c r="C141" s="10" t="s">
        <v>196</v>
      </c>
      <c r="D141" s="2" t="s">
        <v>197</v>
      </c>
      <c r="E141" s="64" t="s">
        <v>154</v>
      </c>
      <c r="F141" s="13"/>
      <c r="I141" s="13"/>
      <c r="J141" s="2">
        <v>20.0</v>
      </c>
      <c r="N141" s="2">
        <v>18.0</v>
      </c>
      <c r="O141" s="53">
        <v>24.0</v>
      </c>
    </row>
    <row r="142">
      <c r="B142" s="9" t="s">
        <v>47</v>
      </c>
      <c r="C142" s="10" t="s">
        <v>198</v>
      </c>
      <c r="D142" s="2" t="s">
        <v>199</v>
      </c>
      <c r="E142" s="64" t="s">
        <v>200</v>
      </c>
      <c r="F142" s="13"/>
      <c r="G142" s="2" t="s">
        <v>50</v>
      </c>
      <c r="I142" s="13"/>
      <c r="J142" s="2">
        <v>42.0</v>
      </c>
      <c r="K142" s="2">
        <v>27.0</v>
      </c>
      <c r="N142" s="2">
        <v>36.0</v>
      </c>
      <c r="O142" s="53">
        <v>83.0</v>
      </c>
    </row>
    <row r="143">
      <c r="B143" s="9" t="s">
        <v>51</v>
      </c>
      <c r="C143" s="10" t="s">
        <v>201</v>
      </c>
      <c r="D143" s="2" t="s">
        <v>202</v>
      </c>
      <c r="E143" s="64" t="s">
        <v>154</v>
      </c>
      <c r="F143" s="13"/>
      <c r="I143" s="13"/>
      <c r="J143" s="2">
        <v>39.0</v>
      </c>
      <c r="K143" s="2">
        <v>20.0</v>
      </c>
      <c r="L143" s="2">
        <v>17.0</v>
      </c>
      <c r="M143" s="2">
        <v>14.0</v>
      </c>
      <c r="N143" s="2">
        <v>29.0</v>
      </c>
      <c r="O143" s="53">
        <v>52.0</v>
      </c>
    </row>
    <row r="144">
      <c r="B144" s="9" t="s">
        <v>54</v>
      </c>
      <c r="C144" s="10" t="s">
        <v>203</v>
      </c>
      <c r="D144" s="2" t="s">
        <v>204</v>
      </c>
      <c r="E144" s="64" t="s">
        <v>205</v>
      </c>
      <c r="F144" s="13"/>
      <c r="G144" s="2" t="s">
        <v>58</v>
      </c>
      <c r="I144" s="13"/>
      <c r="J144" s="2">
        <v>56.0</v>
      </c>
      <c r="K144" s="2">
        <v>25.0</v>
      </c>
      <c r="N144" s="2">
        <v>42.0</v>
      </c>
      <c r="O144" s="53">
        <v>123.0</v>
      </c>
    </row>
    <row r="145">
      <c r="B145" s="9" t="s">
        <v>59</v>
      </c>
      <c r="C145" s="10" t="s">
        <v>206</v>
      </c>
      <c r="D145" s="2" t="s">
        <v>207</v>
      </c>
      <c r="E145" s="64" t="s">
        <v>154</v>
      </c>
      <c r="F145" s="13"/>
      <c r="G145" s="2" t="s">
        <v>62</v>
      </c>
      <c r="I145" s="13"/>
      <c r="J145" s="2">
        <v>39.0</v>
      </c>
      <c r="K145" s="2">
        <v>20.0</v>
      </c>
      <c r="L145" s="2">
        <v>20.0</v>
      </c>
      <c r="M145" s="2">
        <v>15.0</v>
      </c>
      <c r="N145" s="2">
        <v>25.0</v>
      </c>
      <c r="O145" s="53">
        <v>52.0</v>
      </c>
    </row>
    <row r="146">
      <c r="B146" s="9" t="s">
        <v>63</v>
      </c>
      <c r="C146" s="60" t="s">
        <v>208</v>
      </c>
      <c r="D146" s="61" t="s">
        <v>183</v>
      </c>
      <c r="E146" s="65"/>
      <c r="F146" s="13"/>
      <c r="G146" s="2" t="s">
        <v>66</v>
      </c>
      <c r="I146" s="13"/>
      <c r="J146" s="2">
        <v>28.0</v>
      </c>
      <c r="M146" s="2">
        <v>19.0</v>
      </c>
      <c r="N146" s="2">
        <v>30.0</v>
      </c>
      <c r="O146" s="53">
        <v>46.0</v>
      </c>
    </row>
    <row r="147">
      <c r="B147" s="9" t="s">
        <v>67</v>
      </c>
      <c r="C147" s="60" t="s">
        <v>209</v>
      </c>
      <c r="D147" s="77" t="s">
        <v>188</v>
      </c>
      <c r="E147" s="65"/>
      <c r="F147" s="13"/>
      <c r="G147" s="2" t="s">
        <v>66</v>
      </c>
      <c r="I147" s="13"/>
      <c r="J147" s="2">
        <v>14.0</v>
      </c>
      <c r="L147" s="2">
        <v>22.0</v>
      </c>
      <c r="N147" s="2">
        <v>31.0</v>
      </c>
      <c r="O147" s="53">
        <v>52.0</v>
      </c>
    </row>
    <row r="148">
      <c r="B148" s="9" t="s">
        <v>70</v>
      </c>
      <c r="C148" s="10" t="s">
        <v>169</v>
      </c>
      <c r="D148" s="2" t="s">
        <v>170</v>
      </c>
      <c r="E148" s="65"/>
      <c r="F148" s="13"/>
      <c r="G148" s="19"/>
      <c r="I148" s="13"/>
      <c r="L148" s="2">
        <v>30.0</v>
      </c>
      <c r="M148" s="2">
        <v>12.0</v>
      </c>
      <c r="O148" s="13"/>
    </row>
    <row r="149">
      <c r="B149" s="20" t="s">
        <v>73</v>
      </c>
      <c r="C149" s="78" t="s">
        <v>210</v>
      </c>
      <c r="D149" s="79" t="s">
        <v>188</v>
      </c>
      <c r="E149" s="73"/>
      <c r="F149" s="24"/>
      <c r="G149" s="25"/>
      <c r="H149" s="26"/>
      <c r="I149" s="24"/>
      <c r="J149" s="26"/>
      <c r="K149" s="26"/>
      <c r="L149" s="26"/>
      <c r="M149" s="26"/>
      <c r="N149" s="22">
        <v>54.0</v>
      </c>
      <c r="O149" s="54"/>
    </row>
    <row r="150">
      <c r="J150" s="56">
        <f t="shared" ref="J150:O150" si="10">SUM(J133:J149)</f>
        <v>582</v>
      </c>
      <c r="K150" s="8">
        <f t="shared" si="10"/>
        <v>200</v>
      </c>
      <c r="L150" s="8">
        <f t="shared" si="10"/>
        <v>253</v>
      </c>
      <c r="M150" s="8">
        <f t="shared" si="10"/>
        <v>128</v>
      </c>
      <c r="N150" s="8">
        <f t="shared" si="10"/>
        <v>375</v>
      </c>
      <c r="O150" s="7">
        <f t="shared" si="10"/>
        <v>1091</v>
      </c>
    </row>
    <row r="152">
      <c r="B152" s="129" t="s">
        <v>293</v>
      </c>
    </row>
    <row r="153">
      <c r="D153" s="80"/>
    </row>
    <row r="154">
      <c r="B154" s="130" t="s">
        <v>294</v>
      </c>
      <c r="D154" s="80"/>
    </row>
    <row r="155">
      <c r="B155" s="77"/>
      <c r="C155" s="131" t="s">
        <v>295</v>
      </c>
      <c r="D155" s="132">
        <v>0.02</v>
      </c>
      <c r="E155" s="81" t="s">
        <v>296</v>
      </c>
    </row>
    <row r="156">
      <c r="B156" s="133"/>
      <c r="C156" s="134" t="s">
        <v>297</v>
      </c>
      <c r="D156" s="135">
        <v>1.0</v>
      </c>
      <c r="E156" s="2" t="s">
        <v>298</v>
      </c>
      <c r="K156" s="136">
        <v>1.0</v>
      </c>
    </row>
    <row r="157">
      <c r="A157" s="137" t="s">
        <v>299</v>
      </c>
      <c r="B157" s="138" t="s">
        <v>300</v>
      </c>
      <c r="C157" s="137" t="s">
        <v>301</v>
      </c>
      <c r="D157" s="137" t="s">
        <v>302</v>
      </c>
      <c r="E157" s="137" t="s">
        <v>303</v>
      </c>
      <c r="F157" s="137" t="s">
        <v>304</v>
      </c>
      <c r="G157" s="137" t="s">
        <v>305</v>
      </c>
      <c r="H157" s="137" t="s">
        <v>306</v>
      </c>
      <c r="I157" s="137" t="s">
        <v>307</v>
      </c>
      <c r="K157" s="136">
        <v>1.1</v>
      </c>
      <c r="L157" s="139"/>
      <c r="M157" s="139"/>
      <c r="N157" s="139"/>
      <c r="O157" s="139"/>
      <c r="P157" s="139"/>
      <c r="Q157" s="139"/>
      <c r="R157" s="139"/>
      <c r="S157" s="139"/>
    </row>
    <row r="158">
      <c r="A158" s="2">
        <v>0.0</v>
      </c>
      <c r="B158" s="13">
        <f t="shared" ref="B158:B200" si="11">A158*15.75</f>
        <v>0</v>
      </c>
      <c r="C158" s="140">
        <f t="shared" ref="C158:C200" si="12">(1.5/(1+0.01*$B158/15.75))/(1+(D$156-1))+D$155</f>
        <v>1.52</v>
      </c>
      <c r="D158" s="140">
        <f t="shared" ref="D158:D200" si="13">(1.5/(1+0.01*$B158/15.75))/(1+(1.3*D$156-1))+D$155</f>
        <v>1.173846154</v>
      </c>
      <c r="E158" s="140">
        <f t="shared" ref="E158:E200" si="14">(1.5/(1+0.01*$B158/15.75))/(1+(1.2*D$156-1))+D$155</f>
        <v>1.27</v>
      </c>
      <c r="F158" s="140">
        <f t="shared" ref="F158:F200" si="15">(1.5/(1+0.01*$B158/15.75))/(1+(1.3*1.2*D$156-1))+D$155</f>
        <v>0.9815384615</v>
      </c>
      <c r="G158" s="140">
        <f t="shared" ref="G158:G200" si="16">(1.5/(1+0.01*($B158+80)/15.75))/(1+(1.3*1.2*D$156-1))+D$155</f>
        <v>0.935059261</v>
      </c>
      <c r="H158" s="140">
        <f t="shared" ref="H158:H200" si="17">(1.5/(1+0.01*($B158+80)/15.75))/(1+(1*1.2*D$156-1))+D$155</f>
        <v>1.209577039</v>
      </c>
      <c r="I158" s="140">
        <f t="shared" ref="I158:I200" si="18">(1.5/(1+0.01*($B158+80)/15.75))/(1+(D$156-1))+D$155</f>
        <v>1.447492447</v>
      </c>
      <c r="K158" s="136">
        <v>1.2</v>
      </c>
      <c r="L158" s="139"/>
      <c r="M158" s="139"/>
      <c r="N158" s="139"/>
      <c r="O158" s="139"/>
      <c r="P158" s="139"/>
      <c r="Q158" s="139"/>
      <c r="R158" s="139"/>
      <c r="S158" s="139"/>
    </row>
    <row r="159">
      <c r="A159" s="2">
        <v>1.0</v>
      </c>
      <c r="B159" s="13">
        <f t="shared" si="11"/>
        <v>15.75</v>
      </c>
      <c r="C159" s="140">
        <f t="shared" si="12"/>
        <v>1.505148515</v>
      </c>
      <c r="D159" s="140">
        <f t="shared" si="13"/>
        <v>1.162421935</v>
      </c>
      <c r="E159" s="140">
        <f t="shared" si="14"/>
        <v>1.257623762</v>
      </c>
      <c r="F159" s="140">
        <f t="shared" si="15"/>
        <v>0.9720182788</v>
      </c>
      <c r="G159" s="140">
        <f t="shared" si="16"/>
        <v>0.9264330851</v>
      </c>
      <c r="H159" s="140">
        <f t="shared" si="17"/>
        <v>1.198363011</v>
      </c>
      <c r="I159" s="140">
        <f t="shared" si="18"/>
        <v>1.434035613</v>
      </c>
      <c r="K159" s="136">
        <v>1.3</v>
      </c>
      <c r="L159" s="139"/>
      <c r="M159" s="139"/>
      <c r="N159" s="139"/>
      <c r="O159" s="139"/>
      <c r="P159" s="139"/>
      <c r="Q159" s="139"/>
      <c r="R159" s="139"/>
      <c r="S159" s="139"/>
    </row>
    <row r="160">
      <c r="A160" s="2">
        <v>2.0</v>
      </c>
      <c r="B160" s="13">
        <f t="shared" si="11"/>
        <v>31.5</v>
      </c>
      <c r="C160" s="140">
        <f t="shared" si="12"/>
        <v>1.490588235</v>
      </c>
      <c r="D160" s="140">
        <f t="shared" si="13"/>
        <v>1.151221719</v>
      </c>
      <c r="E160" s="140">
        <f t="shared" si="14"/>
        <v>1.245490196</v>
      </c>
      <c r="F160" s="140">
        <f t="shared" si="15"/>
        <v>0.9626847662</v>
      </c>
      <c r="G160" s="140">
        <f t="shared" si="16"/>
        <v>0.9179680266</v>
      </c>
      <c r="H160" s="140">
        <f t="shared" si="17"/>
        <v>1.187358435</v>
      </c>
      <c r="I160" s="140">
        <f t="shared" si="18"/>
        <v>1.420830122</v>
      </c>
      <c r="L160" s="139"/>
      <c r="M160" s="139"/>
      <c r="N160" s="141"/>
      <c r="O160" s="139"/>
      <c r="P160" s="139"/>
      <c r="Q160" s="139"/>
      <c r="R160" s="139"/>
      <c r="S160" s="139"/>
    </row>
    <row r="161">
      <c r="A161" s="2">
        <v>3.0</v>
      </c>
      <c r="B161" s="13">
        <f t="shared" si="11"/>
        <v>47.25</v>
      </c>
      <c r="C161" s="140">
        <f t="shared" si="12"/>
        <v>1.47631068</v>
      </c>
      <c r="D161" s="140">
        <f t="shared" si="13"/>
        <v>1.140238984</v>
      </c>
      <c r="E161" s="140">
        <f t="shared" si="14"/>
        <v>1.233592233</v>
      </c>
      <c r="F161" s="140">
        <f t="shared" si="15"/>
        <v>0.9535324869</v>
      </c>
      <c r="G161" s="140">
        <f t="shared" si="16"/>
        <v>0.9096596134</v>
      </c>
      <c r="H161" s="140">
        <f t="shared" si="17"/>
        <v>1.176557497</v>
      </c>
      <c r="I161" s="140">
        <f t="shared" si="18"/>
        <v>1.407868997</v>
      </c>
      <c r="L161" s="139"/>
      <c r="M161" s="139"/>
      <c r="N161" s="139"/>
      <c r="O161" s="139"/>
      <c r="P161" s="139"/>
      <c r="Q161" s="139"/>
      <c r="R161" s="139"/>
      <c r="S161" s="139"/>
    </row>
    <row r="162">
      <c r="A162" s="2">
        <v>4.0</v>
      </c>
      <c r="B162" s="13">
        <f t="shared" si="11"/>
        <v>63</v>
      </c>
      <c r="C162" s="140">
        <f t="shared" si="12"/>
        <v>1.462307692</v>
      </c>
      <c r="D162" s="140">
        <f t="shared" si="13"/>
        <v>1.129467456</v>
      </c>
      <c r="E162" s="140">
        <f t="shared" si="14"/>
        <v>1.221923077</v>
      </c>
      <c r="F162" s="140">
        <f t="shared" si="15"/>
        <v>0.944556213</v>
      </c>
      <c r="G162" s="140">
        <f t="shared" si="16"/>
        <v>0.9015035372</v>
      </c>
      <c r="H162" s="140">
        <f t="shared" si="17"/>
        <v>1.165954598</v>
      </c>
      <c r="I162" s="140">
        <f t="shared" si="18"/>
        <v>1.395145518</v>
      </c>
      <c r="L162" s="139"/>
      <c r="M162" s="139"/>
      <c r="N162" s="139"/>
      <c r="O162" s="139"/>
      <c r="P162" s="139"/>
      <c r="Q162" s="139"/>
      <c r="R162" s="139"/>
      <c r="S162" s="139"/>
    </row>
    <row r="163">
      <c r="A163" s="2">
        <v>5.0</v>
      </c>
      <c r="B163" s="13">
        <f t="shared" si="11"/>
        <v>78.75</v>
      </c>
      <c r="C163" s="140">
        <f t="shared" si="12"/>
        <v>1.448571429</v>
      </c>
      <c r="D163" s="140">
        <f t="shared" si="13"/>
        <v>1.118901099</v>
      </c>
      <c r="E163" s="140">
        <f t="shared" si="14"/>
        <v>1.21047619</v>
      </c>
      <c r="F163" s="140">
        <f t="shared" si="15"/>
        <v>0.9357509158</v>
      </c>
      <c r="G163" s="140">
        <f t="shared" si="16"/>
        <v>0.8934956464</v>
      </c>
      <c r="H163" s="140">
        <f t="shared" si="17"/>
        <v>1.15554434</v>
      </c>
      <c r="I163" s="140">
        <f t="shared" si="18"/>
        <v>1.382653208</v>
      </c>
      <c r="L163" s="139"/>
      <c r="M163" s="139"/>
      <c r="N163" s="139"/>
      <c r="O163" s="139"/>
      <c r="P163" s="139"/>
      <c r="Q163" s="139"/>
      <c r="R163" s="139"/>
      <c r="S163" s="139"/>
    </row>
    <row r="164">
      <c r="A164" s="2">
        <v>6.0</v>
      </c>
      <c r="B164" s="13">
        <f t="shared" si="11"/>
        <v>94.5</v>
      </c>
      <c r="C164" s="140">
        <f t="shared" si="12"/>
        <v>1.43509434</v>
      </c>
      <c r="D164" s="140">
        <f t="shared" si="13"/>
        <v>1.108534107</v>
      </c>
      <c r="E164" s="140">
        <f t="shared" si="14"/>
        <v>1.199245283</v>
      </c>
      <c r="F164" s="140">
        <f t="shared" si="15"/>
        <v>0.9271117562</v>
      </c>
      <c r="G164" s="140">
        <f t="shared" si="16"/>
        <v>0.8856319388</v>
      </c>
      <c r="H164" s="140">
        <f t="shared" si="17"/>
        <v>1.14532152</v>
      </c>
      <c r="I164" s="140">
        <f t="shared" si="18"/>
        <v>1.370385825</v>
      </c>
      <c r="L164" s="139"/>
      <c r="M164" s="139"/>
      <c r="N164" s="139"/>
      <c r="O164" s="139"/>
      <c r="P164" s="139"/>
      <c r="Q164" s="139"/>
      <c r="R164" s="139"/>
      <c r="S164" s="139"/>
    </row>
    <row r="165">
      <c r="A165" s="2">
        <v>7.0</v>
      </c>
      <c r="B165" s="13">
        <f t="shared" si="11"/>
        <v>110.25</v>
      </c>
      <c r="C165" s="140">
        <f t="shared" si="12"/>
        <v>1.421869159</v>
      </c>
      <c r="D165" s="140">
        <f t="shared" si="13"/>
        <v>1.098360891</v>
      </c>
      <c r="E165" s="140">
        <f t="shared" si="14"/>
        <v>1.188224299</v>
      </c>
      <c r="F165" s="140">
        <f t="shared" si="15"/>
        <v>0.9186340762</v>
      </c>
      <c r="G165" s="140">
        <f t="shared" si="16"/>
        <v>0.8779085551</v>
      </c>
      <c r="H165" s="140">
        <f t="shared" si="17"/>
        <v>1.135281122</v>
      </c>
      <c r="I165" s="140">
        <f t="shared" si="18"/>
        <v>1.358337346</v>
      </c>
      <c r="L165" s="139"/>
      <c r="M165" s="139"/>
      <c r="N165" s="139"/>
      <c r="O165" s="139"/>
      <c r="P165" s="139"/>
      <c r="Q165" s="139"/>
      <c r="R165" s="139"/>
      <c r="S165" s="139"/>
    </row>
    <row r="166">
      <c r="A166" s="2">
        <v>8.0</v>
      </c>
      <c r="B166" s="13">
        <f t="shared" si="11"/>
        <v>126</v>
      </c>
      <c r="C166" s="140">
        <f t="shared" si="12"/>
        <v>1.408888889</v>
      </c>
      <c r="D166" s="140">
        <f t="shared" si="13"/>
        <v>1.088376068</v>
      </c>
      <c r="E166" s="140">
        <f t="shared" si="14"/>
        <v>1.177407407</v>
      </c>
      <c r="F166" s="140">
        <f t="shared" si="15"/>
        <v>0.9103133903</v>
      </c>
      <c r="G166" s="140">
        <f t="shared" si="16"/>
        <v>0.8703217726</v>
      </c>
      <c r="H166" s="140">
        <f t="shared" si="17"/>
        <v>1.125418304</v>
      </c>
      <c r="I166" s="140">
        <f t="shared" si="18"/>
        <v>1.346501965</v>
      </c>
      <c r="L166" s="139"/>
      <c r="M166" s="139"/>
      <c r="N166" s="139"/>
      <c r="O166" s="139"/>
      <c r="P166" s="139"/>
      <c r="Q166" s="139"/>
      <c r="R166" s="139"/>
      <c r="S166" s="139"/>
    </row>
    <row r="167">
      <c r="A167" s="2">
        <v>9.0</v>
      </c>
      <c r="B167" s="13">
        <f t="shared" si="11"/>
        <v>141.75</v>
      </c>
      <c r="C167" s="140">
        <f t="shared" si="12"/>
        <v>1.396146789</v>
      </c>
      <c r="D167" s="140">
        <f t="shared" si="13"/>
        <v>1.078574453</v>
      </c>
      <c r="E167" s="140">
        <f t="shared" si="14"/>
        <v>1.166788991</v>
      </c>
      <c r="F167" s="140">
        <f t="shared" si="15"/>
        <v>0.9021453776</v>
      </c>
      <c r="G167" s="140">
        <f t="shared" si="16"/>
        <v>0.8628679988</v>
      </c>
      <c r="H167" s="140">
        <f t="shared" si="17"/>
        <v>1.115728398</v>
      </c>
      <c r="I167" s="140">
        <f t="shared" si="18"/>
        <v>1.334874078</v>
      </c>
      <c r="L167" s="139"/>
      <c r="M167" s="139"/>
      <c r="N167" s="139"/>
      <c r="O167" s="139"/>
      <c r="P167" s="139"/>
      <c r="Q167" s="139"/>
      <c r="R167" s="139"/>
      <c r="S167" s="139"/>
    </row>
    <row r="168">
      <c r="A168" s="2">
        <v>10.0</v>
      </c>
      <c r="B168" s="13">
        <f t="shared" si="11"/>
        <v>157.5</v>
      </c>
      <c r="C168" s="140">
        <f t="shared" si="12"/>
        <v>1.383636364</v>
      </c>
      <c r="D168" s="140">
        <f t="shared" si="13"/>
        <v>1.068951049</v>
      </c>
      <c r="E168" s="140">
        <f t="shared" si="14"/>
        <v>1.156363636</v>
      </c>
      <c r="F168" s="140">
        <f t="shared" si="15"/>
        <v>0.8941258741</v>
      </c>
      <c r="G168" s="140">
        <f t="shared" si="16"/>
        <v>0.8555437666</v>
      </c>
      <c r="H168" s="140">
        <f t="shared" si="17"/>
        <v>1.106206897</v>
      </c>
      <c r="I168" s="140">
        <f t="shared" si="18"/>
        <v>1.323448276</v>
      </c>
      <c r="L168" s="139"/>
      <c r="M168" s="139"/>
      <c r="N168" s="139"/>
      <c r="O168" s="139"/>
      <c r="P168" s="139"/>
      <c r="Q168" s="139"/>
      <c r="R168" s="139"/>
      <c r="S168" s="139"/>
    </row>
    <row r="169">
      <c r="A169" s="2">
        <v>11.0</v>
      </c>
      <c r="B169" s="13">
        <f t="shared" si="11"/>
        <v>173.25</v>
      </c>
      <c r="C169" s="140">
        <f t="shared" si="12"/>
        <v>1.371351351</v>
      </c>
      <c r="D169" s="140">
        <f t="shared" si="13"/>
        <v>1.05950104</v>
      </c>
      <c r="E169" s="140">
        <f t="shared" si="14"/>
        <v>1.146126126</v>
      </c>
      <c r="F169" s="140">
        <f t="shared" si="15"/>
        <v>0.8862508663</v>
      </c>
      <c r="G169" s="140">
        <f t="shared" si="16"/>
        <v>0.8483457278</v>
      </c>
      <c r="H169" s="140">
        <f t="shared" si="17"/>
        <v>1.096849446</v>
      </c>
      <c r="I169" s="140">
        <f t="shared" si="18"/>
        <v>1.312219335</v>
      </c>
      <c r="L169" s="139"/>
      <c r="M169" s="139"/>
      <c r="N169" s="139"/>
      <c r="O169" s="139"/>
      <c r="P169" s="139"/>
      <c r="Q169" s="139"/>
      <c r="R169" s="139"/>
      <c r="S169" s="139"/>
    </row>
    <row r="170">
      <c r="A170" s="2">
        <v>12.0</v>
      </c>
      <c r="B170" s="13">
        <f t="shared" si="11"/>
        <v>189</v>
      </c>
      <c r="C170" s="140">
        <f t="shared" si="12"/>
        <v>1.359285714</v>
      </c>
      <c r="D170" s="140">
        <f t="shared" si="13"/>
        <v>1.05021978</v>
      </c>
      <c r="E170" s="140">
        <f t="shared" si="14"/>
        <v>1.136071429</v>
      </c>
      <c r="F170" s="140">
        <f t="shared" si="15"/>
        <v>0.8785164835</v>
      </c>
      <c r="G170" s="140">
        <f t="shared" si="16"/>
        <v>0.8412706491</v>
      </c>
      <c r="H170" s="140">
        <f t="shared" si="17"/>
        <v>1.087651844</v>
      </c>
      <c r="I170" s="140">
        <f t="shared" si="18"/>
        <v>1.301182213</v>
      </c>
      <c r="L170" s="139"/>
      <c r="M170" s="139"/>
      <c r="N170" s="139"/>
      <c r="O170" s="139"/>
      <c r="P170" s="139"/>
      <c r="Q170" s="139"/>
      <c r="R170" s="139"/>
      <c r="S170" s="139"/>
    </row>
    <row r="171">
      <c r="A171" s="2">
        <v>13.0</v>
      </c>
      <c r="B171" s="13">
        <f t="shared" si="11"/>
        <v>204.75</v>
      </c>
      <c r="C171" s="140">
        <f t="shared" si="12"/>
        <v>1.347433628</v>
      </c>
      <c r="D171" s="140">
        <f t="shared" si="13"/>
        <v>1.041102791</v>
      </c>
      <c r="E171" s="140">
        <f t="shared" si="14"/>
        <v>1.12619469</v>
      </c>
      <c r="F171" s="140">
        <f t="shared" si="15"/>
        <v>0.8709189925</v>
      </c>
      <c r="G171" s="140">
        <f t="shared" si="16"/>
        <v>0.8343154063</v>
      </c>
      <c r="H171" s="140">
        <f t="shared" si="17"/>
        <v>1.078610028</v>
      </c>
      <c r="I171" s="140">
        <f t="shared" si="18"/>
        <v>1.290332034</v>
      </c>
      <c r="L171" s="139"/>
      <c r="M171" s="139"/>
      <c r="N171" s="139"/>
      <c r="O171" s="139"/>
      <c r="P171" s="139"/>
      <c r="Q171" s="139"/>
      <c r="R171" s="139"/>
      <c r="S171" s="139"/>
    </row>
    <row r="172">
      <c r="A172" s="2">
        <v>14.0</v>
      </c>
      <c r="B172" s="13">
        <f t="shared" si="11"/>
        <v>220.5</v>
      </c>
      <c r="C172" s="140">
        <f t="shared" si="12"/>
        <v>1.335789474</v>
      </c>
      <c r="D172" s="140">
        <f t="shared" si="13"/>
        <v>1.032145749</v>
      </c>
      <c r="E172" s="140">
        <f t="shared" si="14"/>
        <v>1.116491228</v>
      </c>
      <c r="F172" s="140">
        <f t="shared" si="15"/>
        <v>0.8634547908</v>
      </c>
      <c r="G172" s="140">
        <f t="shared" si="16"/>
        <v>0.8274769805</v>
      </c>
      <c r="H172" s="140">
        <f t="shared" si="17"/>
        <v>1.069720075</v>
      </c>
      <c r="I172" s="140">
        <f t="shared" si="18"/>
        <v>1.27966409</v>
      </c>
      <c r="L172" s="139"/>
      <c r="M172" s="139"/>
      <c r="N172" s="139"/>
      <c r="O172" s="139"/>
      <c r="P172" s="139"/>
      <c r="Q172" s="139"/>
      <c r="R172" s="139"/>
      <c r="S172" s="139"/>
    </row>
    <row r="173">
      <c r="A173" s="2">
        <v>15.0</v>
      </c>
      <c r="B173" s="13">
        <f t="shared" si="11"/>
        <v>236.25</v>
      </c>
      <c r="C173" s="140">
        <f t="shared" si="12"/>
        <v>1.324347826</v>
      </c>
      <c r="D173" s="140">
        <f t="shared" si="13"/>
        <v>1.023344482</v>
      </c>
      <c r="E173" s="140">
        <f t="shared" si="14"/>
        <v>1.106956522</v>
      </c>
      <c r="F173" s="140">
        <f t="shared" si="15"/>
        <v>0.8561204013</v>
      </c>
      <c r="G173" s="140">
        <f t="shared" si="16"/>
        <v>0.8207524531</v>
      </c>
      <c r="H173" s="140">
        <f t="shared" si="17"/>
        <v>1.060978189</v>
      </c>
      <c r="I173" s="140">
        <f t="shared" si="18"/>
        <v>1.269173827</v>
      </c>
      <c r="L173" s="139"/>
      <c r="M173" s="139"/>
      <c r="N173" s="139"/>
      <c r="O173" s="139"/>
      <c r="P173" s="139"/>
      <c r="Q173" s="139"/>
      <c r="R173" s="139"/>
      <c r="S173" s="139"/>
    </row>
    <row r="174">
      <c r="A174" s="2">
        <v>16.0</v>
      </c>
      <c r="B174" s="13">
        <f t="shared" si="11"/>
        <v>252</v>
      </c>
      <c r="C174" s="140">
        <f t="shared" si="12"/>
        <v>1.313103448</v>
      </c>
      <c r="D174" s="140">
        <f t="shared" si="13"/>
        <v>1.01469496</v>
      </c>
      <c r="E174" s="140">
        <f t="shared" si="14"/>
        <v>1.097586207</v>
      </c>
      <c r="F174" s="140">
        <f t="shared" si="15"/>
        <v>0.8489124668</v>
      </c>
      <c r="G174" s="140">
        <f t="shared" si="16"/>
        <v>0.8141390021</v>
      </c>
      <c r="H174" s="140">
        <f t="shared" si="17"/>
        <v>1.052380703</v>
      </c>
      <c r="I174" s="140">
        <f t="shared" si="18"/>
        <v>1.258856843</v>
      </c>
      <c r="L174" s="139"/>
      <c r="M174" s="139"/>
      <c r="N174" s="139"/>
      <c r="O174" s="139"/>
      <c r="P174" s="139"/>
      <c r="Q174" s="139"/>
      <c r="R174" s="139"/>
      <c r="S174" s="139"/>
    </row>
    <row r="175">
      <c r="A175" s="2">
        <v>17.0</v>
      </c>
      <c r="B175" s="13">
        <f t="shared" si="11"/>
        <v>267.75</v>
      </c>
      <c r="C175" s="140">
        <f t="shared" si="12"/>
        <v>1.302051282</v>
      </c>
      <c r="D175" s="140">
        <f t="shared" si="13"/>
        <v>1.006193294</v>
      </c>
      <c r="E175" s="140">
        <f t="shared" si="14"/>
        <v>1.088376068</v>
      </c>
      <c r="F175" s="140">
        <f t="shared" si="15"/>
        <v>0.8418277449</v>
      </c>
      <c r="G175" s="140">
        <f t="shared" si="16"/>
        <v>0.8076338978</v>
      </c>
      <c r="H175" s="140">
        <f t="shared" si="17"/>
        <v>1.043924067</v>
      </c>
      <c r="I175" s="140">
        <f t="shared" si="18"/>
        <v>1.248708881</v>
      </c>
      <c r="L175" s="139"/>
      <c r="M175" s="139"/>
      <c r="N175" s="139"/>
      <c r="O175" s="139"/>
      <c r="P175" s="139"/>
      <c r="Q175" s="139"/>
      <c r="R175" s="139"/>
      <c r="S175" s="139"/>
    </row>
    <row r="176">
      <c r="A176" s="2">
        <v>18.0</v>
      </c>
      <c r="B176" s="13">
        <f t="shared" si="11"/>
        <v>283.5</v>
      </c>
      <c r="C176" s="140">
        <f t="shared" si="12"/>
        <v>1.291186441</v>
      </c>
      <c r="D176" s="140">
        <f t="shared" si="13"/>
        <v>0.9978357236</v>
      </c>
      <c r="E176" s="140">
        <f t="shared" si="14"/>
        <v>1.079322034</v>
      </c>
      <c r="F176" s="140">
        <f t="shared" si="15"/>
        <v>0.834863103</v>
      </c>
      <c r="G176" s="140">
        <f t="shared" si="16"/>
        <v>0.8012344993</v>
      </c>
      <c r="H176" s="140">
        <f t="shared" si="17"/>
        <v>1.035604849</v>
      </c>
      <c r="I176" s="140">
        <f t="shared" si="18"/>
        <v>1.238725819</v>
      </c>
      <c r="L176" s="139"/>
      <c r="M176" s="139"/>
      <c r="N176" s="139"/>
      <c r="O176" s="139"/>
      <c r="P176" s="139"/>
      <c r="Q176" s="139"/>
      <c r="R176" s="139"/>
      <c r="S176" s="139"/>
    </row>
    <row r="177">
      <c r="A177" s="2">
        <v>19.0</v>
      </c>
      <c r="B177" s="13">
        <f t="shared" si="11"/>
        <v>299.25</v>
      </c>
      <c r="C177" s="140">
        <f t="shared" si="12"/>
        <v>1.280504202</v>
      </c>
      <c r="D177" s="140">
        <f t="shared" si="13"/>
        <v>0.9896186167</v>
      </c>
      <c r="E177" s="140">
        <f t="shared" si="14"/>
        <v>1.070420168</v>
      </c>
      <c r="F177" s="140">
        <f t="shared" si="15"/>
        <v>0.8280155139</v>
      </c>
      <c r="G177" s="140">
        <f t="shared" si="16"/>
        <v>0.794938251</v>
      </c>
      <c r="H177" s="140">
        <f t="shared" si="17"/>
        <v>1.027419726</v>
      </c>
      <c r="I177" s="140">
        <f t="shared" si="18"/>
        <v>1.228903671</v>
      </c>
      <c r="L177" s="139"/>
      <c r="M177" s="139"/>
      <c r="N177" s="139"/>
      <c r="O177" s="139"/>
      <c r="P177" s="139"/>
      <c r="Q177" s="139"/>
      <c r="R177" s="139"/>
      <c r="S177" s="139"/>
    </row>
    <row r="178">
      <c r="A178" s="2">
        <v>20.0</v>
      </c>
      <c r="B178" s="13">
        <f t="shared" si="11"/>
        <v>315</v>
      </c>
      <c r="C178" s="140">
        <f t="shared" si="12"/>
        <v>1.27</v>
      </c>
      <c r="D178" s="140">
        <f t="shared" si="13"/>
        <v>0.9815384615</v>
      </c>
      <c r="E178" s="140">
        <f t="shared" si="14"/>
        <v>1.061666667</v>
      </c>
      <c r="F178" s="140">
        <f t="shared" si="15"/>
        <v>0.8212820513</v>
      </c>
      <c r="G178" s="140">
        <f t="shared" si="16"/>
        <v>0.7887426786</v>
      </c>
      <c r="H178" s="140">
        <f t="shared" si="17"/>
        <v>1.019365482</v>
      </c>
      <c r="I178" s="140">
        <f t="shared" si="18"/>
        <v>1.219238579</v>
      </c>
    </row>
    <row r="179">
      <c r="A179" s="2">
        <v>21.0</v>
      </c>
      <c r="B179" s="13">
        <f t="shared" si="11"/>
        <v>330.75</v>
      </c>
      <c r="C179" s="140">
        <f t="shared" si="12"/>
        <v>1.259669421</v>
      </c>
      <c r="D179" s="140">
        <f t="shared" si="13"/>
        <v>0.9735918627</v>
      </c>
      <c r="E179" s="140">
        <f t="shared" si="14"/>
        <v>1.053057851</v>
      </c>
      <c r="F179" s="140">
        <f t="shared" si="15"/>
        <v>0.8146598856</v>
      </c>
      <c r="G179" s="140">
        <f t="shared" si="16"/>
        <v>0.7826453868</v>
      </c>
      <c r="H179" s="140">
        <f t="shared" si="17"/>
        <v>1.011439003</v>
      </c>
      <c r="I179" s="140">
        <f t="shared" si="18"/>
        <v>1.209726803</v>
      </c>
    </row>
    <row r="180">
      <c r="A180" s="2">
        <v>22.0</v>
      </c>
      <c r="B180" s="13">
        <f t="shared" si="11"/>
        <v>346.5</v>
      </c>
      <c r="C180" s="140">
        <f t="shared" si="12"/>
        <v>1.249508197</v>
      </c>
      <c r="D180" s="140">
        <f t="shared" si="13"/>
        <v>0.9657755359</v>
      </c>
      <c r="E180" s="140">
        <f t="shared" si="14"/>
        <v>1.044590164</v>
      </c>
      <c r="F180" s="140">
        <f t="shared" si="15"/>
        <v>0.8081462799</v>
      </c>
      <c r="G180" s="140">
        <f t="shared" si="16"/>
        <v>0.7766440554</v>
      </c>
      <c r="H180" s="140">
        <f t="shared" si="17"/>
        <v>1.003637272</v>
      </c>
      <c r="I180" s="140">
        <f t="shared" si="18"/>
        <v>1.200364726</v>
      </c>
    </row>
    <row r="181">
      <c r="A181" s="2">
        <v>23.0</v>
      </c>
      <c r="B181" s="13">
        <f t="shared" si="11"/>
        <v>362.25</v>
      </c>
      <c r="C181" s="140">
        <f t="shared" si="12"/>
        <v>1.239512195</v>
      </c>
      <c r="D181" s="140">
        <f t="shared" si="13"/>
        <v>0.9580863039</v>
      </c>
      <c r="E181" s="140">
        <f t="shared" si="14"/>
        <v>1.036260163</v>
      </c>
      <c r="F181" s="140">
        <f t="shared" si="15"/>
        <v>0.8017385866</v>
      </c>
      <c r="G181" s="140">
        <f t="shared" si="16"/>
        <v>0.7707364367</v>
      </c>
      <c r="H181" s="140">
        <f t="shared" si="17"/>
        <v>0.9959573677</v>
      </c>
      <c r="I181" s="140">
        <f t="shared" si="18"/>
        <v>1.191148841</v>
      </c>
    </row>
    <row r="182">
      <c r="A182" s="2">
        <v>24.0</v>
      </c>
      <c r="B182" s="13">
        <f t="shared" si="11"/>
        <v>378</v>
      </c>
      <c r="C182" s="140">
        <f t="shared" si="12"/>
        <v>1.229677419</v>
      </c>
      <c r="D182" s="140">
        <f t="shared" si="13"/>
        <v>0.9505210918</v>
      </c>
      <c r="E182" s="140">
        <f t="shared" si="14"/>
        <v>1.028064516</v>
      </c>
      <c r="F182" s="140">
        <f t="shared" si="15"/>
        <v>0.7954342432</v>
      </c>
      <c r="G182" s="140">
        <f t="shared" si="16"/>
        <v>0.7649203526</v>
      </c>
      <c r="H182" s="140">
        <f t="shared" si="17"/>
        <v>0.9883964584</v>
      </c>
      <c r="I182" s="140">
        <f t="shared" si="18"/>
        <v>1.18207575</v>
      </c>
    </row>
    <row r="183">
      <c r="A183" s="2">
        <v>25.0</v>
      </c>
      <c r="B183" s="13">
        <f t="shared" si="11"/>
        <v>393.75</v>
      </c>
      <c r="C183" s="140">
        <f t="shared" si="12"/>
        <v>1.22</v>
      </c>
      <c r="D183" s="140">
        <f t="shared" si="13"/>
        <v>0.9430769231</v>
      </c>
      <c r="E183" s="140">
        <f t="shared" si="14"/>
        <v>1.02</v>
      </c>
      <c r="F183" s="140">
        <f t="shared" si="15"/>
        <v>0.7892307692</v>
      </c>
      <c r="G183" s="140">
        <f t="shared" si="16"/>
        <v>0.7591936922</v>
      </c>
      <c r="H183" s="140">
        <f t="shared" si="17"/>
        <v>0.9809517999</v>
      </c>
      <c r="I183" s="140">
        <f t="shared" si="18"/>
        <v>1.17314216</v>
      </c>
    </row>
    <row r="184">
      <c r="A184" s="2">
        <v>26.0</v>
      </c>
      <c r="B184" s="13">
        <f t="shared" si="11"/>
        <v>409.5</v>
      </c>
      <c r="C184" s="140">
        <f t="shared" si="12"/>
        <v>1.21047619</v>
      </c>
      <c r="D184" s="140">
        <f t="shared" si="13"/>
        <v>0.9357509158</v>
      </c>
      <c r="E184" s="140">
        <f t="shared" si="14"/>
        <v>1.012063492</v>
      </c>
      <c r="F184" s="140">
        <f t="shared" si="15"/>
        <v>0.7831257631</v>
      </c>
      <c r="G184" s="140">
        <f t="shared" si="16"/>
        <v>0.7535544088</v>
      </c>
      <c r="H184" s="140">
        <f t="shared" si="17"/>
        <v>0.9736207314</v>
      </c>
      <c r="I184" s="140">
        <f t="shared" si="18"/>
        <v>1.164344878</v>
      </c>
    </row>
    <row r="185">
      <c r="A185" s="2">
        <v>27.0</v>
      </c>
      <c r="B185" s="13">
        <f t="shared" si="11"/>
        <v>425.25</v>
      </c>
      <c r="C185" s="140">
        <f t="shared" si="12"/>
        <v>1.201102362</v>
      </c>
      <c r="D185" s="140">
        <f t="shared" si="13"/>
        <v>0.9285402786</v>
      </c>
      <c r="E185" s="140">
        <f t="shared" si="14"/>
        <v>1.004251969</v>
      </c>
      <c r="F185" s="140">
        <f t="shared" si="15"/>
        <v>0.7771168988</v>
      </c>
      <c r="G185" s="140">
        <f t="shared" si="16"/>
        <v>0.7480005177</v>
      </c>
      <c r="H185" s="140">
        <f t="shared" si="17"/>
        <v>0.966400673</v>
      </c>
      <c r="I185" s="140">
        <f t="shared" si="18"/>
        <v>1.155680808</v>
      </c>
    </row>
    <row r="186">
      <c r="A186" s="2">
        <v>28.0</v>
      </c>
      <c r="B186" s="13">
        <f t="shared" si="11"/>
        <v>441</v>
      </c>
      <c r="C186" s="140">
        <f t="shared" si="12"/>
        <v>1.191875</v>
      </c>
      <c r="D186" s="140">
        <f t="shared" si="13"/>
        <v>0.9214423077</v>
      </c>
      <c r="E186" s="140">
        <f t="shared" si="14"/>
        <v>0.9965625</v>
      </c>
      <c r="F186" s="140">
        <f t="shared" si="15"/>
        <v>0.7712019231</v>
      </c>
      <c r="G186" s="140">
        <f t="shared" si="16"/>
        <v>0.742530094</v>
      </c>
      <c r="H186" s="140">
        <f t="shared" si="17"/>
        <v>0.9592891221</v>
      </c>
      <c r="I186" s="140">
        <f t="shared" si="18"/>
        <v>1.147146947</v>
      </c>
    </row>
    <row r="187">
      <c r="A187" s="2">
        <v>29.0</v>
      </c>
      <c r="B187" s="13">
        <f t="shared" si="11"/>
        <v>456.75</v>
      </c>
      <c r="C187" s="140">
        <f t="shared" si="12"/>
        <v>1.182790698</v>
      </c>
      <c r="D187" s="140">
        <f t="shared" si="13"/>
        <v>0.9144543828</v>
      </c>
      <c r="E187" s="140">
        <f t="shared" si="14"/>
        <v>0.9889922481</v>
      </c>
      <c r="F187" s="140">
        <f t="shared" si="15"/>
        <v>0.7653786524</v>
      </c>
      <c r="G187" s="140">
        <f t="shared" si="16"/>
        <v>0.73714127</v>
      </c>
      <c r="H187" s="140">
        <f t="shared" si="17"/>
        <v>0.952283651</v>
      </c>
      <c r="I187" s="140">
        <f t="shared" si="18"/>
        <v>1.138740381</v>
      </c>
    </row>
    <row r="188">
      <c r="A188" s="2">
        <v>30.0</v>
      </c>
      <c r="B188" s="13">
        <f t="shared" si="11"/>
        <v>472.5</v>
      </c>
      <c r="C188" s="140">
        <f t="shared" si="12"/>
        <v>1.173846154</v>
      </c>
      <c r="D188" s="140">
        <f t="shared" si="13"/>
        <v>0.9075739645</v>
      </c>
      <c r="E188" s="140">
        <f t="shared" si="14"/>
        <v>0.9815384615</v>
      </c>
      <c r="F188" s="140">
        <f t="shared" si="15"/>
        <v>0.7596449704</v>
      </c>
      <c r="G188" s="140">
        <f t="shared" si="16"/>
        <v>0.7318322336</v>
      </c>
      <c r="H188" s="140">
        <f t="shared" si="17"/>
        <v>0.9453819036</v>
      </c>
      <c r="I188" s="140">
        <f t="shared" si="18"/>
        <v>1.130458284</v>
      </c>
    </row>
    <row r="189">
      <c r="A189" s="2">
        <v>31.0</v>
      </c>
      <c r="B189" s="13">
        <f t="shared" si="11"/>
        <v>488.25</v>
      </c>
      <c r="C189" s="140">
        <f t="shared" si="12"/>
        <v>1.165038168</v>
      </c>
      <c r="D189" s="140">
        <f t="shared" si="13"/>
        <v>0.9007985907</v>
      </c>
      <c r="E189" s="140">
        <f t="shared" si="14"/>
        <v>0.9741984733</v>
      </c>
      <c r="F189" s="140">
        <f t="shared" si="15"/>
        <v>0.7539988256</v>
      </c>
      <c r="G189" s="140">
        <f t="shared" si="16"/>
        <v>0.7266012257</v>
      </c>
      <c r="H189" s="140">
        <f t="shared" si="17"/>
        <v>0.9385815934</v>
      </c>
      <c r="I189" s="140">
        <f t="shared" si="18"/>
        <v>1.122297912</v>
      </c>
    </row>
    <row r="190">
      <c r="A190" s="2">
        <v>32.0</v>
      </c>
      <c r="B190" s="13">
        <f t="shared" si="11"/>
        <v>504</v>
      </c>
      <c r="C190" s="140">
        <f t="shared" si="12"/>
        <v>1.156363636</v>
      </c>
      <c r="D190" s="140">
        <f t="shared" si="13"/>
        <v>0.8941258741</v>
      </c>
      <c r="E190" s="140">
        <f t="shared" si="14"/>
        <v>0.966969697</v>
      </c>
      <c r="F190" s="140">
        <f t="shared" si="15"/>
        <v>0.7484382284</v>
      </c>
      <c r="G190" s="140">
        <f t="shared" si="16"/>
        <v>0.7214465386</v>
      </c>
      <c r="H190" s="140">
        <f t="shared" si="17"/>
        <v>0.9318805002</v>
      </c>
      <c r="I190" s="140">
        <f t="shared" si="18"/>
        <v>1.1142566</v>
      </c>
    </row>
    <row r="191">
      <c r="A191" s="2">
        <v>33.0</v>
      </c>
      <c r="B191" s="13">
        <f t="shared" si="11"/>
        <v>519.75</v>
      </c>
      <c r="C191" s="140">
        <f t="shared" si="12"/>
        <v>1.147819549</v>
      </c>
      <c r="D191" s="140">
        <f t="shared" si="13"/>
        <v>0.8875534991</v>
      </c>
      <c r="E191" s="140">
        <f t="shared" si="14"/>
        <v>0.9598496241</v>
      </c>
      <c r="F191" s="140">
        <f t="shared" si="15"/>
        <v>0.7429612493</v>
      </c>
      <c r="G191" s="140">
        <f t="shared" si="16"/>
        <v>0.7163665143</v>
      </c>
      <c r="H191" s="140">
        <f t="shared" si="17"/>
        <v>0.9252764686</v>
      </c>
      <c r="I191" s="140">
        <f t="shared" si="18"/>
        <v>1.106331762</v>
      </c>
    </row>
    <row r="192">
      <c r="A192" s="2">
        <v>34.0</v>
      </c>
      <c r="B192" s="13">
        <f t="shared" si="11"/>
        <v>535.5</v>
      </c>
      <c r="C192" s="140">
        <f t="shared" si="12"/>
        <v>1.139402985</v>
      </c>
      <c r="D192" s="140">
        <f t="shared" si="13"/>
        <v>0.8810792193</v>
      </c>
      <c r="E192" s="140">
        <f t="shared" si="14"/>
        <v>0.9528358209</v>
      </c>
      <c r="F192" s="140">
        <f t="shared" si="15"/>
        <v>0.7375660161</v>
      </c>
      <c r="G192" s="140">
        <f t="shared" si="16"/>
        <v>0.7113595421</v>
      </c>
      <c r="H192" s="140">
        <f t="shared" si="17"/>
        <v>0.9187674047</v>
      </c>
      <c r="I192" s="140">
        <f t="shared" si="18"/>
        <v>1.098520886</v>
      </c>
    </row>
    <row r="193">
      <c r="A193" s="2">
        <v>35.0</v>
      </c>
      <c r="B193" s="13">
        <f t="shared" si="11"/>
        <v>551.25</v>
      </c>
      <c r="C193" s="140">
        <f t="shared" si="12"/>
        <v>1.131111111</v>
      </c>
      <c r="D193" s="140">
        <f t="shared" si="13"/>
        <v>0.8747008547</v>
      </c>
      <c r="E193" s="140">
        <f t="shared" si="14"/>
        <v>0.9459259259</v>
      </c>
      <c r="F193" s="140">
        <f t="shared" si="15"/>
        <v>0.7322507123</v>
      </c>
      <c r="G193" s="140">
        <f t="shared" si="16"/>
        <v>0.7064240575</v>
      </c>
      <c r="H193" s="140">
        <f t="shared" si="17"/>
        <v>0.9123512748</v>
      </c>
      <c r="I193" s="140">
        <f t="shared" si="18"/>
        <v>1.09082153</v>
      </c>
    </row>
    <row r="194">
      <c r="A194" s="2">
        <v>36.0</v>
      </c>
      <c r="B194" s="13">
        <f t="shared" si="11"/>
        <v>567</v>
      </c>
      <c r="C194" s="140">
        <f t="shared" si="12"/>
        <v>1.122941176</v>
      </c>
      <c r="D194" s="140">
        <f t="shared" si="13"/>
        <v>0.8684162896</v>
      </c>
      <c r="E194" s="140">
        <f t="shared" si="14"/>
        <v>0.9391176471</v>
      </c>
      <c r="F194" s="140">
        <f t="shared" si="15"/>
        <v>0.7270135747</v>
      </c>
      <c r="G194" s="140">
        <f t="shared" si="16"/>
        <v>0.7015585405</v>
      </c>
      <c r="H194" s="140">
        <f t="shared" si="17"/>
        <v>0.9060261026</v>
      </c>
      <c r="I194" s="140">
        <f t="shared" si="18"/>
        <v>1.083231323</v>
      </c>
    </row>
    <row r="195">
      <c r="A195" s="2">
        <v>37.0</v>
      </c>
      <c r="B195" s="13">
        <f t="shared" si="11"/>
        <v>582.75</v>
      </c>
      <c r="C195" s="140">
        <f t="shared" si="12"/>
        <v>1.114890511</v>
      </c>
      <c r="D195" s="140">
        <f t="shared" si="13"/>
        <v>0.86222347</v>
      </c>
      <c r="E195" s="140">
        <f t="shared" si="14"/>
        <v>0.9324087591</v>
      </c>
      <c r="F195" s="140">
        <f t="shared" si="15"/>
        <v>0.7218528916</v>
      </c>
      <c r="G195" s="140">
        <f t="shared" si="16"/>
        <v>0.6967615135</v>
      </c>
      <c r="H195" s="140">
        <f t="shared" si="17"/>
        <v>0.8997899676</v>
      </c>
      <c r="I195" s="140">
        <f t="shared" si="18"/>
        <v>1.075747961</v>
      </c>
    </row>
    <row r="196">
      <c r="A196" s="2">
        <v>38.0</v>
      </c>
      <c r="B196" s="13">
        <f t="shared" si="11"/>
        <v>598.5</v>
      </c>
      <c r="C196" s="140">
        <f t="shared" si="12"/>
        <v>1.106956522</v>
      </c>
      <c r="D196" s="140">
        <f t="shared" si="13"/>
        <v>0.8561204013</v>
      </c>
      <c r="E196" s="140">
        <f t="shared" si="14"/>
        <v>0.9257971014</v>
      </c>
      <c r="F196" s="140">
        <f t="shared" si="15"/>
        <v>0.7167670011</v>
      </c>
      <c r="G196" s="140">
        <f t="shared" si="16"/>
        <v>0.6920315407</v>
      </c>
      <c r="H196" s="140">
        <f t="shared" si="17"/>
        <v>0.8936410029</v>
      </c>
      <c r="I196" s="140">
        <f t="shared" si="18"/>
        <v>1.068369203</v>
      </c>
    </row>
    <row r="197">
      <c r="A197" s="2">
        <v>39.0</v>
      </c>
      <c r="B197" s="13">
        <f t="shared" si="11"/>
        <v>614.25</v>
      </c>
      <c r="C197" s="140">
        <f t="shared" si="12"/>
        <v>1.099136691</v>
      </c>
      <c r="D197" s="140">
        <f t="shared" si="13"/>
        <v>0.8501051467</v>
      </c>
      <c r="E197" s="140">
        <f t="shared" si="14"/>
        <v>0.9192805755</v>
      </c>
      <c r="F197" s="140">
        <f t="shared" si="15"/>
        <v>0.7117542889</v>
      </c>
      <c r="G197" s="140">
        <f t="shared" si="16"/>
        <v>0.6873672257</v>
      </c>
      <c r="H197" s="140">
        <f t="shared" si="17"/>
        <v>0.8875773934</v>
      </c>
      <c r="I197" s="140">
        <f t="shared" si="18"/>
        <v>1.061092872</v>
      </c>
    </row>
    <row r="198">
      <c r="A198" s="2">
        <v>40.0</v>
      </c>
      <c r="B198" s="13">
        <f t="shared" si="11"/>
        <v>630</v>
      </c>
      <c r="C198" s="140">
        <f t="shared" si="12"/>
        <v>1.091428571</v>
      </c>
      <c r="D198" s="140">
        <f t="shared" si="13"/>
        <v>0.8441758242</v>
      </c>
      <c r="E198" s="140">
        <f t="shared" si="14"/>
        <v>0.9128571429</v>
      </c>
      <c r="F198" s="140">
        <f t="shared" si="15"/>
        <v>0.7068131868</v>
      </c>
      <c r="G198" s="140">
        <f t="shared" si="16"/>
        <v>0.6827672109</v>
      </c>
      <c r="H198" s="140">
        <f t="shared" si="17"/>
        <v>0.8815973742</v>
      </c>
      <c r="I198" s="140">
        <f t="shared" si="18"/>
        <v>1.053916849</v>
      </c>
    </row>
    <row r="199">
      <c r="A199" s="2">
        <v>41.0</v>
      </c>
      <c r="B199" s="13">
        <f t="shared" si="11"/>
        <v>645.75</v>
      </c>
      <c r="C199" s="140">
        <f t="shared" si="12"/>
        <v>1.083829787</v>
      </c>
      <c r="D199" s="140">
        <f t="shared" si="13"/>
        <v>0.8383306056</v>
      </c>
      <c r="E199" s="140">
        <f t="shared" si="14"/>
        <v>0.9065248227</v>
      </c>
      <c r="F199" s="140">
        <f t="shared" si="15"/>
        <v>0.7019421713</v>
      </c>
      <c r="G199" s="140">
        <f t="shared" si="16"/>
        <v>0.6782301758</v>
      </c>
      <c r="H199" s="140">
        <f t="shared" si="17"/>
        <v>0.8756992285</v>
      </c>
      <c r="I199" s="140">
        <f t="shared" si="18"/>
        <v>1.046839074</v>
      </c>
    </row>
    <row r="200">
      <c r="A200" s="2">
        <v>42.0</v>
      </c>
      <c r="B200" s="13">
        <f t="shared" si="11"/>
        <v>661.5</v>
      </c>
      <c r="C200" s="140">
        <f t="shared" si="12"/>
        <v>1.076338028</v>
      </c>
      <c r="D200" s="140">
        <f t="shared" si="13"/>
        <v>0.832567714</v>
      </c>
      <c r="E200" s="140">
        <f t="shared" si="14"/>
        <v>0.9002816901</v>
      </c>
      <c r="F200" s="140">
        <f t="shared" si="15"/>
        <v>0.6971397616</v>
      </c>
      <c r="G200" s="140">
        <f t="shared" si="16"/>
        <v>0.6737548357</v>
      </c>
      <c r="H200" s="140">
        <f t="shared" si="17"/>
        <v>0.8698812864</v>
      </c>
      <c r="I200" s="140">
        <f t="shared" si="18"/>
        <v>1.039857544</v>
      </c>
    </row>
    <row r="203">
      <c r="B203" s="130" t="s">
        <v>308</v>
      </c>
      <c r="D203" s="80"/>
    </row>
    <row r="204">
      <c r="B204" s="77"/>
      <c r="C204" s="131" t="s">
        <v>295</v>
      </c>
      <c r="D204" s="132">
        <v>0.02</v>
      </c>
      <c r="E204" s="81" t="s">
        <v>309</v>
      </c>
    </row>
    <row r="205">
      <c r="B205" s="133"/>
      <c r="C205" s="134" t="s">
        <v>297</v>
      </c>
      <c r="D205" s="135">
        <v>1.3</v>
      </c>
      <c r="E205" s="2" t="s">
        <v>298</v>
      </c>
    </row>
    <row r="206">
      <c r="A206" s="137" t="s">
        <v>299</v>
      </c>
      <c r="B206" s="138" t="s">
        <v>300</v>
      </c>
      <c r="C206" s="137" t="s">
        <v>310</v>
      </c>
      <c r="D206" s="137" t="s">
        <v>302</v>
      </c>
      <c r="E206" s="137" t="s">
        <v>303</v>
      </c>
      <c r="F206" s="137" t="s">
        <v>304</v>
      </c>
      <c r="G206" s="137" t="s">
        <v>305</v>
      </c>
      <c r="H206" s="137" t="s">
        <v>306</v>
      </c>
      <c r="I206" s="137" t="s">
        <v>307</v>
      </c>
    </row>
    <row r="207">
      <c r="A207" s="2">
        <v>0.0</v>
      </c>
      <c r="B207" s="13">
        <f t="shared" ref="B207:B258" si="19">A207*15.75</f>
        <v>0</v>
      </c>
      <c r="C207" s="140">
        <f t="shared" ref="C207:C258" si="20">(2.5/(1+0.01*$B207/15.75))/(1+(D$205-1))+D$155</f>
        <v>1.943076923</v>
      </c>
      <c r="D207" s="140">
        <f t="shared" ref="D207:D258" si="21">(2.5/(1+0.01*$B207/15.75))/(1+(1.3*D$205-1))+D$155</f>
        <v>1.499289941</v>
      </c>
      <c r="E207" s="140">
        <f t="shared" ref="E207:E258" si="22">(2.5/(1+0.01*$B207/15.75))/(1+(1.2*D$205-1))+D$155</f>
        <v>1.622564103</v>
      </c>
      <c r="F207" s="140">
        <f t="shared" ref="F207:F258" si="23">(2.5/(1+0.01*$B207/15.75))/(1+(1.3*1.2*D$205-1))+D$155</f>
        <v>1.252741617</v>
      </c>
      <c r="G207" s="140">
        <f t="shared" ref="G207:G258" si="24">(2.5/(1+0.01*($B207+80)/15.75))/(1+(1.3*1.2*D$205-1))+D$155</f>
        <v>1.193152899</v>
      </c>
      <c r="H207" s="140">
        <f t="shared" ref="H207:H258" si="25">(2.5/(1+0.01*($B207+80)/15.75))/(1+(1*1.2*D$205-1))+D$155</f>
        <v>1.545098768</v>
      </c>
      <c r="I207" s="140">
        <f t="shared" ref="I207:I258" si="26">(2.5/(1+0.01*($B207+80)/15.75))/(1+(D$205-1))+D$155</f>
        <v>1.850118522</v>
      </c>
    </row>
    <row r="208">
      <c r="A208" s="2">
        <v>1.0</v>
      </c>
      <c r="B208" s="13">
        <f t="shared" si="19"/>
        <v>15.75</v>
      </c>
      <c r="C208" s="140">
        <f t="shared" si="20"/>
        <v>1.924036558</v>
      </c>
      <c r="D208" s="140">
        <f t="shared" si="21"/>
        <v>1.484643506</v>
      </c>
      <c r="E208" s="140">
        <f t="shared" si="22"/>
        <v>1.606697131</v>
      </c>
      <c r="F208" s="140">
        <f t="shared" si="23"/>
        <v>1.240536255</v>
      </c>
      <c r="G208" s="140">
        <f t="shared" si="24"/>
        <v>1.182093699</v>
      </c>
      <c r="H208" s="140">
        <f t="shared" si="25"/>
        <v>1.530721808</v>
      </c>
      <c r="I208" s="140">
        <f t="shared" si="26"/>
        <v>1.83286617</v>
      </c>
    </row>
    <row r="209">
      <c r="A209" s="2">
        <v>2.0</v>
      </c>
      <c r="B209" s="13">
        <f t="shared" si="19"/>
        <v>31.5</v>
      </c>
      <c r="C209" s="140">
        <f t="shared" si="20"/>
        <v>1.905369532</v>
      </c>
      <c r="D209" s="140">
        <f t="shared" si="21"/>
        <v>1.470284256</v>
      </c>
      <c r="E209" s="140">
        <f t="shared" si="22"/>
        <v>1.591141277</v>
      </c>
      <c r="F209" s="140">
        <f t="shared" si="23"/>
        <v>1.228570213</v>
      </c>
      <c r="G209" s="140">
        <f t="shared" si="24"/>
        <v>1.17124106</v>
      </c>
      <c r="H209" s="140">
        <f t="shared" si="25"/>
        <v>1.516613378</v>
      </c>
      <c r="I209" s="140">
        <f t="shared" si="26"/>
        <v>1.815936053</v>
      </c>
    </row>
    <row r="210">
      <c r="A210" s="2">
        <v>3.0</v>
      </c>
      <c r="B210" s="13">
        <f t="shared" si="19"/>
        <v>47.25</v>
      </c>
      <c r="C210" s="140">
        <f t="shared" si="20"/>
        <v>1.887064974</v>
      </c>
      <c r="D210" s="140">
        <f t="shared" si="21"/>
        <v>1.456203826</v>
      </c>
      <c r="E210" s="140">
        <f t="shared" si="22"/>
        <v>1.575887478</v>
      </c>
      <c r="F210" s="140">
        <f t="shared" si="23"/>
        <v>1.216836522</v>
      </c>
      <c r="G210" s="140">
        <f t="shared" si="24"/>
        <v>1.160589248</v>
      </c>
      <c r="H210" s="140">
        <f t="shared" si="25"/>
        <v>1.502766022</v>
      </c>
      <c r="I210" s="140">
        <f t="shared" si="26"/>
        <v>1.799319227</v>
      </c>
    </row>
    <row r="211">
      <c r="A211" s="2">
        <v>4.0</v>
      </c>
      <c r="B211" s="13">
        <f t="shared" si="19"/>
        <v>63</v>
      </c>
      <c r="C211" s="140">
        <f t="shared" si="20"/>
        <v>1.869112426</v>
      </c>
      <c r="D211" s="140">
        <f t="shared" si="21"/>
        <v>1.442394174</v>
      </c>
      <c r="E211" s="140">
        <f t="shared" si="22"/>
        <v>1.560927022</v>
      </c>
      <c r="F211" s="140">
        <f t="shared" si="23"/>
        <v>1.205328478</v>
      </c>
      <c r="G211" s="140">
        <f t="shared" si="24"/>
        <v>1.15013274</v>
      </c>
      <c r="H211" s="140">
        <f t="shared" si="25"/>
        <v>1.489172562</v>
      </c>
      <c r="I211" s="140">
        <f t="shared" si="26"/>
        <v>1.783007074</v>
      </c>
    </row>
    <row r="212">
      <c r="A212" s="2">
        <v>5.0</v>
      </c>
      <c r="B212" s="13">
        <f t="shared" si="19"/>
        <v>78.75</v>
      </c>
      <c r="C212" s="140">
        <f t="shared" si="20"/>
        <v>1.851501832</v>
      </c>
      <c r="D212" s="140">
        <f t="shared" si="21"/>
        <v>1.428847563</v>
      </c>
      <c r="E212" s="140">
        <f t="shared" si="22"/>
        <v>1.546251526</v>
      </c>
      <c r="F212" s="140">
        <f t="shared" si="23"/>
        <v>1.194039636</v>
      </c>
      <c r="G212" s="140">
        <f t="shared" si="24"/>
        <v>1.139866213</v>
      </c>
      <c r="H212" s="140">
        <f t="shared" si="25"/>
        <v>1.475826077</v>
      </c>
      <c r="I212" s="140">
        <f t="shared" si="26"/>
        <v>1.766991293</v>
      </c>
    </row>
    <row r="213">
      <c r="A213" s="2">
        <v>6.0</v>
      </c>
      <c r="B213" s="13">
        <f t="shared" si="19"/>
        <v>94.5</v>
      </c>
      <c r="C213" s="140">
        <f t="shared" si="20"/>
        <v>1.834223512</v>
      </c>
      <c r="D213" s="140">
        <f t="shared" si="21"/>
        <v>1.415556548</v>
      </c>
      <c r="E213" s="140">
        <f t="shared" si="22"/>
        <v>1.531852927</v>
      </c>
      <c r="F213" s="140">
        <f t="shared" si="23"/>
        <v>1.18296379</v>
      </c>
      <c r="G213" s="140">
        <f t="shared" si="24"/>
        <v>1.129784537</v>
      </c>
      <c r="H213" s="140">
        <f t="shared" si="25"/>
        <v>1.462719898</v>
      </c>
      <c r="I213" s="140">
        <f t="shared" si="26"/>
        <v>1.751263878</v>
      </c>
    </row>
    <row r="214">
      <c r="A214" s="2">
        <v>7.0</v>
      </c>
      <c r="B214" s="13">
        <f t="shared" si="19"/>
        <v>110.25</v>
      </c>
      <c r="C214" s="140">
        <f t="shared" si="20"/>
        <v>1.817268152</v>
      </c>
      <c r="D214" s="140">
        <f t="shared" si="21"/>
        <v>1.402513963</v>
      </c>
      <c r="E214" s="140">
        <f t="shared" si="22"/>
        <v>1.51772346</v>
      </c>
      <c r="F214" s="140">
        <f t="shared" si="23"/>
        <v>1.172094969</v>
      </c>
      <c r="G214" s="140">
        <f t="shared" si="24"/>
        <v>1.119882763</v>
      </c>
      <c r="H214" s="140">
        <f t="shared" si="25"/>
        <v>1.449847592</v>
      </c>
      <c r="I214" s="140">
        <f t="shared" si="26"/>
        <v>1.73581711</v>
      </c>
    </row>
    <row r="215">
      <c r="A215" s="2">
        <v>8.0</v>
      </c>
      <c r="B215" s="13">
        <f t="shared" si="19"/>
        <v>126</v>
      </c>
      <c r="C215" s="140">
        <f t="shared" si="20"/>
        <v>1.800626781</v>
      </c>
      <c r="D215" s="140">
        <f t="shared" si="21"/>
        <v>1.389712908</v>
      </c>
      <c r="E215" s="140">
        <f t="shared" si="22"/>
        <v>1.503855651</v>
      </c>
      <c r="F215" s="140">
        <f t="shared" si="23"/>
        <v>1.161427423</v>
      </c>
      <c r="G215" s="140">
        <f t="shared" si="24"/>
        <v>1.110156119</v>
      </c>
      <c r="H215" s="140">
        <f t="shared" si="25"/>
        <v>1.437202954</v>
      </c>
      <c r="I215" s="140">
        <f t="shared" si="26"/>
        <v>1.720643545</v>
      </c>
    </row>
    <row r="216">
      <c r="A216" s="2">
        <v>9.0</v>
      </c>
      <c r="B216" s="13">
        <f t="shared" si="19"/>
        <v>141.75</v>
      </c>
      <c r="C216" s="140">
        <f t="shared" si="20"/>
        <v>1.784290755</v>
      </c>
      <c r="D216" s="140">
        <f t="shared" si="21"/>
        <v>1.377146735</v>
      </c>
      <c r="E216" s="140">
        <f t="shared" si="22"/>
        <v>1.490242296</v>
      </c>
      <c r="F216" s="140">
        <f t="shared" si="23"/>
        <v>1.150955612</v>
      </c>
      <c r="G216" s="140">
        <f t="shared" si="24"/>
        <v>1.100599999</v>
      </c>
      <c r="H216" s="140">
        <f t="shared" si="25"/>
        <v>1.424779998</v>
      </c>
      <c r="I216" s="140">
        <f t="shared" si="26"/>
        <v>1.705735998</v>
      </c>
    </row>
    <row r="217">
      <c r="A217" s="2">
        <v>10.0</v>
      </c>
      <c r="B217" s="13">
        <f t="shared" si="19"/>
        <v>157.5</v>
      </c>
      <c r="C217" s="140">
        <f t="shared" si="20"/>
        <v>1.768251748</v>
      </c>
      <c r="D217" s="140">
        <f t="shared" si="21"/>
        <v>1.364809037</v>
      </c>
      <c r="E217" s="140">
        <f t="shared" si="22"/>
        <v>1.476876457</v>
      </c>
      <c r="F217" s="140">
        <f t="shared" si="23"/>
        <v>1.140674198</v>
      </c>
      <c r="G217" s="140">
        <f t="shared" si="24"/>
        <v>1.091209957</v>
      </c>
      <c r="H217" s="140">
        <f t="shared" si="25"/>
        <v>1.412572944</v>
      </c>
      <c r="I217" s="140">
        <f t="shared" si="26"/>
        <v>1.691087533</v>
      </c>
    </row>
    <row r="218">
      <c r="A218" s="2">
        <v>11.0</v>
      </c>
      <c r="B218" s="13">
        <f t="shared" si="19"/>
        <v>173.25</v>
      </c>
      <c r="C218" s="140">
        <f t="shared" si="20"/>
        <v>1.752501733</v>
      </c>
      <c r="D218" s="140">
        <f t="shared" si="21"/>
        <v>1.35269364</v>
      </c>
      <c r="E218" s="140">
        <f t="shared" si="22"/>
        <v>1.463751444</v>
      </c>
      <c r="F218" s="140">
        <f t="shared" si="23"/>
        <v>1.130578034</v>
      </c>
      <c r="G218" s="140">
        <f t="shared" si="24"/>
        <v>1.081981702</v>
      </c>
      <c r="H218" s="140">
        <f t="shared" si="25"/>
        <v>1.400576213</v>
      </c>
      <c r="I218" s="140">
        <f t="shared" si="26"/>
        <v>1.676691456</v>
      </c>
    </row>
    <row r="219">
      <c r="A219" s="2">
        <v>12.0</v>
      </c>
      <c r="B219" s="13">
        <f t="shared" si="19"/>
        <v>189</v>
      </c>
      <c r="C219" s="140">
        <f t="shared" si="20"/>
        <v>1.737032967</v>
      </c>
      <c r="D219" s="140">
        <f t="shared" si="21"/>
        <v>1.34079459</v>
      </c>
      <c r="E219" s="140">
        <f t="shared" si="22"/>
        <v>1.450860806</v>
      </c>
      <c r="F219" s="140">
        <f t="shared" si="23"/>
        <v>1.120662158</v>
      </c>
      <c r="G219" s="140">
        <f t="shared" si="24"/>
        <v>1.072911089</v>
      </c>
      <c r="H219" s="140">
        <f t="shared" si="25"/>
        <v>1.388784415</v>
      </c>
      <c r="I219" s="140">
        <f t="shared" si="26"/>
        <v>1.662541298</v>
      </c>
    </row>
    <row r="220">
      <c r="A220" s="2">
        <v>13.0</v>
      </c>
      <c r="B220" s="13">
        <f t="shared" si="19"/>
        <v>204.75</v>
      </c>
      <c r="C220" s="140">
        <f t="shared" si="20"/>
        <v>1.721837985</v>
      </c>
      <c r="D220" s="140">
        <f t="shared" si="21"/>
        <v>1.329106142</v>
      </c>
      <c r="E220" s="140">
        <f t="shared" si="22"/>
        <v>1.438198321</v>
      </c>
      <c r="F220" s="140">
        <f t="shared" si="23"/>
        <v>1.110921785</v>
      </c>
      <c r="G220" s="140">
        <f t="shared" si="24"/>
        <v>1.063994111</v>
      </c>
      <c r="H220" s="140">
        <f t="shared" si="25"/>
        <v>1.377192344</v>
      </c>
      <c r="I220" s="140">
        <f t="shared" si="26"/>
        <v>1.648630813</v>
      </c>
    </row>
    <row r="221">
      <c r="A221" s="2">
        <v>14.0</v>
      </c>
      <c r="B221" s="13">
        <f t="shared" si="19"/>
        <v>220.5</v>
      </c>
      <c r="C221" s="140">
        <f t="shared" si="20"/>
        <v>1.706909582</v>
      </c>
      <c r="D221" s="140">
        <f t="shared" si="21"/>
        <v>1.317622755</v>
      </c>
      <c r="E221" s="140">
        <f t="shared" si="22"/>
        <v>1.425757985</v>
      </c>
      <c r="F221" s="140">
        <f t="shared" si="23"/>
        <v>1.101352296</v>
      </c>
      <c r="G221" s="140">
        <f t="shared" si="24"/>
        <v>1.055226898</v>
      </c>
      <c r="H221" s="140">
        <f t="shared" si="25"/>
        <v>1.365794967</v>
      </c>
      <c r="I221" s="140">
        <f t="shared" si="26"/>
        <v>1.634953961</v>
      </c>
    </row>
    <row r="222">
      <c r="A222" s="2">
        <v>15.0</v>
      </c>
      <c r="B222" s="13">
        <f t="shared" si="19"/>
        <v>236.25</v>
      </c>
      <c r="C222" s="140">
        <f t="shared" si="20"/>
        <v>1.692240803</v>
      </c>
      <c r="D222" s="140">
        <f t="shared" si="21"/>
        <v>1.306339079</v>
      </c>
      <c r="E222" s="140">
        <f t="shared" si="22"/>
        <v>1.413534002</v>
      </c>
      <c r="F222" s="140">
        <f t="shared" si="23"/>
        <v>1.091949232</v>
      </c>
      <c r="G222" s="140">
        <f t="shared" si="24"/>
        <v>1.046605709</v>
      </c>
      <c r="H222" s="140">
        <f t="shared" si="25"/>
        <v>1.354587422</v>
      </c>
      <c r="I222" s="140">
        <f t="shared" si="26"/>
        <v>1.621504906</v>
      </c>
    </row>
    <row r="223">
      <c r="A223" s="2">
        <v>16.0</v>
      </c>
      <c r="B223" s="13">
        <f t="shared" si="19"/>
        <v>252</v>
      </c>
      <c r="C223" s="140">
        <f t="shared" si="20"/>
        <v>1.677824934</v>
      </c>
      <c r="D223" s="140">
        <f t="shared" si="21"/>
        <v>1.295249949</v>
      </c>
      <c r="E223" s="140">
        <f t="shared" si="22"/>
        <v>1.401520778</v>
      </c>
      <c r="F223" s="140">
        <f t="shared" si="23"/>
        <v>1.082708291</v>
      </c>
      <c r="G223" s="140">
        <f t="shared" si="24"/>
        <v>1.038126926</v>
      </c>
      <c r="H223" s="140">
        <f t="shared" si="25"/>
        <v>1.343565003</v>
      </c>
      <c r="I223" s="140">
        <f t="shared" si="26"/>
        <v>1.608278004</v>
      </c>
    </row>
    <row r="224">
      <c r="A224" s="2">
        <v>17.0</v>
      </c>
      <c r="B224" s="13">
        <f t="shared" si="19"/>
        <v>267.75</v>
      </c>
      <c r="C224" s="140">
        <f t="shared" si="20"/>
        <v>1.66365549</v>
      </c>
      <c r="D224" s="140">
        <f t="shared" si="21"/>
        <v>1.284350377</v>
      </c>
      <c r="E224" s="140">
        <f t="shared" si="22"/>
        <v>1.389712908</v>
      </c>
      <c r="F224" s="140">
        <f t="shared" si="23"/>
        <v>1.073625314</v>
      </c>
      <c r="G224" s="140">
        <f t="shared" si="24"/>
        <v>1.029787048</v>
      </c>
      <c r="H224" s="140">
        <f t="shared" si="25"/>
        <v>1.332723163</v>
      </c>
      <c r="I224" s="140">
        <f t="shared" si="26"/>
        <v>1.595267796</v>
      </c>
    </row>
    <row r="225">
      <c r="A225" s="2">
        <v>18.0</v>
      </c>
      <c r="B225" s="13">
        <f t="shared" si="19"/>
        <v>283.5</v>
      </c>
      <c r="C225" s="140">
        <f t="shared" si="20"/>
        <v>1.649726206</v>
      </c>
      <c r="D225" s="140">
        <f t="shared" si="21"/>
        <v>1.273635543</v>
      </c>
      <c r="E225" s="140">
        <f t="shared" si="22"/>
        <v>1.378105172</v>
      </c>
      <c r="F225" s="140">
        <f t="shared" si="23"/>
        <v>1.064696286</v>
      </c>
      <c r="G225" s="140">
        <f t="shared" si="24"/>
        <v>1.021582691</v>
      </c>
      <c r="H225" s="140">
        <f t="shared" si="25"/>
        <v>1.322057499</v>
      </c>
      <c r="I225" s="140">
        <f t="shared" si="26"/>
        <v>1.582468999</v>
      </c>
    </row>
    <row r="226">
      <c r="A226" s="2">
        <v>19.0</v>
      </c>
      <c r="B226" s="13">
        <f t="shared" si="19"/>
        <v>299.25</v>
      </c>
      <c r="C226" s="140">
        <f t="shared" si="20"/>
        <v>1.636031028</v>
      </c>
      <c r="D226" s="140">
        <f t="shared" si="21"/>
        <v>1.263100791</v>
      </c>
      <c r="E226" s="140">
        <f t="shared" si="22"/>
        <v>1.366692523</v>
      </c>
      <c r="F226" s="140">
        <f t="shared" si="23"/>
        <v>1.055917326</v>
      </c>
      <c r="G226" s="140">
        <f t="shared" si="24"/>
        <v>1.013510578</v>
      </c>
      <c r="H226" s="140">
        <f t="shared" si="25"/>
        <v>1.311563752</v>
      </c>
      <c r="I226" s="140">
        <f t="shared" si="26"/>
        <v>1.569876502</v>
      </c>
    </row>
    <row r="227">
      <c r="A227" s="2">
        <v>20.0</v>
      </c>
      <c r="B227" s="13">
        <f t="shared" si="19"/>
        <v>315</v>
      </c>
      <c r="C227" s="140">
        <f t="shared" si="20"/>
        <v>1.622564103</v>
      </c>
      <c r="D227" s="140">
        <f t="shared" si="21"/>
        <v>1.252741617</v>
      </c>
      <c r="E227" s="140">
        <f t="shared" si="22"/>
        <v>1.355470085</v>
      </c>
      <c r="F227" s="140">
        <f t="shared" si="23"/>
        <v>1.047284681</v>
      </c>
      <c r="G227" s="140">
        <f t="shared" si="24"/>
        <v>1.005567537</v>
      </c>
      <c r="H227" s="140">
        <f t="shared" si="25"/>
        <v>1.301237798</v>
      </c>
      <c r="I227" s="140">
        <f t="shared" si="26"/>
        <v>1.557485357</v>
      </c>
    </row>
    <row r="228">
      <c r="A228" s="2">
        <v>21.0</v>
      </c>
      <c r="B228" s="13">
        <f t="shared" si="19"/>
        <v>330.75</v>
      </c>
      <c r="C228" s="140">
        <f t="shared" si="20"/>
        <v>1.609319771</v>
      </c>
      <c r="D228" s="140">
        <f t="shared" si="21"/>
        <v>1.24255367</v>
      </c>
      <c r="E228" s="140">
        <f t="shared" si="22"/>
        <v>1.344433143</v>
      </c>
      <c r="F228" s="140">
        <f t="shared" si="23"/>
        <v>1.038794725</v>
      </c>
      <c r="G228" s="140">
        <f t="shared" si="24"/>
        <v>0.997750496</v>
      </c>
      <c r="H228" s="140">
        <f t="shared" si="25"/>
        <v>1.291075645</v>
      </c>
      <c r="I228" s="140">
        <f t="shared" si="26"/>
        <v>1.545290774</v>
      </c>
    </row>
    <row r="229">
      <c r="A229" s="2">
        <v>22.0</v>
      </c>
      <c r="B229" s="13">
        <f t="shared" si="19"/>
        <v>346.5</v>
      </c>
      <c r="C229" s="140">
        <f t="shared" si="20"/>
        <v>1.59629256</v>
      </c>
      <c r="D229" s="140">
        <f t="shared" si="21"/>
        <v>1.232532738</v>
      </c>
      <c r="E229" s="140">
        <f t="shared" si="22"/>
        <v>1.333577133</v>
      </c>
      <c r="F229" s="140">
        <f t="shared" si="23"/>
        <v>1.030443949</v>
      </c>
      <c r="G229" s="140">
        <f t="shared" si="24"/>
        <v>0.9900564813</v>
      </c>
      <c r="H229" s="140">
        <f t="shared" si="25"/>
        <v>1.281073426</v>
      </c>
      <c r="I229" s="140">
        <f t="shared" si="26"/>
        <v>1.533288111</v>
      </c>
    </row>
    <row r="230">
      <c r="A230" s="2">
        <v>23.0</v>
      </c>
      <c r="B230" s="13">
        <f t="shared" si="19"/>
        <v>362.25</v>
      </c>
      <c r="C230" s="140">
        <f t="shared" si="20"/>
        <v>1.583477173</v>
      </c>
      <c r="D230" s="140">
        <f t="shared" si="21"/>
        <v>1.222674749</v>
      </c>
      <c r="E230" s="140">
        <f t="shared" si="22"/>
        <v>1.322897644</v>
      </c>
      <c r="F230" s="140">
        <f t="shared" si="23"/>
        <v>1.022228957</v>
      </c>
      <c r="G230" s="140">
        <f t="shared" si="24"/>
        <v>0.9824826111</v>
      </c>
      <c r="H230" s="140">
        <f t="shared" si="25"/>
        <v>1.271227394</v>
      </c>
      <c r="I230" s="140">
        <f t="shared" si="26"/>
        <v>1.521472873</v>
      </c>
    </row>
    <row r="231">
      <c r="A231" s="2">
        <v>24.0</v>
      </c>
      <c r="B231" s="13">
        <f t="shared" si="19"/>
        <v>378</v>
      </c>
      <c r="C231" s="140">
        <f t="shared" si="20"/>
        <v>1.570868486</v>
      </c>
      <c r="D231" s="140">
        <f t="shared" si="21"/>
        <v>1.212975759</v>
      </c>
      <c r="E231" s="140">
        <f t="shared" si="22"/>
        <v>1.312390405</v>
      </c>
      <c r="F231" s="140">
        <f t="shared" si="23"/>
        <v>1.014146466</v>
      </c>
      <c r="G231" s="140">
        <f t="shared" si="24"/>
        <v>0.9750260931</v>
      </c>
      <c r="H231" s="140">
        <f t="shared" si="25"/>
        <v>1.261533921</v>
      </c>
      <c r="I231" s="140">
        <f t="shared" si="26"/>
        <v>1.509840705</v>
      </c>
    </row>
    <row r="232">
      <c r="A232" s="2">
        <v>25.0</v>
      </c>
      <c r="B232" s="13">
        <f t="shared" si="19"/>
        <v>393.75</v>
      </c>
      <c r="C232" s="140">
        <f t="shared" si="20"/>
        <v>1.558461538</v>
      </c>
      <c r="D232" s="140">
        <f t="shared" si="21"/>
        <v>1.203431953</v>
      </c>
      <c r="E232" s="140">
        <f t="shared" si="22"/>
        <v>1.302051282</v>
      </c>
      <c r="F232" s="140">
        <f t="shared" si="23"/>
        <v>1.006193294</v>
      </c>
      <c r="G232" s="140">
        <f t="shared" si="24"/>
        <v>0.9676842208</v>
      </c>
      <c r="H232" s="140">
        <f t="shared" si="25"/>
        <v>1.251989487</v>
      </c>
      <c r="I232" s="140">
        <f t="shared" si="26"/>
        <v>1.498387384</v>
      </c>
    </row>
    <row r="233">
      <c r="A233" s="2">
        <v>26.0</v>
      </c>
      <c r="B233" s="13">
        <f t="shared" si="19"/>
        <v>409.5</v>
      </c>
      <c r="C233" s="140">
        <f t="shared" si="20"/>
        <v>1.546251526</v>
      </c>
      <c r="D233" s="140">
        <f t="shared" si="21"/>
        <v>1.194039636</v>
      </c>
      <c r="E233" s="140">
        <f t="shared" si="22"/>
        <v>1.291876272</v>
      </c>
      <c r="F233" s="140">
        <f t="shared" si="23"/>
        <v>0.998366363</v>
      </c>
      <c r="G233" s="140">
        <f t="shared" si="24"/>
        <v>0.9604543702</v>
      </c>
      <c r="H233" s="140">
        <f t="shared" si="25"/>
        <v>1.242590681</v>
      </c>
      <c r="I233" s="140">
        <f t="shared" si="26"/>
        <v>1.487108818</v>
      </c>
    </row>
    <row r="234">
      <c r="A234" s="2">
        <v>27.0</v>
      </c>
      <c r="B234" s="13">
        <f t="shared" si="19"/>
        <v>425.25</v>
      </c>
      <c r="C234" s="140">
        <f t="shared" si="20"/>
        <v>1.534233798</v>
      </c>
      <c r="D234" s="140">
        <f t="shared" si="21"/>
        <v>1.184795229</v>
      </c>
      <c r="E234" s="140">
        <f t="shared" si="22"/>
        <v>1.281861498</v>
      </c>
      <c r="F234" s="140">
        <f t="shared" si="23"/>
        <v>0.9906626908</v>
      </c>
      <c r="G234" s="140">
        <f t="shared" si="24"/>
        <v>0.953333997</v>
      </c>
      <c r="H234" s="140">
        <f t="shared" si="25"/>
        <v>1.233334196</v>
      </c>
      <c r="I234" s="140">
        <f t="shared" si="26"/>
        <v>1.476001035</v>
      </c>
    </row>
    <row r="235">
      <c r="A235" s="2">
        <v>28.0</v>
      </c>
      <c r="B235" s="13">
        <f t="shared" si="19"/>
        <v>441</v>
      </c>
      <c r="C235" s="140">
        <f t="shared" si="20"/>
        <v>1.522403846</v>
      </c>
      <c r="D235" s="140">
        <f t="shared" si="21"/>
        <v>1.175695266</v>
      </c>
      <c r="E235" s="140">
        <f t="shared" si="22"/>
        <v>1.272003205</v>
      </c>
      <c r="F235" s="140">
        <f t="shared" si="23"/>
        <v>0.9830793886</v>
      </c>
      <c r="G235" s="140">
        <f t="shared" si="24"/>
        <v>0.9463206333</v>
      </c>
      <c r="H235" s="140">
        <f t="shared" si="25"/>
        <v>1.224216823</v>
      </c>
      <c r="I235" s="140">
        <f t="shared" si="26"/>
        <v>1.465060188</v>
      </c>
    </row>
    <row r="236">
      <c r="A236" s="2">
        <v>29.0</v>
      </c>
      <c r="B236" s="13">
        <f t="shared" si="19"/>
        <v>456.75</v>
      </c>
      <c r="C236" s="140">
        <f t="shared" si="20"/>
        <v>1.510757305</v>
      </c>
      <c r="D236" s="140">
        <f t="shared" si="21"/>
        <v>1.166736388</v>
      </c>
      <c r="E236" s="140">
        <f t="shared" si="22"/>
        <v>1.262297754</v>
      </c>
      <c r="F236" s="140">
        <f t="shared" si="23"/>
        <v>0.9756136569</v>
      </c>
      <c r="G236" s="140">
        <f t="shared" si="24"/>
        <v>0.9394118846</v>
      </c>
      <c r="H236" s="140">
        <f t="shared" si="25"/>
        <v>1.21523545</v>
      </c>
      <c r="I236" s="140">
        <f t="shared" si="26"/>
        <v>1.45428254</v>
      </c>
    </row>
    <row r="237">
      <c r="A237" s="2">
        <v>30.0</v>
      </c>
      <c r="B237" s="13">
        <f t="shared" si="19"/>
        <v>472.5</v>
      </c>
      <c r="C237" s="140">
        <f t="shared" si="20"/>
        <v>1.499289941</v>
      </c>
      <c r="D237" s="140">
        <f t="shared" si="21"/>
        <v>1.157915339</v>
      </c>
      <c r="E237" s="140">
        <f t="shared" si="22"/>
        <v>1.252741617</v>
      </c>
      <c r="F237" s="140">
        <f t="shared" si="23"/>
        <v>0.9682627826</v>
      </c>
      <c r="G237" s="140">
        <f t="shared" si="24"/>
        <v>0.9326054277</v>
      </c>
      <c r="H237" s="140">
        <f t="shared" si="25"/>
        <v>1.206387056</v>
      </c>
      <c r="I237" s="140">
        <f t="shared" si="26"/>
        <v>1.443664467</v>
      </c>
    </row>
    <row r="238">
      <c r="A238" s="2">
        <v>31.0</v>
      </c>
      <c r="B238" s="13">
        <f t="shared" si="19"/>
        <v>488.25</v>
      </c>
      <c r="C238" s="140">
        <f t="shared" si="20"/>
        <v>1.487997651</v>
      </c>
      <c r="D238" s="140">
        <f t="shared" si="21"/>
        <v>1.149228962</v>
      </c>
      <c r="E238" s="140">
        <f t="shared" si="22"/>
        <v>1.243331376</v>
      </c>
      <c r="F238" s="140">
        <f t="shared" si="23"/>
        <v>0.9610241354</v>
      </c>
      <c r="G238" s="140">
        <f t="shared" si="24"/>
        <v>0.9258990073</v>
      </c>
      <c r="H238" s="140">
        <f t="shared" si="25"/>
        <v>1.197668709</v>
      </c>
      <c r="I238" s="140">
        <f t="shared" si="26"/>
        <v>1.433202451</v>
      </c>
    </row>
    <row r="239">
      <c r="A239" s="2">
        <v>32.0</v>
      </c>
      <c r="B239" s="13">
        <f t="shared" si="19"/>
        <v>504</v>
      </c>
      <c r="C239" s="140">
        <f t="shared" si="20"/>
        <v>1.476876457</v>
      </c>
      <c r="D239" s="140">
        <f t="shared" si="21"/>
        <v>1.140674198</v>
      </c>
      <c r="E239" s="140">
        <f t="shared" si="22"/>
        <v>1.234063714</v>
      </c>
      <c r="F239" s="140">
        <f t="shared" si="23"/>
        <v>0.9538951647</v>
      </c>
      <c r="G239" s="140">
        <f t="shared" si="24"/>
        <v>0.9192904342</v>
      </c>
      <c r="H239" s="140">
        <f t="shared" si="25"/>
        <v>1.189077564</v>
      </c>
      <c r="I239" s="140">
        <f t="shared" si="26"/>
        <v>1.422893077</v>
      </c>
    </row>
    <row r="240">
      <c r="A240" s="2">
        <v>33.0</v>
      </c>
      <c r="B240" s="13">
        <f t="shared" si="19"/>
        <v>519.75</v>
      </c>
      <c r="C240" s="140">
        <f t="shared" si="20"/>
        <v>1.465922499</v>
      </c>
      <c r="D240" s="140">
        <f t="shared" si="21"/>
        <v>1.132248076</v>
      </c>
      <c r="E240" s="140">
        <f t="shared" si="22"/>
        <v>1.224935415</v>
      </c>
      <c r="F240" s="140">
        <f t="shared" si="23"/>
        <v>0.9468733965</v>
      </c>
      <c r="G240" s="140">
        <f t="shared" si="24"/>
        <v>0.9127775824</v>
      </c>
      <c r="H240" s="140">
        <f t="shared" si="25"/>
        <v>1.180610857</v>
      </c>
      <c r="I240" s="140">
        <f t="shared" si="26"/>
        <v>1.412733029</v>
      </c>
    </row>
    <row r="241">
      <c r="A241" s="2">
        <v>34.0</v>
      </c>
      <c r="B241" s="13">
        <f t="shared" si="19"/>
        <v>535.5</v>
      </c>
      <c r="C241" s="140">
        <f t="shared" si="20"/>
        <v>1.455132032</v>
      </c>
      <c r="D241" s="140">
        <f t="shared" si="21"/>
        <v>1.123947717</v>
      </c>
      <c r="E241" s="140">
        <f t="shared" si="22"/>
        <v>1.21594336</v>
      </c>
      <c r="F241" s="140">
        <f t="shared" si="23"/>
        <v>0.9399564309</v>
      </c>
      <c r="G241" s="140">
        <f t="shared" si="24"/>
        <v>0.9063583873</v>
      </c>
      <c r="H241" s="140">
        <f t="shared" si="25"/>
        <v>1.172265903</v>
      </c>
      <c r="I241" s="140">
        <f t="shared" si="26"/>
        <v>1.402719084</v>
      </c>
    </row>
    <row r="242">
      <c r="A242" s="2">
        <v>35.0</v>
      </c>
      <c r="B242" s="13">
        <f t="shared" si="19"/>
        <v>551.25</v>
      </c>
      <c r="C242" s="140">
        <f t="shared" si="20"/>
        <v>1.444501425</v>
      </c>
      <c r="D242" s="140">
        <f t="shared" si="21"/>
        <v>1.115770327</v>
      </c>
      <c r="E242" s="140">
        <f t="shared" si="22"/>
        <v>1.20708452</v>
      </c>
      <c r="F242" s="140">
        <f t="shared" si="23"/>
        <v>0.9331419388</v>
      </c>
      <c r="G242" s="140">
        <f t="shared" si="24"/>
        <v>0.900030843</v>
      </c>
      <c r="H242" s="140">
        <f t="shared" si="25"/>
        <v>1.164040096</v>
      </c>
      <c r="I242" s="140">
        <f t="shared" si="26"/>
        <v>1.392848115</v>
      </c>
    </row>
    <row r="243">
      <c r="A243" s="2">
        <v>36.0</v>
      </c>
      <c r="B243" s="13">
        <f t="shared" si="19"/>
        <v>567</v>
      </c>
      <c r="C243" s="140">
        <f t="shared" si="20"/>
        <v>1.434027149</v>
      </c>
      <c r="D243" s="140">
        <f t="shared" si="21"/>
        <v>1.107713192</v>
      </c>
      <c r="E243" s="140">
        <f t="shared" si="22"/>
        <v>1.198355958</v>
      </c>
      <c r="F243" s="140">
        <f t="shared" si="23"/>
        <v>0.9264276598</v>
      </c>
      <c r="G243" s="140">
        <f t="shared" si="24"/>
        <v>0.8937930006</v>
      </c>
      <c r="H243" s="140">
        <f t="shared" si="25"/>
        <v>1.155930901</v>
      </c>
      <c r="I243" s="140">
        <f t="shared" si="26"/>
        <v>1.383117081</v>
      </c>
    </row>
    <row r="244">
      <c r="A244" s="2">
        <v>37.0</v>
      </c>
      <c r="B244" s="13">
        <f t="shared" si="19"/>
        <v>582.75</v>
      </c>
      <c r="C244" s="140">
        <f t="shared" si="20"/>
        <v>1.423705783</v>
      </c>
      <c r="D244" s="140">
        <f t="shared" si="21"/>
        <v>1.099773679</v>
      </c>
      <c r="E244" s="140">
        <f t="shared" si="22"/>
        <v>1.189754819</v>
      </c>
      <c r="F244" s="140">
        <f t="shared" si="23"/>
        <v>0.9198113995</v>
      </c>
      <c r="G244" s="140">
        <f t="shared" si="24"/>
        <v>0.8876429661</v>
      </c>
      <c r="H244" s="140">
        <f t="shared" si="25"/>
        <v>1.147935856</v>
      </c>
      <c r="I244" s="140">
        <f t="shared" si="26"/>
        <v>1.373523027</v>
      </c>
    </row>
    <row r="245">
      <c r="A245" s="2">
        <v>38.0</v>
      </c>
      <c r="B245" s="13">
        <f t="shared" si="19"/>
        <v>598.5</v>
      </c>
      <c r="C245" s="140">
        <f t="shared" si="20"/>
        <v>1.413534002</v>
      </c>
      <c r="D245" s="140">
        <f t="shared" si="21"/>
        <v>1.091949232</v>
      </c>
      <c r="E245" s="140">
        <f t="shared" si="22"/>
        <v>1.181278335</v>
      </c>
      <c r="F245" s="140">
        <f t="shared" si="23"/>
        <v>0.9132910271</v>
      </c>
      <c r="G245" s="140">
        <f t="shared" si="24"/>
        <v>0.8815788983</v>
      </c>
      <c r="H245" s="140">
        <f t="shared" si="25"/>
        <v>1.140052568</v>
      </c>
      <c r="I245" s="140">
        <f t="shared" si="26"/>
        <v>1.364063081</v>
      </c>
    </row>
    <row r="246">
      <c r="A246" s="2">
        <v>39.0</v>
      </c>
      <c r="B246" s="13">
        <f t="shared" si="19"/>
        <v>614.25</v>
      </c>
      <c r="C246" s="140">
        <f t="shared" si="20"/>
        <v>1.403508578</v>
      </c>
      <c r="D246" s="140">
        <f t="shared" si="21"/>
        <v>1.084237368</v>
      </c>
      <c r="E246" s="140">
        <f t="shared" si="22"/>
        <v>1.172923815</v>
      </c>
      <c r="F246" s="140">
        <f t="shared" si="23"/>
        <v>0.9068644729</v>
      </c>
      <c r="G246" s="140">
        <f t="shared" si="24"/>
        <v>0.8755990073</v>
      </c>
      <c r="H246" s="140">
        <f t="shared" si="25"/>
        <v>1.13227871</v>
      </c>
      <c r="I246" s="140">
        <f t="shared" si="26"/>
        <v>1.354734451</v>
      </c>
    </row>
    <row r="247">
      <c r="A247" s="2">
        <v>40.0</v>
      </c>
      <c r="B247" s="13">
        <f t="shared" si="19"/>
        <v>630</v>
      </c>
      <c r="C247" s="140">
        <f t="shared" si="20"/>
        <v>1.393626374</v>
      </c>
      <c r="D247" s="140">
        <f t="shared" si="21"/>
        <v>1.076635672</v>
      </c>
      <c r="E247" s="140">
        <f t="shared" si="22"/>
        <v>1.164688645</v>
      </c>
      <c r="F247" s="140">
        <f t="shared" si="23"/>
        <v>0.9005297267</v>
      </c>
      <c r="G247" s="140">
        <f t="shared" si="24"/>
        <v>0.8697015524</v>
      </c>
      <c r="H247" s="140">
        <f t="shared" si="25"/>
        <v>1.124612018</v>
      </c>
      <c r="I247" s="140">
        <f t="shared" si="26"/>
        <v>1.345534422</v>
      </c>
    </row>
    <row r="248">
      <c r="A248" s="2">
        <v>41.0</v>
      </c>
      <c r="B248" s="13">
        <f t="shared" si="19"/>
        <v>645.75</v>
      </c>
      <c r="C248" s="140">
        <f t="shared" si="20"/>
        <v>1.383884343</v>
      </c>
      <c r="D248" s="140">
        <f t="shared" si="21"/>
        <v>1.069141802</v>
      </c>
      <c r="E248" s="140">
        <f t="shared" si="22"/>
        <v>1.156570286</v>
      </c>
      <c r="F248" s="140">
        <f t="shared" si="23"/>
        <v>0.894284835</v>
      </c>
      <c r="G248" s="140">
        <f t="shared" si="24"/>
        <v>0.8638848407</v>
      </c>
      <c r="H248" s="140">
        <f t="shared" si="25"/>
        <v>1.117050293</v>
      </c>
      <c r="I248" s="140">
        <f t="shared" si="26"/>
        <v>1.336460352</v>
      </c>
    </row>
    <row r="249">
      <c r="A249" s="2">
        <v>42.0</v>
      </c>
      <c r="B249" s="13">
        <f t="shared" si="19"/>
        <v>661.5</v>
      </c>
      <c r="C249" s="140">
        <f t="shared" si="20"/>
        <v>1.374279523</v>
      </c>
      <c r="D249" s="140">
        <f t="shared" si="21"/>
        <v>1.061753479</v>
      </c>
      <c r="E249" s="140">
        <f t="shared" si="22"/>
        <v>1.148566269</v>
      </c>
      <c r="F249" s="140">
        <f t="shared" si="23"/>
        <v>0.8881278995</v>
      </c>
      <c r="G249" s="140">
        <f t="shared" si="24"/>
        <v>0.8581472253</v>
      </c>
      <c r="H249" s="140">
        <f t="shared" si="25"/>
        <v>1.109591393</v>
      </c>
      <c r="I249" s="140">
        <f t="shared" si="26"/>
        <v>1.327509671</v>
      </c>
    </row>
    <row r="250">
      <c r="A250" s="2">
        <v>43.0</v>
      </c>
      <c r="B250" s="13">
        <f t="shared" si="19"/>
        <v>677.25</v>
      </c>
      <c r="C250" s="140">
        <f t="shared" si="20"/>
        <v>1.364809037</v>
      </c>
      <c r="D250" s="140">
        <f t="shared" si="21"/>
        <v>1.05446849</v>
      </c>
      <c r="E250" s="140">
        <f t="shared" si="22"/>
        <v>1.140674198</v>
      </c>
      <c r="F250" s="140">
        <f t="shared" si="23"/>
        <v>0.8820570751</v>
      </c>
      <c r="G250" s="140">
        <f t="shared" si="24"/>
        <v>0.8524871036</v>
      </c>
      <c r="H250" s="140">
        <f t="shared" si="25"/>
        <v>1.102233235</v>
      </c>
      <c r="I250" s="140">
        <f t="shared" si="26"/>
        <v>1.318679882</v>
      </c>
    </row>
    <row r="251">
      <c r="A251" s="2">
        <v>44.0</v>
      </c>
      <c r="B251" s="13">
        <f t="shared" si="19"/>
        <v>693</v>
      </c>
      <c r="C251" s="140">
        <f t="shared" si="20"/>
        <v>1.355470085</v>
      </c>
      <c r="D251" s="140">
        <f t="shared" si="21"/>
        <v>1.047284681</v>
      </c>
      <c r="E251" s="140">
        <f t="shared" si="22"/>
        <v>1.132891738</v>
      </c>
      <c r="F251" s="140">
        <f t="shared" si="23"/>
        <v>0.8760705676</v>
      </c>
      <c r="G251" s="140">
        <f t="shared" si="24"/>
        <v>0.8469029162</v>
      </c>
      <c r="H251" s="140">
        <f t="shared" si="25"/>
        <v>1.094973791</v>
      </c>
      <c r="I251" s="140">
        <f t="shared" si="26"/>
        <v>1.309968549</v>
      </c>
    </row>
    <row r="252">
      <c r="A252" s="2">
        <v>45.0</v>
      </c>
      <c r="B252" s="13">
        <f t="shared" si="19"/>
        <v>708.75</v>
      </c>
      <c r="C252" s="140">
        <f t="shared" si="20"/>
        <v>1.346259947</v>
      </c>
      <c r="D252" s="140">
        <f t="shared" si="21"/>
        <v>1.040199959</v>
      </c>
      <c r="E252" s="140">
        <f t="shared" si="22"/>
        <v>1.125216622</v>
      </c>
      <c r="F252" s="140">
        <f t="shared" si="23"/>
        <v>0.8701666327</v>
      </c>
      <c r="G252" s="140">
        <f t="shared" si="24"/>
        <v>0.8413931454</v>
      </c>
      <c r="H252" s="140">
        <f t="shared" si="25"/>
        <v>1.087811089</v>
      </c>
      <c r="I252" s="140">
        <f t="shared" si="26"/>
        <v>1.301373307</v>
      </c>
    </row>
    <row r="253">
      <c r="A253" s="2">
        <v>46.0</v>
      </c>
      <c r="B253" s="13">
        <f t="shared" si="19"/>
        <v>724.5</v>
      </c>
      <c r="C253" s="140">
        <f t="shared" si="20"/>
        <v>1.337175975</v>
      </c>
      <c r="D253" s="140">
        <f t="shared" si="21"/>
        <v>1.033212288</v>
      </c>
      <c r="E253" s="140">
        <f t="shared" si="22"/>
        <v>1.117646646</v>
      </c>
      <c r="F253" s="140">
        <f t="shared" si="23"/>
        <v>0.8643435735</v>
      </c>
      <c r="G253" s="140">
        <f t="shared" si="24"/>
        <v>0.8359563132</v>
      </c>
      <c r="H253" s="140">
        <f t="shared" si="25"/>
        <v>1.080743207</v>
      </c>
      <c r="I253" s="140">
        <f t="shared" si="26"/>
        <v>1.292891849</v>
      </c>
    </row>
    <row r="254">
      <c r="A254" s="2">
        <v>47.0</v>
      </c>
      <c r="B254" s="13">
        <f t="shared" si="19"/>
        <v>740.25</v>
      </c>
      <c r="C254" s="140">
        <f t="shared" si="20"/>
        <v>1.328215594</v>
      </c>
      <c r="D254" s="140">
        <f t="shared" si="21"/>
        <v>1.026319688</v>
      </c>
      <c r="E254" s="140">
        <f t="shared" si="22"/>
        <v>1.110179662</v>
      </c>
      <c r="F254" s="140">
        <f t="shared" si="23"/>
        <v>0.8585997397</v>
      </c>
      <c r="G254" s="140">
        <f t="shared" si="24"/>
        <v>0.830590981</v>
      </c>
      <c r="H254" s="140">
        <f t="shared" si="25"/>
        <v>1.073768275</v>
      </c>
      <c r="I254" s="140">
        <f t="shared" si="26"/>
        <v>1.28452193</v>
      </c>
    </row>
    <row r="255">
      <c r="A255" s="2">
        <v>48.0</v>
      </c>
      <c r="B255" s="13">
        <f t="shared" si="19"/>
        <v>756</v>
      </c>
      <c r="C255" s="140">
        <f t="shared" si="20"/>
        <v>1.319376299</v>
      </c>
      <c r="D255" s="140">
        <f t="shared" si="21"/>
        <v>1.01952023</v>
      </c>
      <c r="E255" s="140">
        <f t="shared" si="22"/>
        <v>1.102813583</v>
      </c>
      <c r="F255" s="140">
        <f t="shared" si="23"/>
        <v>0.8529335252</v>
      </c>
      <c r="G255" s="140">
        <f t="shared" si="24"/>
        <v>0.8252957475</v>
      </c>
      <c r="H255" s="140">
        <f t="shared" si="25"/>
        <v>1.066884472</v>
      </c>
      <c r="I255" s="140">
        <f t="shared" si="26"/>
        <v>1.276261366</v>
      </c>
    </row>
    <row r="256">
      <c r="A256" s="2">
        <v>49.0</v>
      </c>
      <c r="B256" s="13">
        <f t="shared" si="19"/>
        <v>771.75</v>
      </c>
      <c r="C256" s="140">
        <f t="shared" si="20"/>
        <v>1.310655653</v>
      </c>
      <c r="D256" s="140">
        <f t="shared" si="21"/>
        <v>1.012812041</v>
      </c>
      <c r="E256" s="140">
        <f t="shared" si="22"/>
        <v>1.095546378</v>
      </c>
      <c r="F256" s="140">
        <f t="shared" si="23"/>
        <v>0.8473433674</v>
      </c>
      <c r="G256" s="140">
        <f t="shared" si="24"/>
        <v>0.8200692479</v>
      </c>
      <c r="H256" s="140">
        <f t="shared" si="25"/>
        <v>1.060090022</v>
      </c>
      <c r="I256" s="140">
        <f t="shared" si="26"/>
        <v>1.268108027</v>
      </c>
    </row>
    <row r="257">
      <c r="A257" s="2">
        <v>50.0</v>
      </c>
      <c r="B257" s="13">
        <f t="shared" si="19"/>
        <v>787.5</v>
      </c>
      <c r="C257" s="140">
        <f t="shared" si="20"/>
        <v>1.302051282</v>
      </c>
      <c r="D257" s="140">
        <f t="shared" si="21"/>
        <v>1.006193294</v>
      </c>
      <c r="E257" s="140">
        <f t="shared" si="22"/>
        <v>1.088376068</v>
      </c>
      <c r="F257" s="140">
        <f t="shared" si="23"/>
        <v>0.8418277449</v>
      </c>
      <c r="G257" s="140">
        <f t="shared" si="24"/>
        <v>0.8149101524</v>
      </c>
      <c r="H257" s="140">
        <f t="shared" si="25"/>
        <v>1.053383198</v>
      </c>
      <c r="I257" s="140">
        <f t="shared" si="26"/>
        <v>1.260059838</v>
      </c>
    </row>
    <row r="258">
      <c r="A258" s="2">
        <v>51.0</v>
      </c>
      <c r="B258" s="13">
        <f t="shared" si="19"/>
        <v>803.25</v>
      </c>
      <c r="C258" s="140">
        <f t="shared" si="20"/>
        <v>1.293560876</v>
      </c>
      <c r="D258" s="140">
        <f t="shared" si="21"/>
        <v>0.9996622125</v>
      </c>
      <c r="E258" s="140">
        <f t="shared" si="22"/>
        <v>1.08130073</v>
      </c>
      <c r="F258" s="140">
        <f t="shared" si="23"/>
        <v>0.8363851771</v>
      </c>
      <c r="G258" s="140">
        <f t="shared" si="24"/>
        <v>0.8098171656</v>
      </c>
      <c r="H258" s="140">
        <f t="shared" si="25"/>
        <v>1.046762315</v>
      </c>
      <c r="I258" s="140">
        <f t="shared" si="26"/>
        <v>1.252114778</v>
      </c>
    </row>
  </sheetData>
  <mergeCells count="6">
    <mergeCell ref="J91:O91"/>
    <mergeCell ref="J111:O111"/>
    <mergeCell ref="J131:O131"/>
    <mergeCell ref="J71:O71"/>
    <mergeCell ref="J51:O51"/>
    <mergeCell ref="J31:O31"/>
  </mergeCells>
  <conditionalFormatting sqref="C158:I200 C207:I258">
    <cfRule type="cellIs" dxfId="0" priority="1" operator="lessThanOrEqual">
      <formula>1</formula>
    </cfRule>
  </conditionalFormatting>
  <dataValidations>
    <dataValidation type="list" allowBlank="1" sqref="C22">
      <formula1>"Aran's Sorcerous Slacks,Devil-Stitched Leggings from Laj in Botanica are also okay but not as good.,Leggings from Lower City Revered"</formula1>
    </dataValidation>
    <dataValidation type="list" allowBlank="1" sqref="C21">
      <formula1>"Glyph-Lined Sash,Girdle of Ruination (Tailoring. Better but expensive)"</formula1>
    </dataValidation>
    <dataValidation type="list" allowBlank="1" sqref="C25">
      <formula1>"Sparking Arcanite Ring,Any other decent ring. If you still need hit,you can also go for Scryers trinket."</formula1>
    </dataValidation>
    <dataValidation type="list" allowBlank="1" sqref="D156 D205">
      <formula1>'Spell damage based approach'!$K$156:$K$159</formula1>
    </dataValidation>
    <dataValidation type="list" allowBlank="1" sqref="C12">
      <formula1>"Brooch of Heightened Potential,You can also get the Lola's Eve Neck+Ring set"</formula1>
    </dataValidation>
    <dataValidation type="list" allowBlank="1" sqref="C39">
      <formula1>"Nathrezim Mindblade,Arena S1 weapon (almost as good)"</formula1>
    </dataValidation>
    <dataValidation type="list" allowBlank="1" sqref="C114">
      <formula1>"Brooch of Nature's Mercy,If you have mana problems use the neck from Kael'thas but always have at least 63 haste."</formula1>
    </dataValidation>
    <dataValidation type="list" allowBlank="1" sqref="C11">
      <formula1>"Hood of Oblivion,Incanters Cowl (but then you have to gem your chest with 8 spirit to get the meta gem requirement again)"</formula1>
    </dataValidation>
    <dataValidation type="list" allowBlank="1" sqref="C139">
      <formula1>"Grand Magister's Staff of Torrents,KJ weapon + any off hand that makes sense is better but only a little bit"</formula1>
    </dataValidation>
    <dataValidation type="list" allowBlank="1" sqref="C15">
      <formula1>"Anchorite's Robes,If you don't wanna go Aldor you can also use the quest reward ""Auchenai Anchorite's Robes"",or Robe of the Crimson Order"</formula1>
    </dataValidation>
    <dataValidation type="list" allowBlank="1" sqref="C41">
      <formula1>"Tirisfal Wand of Ascendancy,Nether Core's Control Rod (basically as good)"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3.14"/>
    <col customWidth="1" min="4" max="4" width="31.86"/>
    <col customWidth="1" min="10" max="10" width="4.29"/>
    <col customWidth="1" min="11" max="11" width="4.43"/>
    <col customWidth="1" min="12" max="13" width="4.14"/>
    <col customWidth="1" min="14" max="14" width="5.71"/>
    <col customWidth="1" min="15" max="15" width="4.86"/>
    <col customWidth="1" min="16" max="16" width="4.29"/>
    <col customWidth="1" min="17" max="17" width="4.43"/>
    <col customWidth="1" min="18" max="19" width="4.14"/>
    <col customWidth="1" min="20" max="20" width="5.71"/>
    <col customWidth="1" min="21" max="21" width="4.86"/>
    <col customWidth="1" min="23" max="23" width="3.86"/>
    <col customWidth="1" min="24" max="24" width="4.14"/>
    <col customWidth="1" min="25" max="25" width="4.0"/>
    <col customWidth="1" min="26" max="26" width="3.29"/>
    <col customWidth="1" min="27" max="27" width="5.57"/>
    <col customWidth="1" min="28" max="28" width="4.71"/>
    <col customWidth="1" min="29" max="31" width="22.57"/>
  </cols>
  <sheetData>
    <row r="2">
      <c r="B2" s="1" t="s">
        <v>0</v>
      </c>
    </row>
    <row r="3">
      <c r="B3" s="2"/>
    </row>
    <row r="4">
      <c r="B4" s="2" t="s">
        <v>311</v>
      </c>
    </row>
    <row r="5">
      <c r="B5" s="82" t="s">
        <v>212</v>
      </c>
    </row>
    <row r="6">
      <c r="A6" s="142"/>
    </row>
    <row r="7">
      <c r="B7" s="3" t="s">
        <v>261</v>
      </c>
      <c r="J7" s="48" t="s">
        <v>144</v>
      </c>
      <c r="P7" s="2" t="s">
        <v>262</v>
      </c>
    </row>
    <row r="8">
      <c r="B8" s="4" t="s">
        <v>6</v>
      </c>
      <c r="C8" s="5" t="s">
        <v>7</v>
      </c>
      <c r="D8" s="6" t="s">
        <v>8</v>
      </c>
      <c r="E8" s="57" t="s">
        <v>9</v>
      </c>
      <c r="F8" s="7"/>
      <c r="G8" s="6" t="s">
        <v>10</v>
      </c>
      <c r="H8" s="8"/>
      <c r="I8" s="7"/>
      <c r="J8" s="49" t="s">
        <v>108</v>
      </c>
      <c r="K8" s="50" t="s">
        <v>109</v>
      </c>
      <c r="L8" s="50" t="s">
        <v>110</v>
      </c>
      <c r="M8" s="50" t="s">
        <v>111</v>
      </c>
      <c r="N8" s="51" t="s">
        <v>112</v>
      </c>
      <c r="O8" s="51" t="s">
        <v>113</v>
      </c>
      <c r="P8" s="2" t="s">
        <v>108</v>
      </c>
      <c r="Q8" s="2" t="s">
        <v>109</v>
      </c>
      <c r="R8" s="2" t="s">
        <v>110</v>
      </c>
      <c r="S8" s="2" t="s">
        <v>111</v>
      </c>
      <c r="T8" s="2" t="s">
        <v>112</v>
      </c>
      <c r="U8" s="2" t="s">
        <v>113</v>
      </c>
    </row>
    <row r="9">
      <c r="B9" s="9" t="s">
        <v>11</v>
      </c>
      <c r="C9" s="143" t="s">
        <v>312</v>
      </c>
      <c r="D9" s="144" t="s">
        <v>272</v>
      </c>
      <c r="E9" s="12" t="s">
        <v>313</v>
      </c>
      <c r="F9" s="13"/>
      <c r="G9" s="2" t="s">
        <v>15</v>
      </c>
      <c r="I9" s="13"/>
      <c r="J9" s="2">
        <f>40+10</f>
        <v>50</v>
      </c>
      <c r="K9" s="2">
        <v>28.0</v>
      </c>
      <c r="L9" s="2">
        <v>29.0</v>
      </c>
      <c r="M9" s="2">
        <v>13.0</v>
      </c>
      <c r="O9" s="53">
        <f>62+22</f>
        <v>84</v>
      </c>
      <c r="P9" s="2">
        <f>22+12</f>
        <v>34</v>
      </c>
      <c r="R9" s="2">
        <f>24+23</f>
        <v>47</v>
      </c>
      <c r="S9" s="2">
        <f>2*17</f>
        <v>34</v>
      </c>
      <c r="U9" s="2">
        <f>259+42</f>
        <v>301</v>
      </c>
      <c r="V9" s="2" t="s">
        <v>265</v>
      </c>
    </row>
    <row r="10">
      <c r="B10" s="9" t="s">
        <v>16</v>
      </c>
      <c r="C10" s="60" t="s">
        <v>146</v>
      </c>
      <c r="D10" s="61" t="s">
        <v>147</v>
      </c>
      <c r="F10" s="13"/>
      <c r="I10" s="13"/>
      <c r="J10" s="2">
        <v>16.0</v>
      </c>
      <c r="L10" s="2">
        <v>24.0</v>
      </c>
      <c r="O10" s="53">
        <v>41.0</v>
      </c>
      <c r="P10" s="2">
        <v>47.0</v>
      </c>
      <c r="R10" s="2">
        <v>36.0</v>
      </c>
      <c r="T10" s="2">
        <v>55.0</v>
      </c>
      <c r="U10" s="2">
        <v>259.0</v>
      </c>
      <c r="V10" s="2" t="s">
        <v>266</v>
      </c>
    </row>
    <row r="11">
      <c r="B11" s="9" t="s">
        <v>19</v>
      </c>
      <c r="C11" s="62" t="s">
        <v>118</v>
      </c>
      <c r="D11" s="63" t="s">
        <v>119</v>
      </c>
      <c r="E11" s="64" t="s">
        <v>267</v>
      </c>
      <c r="F11" s="13"/>
      <c r="G11" s="2" t="s">
        <v>121</v>
      </c>
      <c r="I11" s="13"/>
      <c r="J11" s="2">
        <f>24+4</f>
        <v>28</v>
      </c>
      <c r="K11" s="2">
        <f>24+5</f>
        <v>29</v>
      </c>
      <c r="L11" s="2">
        <f>17+10</f>
        <v>27</v>
      </c>
      <c r="N11" s="2">
        <v>10.0</v>
      </c>
      <c r="O11" s="53">
        <f>40+18+4</f>
        <v>62</v>
      </c>
    </row>
    <row r="12">
      <c r="B12" s="9" t="s">
        <v>24</v>
      </c>
      <c r="C12" s="10" t="s">
        <v>149</v>
      </c>
      <c r="D12" s="2" t="s">
        <v>150</v>
      </c>
      <c r="E12" s="65"/>
      <c r="F12" s="13"/>
      <c r="G12" s="2" t="s">
        <v>88</v>
      </c>
      <c r="I12" s="13"/>
      <c r="J12" s="2">
        <v>16.0</v>
      </c>
      <c r="L12" s="2">
        <v>25.0</v>
      </c>
      <c r="O12" s="53">
        <v>42.0</v>
      </c>
    </row>
    <row r="13">
      <c r="B13" s="9" t="s">
        <v>28</v>
      </c>
      <c r="C13" s="10" t="s">
        <v>314</v>
      </c>
      <c r="D13" s="2" t="s">
        <v>156</v>
      </c>
      <c r="E13" s="12" t="s">
        <v>315</v>
      </c>
      <c r="F13" s="13"/>
      <c r="G13" s="2" t="s">
        <v>316</v>
      </c>
      <c r="I13" s="13"/>
      <c r="J13" s="66">
        <f>35+20</f>
        <v>55</v>
      </c>
      <c r="K13" s="75">
        <f>31+10</f>
        <v>41</v>
      </c>
      <c r="L13" s="75">
        <v>23.0</v>
      </c>
      <c r="M13" s="71">
        <v>13.0</v>
      </c>
      <c r="N13" s="68"/>
      <c r="O13" s="72">
        <f>62+5</f>
        <v>67</v>
      </c>
      <c r="T13" s="2">
        <v>28.0</v>
      </c>
      <c r="V13" s="2" t="s">
        <v>269</v>
      </c>
      <c r="AA13" s="2">
        <v>28.0</v>
      </c>
    </row>
    <row r="14">
      <c r="A14" s="15"/>
      <c r="B14" s="9" t="s">
        <v>33</v>
      </c>
      <c r="C14" s="10" t="s">
        <v>317</v>
      </c>
      <c r="D14" s="2" t="s">
        <v>35</v>
      </c>
      <c r="E14" s="64"/>
      <c r="F14" s="13"/>
      <c r="G14" s="2" t="s">
        <v>236</v>
      </c>
      <c r="I14" s="13"/>
      <c r="J14" s="2">
        <v>20.0</v>
      </c>
      <c r="N14" s="2">
        <v>28.0</v>
      </c>
      <c r="O14" s="53">
        <f>34+15</f>
        <v>49</v>
      </c>
      <c r="T14" s="2">
        <v>55.0</v>
      </c>
      <c r="V14" s="2" t="s">
        <v>266</v>
      </c>
      <c r="AA14" s="2">
        <v>55.0</v>
      </c>
    </row>
    <row r="15">
      <c r="A15" s="15"/>
      <c r="B15" s="9" t="s">
        <v>38</v>
      </c>
      <c r="C15" s="10" t="s">
        <v>318</v>
      </c>
      <c r="D15" s="2" t="s">
        <v>156</v>
      </c>
      <c r="E15" s="65"/>
      <c r="F15" s="13"/>
      <c r="G15" s="2" t="s">
        <v>223</v>
      </c>
      <c r="I15" s="13"/>
      <c r="J15" s="2">
        <v>47.0</v>
      </c>
      <c r="L15" s="2">
        <v>36.0</v>
      </c>
      <c r="N15" s="2">
        <v>55.0</v>
      </c>
      <c r="O15" s="53">
        <f>259+50</f>
        <v>309</v>
      </c>
      <c r="T15" s="2">
        <v>31.0</v>
      </c>
      <c r="V15" s="2" t="s">
        <v>273</v>
      </c>
      <c r="AA15" s="2">
        <v>31.0</v>
      </c>
    </row>
    <row r="16">
      <c r="A16" s="15"/>
      <c r="B16" s="9" t="s">
        <v>42</v>
      </c>
      <c r="C16" s="10"/>
      <c r="E16" s="65"/>
      <c r="F16" s="13"/>
      <c r="I16" s="13"/>
      <c r="O16" s="53"/>
      <c r="T16" s="2">
        <v>31.0</v>
      </c>
      <c r="V16" s="2" t="s">
        <v>273</v>
      </c>
      <c r="AA16" s="2">
        <v>31.0</v>
      </c>
    </row>
    <row r="17">
      <c r="A17" s="15"/>
      <c r="B17" s="9" t="s">
        <v>44</v>
      </c>
      <c r="C17" s="10" t="s">
        <v>256</v>
      </c>
      <c r="D17" s="2" t="s">
        <v>90</v>
      </c>
      <c r="E17" s="14"/>
      <c r="F17" s="13"/>
      <c r="G17" s="2" t="s">
        <v>275</v>
      </c>
      <c r="I17" s="13"/>
      <c r="J17" s="2">
        <v>11.0</v>
      </c>
      <c r="L17" s="2">
        <v>14.0</v>
      </c>
      <c r="O17" s="53">
        <v>16.0</v>
      </c>
      <c r="T17" s="2">
        <v>38.0</v>
      </c>
      <c r="V17" s="2" t="s">
        <v>276</v>
      </c>
      <c r="AA17" s="2">
        <v>45.0</v>
      </c>
    </row>
    <row r="18">
      <c r="A18" s="15"/>
      <c r="B18" s="9" t="s">
        <v>47</v>
      </c>
      <c r="C18" s="10" t="s">
        <v>132</v>
      </c>
      <c r="D18" s="2" t="s">
        <v>133</v>
      </c>
      <c r="E18" s="64"/>
      <c r="F18" s="13"/>
      <c r="G18" s="2" t="s">
        <v>50</v>
      </c>
      <c r="I18" s="13"/>
      <c r="J18" s="66">
        <v>27.0</v>
      </c>
      <c r="K18" s="75">
        <v>18.0</v>
      </c>
      <c r="L18" s="75">
        <v>27.0</v>
      </c>
      <c r="M18" s="71"/>
      <c r="N18" s="68"/>
      <c r="O18" s="72">
        <f>41+20</f>
        <v>61</v>
      </c>
      <c r="S18" s="2" t="s">
        <v>277</v>
      </c>
      <c r="T18">
        <f>SUM(T13:T17)</f>
        <v>183</v>
      </c>
      <c r="AA18">
        <f>SUM(AA13:AA17)</f>
        <v>190</v>
      </c>
    </row>
    <row r="19">
      <c r="A19" s="15"/>
      <c r="B19" s="9" t="s">
        <v>51</v>
      </c>
      <c r="C19" s="10" t="s">
        <v>259</v>
      </c>
      <c r="D19" s="2" t="s">
        <v>35</v>
      </c>
      <c r="E19" s="64" t="s">
        <v>319</v>
      </c>
      <c r="F19" s="13"/>
      <c r="I19" s="13"/>
      <c r="L19" s="2">
        <v>30.0</v>
      </c>
      <c r="M19" s="2">
        <v>23.0</v>
      </c>
      <c r="O19" s="53">
        <f>50+4</f>
        <v>54</v>
      </c>
    </row>
    <row r="20">
      <c r="A20" s="15"/>
      <c r="B20" s="9" t="s">
        <v>54</v>
      </c>
      <c r="C20" s="10" t="s">
        <v>279</v>
      </c>
      <c r="D20" s="2" t="s">
        <v>280</v>
      </c>
      <c r="E20" s="64" t="s">
        <v>268</v>
      </c>
      <c r="F20" s="13"/>
      <c r="G20" s="2" t="s">
        <v>58</v>
      </c>
      <c r="I20" s="13"/>
      <c r="J20" s="2">
        <v>28.0</v>
      </c>
      <c r="K20" s="2">
        <v>28.0</v>
      </c>
      <c r="L20" s="2">
        <v>34.0</v>
      </c>
      <c r="M20" s="2">
        <v>18.0</v>
      </c>
      <c r="O20" s="53">
        <f>59+36</f>
        <v>95</v>
      </c>
    </row>
    <row r="21">
      <c r="A21" s="15"/>
      <c r="B21" s="9" t="s">
        <v>59</v>
      </c>
      <c r="C21" s="10" t="s">
        <v>164</v>
      </c>
      <c r="D21" s="2" t="s">
        <v>165</v>
      </c>
      <c r="E21" s="64" t="s">
        <v>278</v>
      </c>
      <c r="F21" s="13"/>
      <c r="G21" s="2" t="s">
        <v>241</v>
      </c>
      <c r="I21" s="13"/>
      <c r="J21" s="2">
        <v>18.0</v>
      </c>
      <c r="K21" s="2">
        <v>18.0</v>
      </c>
      <c r="L21" s="2">
        <v>29.0</v>
      </c>
      <c r="O21" s="53">
        <f>44+24</f>
        <v>68</v>
      </c>
    </row>
    <row r="22">
      <c r="A22" s="15"/>
      <c r="B22" s="9" t="s">
        <v>63</v>
      </c>
      <c r="C22" s="10" t="s">
        <v>167</v>
      </c>
      <c r="D22" s="2" t="s">
        <v>168</v>
      </c>
      <c r="E22" s="122" t="s">
        <v>281</v>
      </c>
      <c r="F22" s="123"/>
      <c r="G22" s="2" t="s">
        <v>66</v>
      </c>
      <c r="I22" s="13"/>
      <c r="J22" s="2">
        <v>20.0</v>
      </c>
      <c r="N22" s="2">
        <v>31.0</v>
      </c>
      <c r="O22" s="53">
        <f t="shared" ref="O22:O23" si="1">39+12</f>
        <v>51</v>
      </c>
    </row>
    <row r="23">
      <c r="A23" s="15"/>
      <c r="B23" s="9" t="s">
        <v>67</v>
      </c>
      <c r="C23" s="10" t="s">
        <v>167</v>
      </c>
      <c r="D23" s="2" t="s">
        <v>168</v>
      </c>
      <c r="E23" s="122" t="s">
        <v>282</v>
      </c>
      <c r="F23" s="123"/>
      <c r="G23" s="2" t="s">
        <v>66</v>
      </c>
      <c r="I23" s="13"/>
      <c r="J23" s="2">
        <v>20.0</v>
      </c>
      <c r="N23" s="2">
        <v>31.0</v>
      </c>
      <c r="O23" s="53">
        <f t="shared" si="1"/>
        <v>51</v>
      </c>
    </row>
    <row r="24">
      <c r="A24" s="15"/>
      <c r="B24" s="9" t="s">
        <v>70</v>
      </c>
      <c r="C24" s="109" t="s">
        <v>169</v>
      </c>
      <c r="E24" s="14"/>
      <c r="F24" s="13"/>
      <c r="G24" s="19"/>
      <c r="I24" s="13"/>
      <c r="L24" s="2">
        <v>30.0</v>
      </c>
      <c r="M24" s="2">
        <v>12.0</v>
      </c>
      <c r="O24" s="13"/>
    </row>
    <row r="25">
      <c r="A25" s="15"/>
      <c r="B25" s="20" t="s">
        <v>73</v>
      </c>
      <c r="C25" s="21" t="s">
        <v>320</v>
      </c>
      <c r="D25" s="22"/>
      <c r="E25" s="73"/>
      <c r="F25" s="24"/>
      <c r="G25" s="25"/>
      <c r="H25" s="26"/>
      <c r="I25" s="24"/>
      <c r="N25" s="2">
        <v>145.0</v>
      </c>
      <c r="O25" s="53"/>
    </row>
    <row r="26">
      <c r="A26" s="15"/>
      <c r="B26" s="124"/>
      <c r="E26" s="74"/>
      <c r="J26" s="56">
        <f t="shared" ref="J26:O26" si="2">SUM(J9:J25)</f>
        <v>356</v>
      </c>
      <c r="K26" s="8">
        <f t="shared" si="2"/>
        <v>162</v>
      </c>
      <c r="L26" s="8">
        <f t="shared" si="2"/>
        <v>328</v>
      </c>
      <c r="M26" s="8">
        <f t="shared" si="2"/>
        <v>79</v>
      </c>
      <c r="N26" s="8">
        <f t="shared" si="2"/>
        <v>300</v>
      </c>
      <c r="O26" s="7">
        <f t="shared" si="2"/>
        <v>1050</v>
      </c>
    </row>
    <row r="27">
      <c r="B27" s="3" t="s">
        <v>283</v>
      </c>
      <c r="E27" s="74"/>
      <c r="J27" s="48" t="s">
        <v>144</v>
      </c>
    </row>
    <row r="28">
      <c r="B28" s="4" t="s">
        <v>6</v>
      </c>
      <c r="C28" s="5" t="s">
        <v>7</v>
      </c>
      <c r="D28" s="6" t="s">
        <v>8</v>
      </c>
      <c r="E28" s="57"/>
      <c r="F28" s="7"/>
      <c r="G28" s="6" t="s">
        <v>10</v>
      </c>
      <c r="H28" s="8"/>
      <c r="I28" s="7"/>
      <c r="J28" s="49" t="s">
        <v>108</v>
      </c>
      <c r="K28" s="50" t="s">
        <v>109</v>
      </c>
      <c r="L28" s="50" t="s">
        <v>110</v>
      </c>
      <c r="M28" s="50" t="s">
        <v>111</v>
      </c>
      <c r="N28" s="51" t="s">
        <v>112</v>
      </c>
      <c r="O28" s="51" t="s">
        <v>113</v>
      </c>
    </row>
    <row r="29">
      <c r="B29" s="9" t="s">
        <v>11</v>
      </c>
      <c r="C29" s="58" t="s">
        <v>114</v>
      </c>
      <c r="D29" s="59" t="s">
        <v>115</v>
      </c>
      <c r="E29" s="125" t="s">
        <v>264</v>
      </c>
      <c r="F29" s="126"/>
      <c r="G29" s="2" t="s">
        <v>15</v>
      </c>
      <c r="I29" s="127" t="s">
        <v>284</v>
      </c>
      <c r="J29" s="2">
        <v>36.0</v>
      </c>
      <c r="K29" s="2">
        <v>24.0</v>
      </c>
      <c r="L29" s="2">
        <v>24.0</v>
      </c>
      <c r="M29">
        <f>18</f>
        <v>18</v>
      </c>
      <c r="O29" s="53">
        <f>55+12+22+12</f>
        <v>101</v>
      </c>
    </row>
    <row r="30">
      <c r="B30" s="9" t="s">
        <v>16</v>
      </c>
      <c r="C30" s="60" t="s">
        <v>173</v>
      </c>
      <c r="D30" s="61" t="s">
        <v>174</v>
      </c>
      <c r="E30" s="128" t="s">
        <v>285</v>
      </c>
      <c r="F30" s="123"/>
      <c r="I30" s="13"/>
      <c r="J30" s="2">
        <v>24.0</v>
      </c>
      <c r="K30" s="2">
        <v>19.0</v>
      </c>
      <c r="N30" s="2">
        <v>33.0</v>
      </c>
      <c r="O30" s="53">
        <v>25.0</v>
      </c>
    </row>
    <row r="31">
      <c r="B31" s="9" t="s">
        <v>19</v>
      </c>
      <c r="C31" s="62" t="s">
        <v>118</v>
      </c>
      <c r="D31" s="63" t="s">
        <v>119</v>
      </c>
      <c r="E31" s="64" t="s">
        <v>286</v>
      </c>
      <c r="F31" s="13"/>
      <c r="G31" s="2" t="s">
        <v>121</v>
      </c>
      <c r="I31" s="13"/>
      <c r="J31" s="2">
        <f>24+4+10</f>
        <v>38</v>
      </c>
      <c r="K31" s="2">
        <f>24+5</f>
        <v>29</v>
      </c>
      <c r="L31" s="2">
        <f>17+10</f>
        <v>27</v>
      </c>
      <c r="O31" s="53">
        <f>40+18+4</f>
        <v>62</v>
      </c>
      <c r="AC31" s="32"/>
    </row>
    <row r="32">
      <c r="B32" s="9" t="s">
        <v>24</v>
      </c>
      <c r="C32" s="10" t="s">
        <v>149</v>
      </c>
      <c r="D32" s="2" t="s">
        <v>150</v>
      </c>
      <c r="E32" s="65"/>
      <c r="F32" s="13"/>
      <c r="G32" s="2" t="s">
        <v>88</v>
      </c>
      <c r="I32" s="13"/>
      <c r="J32" s="2">
        <v>16.0</v>
      </c>
      <c r="L32" s="2">
        <v>25.0</v>
      </c>
      <c r="O32" s="53">
        <v>42.0</v>
      </c>
      <c r="AC32" s="32"/>
    </row>
    <row r="33">
      <c r="B33" s="9" t="s">
        <v>28</v>
      </c>
      <c r="C33" s="10" t="s">
        <v>122</v>
      </c>
      <c r="D33" s="2" t="s">
        <v>123</v>
      </c>
      <c r="E33" s="12" t="s">
        <v>268</v>
      </c>
      <c r="F33" s="13"/>
      <c r="G33" s="2" t="s">
        <v>32</v>
      </c>
      <c r="I33" s="13"/>
      <c r="J33" s="66">
        <f>35+6</f>
        <v>41</v>
      </c>
      <c r="K33" s="75">
        <v>20.0</v>
      </c>
      <c r="L33" s="75">
        <v>19.0</v>
      </c>
      <c r="M33" s="68"/>
      <c r="N33" s="68"/>
      <c r="O33" s="72">
        <f>55+36</f>
        <v>91</v>
      </c>
      <c r="AC33" s="32"/>
    </row>
    <row r="34">
      <c r="B34" s="9" t="s">
        <v>33</v>
      </c>
      <c r="C34" s="10" t="s">
        <v>152</v>
      </c>
      <c r="D34" s="2" t="s">
        <v>153</v>
      </c>
      <c r="E34" s="64" t="s">
        <v>270</v>
      </c>
      <c r="F34" s="13"/>
      <c r="G34" s="2" t="s">
        <v>236</v>
      </c>
      <c r="I34" s="13"/>
      <c r="J34" s="2">
        <v>20.0</v>
      </c>
      <c r="K34" s="2">
        <v>19.0</v>
      </c>
      <c r="L34" s="2">
        <v>14.0</v>
      </c>
      <c r="O34" s="53">
        <f>34+15+12</f>
        <v>61</v>
      </c>
      <c r="AC34" s="32"/>
    </row>
    <row r="35">
      <c r="B35" s="9" t="s">
        <v>38</v>
      </c>
      <c r="C35" s="10" t="s">
        <v>271</v>
      </c>
      <c r="D35" s="2" t="s">
        <v>272</v>
      </c>
      <c r="E35" s="65"/>
      <c r="F35" s="13"/>
      <c r="G35" s="2" t="s">
        <v>223</v>
      </c>
      <c r="I35" s="13"/>
      <c r="J35" s="2">
        <v>22.0</v>
      </c>
      <c r="L35" s="2">
        <v>24.0</v>
      </c>
      <c r="M35" s="2">
        <v>17.0</v>
      </c>
      <c r="O35" s="53">
        <f>259+50</f>
        <v>309</v>
      </c>
      <c r="AC35" s="32"/>
    </row>
    <row r="36">
      <c r="B36" s="9" t="s">
        <v>42</v>
      </c>
      <c r="C36" s="10" t="s">
        <v>274</v>
      </c>
      <c r="D36" s="2" t="s">
        <v>153</v>
      </c>
      <c r="E36" s="65"/>
      <c r="F36" s="13"/>
      <c r="I36" s="13"/>
      <c r="J36" s="2">
        <v>12.0</v>
      </c>
      <c r="L36" s="2">
        <v>23.0</v>
      </c>
      <c r="M36" s="2">
        <v>17.0</v>
      </c>
      <c r="O36" s="53">
        <v>42.0</v>
      </c>
      <c r="AC36" s="32"/>
    </row>
    <row r="37">
      <c r="B37" s="9" t="s">
        <v>44</v>
      </c>
      <c r="C37" s="10" t="s">
        <v>287</v>
      </c>
      <c r="D37" s="2" t="s">
        <v>288</v>
      </c>
      <c r="E37" s="64" t="s">
        <v>270</v>
      </c>
      <c r="F37" s="13"/>
      <c r="I37" s="13"/>
      <c r="J37" s="2">
        <v>15.0</v>
      </c>
      <c r="O37" s="53">
        <f>18+12</f>
        <v>30</v>
      </c>
      <c r="AC37" s="32"/>
    </row>
    <row r="38">
      <c r="B38" s="9" t="s">
        <v>47</v>
      </c>
      <c r="C38" s="10" t="s">
        <v>132</v>
      </c>
      <c r="D38" s="2" t="s">
        <v>133</v>
      </c>
      <c r="E38" s="64"/>
      <c r="F38" s="13"/>
      <c r="G38" s="2" t="s">
        <v>50</v>
      </c>
      <c r="I38" s="13"/>
      <c r="J38" s="66">
        <v>27.0</v>
      </c>
      <c r="K38" s="75">
        <v>18.0</v>
      </c>
      <c r="L38" s="75">
        <v>27.0</v>
      </c>
      <c r="M38" s="71"/>
      <c r="N38" s="68"/>
      <c r="O38" s="72">
        <f>41+20</f>
        <v>61</v>
      </c>
      <c r="AC38" s="32"/>
    </row>
    <row r="39">
      <c r="B39" s="9" t="s">
        <v>51</v>
      </c>
      <c r="C39" s="10" t="s">
        <v>159</v>
      </c>
      <c r="D39" s="2" t="s">
        <v>160</v>
      </c>
      <c r="E39" s="64" t="s">
        <v>278</v>
      </c>
      <c r="F39" s="13"/>
      <c r="I39" s="13"/>
      <c r="J39" s="2">
        <v>23.0</v>
      </c>
      <c r="L39" s="2">
        <v>24.0</v>
      </c>
      <c r="O39" s="53">
        <f>55+24</f>
        <v>79</v>
      </c>
      <c r="AC39" s="32"/>
    </row>
    <row r="40">
      <c r="B40" s="9" t="s">
        <v>54</v>
      </c>
      <c r="C40" s="10" t="s">
        <v>279</v>
      </c>
      <c r="D40" s="2" t="s">
        <v>280</v>
      </c>
      <c r="E40" s="64" t="s">
        <v>268</v>
      </c>
      <c r="F40" s="13"/>
      <c r="G40" s="2" t="s">
        <v>58</v>
      </c>
      <c r="I40" s="13"/>
      <c r="J40" s="2">
        <v>28.0</v>
      </c>
      <c r="K40" s="2">
        <v>28.0</v>
      </c>
      <c r="L40" s="2">
        <v>34.0</v>
      </c>
      <c r="M40" s="2">
        <v>18.0</v>
      </c>
      <c r="O40" s="53">
        <f>59+36</f>
        <v>95</v>
      </c>
      <c r="AC40" s="32"/>
    </row>
    <row r="41">
      <c r="B41" s="9" t="s">
        <v>59</v>
      </c>
      <c r="C41" s="10" t="s">
        <v>164</v>
      </c>
      <c r="D41" s="2" t="s">
        <v>165</v>
      </c>
      <c r="E41" s="64" t="s">
        <v>278</v>
      </c>
      <c r="F41" s="13"/>
      <c r="G41" s="2" t="s">
        <v>241</v>
      </c>
      <c r="I41" s="13"/>
      <c r="J41" s="2">
        <v>18.0</v>
      </c>
      <c r="K41" s="2">
        <v>18.0</v>
      </c>
      <c r="L41" s="2">
        <v>29.0</v>
      </c>
      <c r="O41" s="53">
        <f>44+24</f>
        <v>68</v>
      </c>
      <c r="AC41" s="32"/>
    </row>
    <row r="42">
      <c r="B42" s="9" t="s">
        <v>63</v>
      </c>
      <c r="C42" s="10" t="s">
        <v>167</v>
      </c>
      <c r="D42" s="2" t="s">
        <v>168</v>
      </c>
      <c r="E42" s="122" t="s">
        <v>285</v>
      </c>
      <c r="F42" s="123"/>
      <c r="G42" s="2" t="s">
        <v>66</v>
      </c>
      <c r="I42" s="13"/>
      <c r="J42" s="2">
        <v>20.0</v>
      </c>
      <c r="N42" s="2">
        <v>31.0</v>
      </c>
      <c r="O42" s="53">
        <f>39+12</f>
        <v>51</v>
      </c>
      <c r="AC42" s="32"/>
    </row>
    <row r="43">
      <c r="B43" s="9" t="s">
        <v>67</v>
      </c>
      <c r="C43" s="10" t="s">
        <v>289</v>
      </c>
      <c r="D43" s="2" t="s">
        <v>290</v>
      </c>
      <c r="E43" s="64" t="s">
        <v>291</v>
      </c>
      <c r="F43" s="13"/>
      <c r="G43" s="2" t="s">
        <v>66</v>
      </c>
      <c r="I43" s="13"/>
      <c r="J43" s="2">
        <v>25.0</v>
      </c>
      <c r="L43" s="2">
        <v>24.0</v>
      </c>
      <c r="O43" s="53">
        <f>34+12</f>
        <v>46</v>
      </c>
      <c r="AC43" s="32"/>
    </row>
    <row r="44">
      <c r="B44" s="9" t="s">
        <v>70</v>
      </c>
      <c r="C44" s="10" t="s">
        <v>169</v>
      </c>
      <c r="D44" s="2" t="s">
        <v>170</v>
      </c>
      <c r="E44" s="65"/>
      <c r="F44" s="13"/>
      <c r="G44" s="19"/>
      <c r="I44" s="13"/>
      <c r="L44" s="2">
        <v>30.0</v>
      </c>
      <c r="M44" s="2">
        <v>12.0</v>
      </c>
      <c r="O44" s="13"/>
      <c r="AC44" s="32"/>
    </row>
    <row r="45">
      <c r="B45" s="20" t="s">
        <v>73</v>
      </c>
      <c r="C45" s="76" t="s">
        <v>179</v>
      </c>
      <c r="D45" s="22" t="s">
        <v>180</v>
      </c>
      <c r="E45" s="73"/>
      <c r="F45" s="24"/>
      <c r="G45" s="25"/>
      <c r="H45" s="26"/>
      <c r="I45" s="24"/>
      <c r="O45" s="53">
        <v>53.0</v>
      </c>
      <c r="AC45" s="32"/>
    </row>
    <row r="46">
      <c r="E46" s="74"/>
      <c r="J46" s="56">
        <f t="shared" ref="J46:O46" si="3">SUM(J29:J45)</f>
        <v>365</v>
      </c>
      <c r="K46" s="8">
        <f t="shared" si="3"/>
        <v>175</v>
      </c>
      <c r="L46" s="8">
        <f t="shared" si="3"/>
        <v>324</v>
      </c>
      <c r="M46" s="8">
        <f t="shared" si="3"/>
        <v>82</v>
      </c>
      <c r="N46" s="8">
        <f t="shared" si="3"/>
        <v>64</v>
      </c>
      <c r="O46" s="7">
        <f t="shared" si="3"/>
        <v>1216</v>
      </c>
      <c r="AC46" s="32"/>
    </row>
    <row r="47">
      <c r="B47" s="3" t="s">
        <v>321</v>
      </c>
      <c r="E47" s="74"/>
      <c r="J47" s="48" t="s">
        <v>144</v>
      </c>
      <c r="AC47" s="32"/>
    </row>
    <row r="48">
      <c r="B48" s="4" t="s">
        <v>6</v>
      </c>
      <c r="C48" s="5" t="s">
        <v>7</v>
      </c>
      <c r="D48" s="6" t="s">
        <v>8</v>
      </c>
      <c r="E48" s="57"/>
      <c r="F48" s="7"/>
      <c r="G48" s="6" t="s">
        <v>10</v>
      </c>
      <c r="H48" s="8"/>
      <c r="I48" s="7"/>
      <c r="J48" s="49" t="s">
        <v>108</v>
      </c>
      <c r="K48" s="50" t="s">
        <v>109</v>
      </c>
      <c r="L48" s="50" t="s">
        <v>110</v>
      </c>
      <c r="M48" s="50" t="s">
        <v>111</v>
      </c>
      <c r="N48" s="51" t="s">
        <v>112</v>
      </c>
      <c r="O48" s="51" t="s">
        <v>113</v>
      </c>
      <c r="AC48" s="32"/>
    </row>
    <row r="49">
      <c r="B49" s="9" t="s">
        <v>11</v>
      </c>
      <c r="C49" s="58" t="s">
        <v>114</v>
      </c>
      <c r="D49" s="59" t="s">
        <v>115</v>
      </c>
      <c r="E49" s="64" t="s">
        <v>172</v>
      </c>
      <c r="F49" s="13"/>
      <c r="G49" s="2" t="s">
        <v>15</v>
      </c>
      <c r="I49" s="13"/>
      <c r="J49" s="2">
        <v>58.0</v>
      </c>
      <c r="K49" s="2">
        <v>24.0</v>
      </c>
      <c r="L49" s="2">
        <v>24.0</v>
      </c>
      <c r="M49" s="2">
        <v>18.0</v>
      </c>
      <c r="O49" s="53">
        <v>77.0</v>
      </c>
      <c r="AC49" s="32"/>
    </row>
    <row r="50">
      <c r="B50" s="9" t="s">
        <v>16</v>
      </c>
      <c r="C50" s="60" t="s">
        <v>182</v>
      </c>
      <c r="D50" s="61" t="s">
        <v>183</v>
      </c>
      <c r="E50" s="64" t="s">
        <v>154</v>
      </c>
      <c r="F50" s="13"/>
      <c r="I50" s="13"/>
      <c r="J50" s="2">
        <v>29.0</v>
      </c>
      <c r="L50" s="2">
        <v>25.0</v>
      </c>
      <c r="N50" s="2">
        <v>25.0</v>
      </c>
      <c r="O50" s="53">
        <v>36.0</v>
      </c>
    </row>
    <row r="51">
      <c r="B51" s="9" t="s">
        <v>19</v>
      </c>
      <c r="C51" s="62" t="s">
        <v>118</v>
      </c>
      <c r="D51" s="63" t="s">
        <v>119</v>
      </c>
      <c r="E51" s="64" t="s">
        <v>166</v>
      </c>
      <c r="F51" s="13"/>
      <c r="G51" s="2" t="s">
        <v>121</v>
      </c>
      <c r="I51" s="13"/>
      <c r="J51" s="2">
        <v>34.0</v>
      </c>
      <c r="K51" s="2">
        <v>34.0</v>
      </c>
      <c r="L51" s="2">
        <v>27.0</v>
      </c>
      <c r="O51" s="53">
        <v>62.0</v>
      </c>
    </row>
    <row r="52">
      <c r="B52" s="9" t="s">
        <v>24</v>
      </c>
      <c r="C52" s="10" t="s">
        <v>184</v>
      </c>
      <c r="D52" s="2" t="s">
        <v>185</v>
      </c>
      <c r="E52" s="64" t="s">
        <v>186</v>
      </c>
      <c r="F52" s="13"/>
      <c r="G52" s="2" t="s">
        <v>88</v>
      </c>
      <c r="I52" s="13"/>
      <c r="J52" s="2">
        <v>26.0</v>
      </c>
      <c r="N52" s="2">
        <v>32.0</v>
      </c>
      <c r="O52" s="53">
        <v>66.0</v>
      </c>
    </row>
    <row r="53">
      <c r="B53" s="9" t="s">
        <v>28</v>
      </c>
      <c r="C53" s="10" t="s">
        <v>187</v>
      </c>
      <c r="D53" s="77" t="s">
        <v>188</v>
      </c>
      <c r="E53" s="64" t="s">
        <v>189</v>
      </c>
      <c r="F53" s="13"/>
      <c r="G53" s="2" t="s">
        <v>32</v>
      </c>
      <c r="I53" s="13"/>
      <c r="J53" s="2">
        <v>56.0</v>
      </c>
      <c r="K53" s="2">
        <v>32.0</v>
      </c>
      <c r="L53" s="2">
        <v>26.0</v>
      </c>
      <c r="N53" s="2">
        <v>27.0</v>
      </c>
      <c r="O53" s="53">
        <v>100.0</v>
      </c>
    </row>
    <row r="54">
      <c r="B54" s="9" t="s">
        <v>33</v>
      </c>
      <c r="C54" s="10" t="s">
        <v>190</v>
      </c>
      <c r="D54" s="2" t="s">
        <v>191</v>
      </c>
      <c r="E54" s="64" t="s">
        <v>192</v>
      </c>
      <c r="F54" s="13"/>
      <c r="G54" s="2" t="s">
        <v>127</v>
      </c>
      <c r="I54" s="13"/>
      <c r="J54" s="2">
        <v>29.0</v>
      </c>
      <c r="K54" s="2">
        <v>18.0</v>
      </c>
      <c r="L54" s="2">
        <v>13.0</v>
      </c>
      <c r="N54" s="2">
        <v>26.0</v>
      </c>
      <c r="O54" s="53">
        <v>47.0</v>
      </c>
    </row>
    <row r="55">
      <c r="B55" s="9" t="s">
        <v>38</v>
      </c>
      <c r="C55" s="10" t="s">
        <v>193</v>
      </c>
      <c r="D55" s="2" t="s">
        <v>194</v>
      </c>
      <c r="E55" s="64" t="s">
        <v>195</v>
      </c>
      <c r="F55" s="13"/>
      <c r="G55" s="2" t="s">
        <v>129</v>
      </c>
      <c r="I55" s="13"/>
      <c r="J55" s="2">
        <v>112.0</v>
      </c>
      <c r="L55" s="2">
        <v>49.0</v>
      </c>
      <c r="M55" s="2">
        <v>50.0</v>
      </c>
      <c r="O55" s="53">
        <v>271.0</v>
      </c>
    </row>
    <row r="56">
      <c r="B56" s="9" t="s">
        <v>42</v>
      </c>
      <c r="C56" s="10"/>
      <c r="E56" s="65"/>
      <c r="F56" s="13"/>
      <c r="I56" s="13"/>
      <c r="O56" s="13"/>
    </row>
    <row r="57">
      <c r="B57" s="9" t="s">
        <v>44</v>
      </c>
      <c r="C57" s="10" t="s">
        <v>196</v>
      </c>
      <c r="D57" s="2" t="s">
        <v>197</v>
      </c>
      <c r="E57" s="64" t="s">
        <v>154</v>
      </c>
      <c r="F57" s="13"/>
      <c r="I57" s="13"/>
      <c r="J57" s="2">
        <v>20.0</v>
      </c>
      <c r="N57" s="2">
        <v>18.0</v>
      </c>
      <c r="O57" s="53">
        <v>24.0</v>
      </c>
    </row>
    <row r="58">
      <c r="B58" s="9" t="s">
        <v>47</v>
      </c>
      <c r="C58" s="10" t="s">
        <v>198</v>
      </c>
      <c r="D58" s="2" t="s">
        <v>199</v>
      </c>
      <c r="E58" s="64" t="s">
        <v>200</v>
      </c>
      <c r="F58" s="13"/>
      <c r="G58" s="2" t="s">
        <v>50</v>
      </c>
      <c r="I58" s="13"/>
      <c r="J58" s="2">
        <v>42.0</v>
      </c>
      <c r="K58" s="2">
        <v>27.0</v>
      </c>
      <c r="N58" s="2">
        <v>36.0</v>
      </c>
      <c r="O58" s="53">
        <v>83.0</v>
      </c>
    </row>
    <row r="59">
      <c r="B59" s="9" t="s">
        <v>51</v>
      </c>
      <c r="C59" s="10" t="s">
        <v>201</v>
      </c>
      <c r="D59" s="2" t="s">
        <v>202</v>
      </c>
      <c r="E59" s="64" t="s">
        <v>154</v>
      </c>
      <c r="F59" s="13"/>
      <c r="I59" s="13"/>
      <c r="J59" s="2">
        <v>39.0</v>
      </c>
      <c r="K59" s="2">
        <v>20.0</v>
      </c>
      <c r="L59" s="2">
        <v>17.0</v>
      </c>
      <c r="M59" s="2">
        <v>14.0</v>
      </c>
      <c r="N59" s="2">
        <v>29.0</v>
      </c>
      <c r="O59" s="53">
        <v>52.0</v>
      </c>
    </row>
    <row r="60">
      <c r="B60" s="9" t="s">
        <v>54</v>
      </c>
      <c r="C60" s="10" t="s">
        <v>203</v>
      </c>
      <c r="D60" s="2" t="s">
        <v>204</v>
      </c>
      <c r="E60" s="64" t="s">
        <v>205</v>
      </c>
      <c r="F60" s="13"/>
      <c r="G60" s="2" t="s">
        <v>58</v>
      </c>
      <c r="I60" s="13"/>
      <c r="J60" s="2">
        <v>56.0</v>
      </c>
      <c r="K60" s="2">
        <v>25.0</v>
      </c>
      <c r="N60" s="2">
        <v>42.0</v>
      </c>
      <c r="O60" s="53">
        <v>123.0</v>
      </c>
    </row>
    <row r="61">
      <c r="B61" s="9" t="s">
        <v>59</v>
      </c>
      <c r="C61" s="10" t="s">
        <v>206</v>
      </c>
      <c r="D61" s="2" t="s">
        <v>207</v>
      </c>
      <c r="E61" s="64" t="s">
        <v>154</v>
      </c>
      <c r="F61" s="13"/>
      <c r="G61" s="2" t="s">
        <v>62</v>
      </c>
      <c r="I61" s="13"/>
      <c r="J61" s="2">
        <v>39.0</v>
      </c>
      <c r="K61" s="2">
        <v>20.0</v>
      </c>
      <c r="L61" s="2">
        <v>20.0</v>
      </c>
      <c r="M61" s="2">
        <v>15.0</v>
      </c>
      <c r="N61" s="2">
        <v>25.0</v>
      </c>
      <c r="O61" s="53">
        <v>52.0</v>
      </c>
    </row>
    <row r="62">
      <c r="B62" s="9" t="s">
        <v>63</v>
      </c>
      <c r="C62" s="60" t="s">
        <v>208</v>
      </c>
      <c r="D62" s="61" t="s">
        <v>183</v>
      </c>
      <c r="E62" s="65"/>
      <c r="F62" s="13"/>
      <c r="G62" s="2" t="s">
        <v>66</v>
      </c>
      <c r="I62" s="13"/>
      <c r="J62" s="2">
        <v>28.0</v>
      </c>
      <c r="M62" s="2">
        <v>19.0</v>
      </c>
      <c r="N62" s="2">
        <v>30.0</v>
      </c>
      <c r="O62" s="53">
        <v>46.0</v>
      </c>
    </row>
    <row r="63">
      <c r="B63" s="9" t="s">
        <v>67</v>
      </c>
      <c r="C63" s="60" t="s">
        <v>209</v>
      </c>
      <c r="D63" s="77" t="s">
        <v>188</v>
      </c>
      <c r="E63" s="65"/>
      <c r="F63" s="13"/>
      <c r="G63" s="2" t="s">
        <v>66</v>
      </c>
      <c r="I63" s="13"/>
      <c r="J63" s="2">
        <v>14.0</v>
      </c>
      <c r="L63" s="2">
        <v>22.0</v>
      </c>
      <c r="N63" s="2">
        <v>31.0</v>
      </c>
      <c r="O63" s="53">
        <v>52.0</v>
      </c>
    </row>
    <row r="64">
      <c r="B64" s="9" t="s">
        <v>70</v>
      </c>
      <c r="C64" s="10" t="s">
        <v>169</v>
      </c>
      <c r="D64" s="2" t="s">
        <v>170</v>
      </c>
      <c r="E64" s="65"/>
      <c r="F64" s="13"/>
      <c r="G64" s="19"/>
      <c r="I64" s="13"/>
      <c r="L64" s="2">
        <v>30.0</v>
      </c>
      <c r="M64" s="2">
        <v>12.0</v>
      </c>
      <c r="O64" s="13"/>
    </row>
    <row r="65">
      <c r="B65" s="20" t="s">
        <v>73</v>
      </c>
      <c r="C65" s="78" t="s">
        <v>210</v>
      </c>
      <c r="D65" s="79" t="s">
        <v>188</v>
      </c>
      <c r="E65" s="73"/>
      <c r="F65" s="24"/>
      <c r="G65" s="25"/>
      <c r="H65" s="26"/>
      <c r="I65" s="24"/>
      <c r="J65" s="26"/>
      <c r="K65" s="26"/>
      <c r="L65" s="26"/>
      <c r="M65" s="26"/>
      <c r="N65" s="22">
        <v>54.0</v>
      </c>
      <c r="O65" s="54"/>
    </row>
    <row r="66">
      <c r="J66" s="56">
        <f t="shared" ref="J66:O66" si="4">SUM(J49:J65)</f>
        <v>582</v>
      </c>
      <c r="K66" s="8">
        <f t="shared" si="4"/>
        <v>200</v>
      </c>
      <c r="L66" s="8">
        <f t="shared" si="4"/>
        <v>253</v>
      </c>
      <c r="M66" s="8">
        <f t="shared" si="4"/>
        <v>128</v>
      </c>
      <c r="N66" s="8">
        <f t="shared" si="4"/>
        <v>375</v>
      </c>
      <c r="O66" s="7">
        <f t="shared" si="4"/>
        <v>1091</v>
      </c>
    </row>
    <row r="67">
      <c r="B67" s="2"/>
      <c r="C67" s="2"/>
      <c r="O67" s="2"/>
    </row>
    <row r="68">
      <c r="B68" s="2"/>
      <c r="C68" s="145"/>
      <c r="G68" s="19"/>
    </row>
    <row r="69">
      <c r="B69" s="2"/>
      <c r="C69" s="2"/>
      <c r="D69" s="2"/>
      <c r="G69" s="19"/>
      <c r="O69" s="2"/>
    </row>
    <row r="70">
      <c r="B70" s="55"/>
    </row>
    <row r="71">
      <c r="B71" s="3"/>
      <c r="J71" s="46"/>
    </row>
    <row r="72">
      <c r="B72" s="2"/>
      <c r="C72" s="2"/>
      <c r="D72" s="2"/>
      <c r="E72" s="2"/>
      <c r="G72" s="2"/>
      <c r="J72" s="108"/>
      <c r="K72" s="108"/>
      <c r="L72" s="108"/>
      <c r="M72" s="108"/>
      <c r="N72" s="68"/>
      <c r="O72" s="68"/>
    </row>
    <row r="73">
      <c r="B73" s="2"/>
      <c r="C73" s="2"/>
      <c r="E73" s="48"/>
      <c r="O73" s="2"/>
      <c r="Q73" s="33"/>
      <c r="R73" s="33"/>
      <c r="S73" s="33"/>
      <c r="T73" s="33"/>
      <c r="U73" s="32"/>
      <c r="V73" s="32"/>
      <c r="W73" s="33"/>
    </row>
    <row r="74">
      <c r="B74" s="2"/>
      <c r="C74" s="2"/>
      <c r="O74" s="2"/>
      <c r="Q74" s="33"/>
      <c r="R74" s="33"/>
      <c r="S74" s="33"/>
      <c r="T74" s="32"/>
      <c r="U74" s="32"/>
      <c r="V74" s="32"/>
      <c r="W74" s="33"/>
    </row>
    <row r="75">
      <c r="B75" s="2"/>
      <c r="C75" s="2"/>
      <c r="E75" s="48"/>
      <c r="O75" s="2"/>
      <c r="Q75" s="33"/>
      <c r="R75" s="32"/>
      <c r="S75" s="33"/>
      <c r="T75" s="33"/>
      <c r="U75" s="32"/>
      <c r="V75" s="33"/>
      <c r="W75" s="33"/>
    </row>
    <row r="76">
      <c r="B76" s="2"/>
      <c r="C76" s="2"/>
      <c r="O76" s="2"/>
      <c r="Q76" s="33"/>
      <c r="R76" s="33"/>
      <c r="S76" s="33"/>
      <c r="T76" s="33"/>
      <c r="U76" s="32"/>
      <c r="V76" s="32"/>
      <c r="W76" s="33"/>
    </row>
    <row r="77">
      <c r="B77" s="2"/>
      <c r="C77" s="2"/>
      <c r="E77" s="48"/>
      <c r="O77" s="2"/>
      <c r="Q77" s="32"/>
      <c r="R77" s="32"/>
      <c r="S77" s="32"/>
      <c r="T77" s="32"/>
      <c r="U77" s="32"/>
      <c r="V77" s="32"/>
      <c r="W77" s="32"/>
    </row>
    <row r="78">
      <c r="B78" s="2"/>
      <c r="C78" s="2"/>
      <c r="E78" s="2"/>
      <c r="O78" s="2"/>
      <c r="Q78" s="32"/>
      <c r="R78" s="32"/>
      <c r="S78" s="94"/>
      <c r="T78" s="94"/>
      <c r="U78" s="32"/>
      <c r="V78" s="32"/>
      <c r="W78" s="32"/>
    </row>
    <row r="79">
      <c r="B79" s="2"/>
      <c r="C79" s="2"/>
      <c r="O79" s="2"/>
    </row>
    <row r="80">
      <c r="B80" s="2"/>
      <c r="C80" s="2"/>
      <c r="O80" s="2"/>
    </row>
    <row r="81">
      <c r="B81" s="2"/>
      <c r="C81" s="2"/>
      <c r="O81" s="2"/>
    </row>
    <row r="82">
      <c r="B82" s="2"/>
      <c r="C82" s="2"/>
      <c r="E82" s="2"/>
      <c r="O82" s="2"/>
    </row>
    <row r="83">
      <c r="B83" s="2"/>
      <c r="C83" s="2"/>
      <c r="E83" s="2"/>
      <c r="O83" s="2"/>
    </row>
    <row r="84">
      <c r="B84" s="2"/>
      <c r="C84" s="2"/>
      <c r="E84" s="48"/>
      <c r="O84" s="2"/>
    </row>
    <row r="85">
      <c r="B85" s="2"/>
      <c r="C85" s="2"/>
      <c r="E85" s="2"/>
      <c r="O85" s="2"/>
    </row>
    <row r="86">
      <c r="B86" s="2"/>
      <c r="C86" s="2"/>
      <c r="O86" s="2"/>
    </row>
    <row r="87">
      <c r="B87" s="2"/>
      <c r="C87" s="2"/>
      <c r="O87" s="2"/>
    </row>
    <row r="88">
      <c r="B88" s="2"/>
      <c r="C88" s="145"/>
      <c r="G88" s="19"/>
    </row>
    <row r="89">
      <c r="B89" s="2"/>
      <c r="C89" s="2"/>
      <c r="D89" s="2"/>
      <c r="G89" s="19"/>
      <c r="O89" s="2"/>
    </row>
    <row r="90">
      <c r="B90" s="55"/>
    </row>
    <row r="92">
      <c r="AC92" s="2"/>
      <c r="AD92" s="2"/>
      <c r="AE92" s="2"/>
    </row>
    <row r="153">
      <c r="D153" s="80"/>
    </row>
    <row r="154">
      <c r="B154" s="130"/>
      <c r="D154" s="80"/>
    </row>
    <row r="155">
      <c r="B155" s="77"/>
      <c r="D155" s="80"/>
    </row>
    <row r="156">
      <c r="A156" s="2"/>
      <c r="B156" s="2"/>
      <c r="C156" s="146"/>
      <c r="D156" s="146"/>
      <c r="E156" s="146"/>
      <c r="F156" s="146"/>
      <c r="G156" s="146"/>
      <c r="H156" s="146"/>
      <c r="I156" s="146"/>
    </row>
    <row r="157">
      <c r="C157" s="147"/>
      <c r="D157" s="147"/>
      <c r="E157" s="147"/>
      <c r="F157" s="147"/>
      <c r="G157" s="147"/>
      <c r="H157" s="147"/>
      <c r="I157" s="147"/>
      <c r="J157" s="139"/>
      <c r="K157" s="139"/>
      <c r="L157" s="139"/>
      <c r="M157" s="139"/>
      <c r="N157" s="139"/>
      <c r="O157" s="139"/>
      <c r="P157" s="139"/>
      <c r="Q157" s="139"/>
      <c r="R157" s="139"/>
      <c r="S157" s="139"/>
    </row>
    <row r="158">
      <c r="C158" s="147"/>
      <c r="D158" s="147"/>
      <c r="E158" s="147"/>
      <c r="F158" s="147"/>
      <c r="G158" s="147"/>
      <c r="H158" s="147"/>
      <c r="I158" s="147"/>
      <c r="J158" s="139"/>
      <c r="K158" s="139"/>
      <c r="L158" s="139"/>
      <c r="M158" s="139"/>
      <c r="N158" s="139"/>
      <c r="O158" s="139"/>
      <c r="P158" s="139"/>
      <c r="Q158" s="139"/>
      <c r="R158" s="139"/>
      <c r="S158" s="139"/>
    </row>
    <row r="159">
      <c r="C159" s="147"/>
      <c r="D159" s="147"/>
      <c r="E159" s="147"/>
      <c r="F159" s="147"/>
      <c r="G159" s="147"/>
      <c r="H159" s="147"/>
      <c r="I159" s="147"/>
      <c r="J159" s="139"/>
      <c r="K159" s="139"/>
      <c r="L159" s="139"/>
      <c r="M159" s="139"/>
      <c r="N159" s="141"/>
      <c r="O159" s="139"/>
      <c r="P159" s="139"/>
      <c r="Q159" s="139"/>
      <c r="R159" s="139"/>
      <c r="S159" s="139"/>
    </row>
    <row r="160">
      <c r="A160" s="2"/>
      <c r="C160" s="147"/>
      <c r="D160" s="147"/>
      <c r="E160" s="147"/>
      <c r="F160" s="147"/>
      <c r="G160" s="147"/>
      <c r="H160" s="147"/>
      <c r="I160" s="147"/>
      <c r="J160" s="81"/>
      <c r="K160" s="139"/>
      <c r="L160" s="139"/>
      <c r="M160" s="139"/>
      <c r="N160" s="139"/>
      <c r="O160" s="139"/>
      <c r="P160" s="139"/>
      <c r="Q160" s="139"/>
      <c r="R160" s="139"/>
      <c r="S160" s="139"/>
    </row>
    <row r="161">
      <c r="C161" s="147"/>
      <c r="D161" s="147"/>
      <c r="E161" s="147"/>
      <c r="F161" s="147"/>
      <c r="G161" s="147"/>
      <c r="H161" s="147"/>
      <c r="I161" s="147"/>
      <c r="J161" s="139"/>
      <c r="K161" s="139"/>
      <c r="L161" s="139"/>
      <c r="M161" s="139"/>
      <c r="N161" s="139"/>
      <c r="O161" s="139"/>
      <c r="P161" s="139"/>
      <c r="Q161" s="139"/>
      <c r="R161" s="139"/>
      <c r="S161" s="139"/>
    </row>
    <row r="162">
      <c r="A162" s="2"/>
      <c r="C162" s="147"/>
      <c r="D162" s="147"/>
      <c r="E162" s="147"/>
      <c r="F162" s="147"/>
      <c r="G162" s="147"/>
      <c r="H162" s="147"/>
      <c r="I162" s="147"/>
      <c r="J162" s="81"/>
      <c r="K162" s="139"/>
      <c r="L162" s="139"/>
      <c r="M162" s="139"/>
      <c r="N162" s="139"/>
      <c r="O162" s="139"/>
      <c r="P162" s="139"/>
      <c r="Q162" s="139"/>
      <c r="R162" s="139"/>
      <c r="S162" s="139"/>
    </row>
    <row r="163">
      <c r="C163" s="147"/>
      <c r="D163" s="147"/>
      <c r="E163" s="147"/>
      <c r="F163" s="147"/>
      <c r="G163" s="147"/>
      <c r="H163" s="147"/>
      <c r="I163" s="147"/>
      <c r="J163" s="139"/>
      <c r="K163" s="139"/>
      <c r="L163" s="139"/>
      <c r="M163" s="139"/>
      <c r="N163" s="139"/>
      <c r="O163" s="139"/>
      <c r="P163" s="139"/>
      <c r="Q163" s="139"/>
      <c r="R163" s="139"/>
      <c r="S163" s="139"/>
    </row>
    <row r="164">
      <c r="A164" s="2"/>
      <c r="C164" s="147"/>
      <c r="D164" s="147"/>
      <c r="E164" s="147"/>
      <c r="F164" s="147"/>
      <c r="G164" s="147"/>
      <c r="H164" s="147"/>
      <c r="I164" s="147"/>
      <c r="J164" s="81"/>
      <c r="K164" s="139"/>
      <c r="L164" s="139"/>
      <c r="M164" s="139"/>
      <c r="N164" s="139"/>
      <c r="O164" s="139"/>
      <c r="P164" s="139"/>
      <c r="Q164" s="139"/>
      <c r="R164" s="139"/>
      <c r="S164" s="139"/>
    </row>
    <row r="165">
      <c r="C165" s="147"/>
      <c r="D165" s="147"/>
      <c r="E165" s="147"/>
      <c r="F165" s="147"/>
      <c r="G165" s="147"/>
      <c r="H165" s="147"/>
      <c r="I165" s="147"/>
      <c r="J165" s="139"/>
      <c r="K165" s="139"/>
      <c r="L165" s="139"/>
      <c r="M165" s="139"/>
      <c r="N165" s="139"/>
      <c r="O165" s="139"/>
      <c r="P165" s="139"/>
      <c r="Q165" s="139"/>
      <c r="R165" s="139"/>
      <c r="S165" s="139"/>
    </row>
    <row r="166">
      <c r="A166" s="134"/>
      <c r="B166" s="148"/>
      <c r="C166" s="147"/>
      <c r="D166" s="147"/>
      <c r="E166" s="147"/>
      <c r="F166" s="147"/>
      <c r="G166" s="147"/>
      <c r="H166" s="147"/>
      <c r="I166" s="147"/>
      <c r="J166" s="81"/>
      <c r="K166" s="139"/>
      <c r="L166" s="139"/>
      <c r="M166" s="139"/>
      <c r="N166" s="139"/>
      <c r="O166" s="139"/>
      <c r="P166" s="139"/>
      <c r="Q166" s="139"/>
      <c r="R166" s="139"/>
      <c r="S166" s="139"/>
    </row>
    <row r="167">
      <c r="C167" s="147"/>
      <c r="D167" s="147"/>
      <c r="E167" s="147"/>
      <c r="F167" s="147"/>
      <c r="G167" s="147"/>
      <c r="H167" s="147"/>
      <c r="I167" s="147"/>
      <c r="J167" s="139"/>
      <c r="K167" s="139"/>
      <c r="L167" s="139"/>
      <c r="M167" s="139"/>
      <c r="N167" s="139"/>
      <c r="O167" s="139"/>
      <c r="P167" s="139"/>
      <c r="Q167" s="139"/>
      <c r="R167" s="139"/>
      <c r="S167" s="139"/>
    </row>
    <row r="168">
      <c r="C168" s="147"/>
      <c r="D168" s="147"/>
      <c r="E168" s="147"/>
      <c r="F168" s="147"/>
      <c r="G168" s="147"/>
      <c r="H168" s="147"/>
      <c r="I168" s="147"/>
      <c r="J168" s="139"/>
      <c r="K168" s="139"/>
      <c r="L168" s="139"/>
      <c r="M168" s="139"/>
      <c r="N168" s="139"/>
      <c r="O168" s="139"/>
      <c r="P168" s="139"/>
      <c r="Q168" s="139"/>
      <c r="R168" s="139"/>
      <c r="S168" s="139"/>
    </row>
    <row r="169">
      <c r="C169" s="147"/>
      <c r="D169" s="147"/>
      <c r="E169" s="147"/>
      <c r="F169" s="147"/>
      <c r="G169" s="147"/>
      <c r="H169" s="147"/>
      <c r="I169" s="147"/>
      <c r="J169" s="81"/>
      <c r="K169" s="139"/>
      <c r="L169" s="139"/>
      <c r="M169" s="139"/>
      <c r="N169" s="139"/>
      <c r="O169" s="139"/>
      <c r="P169" s="139"/>
      <c r="Q169" s="139"/>
      <c r="R169" s="139"/>
      <c r="S169" s="139"/>
    </row>
    <row r="170">
      <c r="C170" s="147"/>
      <c r="D170" s="147"/>
      <c r="E170" s="147"/>
      <c r="F170" s="147"/>
      <c r="G170" s="147"/>
      <c r="H170" s="147"/>
      <c r="I170" s="147"/>
      <c r="J170" s="81"/>
      <c r="K170" s="139"/>
      <c r="L170" s="139"/>
      <c r="M170" s="139"/>
      <c r="N170" s="139"/>
      <c r="O170" s="139"/>
      <c r="P170" s="139"/>
      <c r="Q170" s="139"/>
      <c r="R170" s="139"/>
      <c r="S170" s="139"/>
    </row>
    <row r="171">
      <c r="C171" s="147"/>
      <c r="D171" s="147"/>
      <c r="E171" s="147"/>
      <c r="F171" s="147"/>
      <c r="G171" s="147"/>
      <c r="H171" s="147"/>
      <c r="I171" s="147"/>
      <c r="J171" s="139"/>
      <c r="K171" s="139"/>
      <c r="L171" s="139"/>
      <c r="M171" s="139"/>
      <c r="N171" s="139"/>
      <c r="O171" s="139"/>
      <c r="P171" s="139"/>
      <c r="Q171" s="139"/>
      <c r="R171" s="139"/>
      <c r="S171" s="139"/>
    </row>
    <row r="172">
      <c r="C172" s="147"/>
      <c r="D172" s="147"/>
      <c r="E172" s="147"/>
      <c r="F172" s="147"/>
      <c r="G172" s="147"/>
      <c r="H172" s="147"/>
      <c r="I172" s="147"/>
      <c r="J172" s="139"/>
      <c r="K172" s="139"/>
      <c r="L172" s="139"/>
      <c r="M172" s="139"/>
      <c r="N172" s="139"/>
      <c r="O172" s="139"/>
      <c r="P172" s="139"/>
      <c r="Q172" s="139"/>
      <c r="R172" s="139"/>
      <c r="S172" s="139"/>
    </row>
    <row r="173">
      <c r="C173" s="147"/>
      <c r="D173" s="147"/>
      <c r="E173" s="147"/>
      <c r="F173" s="147"/>
      <c r="G173" s="147"/>
      <c r="H173" s="147"/>
      <c r="I173" s="147"/>
      <c r="J173" s="139"/>
      <c r="K173" s="139"/>
      <c r="L173" s="139"/>
      <c r="M173" s="139"/>
      <c r="N173" s="139"/>
      <c r="O173" s="139"/>
      <c r="P173" s="139"/>
      <c r="Q173" s="139"/>
      <c r="R173" s="139"/>
      <c r="S173" s="139"/>
    </row>
    <row r="174">
      <c r="C174" s="147"/>
      <c r="D174" s="147"/>
      <c r="E174" s="147"/>
      <c r="F174" s="147"/>
      <c r="G174" s="147"/>
      <c r="H174" s="147"/>
      <c r="I174" s="147"/>
      <c r="J174" s="139"/>
      <c r="K174" s="139"/>
      <c r="L174" s="139"/>
      <c r="M174" s="139"/>
      <c r="N174" s="139"/>
      <c r="O174" s="139"/>
      <c r="P174" s="139"/>
      <c r="Q174" s="139"/>
      <c r="R174" s="139"/>
      <c r="S174" s="139"/>
    </row>
    <row r="175">
      <c r="C175" s="147"/>
      <c r="D175" s="147"/>
      <c r="E175" s="147"/>
      <c r="F175" s="147"/>
      <c r="G175" s="147"/>
      <c r="H175" s="147"/>
      <c r="I175" s="147"/>
      <c r="J175" s="139"/>
      <c r="K175" s="139"/>
      <c r="L175" s="139"/>
      <c r="M175" s="139"/>
      <c r="N175" s="139"/>
      <c r="O175" s="139"/>
      <c r="P175" s="139"/>
      <c r="Q175" s="139"/>
      <c r="R175" s="139"/>
      <c r="S175" s="139"/>
    </row>
    <row r="176">
      <c r="C176" s="147"/>
      <c r="D176" s="147"/>
      <c r="E176" s="147"/>
      <c r="F176" s="147"/>
      <c r="G176" s="147"/>
      <c r="H176" s="147"/>
      <c r="I176" s="147"/>
      <c r="J176" s="139"/>
      <c r="K176" s="139"/>
      <c r="L176" s="139"/>
      <c r="M176" s="139"/>
      <c r="N176" s="139"/>
      <c r="O176" s="139"/>
      <c r="P176" s="139"/>
      <c r="Q176" s="139"/>
      <c r="R176" s="139"/>
      <c r="S176" s="139"/>
    </row>
    <row r="177">
      <c r="B177" s="133"/>
    </row>
    <row r="178">
      <c r="B178" s="149"/>
    </row>
    <row r="180">
      <c r="D180" s="81"/>
    </row>
    <row r="181">
      <c r="D181" s="141"/>
    </row>
    <row r="182">
      <c r="D182" s="141"/>
    </row>
    <row r="183">
      <c r="D183" s="141"/>
    </row>
    <row r="184">
      <c r="D184" s="81"/>
    </row>
    <row r="185">
      <c r="B185" s="94"/>
      <c r="C185" s="150"/>
    </row>
    <row r="186">
      <c r="C186" s="150"/>
    </row>
    <row r="187">
      <c r="B187" s="94"/>
      <c r="C187" s="150"/>
    </row>
    <row r="188">
      <c r="B188" s="94"/>
      <c r="C188" s="150"/>
    </row>
    <row r="189">
      <c r="B189" s="94"/>
      <c r="C189" s="150"/>
    </row>
    <row r="190">
      <c r="B190" s="94"/>
      <c r="C190" s="150"/>
    </row>
    <row r="191">
      <c r="B191" s="94"/>
      <c r="C191" s="150"/>
    </row>
    <row r="192">
      <c r="B192" s="94"/>
      <c r="C192" s="150"/>
    </row>
    <row r="193">
      <c r="B193" s="94"/>
      <c r="C193" s="150"/>
    </row>
    <row r="194">
      <c r="B194" s="94"/>
      <c r="C194" s="150"/>
    </row>
    <row r="195">
      <c r="B195" s="94"/>
      <c r="C195" s="150"/>
    </row>
    <row r="196">
      <c r="B196" s="94"/>
      <c r="C196" s="150"/>
    </row>
    <row r="197">
      <c r="B197" s="94"/>
      <c r="C197" s="150"/>
    </row>
    <row r="198">
      <c r="B198" s="94"/>
      <c r="C198" s="150"/>
    </row>
    <row r="199">
      <c r="B199" s="94"/>
      <c r="C199" s="150"/>
    </row>
    <row r="200">
      <c r="B200" s="94"/>
      <c r="C200" s="150"/>
    </row>
    <row r="201">
      <c r="B201" s="94"/>
      <c r="C201" s="150"/>
    </row>
    <row r="202">
      <c r="B202" s="94"/>
      <c r="C202" s="150"/>
    </row>
    <row r="203">
      <c r="B203" s="94"/>
      <c r="C203" s="150"/>
    </row>
    <row r="204">
      <c r="B204" s="94"/>
      <c r="C204" s="150"/>
    </row>
    <row r="205">
      <c r="B205" s="94"/>
      <c r="C205" s="150"/>
    </row>
    <row r="206">
      <c r="B206" s="94"/>
      <c r="C206" s="150"/>
    </row>
    <row r="207">
      <c r="B207" s="94"/>
      <c r="C207" s="150"/>
    </row>
    <row r="208">
      <c r="B208" s="94"/>
      <c r="C208" s="150"/>
    </row>
    <row r="209">
      <c r="B209" s="94"/>
      <c r="C209" s="150"/>
    </row>
    <row r="210">
      <c r="B210" s="94"/>
      <c r="C210" s="150"/>
    </row>
    <row r="211">
      <c r="B211" s="94"/>
      <c r="C211" s="150"/>
    </row>
    <row r="212">
      <c r="B212" s="94"/>
      <c r="C212" s="150"/>
    </row>
    <row r="213">
      <c r="B213" s="94"/>
      <c r="C213" s="150"/>
    </row>
    <row r="214">
      <c r="B214" s="94"/>
      <c r="C214" s="150"/>
    </row>
    <row r="215">
      <c r="B215" s="94"/>
      <c r="C215" s="150"/>
    </row>
    <row r="216">
      <c r="B216" s="94"/>
      <c r="C216" s="150"/>
    </row>
    <row r="217">
      <c r="B217" s="94"/>
      <c r="C217" s="150"/>
    </row>
  </sheetData>
  <mergeCells count="4">
    <mergeCell ref="J71:O71"/>
    <mergeCell ref="J47:O47"/>
    <mergeCell ref="J27:O27"/>
    <mergeCell ref="J7:O7"/>
  </mergeCells>
  <dataValidations>
    <dataValidation type="list" allowBlank="1" sqref="C30">
      <formula1>"Brooch of Nature's Mercy,If you have mana problems use the neck from Kael'thas but always have at least 63 haste."</formula1>
    </dataValidation>
    <dataValidation type="list" allowBlank="1" sqref="C55">
      <formula1>"Grand Magister's Staff of Torrents,KJ weapon + any off hand that makes sense is better but only a little bit"</formula1>
    </dataValidation>
  </dataValidations>
  <drawing r:id="rId1"/>
</worksheet>
</file>