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21020572\Desktop\"/>
    </mc:Choice>
  </mc:AlternateContent>
  <bookViews>
    <workbookView xWindow="0" yWindow="0" windowWidth="24000" windowHeight="9735"/>
  </bookViews>
  <sheets>
    <sheet name="BS " sheetId="2" r:id="rId1"/>
    <sheet name="IS.." sheetId="5" r:id="rId2"/>
    <sheet name="RATIOS" sheetId="4" r:id="rId3"/>
    <sheet name="IS reference" sheetId="6" state="hidden" r:id="rId4"/>
    <sheet name="BS reference" sheetId="7" state="hidden" r:id="rId5"/>
    <sheet name="IS " sheetId="3" state="hidden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3" i="4" l="1"/>
  <c r="T13" i="4"/>
  <c r="U13" i="4"/>
  <c r="V13" i="4"/>
  <c r="R13" i="4"/>
  <c r="J13" i="4"/>
  <c r="I13" i="4"/>
  <c r="H13" i="4"/>
  <c r="G13" i="4"/>
  <c r="F13" i="4"/>
  <c r="J14" i="4"/>
  <c r="I14" i="4"/>
  <c r="H13" i="5"/>
  <c r="G14" i="4"/>
  <c r="F14" i="4"/>
  <c r="S14" i="4"/>
  <c r="T14" i="4"/>
  <c r="U14" i="4"/>
  <c r="V14" i="4"/>
  <c r="R14" i="4"/>
  <c r="S27" i="4"/>
  <c r="T27" i="4"/>
  <c r="U27" i="4"/>
  <c r="V27" i="4"/>
  <c r="R27" i="4"/>
  <c r="S26" i="4"/>
  <c r="T26" i="4"/>
  <c r="U26" i="4"/>
  <c r="V26" i="4"/>
  <c r="R26" i="4"/>
  <c r="S18" i="4"/>
  <c r="T18" i="4"/>
  <c r="U18" i="4"/>
  <c r="V18" i="4"/>
  <c r="R18" i="4"/>
  <c r="S15" i="4"/>
  <c r="T15" i="4"/>
  <c r="U15" i="4"/>
  <c r="V15" i="4"/>
  <c r="R15" i="4"/>
  <c r="S12" i="4"/>
  <c r="T12" i="4"/>
  <c r="U12" i="4"/>
  <c r="V12" i="4"/>
  <c r="R12" i="4"/>
  <c r="S9" i="4"/>
  <c r="T9" i="4"/>
  <c r="U9" i="4"/>
  <c r="V9" i="4"/>
  <c r="R9" i="4"/>
  <c r="S25" i="4"/>
  <c r="T25" i="4"/>
  <c r="U25" i="4"/>
  <c r="V25" i="4"/>
  <c r="R25" i="4"/>
  <c r="S24" i="4"/>
  <c r="T24" i="4"/>
  <c r="U24" i="4"/>
  <c r="V24" i="4"/>
  <c r="R24" i="4"/>
  <c r="S23" i="4"/>
  <c r="T23" i="4"/>
  <c r="U23" i="4"/>
  <c r="V23" i="4"/>
  <c r="R23" i="4"/>
  <c r="S22" i="4"/>
  <c r="T22" i="4"/>
  <c r="U22" i="4"/>
  <c r="V22" i="4"/>
  <c r="R22" i="4"/>
  <c r="S19" i="4"/>
  <c r="T19" i="4"/>
  <c r="U19" i="4"/>
  <c r="V19" i="4"/>
  <c r="R19" i="4"/>
  <c r="J15" i="4"/>
  <c r="I15" i="4"/>
  <c r="H15" i="4"/>
  <c r="G15" i="4"/>
  <c r="J19" i="4"/>
  <c r="J27" i="4"/>
  <c r="I19" i="4"/>
  <c r="H19" i="4"/>
  <c r="G19" i="4"/>
  <c r="G31" i="4"/>
  <c r="H31" i="4"/>
  <c r="I31" i="4"/>
  <c r="J31" i="4"/>
  <c r="F31" i="4"/>
  <c r="I27" i="4"/>
  <c r="G25" i="4"/>
  <c r="G30" i="4"/>
  <c r="H25" i="4"/>
  <c r="H30" i="4"/>
  <c r="I25" i="4"/>
  <c r="I30" i="4"/>
  <c r="J25" i="4"/>
  <c r="J30" i="4"/>
  <c r="F25" i="4"/>
  <c r="F30" i="4"/>
  <c r="H27" i="4"/>
  <c r="J22" i="4"/>
  <c r="I22" i="4"/>
  <c r="G27" i="4"/>
  <c r="H22" i="4"/>
  <c r="G22" i="4"/>
  <c r="J26" i="4"/>
  <c r="I26" i="4"/>
  <c r="H26" i="4"/>
  <c r="J9" i="4"/>
  <c r="I9" i="4"/>
  <c r="G26" i="4"/>
  <c r="H9" i="4"/>
  <c r="G9" i="4"/>
  <c r="J12" i="4"/>
  <c r="J24" i="4"/>
  <c r="I24" i="4"/>
  <c r="H24" i="4"/>
  <c r="G24" i="4"/>
  <c r="I12" i="4"/>
  <c r="H12" i="4"/>
  <c r="J23" i="4"/>
  <c r="I23" i="4"/>
  <c r="H23" i="4"/>
  <c r="G23" i="4"/>
  <c r="G12" i="4"/>
  <c r="F22" i="4"/>
  <c r="F12" i="4"/>
  <c r="G18" i="5"/>
  <c r="G21" i="5"/>
  <c r="F19" i="4"/>
  <c r="V8" i="4"/>
  <c r="U8" i="4"/>
  <c r="T8" i="4"/>
  <c r="S8" i="4"/>
  <c r="F18" i="4"/>
  <c r="R8" i="4"/>
  <c r="J8" i="4"/>
  <c r="I8" i="4"/>
  <c r="H8" i="4"/>
  <c r="G8" i="4"/>
  <c r="F8" i="4"/>
  <c r="F27" i="4"/>
  <c r="F26" i="4"/>
  <c r="F24" i="4"/>
  <c r="F23" i="4"/>
  <c r="F15" i="4"/>
  <c r="F9" i="4"/>
  <c r="V55" i="2"/>
  <c r="V54" i="2"/>
  <c r="T55" i="2"/>
  <c r="T54" i="2"/>
  <c r="R55" i="2"/>
  <c r="R54" i="2"/>
  <c r="P55" i="2"/>
  <c r="P54" i="2"/>
  <c r="N55" i="2"/>
  <c r="N57" i="2"/>
  <c r="N54" i="2"/>
  <c r="AC7" i="5"/>
  <c r="AC6" i="5"/>
  <c r="AD7" i="5"/>
  <c r="AC8" i="5"/>
  <c r="AD8" i="5"/>
  <c r="AC9" i="5"/>
  <c r="AD9" i="5"/>
  <c r="O6" i="5"/>
  <c r="AC10" i="5"/>
  <c r="AD10" i="5"/>
  <c r="AE10" i="5"/>
  <c r="R6" i="5"/>
  <c r="AC11" i="5"/>
  <c r="AD11" i="5"/>
  <c r="AE11" i="5"/>
  <c r="T6" i="5"/>
  <c r="AC12" i="5"/>
  <c r="AD12" i="5"/>
  <c r="AE12" i="5"/>
  <c r="AC13" i="5"/>
  <c r="AD13" i="5"/>
  <c r="AE13" i="5"/>
  <c r="AC14" i="5"/>
  <c r="AD14" i="5"/>
  <c r="AE14" i="5"/>
  <c r="AC15" i="5"/>
  <c r="Z6" i="5"/>
  <c r="H27" i="5"/>
  <c r="J27" i="5"/>
  <c r="L27" i="5"/>
  <c r="N27" i="5"/>
  <c r="P27" i="5"/>
  <c r="R27" i="5"/>
  <c r="S27" i="5"/>
  <c r="T27" i="5"/>
  <c r="U27" i="5"/>
  <c r="V6" i="5"/>
  <c r="V27" i="5"/>
  <c r="W27" i="5"/>
  <c r="X6" i="5"/>
  <c r="X27" i="5"/>
  <c r="Y27" i="5"/>
  <c r="Z27" i="5"/>
  <c r="N33" i="5"/>
  <c r="Z29" i="5"/>
  <c r="X29" i="5"/>
  <c r="V29" i="5"/>
  <c r="T29" i="5"/>
  <c r="R29" i="5"/>
  <c r="P33" i="5"/>
  <c r="AD15" i="5"/>
  <c r="AE15" i="5"/>
  <c r="AD20" i="5"/>
  <c r="AD21" i="5"/>
  <c r="AD22" i="5"/>
  <c r="AD23" i="5"/>
  <c r="AD24" i="5"/>
  <c r="AE21" i="5"/>
  <c r="AD26" i="5"/>
  <c r="AE22" i="5"/>
  <c r="AD27" i="5"/>
  <c r="AE23" i="5"/>
  <c r="AD28" i="5"/>
  <c r="AE24" i="5"/>
  <c r="AD29" i="5"/>
  <c r="AE26" i="5"/>
  <c r="AE27" i="5"/>
  <c r="N24" i="2"/>
  <c r="P24" i="2"/>
  <c r="R24" i="2"/>
  <c r="T24" i="2"/>
  <c r="V24" i="2"/>
  <c r="N18" i="2"/>
  <c r="P18" i="2"/>
  <c r="R18" i="2"/>
  <c r="T18" i="2"/>
  <c r="V18" i="2"/>
  <c r="N19" i="2"/>
  <c r="P19" i="2"/>
  <c r="R19" i="2"/>
  <c r="T19" i="2"/>
  <c r="V19" i="2"/>
  <c r="N20" i="2"/>
  <c r="P20" i="2"/>
  <c r="R20" i="2"/>
  <c r="T20" i="2"/>
  <c r="V20" i="2"/>
  <c r="V30" i="2"/>
  <c r="T30" i="2"/>
  <c r="R30" i="2"/>
  <c r="P30" i="2"/>
  <c r="N30" i="2"/>
  <c r="AC6" i="3"/>
  <c r="AC5" i="3"/>
  <c r="AD6" i="3"/>
  <c r="AC7" i="3"/>
  <c r="AD7" i="3"/>
  <c r="AC8" i="3"/>
  <c r="AD8" i="3"/>
  <c r="O5" i="3"/>
  <c r="AC9" i="3"/>
  <c r="AD9" i="3"/>
  <c r="AE9" i="3"/>
  <c r="R5" i="3"/>
  <c r="H6" i="3"/>
  <c r="J6" i="3"/>
  <c r="L6" i="3"/>
  <c r="N6" i="3"/>
  <c r="P6" i="3"/>
  <c r="R6" i="3"/>
  <c r="AA27" i="5"/>
  <c r="P26" i="5"/>
  <c r="H26" i="5"/>
  <c r="J26" i="5"/>
  <c r="L26" i="5"/>
  <c r="N26" i="5"/>
  <c r="R26" i="5"/>
  <c r="S26" i="5"/>
  <c r="T26" i="5"/>
  <c r="U26" i="5"/>
  <c r="V26" i="5"/>
  <c r="W26" i="5"/>
  <c r="X26" i="5"/>
  <c r="Y26" i="5"/>
  <c r="Z26" i="5"/>
  <c r="AA26" i="5"/>
  <c r="P24" i="5"/>
  <c r="H24" i="5"/>
  <c r="J24" i="5"/>
  <c r="L24" i="5"/>
  <c r="N24" i="5"/>
  <c r="R24" i="5"/>
  <c r="S24" i="5"/>
  <c r="T24" i="5"/>
  <c r="U24" i="5"/>
  <c r="V24" i="5"/>
  <c r="W24" i="5"/>
  <c r="X24" i="5"/>
  <c r="Y24" i="5"/>
  <c r="Z24" i="5"/>
  <c r="AA24" i="5"/>
  <c r="P22" i="5"/>
  <c r="H22" i="5"/>
  <c r="J22" i="5"/>
  <c r="L22" i="5"/>
  <c r="N22" i="5"/>
  <c r="R22" i="5"/>
  <c r="S22" i="5"/>
  <c r="T22" i="5"/>
  <c r="U22" i="5"/>
  <c r="V22" i="5"/>
  <c r="W22" i="5"/>
  <c r="X22" i="5"/>
  <c r="Y22" i="5"/>
  <c r="Z22" i="5"/>
  <c r="AA22" i="5"/>
  <c r="O15" i="5"/>
  <c r="O16" i="5"/>
  <c r="O21" i="5"/>
  <c r="P21" i="5"/>
  <c r="G15" i="5"/>
  <c r="G16" i="5"/>
  <c r="H21" i="5"/>
  <c r="I15" i="5"/>
  <c r="I16" i="5"/>
  <c r="I21" i="5"/>
  <c r="J21" i="5"/>
  <c r="K15" i="5"/>
  <c r="K16" i="5"/>
  <c r="K21" i="5"/>
  <c r="L21" i="5"/>
  <c r="M15" i="5"/>
  <c r="M16" i="5"/>
  <c r="M21" i="5"/>
  <c r="N21" i="5"/>
  <c r="R21" i="5"/>
  <c r="S21" i="5"/>
  <c r="T21" i="5"/>
  <c r="U21" i="5"/>
  <c r="V21" i="5"/>
  <c r="W21" i="5"/>
  <c r="X21" i="5"/>
  <c r="Y21" i="5"/>
  <c r="Z21" i="5"/>
  <c r="AA21" i="5"/>
  <c r="P20" i="5"/>
  <c r="H20" i="5"/>
  <c r="J20" i="5"/>
  <c r="L20" i="5"/>
  <c r="N20" i="5"/>
  <c r="R20" i="5"/>
  <c r="S20" i="5"/>
  <c r="T20" i="5"/>
  <c r="U20" i="5"/>
  <c r="V20" i="5"/>
  <c r="W20" i="5"/>
  <c r="X20" i="5"/>
  <c r="Y20" i="5"/>
  <c r="Z20" i="5"/>
  <c r="AA20" i="5"/>
  <c r="P19" i="5"/>
  <c r="H19" i="5"/>
  <c r="J19" i="5"/>
  <c r="L19" i="5"/>
  <c r="N19" i="5"/>
  <c r="R19" i="5"/>
  <c r="S19" i="5"/>
  <c r="T19" i="5"/>
  <c r="U19" i="5"/>
  <c r="V19" i="5"/>
  <c r="W19" i="5"/>
  <c r="X19" i="5"/>
  <c r="Y19" i="5"/>
  <c r="Z19" i="5"/>
  <c r="AA19" i="5"/>
  <c r="P18" i="5"/>
  <c r="H18" i="5"/>
  <c r="J18" i="5"/>
  <c r="L18" i="5"/>
  <c r="N18" i="5"/>
  <c r="R18" i="5"/>
  <c r="S18" i="5"/>
  <c r="T18" i="5"/>
  <c r="U18" i="5"/>
  <c r="V18" i="5"/>
  <c r="W18" i="5"/>
  <c r="X18" i="5"/>
  <c r="Y18" i="5"/>
  <c r="Z18" i="5"/>
  <c r="AA18" i="5"/>
  <c r="P16" i="5"/>
  <c r="H16" i="5"/>
  <c r="J16" i="5"/>
  <c r="L16" i="5"/>
  <c r="N16" i="5"/>
  <c r="R16" i="5"/>
  <c r="S16" i="5"/>
  <c r="T16" i="5"/>
  <c r="U16" i="5"/>
  <c r="V16" i="5"/>
  <c r="W16" i="5"/>
  <c r="X16" i="5"/>
  <c r="Y16" i="5"/>
  <c r="Z16" i="5"/>
  <c r="AA16" i="5"/>
  <c r="P15" i="5"/>
  <c r="H15" i="5"/>
  <c r="J15" i="5"/>
  <c r="L15" i="5"/>
  <c r="N15" i="5"/>
  <c r="R15" i="5"/>
  <c r="S15" i="5"/>
  <c r="T15" i="5"/>
  <c r="U15" i="5"/>
  <c r="V15" i="5"/>
  <c r="W15" i="5"/>
  <c r="X15" i="5"/>
  <c r="Y15" i="5"/>
  <c r="Z15" i="5"/>
  <c r="AA15" i="5"/>
  <c r="P14" i="5"/>
  <c r="H14" i="5"/>
  <c r="J14" i="5"/>
  <c r="L14" i="5"/>
  <c r="N14" i="5"/>
  <c r="R14" i="5"/>
  <c r="S14" i="5"/>
  <c r="T14" i="5"/>
  <c r="U14" i="5"/>
  <c r="V14" i="5"/>
  <c r="W14" i="5"/>
  <c r="X14" i="5"/>
  <c r="Y14" i="5"/>
  <c r="Z14" i="5"/>
  <c r="AA14" i="5"/>
  <c r="P13" i="5"/>
  <c r="J13" i="5"/>
  <c r="L13" i="5"/>
  <c r="N13" i="5"/>
  <c r="R13" i="5"/>
  <c r="S13" i="5"/>
  <c r="T13" i="5"/>
  <c r="U13" i="5"/>
  <c r="V13" i="5"/>
  <c r="W13" i="5"/>
  <c r="X13" i="5"/>
  <c r="Y13" i="5"/>
  <c r="Z13" i="5"/>
  <c r="AA13" i="5"/>
  <c r="P11" i="5"/>
  <c r="H11" i="5"/>
  <c r="J11" i="5"/>
  <c r="L11" i="5"/>
  <c r="N11" i="5"/>
  <c r="R11" i="5"/>
  <c r="S11" i="5"/>
  <c r="T11" i="5"/>
  <c r="U11" i="5"/>
  <c r="V11" i="5"/>
  <c r="W11" i="5"/>
  <c r="X11" i="5"/>
  <c r="Y11" i="5"/>
  <c r="Z11" i="5"/>
  <c r="AA11" i="5"/>
  <c r="P10" i="5"/>
  <c r="H10" i="5"/>
  <c r="J10" i="5"/>
  <c r="L10" i="5"/>
  <c r="N10" i="5"/>
  <c r="R10" i="5"/>
  <c r="S10" i="5"/>
  <c r="T10" i="5"/>
  <c r="U10" i="5"/>
  <c r="V10" i="5"/>
  <c r="W10" i="5"/>
  <c r="X10" i="5"/>
  <c r="Y10" i="5"/>
  <c r="Z10" i="5"/>
  <c r="AA10" i="5"/>
  <c r="P9" i="5"/>
  <c r="H9" i="5"/>
  <c r="J9" i="5"/>
  <c r="L9" i="5"/>
  <c r="N9" i="5"/>
  <c r="R9" i="5"/>
  <c r="S9" i="5"/>
  <c r="T9" i="5"/>
  <c r="U9" i="5"/>
  <c r="V9" i="5"/>
  <c r="W9" i="5"/>
  <c r="X9" i="5"/>
  <c r="Y9" i="5"/>
  <c r="Z9" i="5"/>
  <c r="AA9" i="5"/>
  <c r="P8" i="5"/>
  <c r="H8" i="5"/>
  <c r="J8" i="5"/>
  <c r="L8" i="5"/>
  <c r="N8" i="5"/>
  <c r="R8" i="5"/>
  <c r="S8" i="5"/>
  <c r="T8" i="5"/>
  <c r="U8" i="5"/>
  <c r="V8" i="5"/>
  <c r="W8" i="5"/>
  <c r="X8" i="5"/>
  <c r="Y8" i="5"/>
  <c r="Z8" i="5"/>
  <c r="AA8" i="5"/>
  <c r="P7" i="5"/>
  <c r="H7" i="5"/>
  <c r="J7" i="5"/>
  <c r="L7" i="5"/>
  <c r="N7" i="5"/>
  <c r="R7" i="5"/>
  <c r="S7" i="5"/>
  <c r="T7" i="5"/>
  <c r="U7" i="5"/>
  <c r="V7" i="5"/>
  <c r="W7" i="5"/>
  <c r="X7" i="5"/>
  <c r="Y7" i="5"/>
  <c r="Z7" i="5"/>
  <c r="AA7" i="5"/>
  <c r="AA6" i="5"/>
  <c r="Y6" i="5"/>
  <c r="W6" i="5"/>
  <c r="U6" i="5"/>
  <c r="S6" i="5"/>
  <c r="P6" i="5"/>
  <c r="N6" i="5"/>
  <c r="L6" i="5"/>
  <c r="J6" i="5"/>
  <c r="H6" i="5"/>
  <c r="AD19" i="3"/>
  <c r="AD20" i="3"/>
  <c r="AD21" i="3"/>
  <c r="AD22" i="3"/>
  <c r="AD23" i="3"/>
  <c r="AE20" i="3"/>
  <c r="N43" i="2"/>
  <c r="N44" i="2"/>
  <c r="N45" i="2"/>
  <c r="N46" i="2"/>
  <c r="N47" i="2"/>
  <c r="AC10" i="3"/>
  <c r="AD10" i="3"/>
  <c r="AE10" i="3"/>
  <c r="T5" i="3"/>
  <c r="AC11" i="3"/>
  <c r="AD11" i="3"/>
  <c r="AE11" i="3"/>
  <c r="AC12" i="3"/>
  <c r="AD12" i="3"/>
  <c r="AE12" i="3"/>
  <c r="AC13" i="3"/>
  <c r="AD13" i="3"/>
  <c r="AE13" i="3"/>
  <c r="AC14" i="3"/>
  <c r="Z5" i="3"/>
  <c r="H25" i="3"/>
  <c r="J25" i="3"/>
  <c r="L25" i="3"/>
  <c r="N25" i="3"/>
  <c r="P25" i="3"/>
  <c r="R25" i="3"/>
  <c r="S25" i="3"/>
  <c r="T25" i="3"/>
  <c r="U25" i="3"/>
  <c r="V5" i="3"/>
  <c r="V25" i="3"/>
  <c r="W25" i="3"/>
  <c r="X5" i="3"/>
  <c r="X25" i="3"/>
  <c r="Y25" i="3"/>
  <c r="Z25" i="3"/>
  <c r="H26" i="3"/>
  <c r="J26" i="3"/>
  <c r="L26" i="3"/>
  <c r="N26" i="3"/>
  <c r="P26" i="3"/>
  <c r="R26" i="3"/>
  <c r="S26" i="3"/>
  <c r="T26" i="3"/>
  <c r="U26" i="3"/>
  <c r="V26" i="3"/>
  <c r="W26" i="3"/>
  <c r="X26" i="3"/>
  <c r="Y26" i="3"/>
  <c r="Z26" i="3"/>
  <c r="H7" i="3"/>
  <c r="J7" i="3"/>
  <c r="L7" i="3"/>
  <c r="N7" i="3"/>
  <c r="P7" i="3"/>
  <c r="R7" i="3"/>
  <c r="S7" i="3"/>
  <c r="T7" i="3"/>
  <c r="U7" i="3"/>
  <c r="V7" i="3"/>
  <c r="W7" i="3"/>
  <c r="X7" i="3"/>
  <c r="Y7" i="3"/>
  <c r="Z7" i="3"/>
  <c r="H8" i="3"/>
  <c r="J8" i="3"/>
  <c r="L8" i="3"/>
  <c r="N8" i="3"/>
  <c r="P8" i="3"/>
  <c r="R8" i="3"/>
  <c r="S8" i="3"/>
  <c r="T8" i="3"/>
  <c r="U8" i="3"/>
  <c r="V8" i="3"/>
  <c r="W8" i="3"/>
  <c r="X8" i="3"/>
  <c r="Y8" i="3"/>
  <c r="Z8" i="3"/>
  <c r="H9" i="3"/>
  <c r="J9" i="3"/>
  <c r="L9" i="3"/>
  <c r="N9" i="3"/>
  <c r="P9" i="3"/>
  <c r="R9" i="3"/>
  <c r="S9" i="3"/>
  <c r="T9" i="3"/>
  <c r="U9" i="3"/>
  <c r="V9" i="3"/>
  <c r="W9" i="3"/>
  <c r="X9" i="3"/>
  <c r="Y9" i="3"/>
  <c r="Z9" i="3"/>
  <c r="H10" i="3"/>
  <c r="J10" i="3"/>
  <c r="L10" i="3"/>
  <c r="N10" i="3"/>
  <c r="P10" i="3"/>
  <c r="R10" i="3"/>
  <c r="S10" i="3"/>
  <c r="T10" i="3"/>
  <c r="U10" i="3"/>
  <c r="V10" i="3"/>
  <c r="W10" i="3"/>
  <c r="X10" i="3"/>
  <c r="Y10" i="3"/>
  <c r="Z10" i="3"/>
  <c r="H12" i="3"/>
  <c r="J12" i="3"/>
  <c r="L12" i="3"/>
  <c r="N12" i="3"/>
  <c r="P12" i="3"/>
  <c r="R12" i="3"/>
  <c r="S12" i="3"/>
  <c r="T12" i="3"/>
  <c r="U12" i="3"/>
  <c r="V12" i="3"/>
  <c r="W12" i="3"/>
  <c r="X12" i="3"/>
  <c r="Y12" i="3"/>
  <c r="Z12" i="3"/>
  <c r="H13" i="3"/>
  <c r="J13" i="3"/>
  <c r="L13" i="3"/>
  <c r="N13" i="3"/>
  <c r="P13" i="3"/>
  <c r="R13" i="3"/>
  <c r="S13" i="3"/>
  <c r="T13" i="3"/>
  <c r="U13" i="3"/>
  <c r="V13" i="3"/>
  <c r="W13" i="3"/>
  <c r="X13" i="3"/>
  <c r="Y13" i="3"/>
  <c r="Z13" i="3"/>
  <c r="G14" i="3"/>
  <c r="H14" i="3"/>
  <c r="I14" i="3"/>
  <c r="J14" i="3"/>
  <c r="K14" i="3"/>
  <c r="L14" i="3"/>
  <c r="M14" i="3"/>
  <c r="N14" i="3"/>
  <c r="O14" i="3"/>
  <c r="P14" i="3"/>
  <c r="R14" i="3"/>
  <c r="S14" i="3"/>
  <c r="T14" i="3"/>
  <c r="U14" i="3"/>
  <c r="V14" i="3"/>
  <c r="W14" i="3"/>
  <c r="X14" i="3"/>
  <c r="Y14" i="3"/>
  <c r="Z14" i="3"/>
  <c r="G15" i="3"/>
  <c r="H15" i="3"/>
  <c r="I15" i="3"/>
  <c r="J15" i="3"/>
  <c r="K15" i="3"/>
  <c r="L15" i="3"/>
  <c r="M15" i="3"/>
  <c r="N15" i="3"/>
  <c r="O15" i="3"/>
  <c r="P15" i="3"/>
  <c r="R15" i="3"/>
  <c r="S15" i="3"/>
  <c r="T15" i="3"/>
  <c r="U15" i="3"/>
  <c r="V15" i="3"/>
  <c r="W15" i="3"/>
  <c r="X15" i="3"/>
  <c r="Y15" i="3"/>
  <c r="Z15" i="3"/>
  <c r="H17" i="3"/>
  <c r="J17" i="3"/>
  <c r="L17" i="3"/>
  <c r="N17" i="3"/>
  <c r="P17" i="3"/>
  <c r="R17" i="3"/>
  <c r="S17" i="3"/>
  <c r="T17" i="3"/>
  <c r="U17" i="3"/>
  <c r="V17" i="3"/>
  <c r="W17" i="3"/>
  <c r="X17" i="3"/>
  <c r="Y17" i="3"/>
  <c r="Z17" i="3"/>
  <c r="H18" i="3"/>
  <c r="J18" i="3"/>
  <c r="L18" i="3"/>
  <c r="N18" i="3"/>
  <c r="P18" i="3"/>
  <c r="R18" i="3"/>
  <c r="S18" i="3"/>
  <c r="T18" i="3"/>
  <c r="U18" i="3"/>
  <c r="V18" i="3"/>
  <c r="W18" i="3"/>
  <c r="X18" i="3"/>
  <c r="Y18" i="3"/>
  <c r="Z18" i="3"/>
  <c r="H19" i="3"/>
  <c r="J19" i="3"/>
  <c r="L19" i="3"/>
  <c r="N19" i="3"/>
  <c r="P19" i="3"/>
  <c r="R19" i="3"/>
  <c r="S19" i="3"/>
  <c r="T19" i="3"/>
  <c r="U19" i="3"/>
  <c r="V19" i="3"/>
  <c r="W19" i="3"/>
  <c r="X19" i="3"/>
  <c r="Y19" i="3"/>
  <c r="Z19" i="3"/>
  <c r="G20" i="3"/>
  <c r="H20" i="3"/>
  <c r="I20" i="3"/>
  <c r="J20" i="3"/>
  <c r="K20" i="3"/>
  <c r="L20" i="3"/>
  <c r="M20" i="3"/>
  <c r="N20" i="3"/>
  <c r="O20" i="3"/>
  <c r="P20" i="3"/>
  <c r="R20" i="3"/>
  <c r="S20" i="3"/>
  <c r="T20" i="3"/>
  <c r="U20" i="3"/>
  <c r="V20" i="3"/>
  <c r="W20" i="3"/>
  <c r="X20" i="3"/>
  <c r="Y20" i="3"/>
  <c r="Z20" i="3"/>
  <c r="H21" i="3"/>
  <c r="J21" i="3"/>
  <c r="L21" i="3"/>
  <c r="N21" i="3"/>
  <c r="P21" i="3"/>
  <c r="R21" i="3"/>
  <c r="S21" i="3"/>
  <c r="T21" i="3"/>
  <c r="U21" i="3"/>
  <c r="V21" i="3"/>
  <c r="W21" i="3"/>
  <c r="X21" i="3"/>
  <c r="Y21" i="3"/>
  <c r="Z21" i="3"/>
  <c r="H23" i="3"/>
  <c r="J23" i="3"/>
  <c r="L23" i="3"/>
  <c r="N23" i="3"/>
  <c r="P23" i="3"/>
  <c r="R23" i="3"/>
  <c r="S23" i="3"/>
  <c r="T23" i="3"/>
  <c r="U23" i="3"/>
  <c r="V23" i="3"/>
  <c r="W23" i="3"/>
  <c r="X23" i="3"/>
  <c r="Y23" i="3"/>
  <c r="Z23" i="3"/>
  <c r="S6" i="3"/>
  <c r="T6" i="3"/>
  <c r="U6" i="3"/>
  <c r="V6" i="3"/>
  <c r="W6" i="3"/>
  <c r="X6" i="3"/>
  <c r="Y6" i="3"/>
  <c r="Z6" i="3"/>
  <c r="N5" i="3"/>
  <c r="AD25" i="3"/>
  <c r="AE21" i="3"/>
  <c r="P43" i="2"/>
  <c r="P44" i="2"/>
  <c r="P45" i="2"/>
  <c r="P46" i="2"/>
  <c r="P47" i="2"/>
  <c r="P32" i="2"/>
  <c r="AD26" i="3"/>
  <c r="AE22" i="3"/>
  <c r="R43" i="2"/>
  <c r="R44" i="2"/>
  <c r="R45" i="2"/>
  <c r="R46" i="2"/>
  <c r="R47" i="2"/>
  <c r="R57" i="2"/>
  <c r="R32" i="2"/>
  <c r="AD27" i="3"/>
  <c r="AE23" i="3"/>
  <c r="T43" i="2"/>
  <c r="T44" i="2"/>
  <c r="T45" i="2"/>
  <c r="T46" i="2"/>
  <c r="T47" i="2"/>
  <c r="T57" i="2"/>
  <c r="T32" i="2"/>
  <c r="AD28" i="3"/>
  <c r="AE25" i="3"/>
  <c r="V43" i="2"/>
  <c r="V44" i="2"/>
  <c r="V45" i="2"/>
  <c r="V46" i="2"/>
  <c r="V47" i="2"/>
  <c r="V57" i="2"/>
  <c r="V32" i="2"/>
  <c r="N32" i="2"/>
  <c r="N56" i="2"/>
  <c r="AE26" i="3"/>
  <c r="K47" i="2"/>
  <c r="J18" i="4"/>
  <c r="L53" i="2"/>
  <c r="L54" i="2"/>
  <c r="L55" i="2"/>
  <c r="L57" i="2"/>
  <c r="J53" i="2"/>
  <c r="J54" i="2"/>
  <c r="J55" i="2"/>
  <c r="J57" i="2"/>
  <c r="H53" i="2"/>
  <c r="H54" i="2"/>
  <c r="H55" i="2"/>
  <c r="H57" i="2"/>
  <c r="F53" i="2"/>
  <c r="F54" i="2"/>
  <c r="F55" i="2"/>
  <c r="F57" i="2"/>
  <c r="D53" i="2"/>
  <c r="D54" i="2"/>
  <c r="D55" i="2"/>
  <c r="D57" i="2"/>
  <c r="L52" i="2"/>
  <c r="J52" i="2"/>
  <c r="H52" i="2"/>
  <c r="F52" i="2"/>
  <c r="D52" i="2"/>
  <c r="F39" i="2"/>
  <c r="F40" i="2"/>
  <c r="F41" i="2"/>
  <c r="F43" i="2"/>
  <c r="F46" i="2"/>
  <c r="E47" i="2"/>
  <c r="F47" i="2"/>
  <c r="L39" i="2"/>
  <c r="L40" i="2"/>
  <c r="L41" i="2"/>
  <c r="L43" i="2"/>
  <c r="L44" i="2"/>
  <c r="L45" i="2"/>
  <c r="L46" i="2"/>
  <c r="L47" i="2"/>
  <c r="H39" i="2"/>
  <c r="H40" i="2"/>
  <c r="H41" i="2"/>
  <c r="H43" i="2"/>
  <c r="H44" i="2"/>
  <c r="H45" i="2"/>
  <c r="H46" i="2"/>
  <c r="G47" i="2"/>
  <c r="H47" i="2"/>
  <c r="J39" i="2"/>
  <c r="J40" i="2"/>
  <c r="J41" i="2"/>
  <c r="L38" i="2"/>
  <c r="J38" i="2"/>
  <c r="H38" i="2"/>
  <c r="F38" i="2"/>
  <c r="D39" i="2"/>
  <c r="D40" i="2"/>
  <c r="D41" i="2"/>
  <c r="D43" i="2"/>
  <c r="D46" i="2"/>
  <c r="C47" i="2"/>
  <c r="D47" i="2"/>
  <c r="D38" i="2"/>
  <c r="D8" i="2"/>
  <c r="I47" i="2"/>
  <c r="J43" i="2"/>
  <c r="J44" i="2"/>
  <c r="J45" i="2"/>
  <c r="J46" i="2"/>
  <c r="J47" i="2"/>
  <c r="J9" i="2"/>
  <c r="J10" i="2"/>
  <c r="J11" i="2"/>
  <c r="J12" i="2"/>
  <c r="J13" i="2"/>
  <c r="J14" i="2"/>
  <c r="J15" i="2"/>
  <c r="J18" i="2"/>
  <c r="J19" i="2"/>
  <c r="J20" i="2"/>
  <c r="J21" i="2"/>
  <c r="J22" i="2"/>
  <c r="J24" i="2"/>
  <c r="J25" i="2"/>
  <c r="J26" i="2"/>
  <c r="J28" i="2"/>
  <c r="J29" i="2"/>
  <c r="J30" i="2"/>
  <c r="J32" i="2"/>
  <c r="L9" i="2"/>
  <c r="L10" i="2"/>
  <c r="L11" i="2"/>
  <c r="L12" i="2"/>
  <c r="L13" i="2"/>
  <c r="L14" i="2"/>
  <c r="L15" i="2"/>
  <c r="L18" i="2"/>
  <c r="L19" i="2"/>
  <c r="L20" i="2"/>
  <c r="L21" i="2"/>
  <c r="L22" i="2"/>
  <c r="L24" i="2"/>
  <c r="L25" i="2"/>
  <c r="L26" i="2"/>
  <c r="L28" i="2"/>
  <c r="L29" i="2"/>
  <c r="L30" i="2"/>
  <c r="L32" i="2"/>
  <c r="J8" i="2"/>
  <c r="H9" i="2"/>
  <c r="H10" i="2"/>
  <c r="H11" i="2"/>
  <c r="H12" i="2"/>
  <c r="H13" i="2"/>
  <c r="H14" i="2"/>
  <c r="H15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2" i="2"/>
  <c r="L8" i="2"/>
  <c r="F9" i="2"/>
  <c r="F10" i="2"/>
  <c r="F11" i="2"/>
  <c r="F12" i="2"/>
  <c r="F13" i="2"/>
  <c r="F14" i="2"/>
  <c r="F15" i="2"/>
  <c r="F18" i="2"/>
  <c r="F19" i="2"/>
  <c r="F20" i="2"/>
  <c r="F21" i="2"/>
  <c r="F22" i="2"/>
  <c r="F23" i="2"/>
  <c r="F24" i="2"/>
  <c r="F25" i="2"/>
  <c r="F27" i="2"/>
  <c r="F28" i="2"/>
  <c r="F29" i="2"/>
  <c r="F30" i="2"/>
  <c r="F32" i="2"/>
  <c r="F8" i="2"/>
  <c r="D9" i="2"/>
  <c r="D10" i="2"/>
  <c r="D11" i="2"/>
  <c r="D12" i="2"/>
  <c r="D13" i="2"/>
  <c r="D14" i="2"/>
  <c r="D15" i="2"/>
  <c r="D18" i="2"/>
  <c r="D19" i="2"/>
  <c r="D20" i="2"/>
  <c r="D21" i="2"/>
  <c r="D22" i="2"/>
  <c r="D23" i="2"/>
  <c r="D24" i="2"/>
  <c r="D25" i="2"/>
  <c r="D28" i="2"/>
  <c r="D29" i="2"/>
  <c r="D30" i="2"/>
  <c r="D32" i="2"/>
  <c r="H8" i="2"/>
  <c r="AA6" i="3"/>
  <c r="AA7" i="3"/>
  <c r="AA8" i="3"/>
  <c r="AA9" i="3"/>
  <c r="AA10" i="3"/>
  <c r="AA12" i="3"/>
  <c r="AA13" i="3"/>
  <c r="AA14" i="3"/>
  <c r="AA15" i="3"/>
  <c r="AA17" i="3"/>
  <c r="AA18" i="3"/>
  <c r="AA19" i="3"/>
  <c r="AA20" i="3"/>
  <c r="AA21" i="3"/>
  <c r="AA23" i="3"/>
  <c r="AA25" i="3"/>
  <c r="AA26" i="3"/>
  <c r="AA5" i="3"/>
  <c r="Y5" i="3"/>
  <c r="W5" i="3"/>
  <c r="U5" i="3"/>
  <c r="S5" i="3"/>
  <c r="AD14" i="3"/>
  <c r="AE14" i="3"/>
  <c r="P5" i="3"/>
  <c r="L5" i="3"/>
  <c r="J5" i="3"/>
  <c r="H5" i="3"/>
  <c r="G18" i="4"/>
  <c r="H18" i="4"/>
  <c r="I18" i="4"/>
  <c r="P57" i="2"/>
</calcChain>
</file>

<file path=xl/sharedStrings.xml><?xml version="1.0" encoding="utf-8"?>
<sst xmlns="http://schemas.openxmlformats.org/spreadsheetml/2006/main" count="325" uniqueCount="117">
  <si>
    <t>BALANCE SHEET</t>
  </si>
  <si>
    <t>Note ------------------------- (Rupees ‘000) -------------------------</t>
  </si>
  <si>
    <t>ASSETS</t>
  </si>
  <si>
    <t>Non Current Assets</t>
  </si>
  <si>
    <t>Property Plant and Equipment</t>
  </si>
  <si>
    <t>Development and production assets - intangibles</t>
  </si>
  <si>
    <t>Exploration and evaluation assets</t>
  </si>
  <si>
    <t>Long term investments</t>
  </si>
  <si>
    <t>Long term loans and receivable</t>
  </si>
  <si>
    <t>Long term prepayments</t>
  </si>
  <si>
    <t>Current Assets</t>
  </si>
  <si>
    <t>Stores, spare parts and loose tools</t>
  </si>
  <si>
    <t>Stock in trade</t>
  </si>
  <si>
    <t>Trade debts</t>
  </si>
  <si>
    <t>Loans and advances</t>
  </si>
  <si>
    <t>Deposits and short term prepayments</t>
  </si>
  <si>
    <t>Interest accrued</t>
  </si>
  <si>
    <t>Other receivables</t>
  </si>
  <si>
    <t>Income tax - advance</t>
  </si>
  <si>
    <t>Current portion of long term investments</t>
  </si>
  <si>
    <t>Current maturity of term finance certificates</t>
  </si>
  <si>
    <t>Other financial assets</t>
  </si>
  <si>
    <t>Cash and bank balances</t>
  </si>
  <si>
    <t>Total Assets</t>
  </si>
  <si>
    <t>LIABILITIES &amp; EQUITY</t>
  </si>
  <si>
    <t>LIABILITIES      </t>
  </si>
  <si>
    <t>NON CURRENT LIABILITIES</t>
  </si>
  <si>
    <t>Deferred taxation</t>
  </si>
  <si>
    <t>Deferred employee benefits</t>
  </si>
  <si>
    <t>Provision for decommissioning cost</t>
  </si>
  <si>
    <t>CURRENT LIABILITIES</t>
  </si>
  <si>
    <t>Trade and other payables</t>
  </si>
  <si>
    <t>Unpaid dividend</t>
  </si>
  <si>
    <t>Unclaimed dividend</t>
  </si>
  <si>
    <t>Total Liabilities</t>
  </si>
  <si>
    <t>EQUITY</t>
  </si>
  <si>
    <t>Share capital</t>
  </si>
  <si>
    <t>Reserves</t>
  </si>
  <si>
    <t>Unappropriated profit</t>
  </si>
  <si>
    <t>Total Equity</t>
  </si>
  <si>
    <t>Required External Financing</t>
  </si>
  <si>
    <t>Total Liabilities and Equity</t>
  </si>
  <si>
    <t>INCOME STATEMENTS</t>
  </si>
  <si>
    <t>PROJECTED INCOME STATEMENTS</t>
  </si>
  <si>
    <t>In millions of PKR except per share</t>
  </si>
  <si>
    <t>% of sales</t>
  </si>
  <si>
    <t>Sales</t>
  </si>
  <si>
    <t>Growth Rate sales</t>
  </si>
  <si>
    <t>Avg  GR</t>
  </si>
  <si>
    <t xml:space="preserve">Sales - net </t>
  </si>
  <si>
    <t>less:</t>
  </si>
  <si>
    <t>Royalty</t>
  </si>
  <si>
    <t> 18,518,982</t>
  </si>
  <si>
    <t>Operating expenses</t>
  </si>
  <si>
    <t>Transportation charges</t>
  </si>
  <si>
    <t> 1,985,814</t>
  </si>
  <si>
    <t>COGS</t>
  </si>
  <si>
    <t>Gross profit</t>
  </si>
  <si>
    <t>Exploration and prospecting expenditure</t>
  </si>
  <si>
    <t>General and administration expenses</t>
  </si>
  <si>
    <t>Operating Profits</t>
  </si>
  <si>
    <t>Other income</t>
  </si>
  <si>
    <t>Workers’ profit participation fund</t>
  </si>
  <si>
    <t>Share of profit in associate - net of taxation</t>
  </si>
  <si>
    <t>EBIT</t>
  </si>
  <si>
    <t>Finance cost(I-E)</t>
  </si>
  <si>
    <t>Profit before taxation</t>
  </si>
  <si>
    <t>Taxation</t>
  </si>
  <si>
    <t>Profit for the year</t>
  </si>
  <si>
    <t>Earnings per share - basic and diluted </t>
  </si>
  <si>
    <t>outstanding shares 2018</t>
  </si>
  <si>
    <t>RATIOS</t>
  </si>
  <si>
    <t>ANALYSIS</t>
  </si>
  <si>
    <t>PROJECTED-RATIOS</t>
  </si>
  <si>
    <t>Time-Series Analysis</t>
  </si>
  <si>
    <t>Industry Average</t>
  </si>
  <si>
    <t>Time-Series</t>
  </si>
  <si>
    <t>Cross-Sectional</t>
  </si>
  <si>
    <t xml:space="preserve">Liquidity </t>
  </si>
  <si>
    <t>Current</t>
  </si>
  <si>
    <t>RATIO</t>
  </si>
  <si>
    <t>Improving</t>
  </si>
  <si>
    <t>Good</t>
  </si>
  <si>
    <t>Stable</t>
  </si>
  <si>
    <t>Quick (Acid Test)</t>
  </si>
  <si>
    <t>Slightly Improving</t>
  </si>
  <si>
    <t xml:space="preserve">Activity </t>
  </si>
  <si>
    <t>Inventory Turnover</t>
  </si>
  <si>
    <t>Moderate</t>
  </si>
  <si>
    <t>Avg. Collection Period</t>
  </si>
  <si>
    <t>DAYS</t>
  </si>
  <si>
    <t>Increasing</t>
  </si>
  <si>
    <t>Bad</t>
  </si>
  <si>
    <t>Avg. Payment Period</t>
  </si>
  <si>
    <t>Total Asset Turnover</t>
  </si>
  <si>
    <t>%</t>
  </si>
  <si>
    <t>Unstable</t>
  </si>
  <si>
    <t>Debt</t>
  </si>
  <si>
    <t>Debt Ratio</t>
  </si>
  <si>
    <t>Stable because debt is kept constant</t>
  </si>
  <si>
    <t>Times Interest Earned</t>
  </si>
  <si>
    <t>First decreasing and than increasing after 2016</t>
  </si>
  <si>
    <t>Low</t>
  </si>
  <si>
    <t>unstable</t>
  </si>
  <si>
    <t>Profitability</t>
  </si>
  <si>
    <t>Gross Profit Margin</t>
  </si>
  <si>
    <t>Operating Margin</t>
  </si>
  <si>
    <t>Net Profit Margin</t>
  </si>
  <si>
    <t>Earnings Per Share</t>
  </si>
  <si>
    <t>Return on Total Assets</t>
  </si>
  <si>
    <t>Return on Common Equity</t>
  </si>
  <si>
    <t>Market</t>
  </si>
  <si>
    <t>Market Ratio</t>
  </si>
  <si>
    <t>Market/Book Ratio</t>
  </si>
  <si>
    <t xml:space="preserve">Market price </t>
  </si>
  <si>
    <t>Book price</t>
  </si>
  <si>
    <t>STATEMENT OF PROFIT AND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</si>
</sst>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0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/>
    <xf numFmtId="3" fontId="0" fillId="0" borderId="1" xfId="0" applyNumberFormat="1" applyBorder="1"/>
    <xf numFmtId="3" fontId="0" fillId="0" borderId="2" xfId="0" applyNumberFormat="1" applyBorder="1"/>
    <xf numFmtId="0" fontId="1" fillId="0" borderId="6" xfId="0" applyFont="1" applyBorder="1"/>
    <xf numFmtId="0" fontId="1" fillId="0" borderId="7" xfId="0" applyFont="1" applyBorder="1"/>
    <xf numFmtId="0" fontId="0" fillId="0" borderId="11" xfId="0" applyBorder="1"/>
    <xf numFmtId="0" fontId="1" fillId="0" borderId="11" xfId="0" applyFont="1" applyBorder="1"/>
    <xf numFmtId="0" fontId="0" fillId="0" borderId="0" xfId="0" applyBorder="1"/>
    <xf numFmtId="0" fontId="0" fillId="0" borderId="12" xfId="0" applyBorder="1"/>
    <xf numFmtId="3" fontId="0" fillId="0" borderId="0" xfId="0" applyNumberFormat="1" applyBorder="1"/>
    <xf numFmtId="3" fontId="0" fillId="0" borderId="12" xfId="0" applyNumberFormat="1" applyBorder="1"/>
    <xf numFmtId="3" fontId="1" fillId="0" borderId="12" xfId="0" applyNumberFormat="1" applyFont="1" applyBorder="1"/>
    <xf numFmtId="0" fontId="1" fillId="0" borderId="13" xfId="0" applyFont="1" applyBorder="1"/>
    <xf numFmtId="3" fontId="1" fillId="0" borderId="14" xfId="0" applyNumberFormat="1" applyFont="1" applyBorder="1"/>
    <xf numFmtId="0" fontId="1" fillId="0" borderId="3" xfId="0" applyFont="1" applyBorder="1"/>
    <xf numFmtId="0" fontId="1" fillId="0" borderId="14" xfId="0" applyFont="1" applyBorder="1"/>
    <xf numFmtId="0" fontId="1" fillId="0" borderId="15" xfId="0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4" fillId="0" borderId="4" xfId="0" applyNumberFormat="1" applyFont="1" applyBorder="1"/>
    <xf numFmtId="3" fontId="0" fillId="0" borderId="9" xfId="0" applyNumberFormat="1" applyBorder="1"/>
    <xf numFmtId="3" fontId="0" fillId="0" borderId="11" xfId="0" applyNumberFormat="1" applyBorder="1"/>
    <xf numFmtId="0" fontId="0" fillId="0" borderId="9" xfId="0" applyBorder="1"/>
    <xf numFmtId="0" fontId="0" fillId="0" borderId="13" xfId="0" applyBorder="1"/>
    <xf numFmtId="3" fontId="4" fillId="0" borderId="6" xfId="0" applyNumberFormat="1" applyFont="1" applyBorder="1"/>
    <xf numFmtId="3" fontId="4" fillId="0" borderId="5" xfId="0" applyNumberFormat="1" applyFont="1" applyBorder="1"/>
    <xf numFmtId="0" fontId="5" fillId="0" borderId="0" xfId="0" applyFont="1" applyAlignment="1">
      <alignment vertical="center" wrapText="1"/>
    </xf>
    <xf numFmtId="3" fontId="0" fillId="0" borderId="0" xfId="0" applyNumberFormat="1" applyFont="1" applyBorder="1"/>
    <xf numFmtId="3" fontId="1" fillId="2" borderId="16" xfId="0" applyNumberFormat="1" applyFont="1" applyFill="1" applyBorder="1"/>
    <xf numFmtId="3" fontId="1" fillId="2" borderId="17" xfId="0" applyNumberFormat="1" applyFont="1" applyFill="1" applyBorder="1"/>
    <xf numFmtId="0" fontId="1" fillId="0" borderId="0" xfId="0" applyFont="1" applyBorder="1"/>
    <xf numFmtId="0" fontId="1" fillId="0" borderId="12" xfId="0" applyFont="1" applyBorder="1"/>
    <xf numFmtId="0" fontId="1" fillId="4" borderId="11" xfId="0" applyFont="1" applyFill="1" applyBorder="1"/>
    <xf numFmtId="0" fontId="0" fillId="4" borderId="0" xfId="0" applyFill="1" applyBorder="1"/>
    <xf numFmtId="0" fontId="0" fillId="4" borderId="12" xfId="0" applyFill="1" applyBorder="1"/>
    <xf numFmtId="3" fontId="1" fillId="2" borderId="18" xfId="0" applyNumberFormat="1" applyFont="1" applyFill="1" applyBorder="1"/>
    <xf numFmtId="3" fontId="1" fillId="2" borderId="19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  <xf numFmtId="3" fontId="1" fillId="2" borderId="12" xfId="0" applyNumberFormat="1" applyFont="1" applyFill="1" applyBorder="1"/>
    <xf numFmtId="0" fontId="0" fillId="0" borderId="0" xfId="0" applyAlignment="1">
      <alignment vertical="center"/>
    </xf>
    <xf numFmtId="10" fontId="0" fillId="0" borderId="0" xfId="0" applyNumberFormat="1"/>
    <xf numFmtId="10" fontId="1" fillId="0" borderId="12" xfId="0" applyNumberFormat="1" applyFont="1" applyBorder="1"/>
    <xf numFmtId="10" fontId="1" fillId="0" borderId="0" xfId="0" applyNumberFormat="1" applyFont="1" applyBorder="1"/>
    <xf numFmtId="10" fontId="0" fillId="0" borderId="0" xfId="0" applyNumberFormat="1" applyBorder="1"/>
    <xf numFmtId="1" fontId="0" fillId="0" borderId="0" xfId="0" applyNumberFormat="1"/>
    <xf numFmtId="0" fontId="1" fillId="0" borderId="0" xfId="0" applyFont="1"/>
    <xf numFmtId="2" fontId="0" fillId="0" borderId="0" xfId="0" applyNumberFormat="1" applyBorder="1"/>
    <xf numFmtId="2" fontId="0" fillId="0" borderId="12" xfId="0" applyNumberFormat="1" applyBorder="1"/>
    <xf numFmtId="0" fontId="0" fillId="0" borderId="0" xfId="0" applyFont="1" applyFill="1" applyBorder="1"/>
    <xf numFmtId="0" fontId="0" fillId="0" borderId="0" xfId="0" applyFont="1"/>
    <xf numFmtId="2" fontId="1" fillId="0" borderId="0" xfId="0" applyNumberFormat="1" applyFont="1" applyFill="1" applyBorder="1"/>
    <xf numFmtId="2" fontId="0" fillId="0" borderId="0" xfId="0" applyNumberFormat="1"/>
    <xf numFmtId="2" fontId="0" fillId="0" borderId="0" xfId="0" applyNumberFormat="1" applyFont="1"/>
    <xf numFmtId="2" fontId="0" fillId="0" borderId="0" xfId="0" applyNumberFormat="1" applyFill="1" applyBorder="1"/>
    <xf numFmtId="2" fontId="0" fillId="0" borderId="0" xfId="0" applyNumberFormat="1" applyFont="1" applyFill="1" applyBorder="1"/>
    <xf numFmtId="2" fontId="0" fillId="0" borderId="0" xfId="0" applyNumberFormat="1" applyFill="1" applyBorder="1" applyAlignment="1">
      <alignment wrapText="1"/>
    </xf>
    <xf numFmtId="0" fontId="6" fillId="3" borderId="0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7" xfId="0" applyFont="1" applyBorder="1"/>
    <xf numFmtId="0" fontId="0" fillId="0" borderId="0" xfId="0" applyFill="1"/>
    <xf numFmtId="0" fontId="1" fillId="0" borderId="1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3" fontId="1" fillId="0" borderId="12" xfId="0" applyNumberFormat="1" applyFont="1" applyFill="1" applyBorder="1"/>
    <xf numFmtId="10" fontId="0" fillId="0" borderId="0" xfId="0" applyNumberFormat="1" applyFill="1" applyBorder="1"/>
    <xf numFmtId="3" fontId="1" fillId="0" borderId="0" xfId="0" applyNumberFormat="1" applyFont="1" applyFill="1" applyBorder="1"/>
    <xf numFmtId="10" fontId="0" fillId="0" borderId="0" xfId="0" applyNumberFormat="1" applyFill="1"/>
    <xf numFmtId="1" fontId="0" fillId="0" borderId="0" xfId="0" applyNumberFormat="1" applyFill="1"/>
    <xf numFmtId="0" fontId="0" fillId="0" borderId="5" xfId="0" applyFont="1" applyBorder="1"/>
    <xf numFmtId="0" fontId="0" fillId="0" borderId="5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4" fontId="1" fillId="0" borderId="0" xfId="0" applyNumberFormat="1" applyFont="1"/>
    <xf numFmtId="1" fontId="4" fillId="0" borderId="0" xfId="0" applyNumberFormat="1" applyFont="1"/>
    <xf numFmtId="1" fontId="8" fillId="2" borderId="0" xfId="0" applyNumberFormat="1" applyFont="1" applyFill="1"/>
    <xf numFmtId="1" fontId="1" fillId="2" borderId="0" xfId="0" applyNumberFormat="1" applyFont="1" applyFill="1"/>
    <xf numFmtId="3" fontId="4" fillId="0" borderId="0" xfId="0" applyNumberFormat="1" applyFont="1" applyBorder="1"/>
    <xf numFmtId="3" fontId="1" fillId="2" borderId="0" xfId="0" applyNumberFormat="1" applyFont="1" applyFill="1" applyBorder="1"/>
    <xf numFmtId="1" fontId="0" fillId="0" borderId="0" xfId="0" applyNumberFormat="1" applyBorder="1"/>
    <xf numFmtId="10" fontId="0" fillId="0" borderId="12" xfId="0" applyNumberFormat="1" applyBorder="1"/>
    <xf numFmtId="1" fontId="1" fillId="0" borderId="0" xfId="0" applyNumberFormat="1" applyFont="1" applyBorder="1"/>
    <xf numFmtId="10" fontId="0" fillId="0" borderId="12" xfId="0" applyNumberFormat="1" applyFill="1" applyBorder="1"/>
    <xf numFmtId="0" fontId="0" fillId="0" borderId="25" xfId="0" applyBorder="1"/>
    <xf numFmtId="0" fontId="0" fillId="0" borderId="27" xfId="0" applyFont="1" applyBorder="1"/>
    <xf numFmtId="10" fontId="0" fillId="0" borderId="25" xfId="0" applyNumberFormat="1" applyBorder="1"/>
    <xf numFmtId="0" fontId="0" fillId="0" borderId="24" xfId="0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1" fillId="0" borderId="24" xfId="0" applyFont="1" applyFill="1" applyBorder="1" applyAlignment="1">
      <alignment horizontal="left"/>
    </xf>
    <xf numFmtId="10" fontId="0" fillId="0" borderId="25" xfId="0" applyNumberFormat="1" applyFill="1" applyBorder="1"/>
    <xf numFmtId="0" fontId="1" fillId="0" borderId="30" xfId="0" applyFont="1" applyBorder="1"/>
    <xf numFmtId="0" fontId="1" fillId="0" borderId="29" xfId="0" applyFont="1" applyBorder="1"/>
    <xf numFmtId="2" fontId="1" fillId="0" borderId="29" xfId="0" applyNumberFormat="1" applyFont="1" applyBorder="1"/>
    <xf numFmtId="10" fontId="0" fillId="0" borderId="31" xfId="0" applyNumberFormat="1" applyBorder="1"/>
    <xf numFmtId="1" fontId="0" fillId="0" borderId="11" xfId="0" applyNumberFormat="1" applyBorder="1"/>
    <xf numFmtId="2" fontId="1" fillId="0" borderId="33" xfId="0" applyNumberFormat="1" applyFont="1" applyBorder="1"/>
    <xf numFmtId="1" fontId="1" fillId="2" borderId="11" xfId="0" applyNumberFormat="1" applyFont="1" applyFill="1" applyBorder="1"/>
    <xf numFmtId="1" fontId="1" fillId="2" borderId="0" xfId="0" applyNumberFormat="1" applyFont="1" applyFill="1" applyBorder="1"/>
    <xf numFmtId="1" fontId="4" fillId="0" borderId="11" xfId="0" applyNumberFormat="1" applyFont="1" applyBorder="1"/>
    <xf numFmtId="1" fontId="4" fillId="0" borderId="0" xfId="0" applyNumberFormat="1" applyFont="1" applyBorder="1"/>
    <xf numFmtId="0" fontId="6" fillId="3" borderId="2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8" xfId="0" applyFont="1" applyBorder="1"/>
    <xf numFmtId="1" fontId="1" fillId="2" borderId="36" xfId="0" applyNumberFormat="1" applyFont="1" applyFill="1" applyBorder="1"/>
    <xf numFmtId="1" fontId="1" fillId="2" borderId="37" xfId="0" applyNumberFormat="1" applyFont="1" applyFill="1" applyBorder="1"/>
    <xf numFmtId="1" fontId="1" fillId="2" borderId="33" xfId="0" applyNumberFormat="1" applyFont="1" applyFill="1" applyBorder="1"/>
    <xf numFmtId="1" fontId="1" fillId="2" borderId="29" xfId="0" applyNumberFormat="1" applyFont="1" applyFill="1" applyBorder="1"/>
    <xf numFmtId="1" fontId="1" fillId="0" borderId="29" xfId="0" applyNumberFormat="1" applyFont="1" applyBorder="1"/>
    <xf numFmtId="3" fontId="1" fillId="0" borderId="37" xfId="0" applyNumberFormat="1" applyFont="1" applyBorder="1"/>
    <xf numFmtId="0" fontId="0" fillId="0" borderId="24" xfId="0" applyBorder="1"/>
    <xf numFmtId="0" fontId="1" fillId="0" borderId="24" xfId="0" applyFont="1" applyBorder="1" applyAlignment="1"/>
    <xf numFmtId="0" fontId="1" fillId="0" borderId="24" xfId="0" applyFont="1" applyBorder="1"/>
    <xf numFmtId="0" fontId="1" fillId="0" borderId="28" xfId="0" applyFont="1" applyBorder="1"/>
    <xf numFmtId="10" fontId="0" fillId="0" borderId="29" xfId="0" applyNumberFormat="1" applyBorder="1"/>
    <xf numFmtId="3" fontId="1" fillId="0" borderId="39" xfId="0" applyNumberFormat="1" applyFont="1" applyBorder="1"/>
    <xf numFmtId="3" fontId="1" fillId="0" borderId="29" xfId="0" applyNumberFormat="1" applyFont="1" applyBorder="1"/>
    <xf numFmtId="3" fontId="1" fillId="0" borderId="7" xfId="0" applyNumberFormat="1" applyFont="1" applyBorder="1"/>
    <xf numFmtId="3" fontId="0" fillId="0" borderId="40" xfId="0" applyNumberFormat="1" applyBorder="1"/>
    <xf numFmtId="3" fontId="1" fillId="0" borderId="35" xfId="0" applyNumberFormat="1" applyFont="1" applyBorder="1"/>
    <xf numFmtId="3" fontId="1" fillId="0" borderId="41" xfId="0" applyNumberFormat="1" applyFont="1" applyBorder="1"/>
    <xf numFmtId="1" fontId="0" fillId="0" borderId="24" xfId="0" applyNumberFormat="1" applyBorder="1"/>
    <xf numFmtId="1" fontId="1" fillId="0" borderId="28" xfId="0" applyNumberFormat="1" applyFont="1" applyBorder="1"/>
    <xf numFmtId="3" fontId="1" fillId="0" borderId="42" xfId="0" applyNumberFormat="1" applyFont="1" applyBorder="1"/>
    <xf numFmtId="1" fontId="1" fillId="0" borderId="24" xfId="0" applyNumberFormat="1" applyFont="1" applyBorder="1"/>
    <xf numFmtId="3" fontId="0" fillId="0" borderId="24" xfId="0" applyNumberFormat="1" applyBorder="1"/>
    <xf numFmtId="3" fontId="7" fillId="0" borderId="28" xfId="0" applyNumberFormat="1" applyFont="1" applyBorder="1"/>
    <xf numFmtId="0" fontId="0" fillId="0" borderId="29" xfId="0" applyBorder="1"/>
    <xf numFmtId="3" fontId="7" fillId="0" borderId="29" xfId="0" applyNumberFormat="1" applyFont="1" applyBorder="1"/>
    <xf numFmtId="0" fontId="0" fillId="0" borderId="31" xfId="0" applyBorder="1"/>
    <xf numFmtId="2" fontId="0" fillId="0" borderId="14" xfId="0" applyNumberFormat="1" applyBorder="1"/>
    <xf numFmtId="164" fontId="0" fillId="0" borderId="0" xfId="0" applyNumberFormat="1" applyBorder="1"/>
    <xf numFmtId="164" fontId="0" fillId="0" borderId="12" xfId="0" applyNumberFormat="1" applyBorder="1"/>
    <xf numFmtId="0" fontId="1" fillId="0" borderId="25" xfId="0" applyFont="1" applyBorder="1"/>
    <xf numFmtId="0" fontId="1" fillId="4" borderId="24" xfId="0" applyFont="1" applyFill="1" applyBorder="1"/>
    <xf numFmtId="0" fontId="0" fillId="0" borderId="25" xfId="0" applyFill="1" applyBorder="1"/>
    <xf numFmtId="0" fontId="0" fillId="0" borderId="28" xfId="0" applyBorder="1"/>
    <xf numFmtId="10" fontId="0" fillId="0" borderId="29" xfId="0" applyNumberFormat="1" applyFill="1" applyBorder="1"/>
    <xf numFmtId="0" fontId="0" fillId="0" borderId="29" xfId="0" applyFill="1" applyBorder="1"/>
    <xf numFmtId="0" fontId="0" fillId="0" borderId="31" xfId="0" applyFill="1" applyBorder="1"/>
    <xf numFmtId="0" fontId="1" fillId="6" borderId="2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6" fillId="3" borderId="35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34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5" fillId="3" borderId="32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10" fillId="5" borderId="32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3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1" xfId="0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0"/>
  <sheetViews>
    <sheetView tabSelected="1" topLeftCell="A6" zoomScale="55" zoomScaleNormal="55" workbookViewId="0">
      <selection activeCell="K20" sqref="K20"/>
    </sheetView>
  </sheetViews>
  <sheetFormatPr defaultRowHeight="15" x14ac:dyDescent="0.25"/>
  <cols>
    <col min="2" max="2" width="56.140625" bestFit="1" customWidth="1"/>
    <col min="3" max="3" width="16.42578125" bestFit="1" customWidth="1"/>
    <col min="4" max="4" width="9.5703125" bestFit="1" customWidth="1"/>
    <col min="5" max="5" width="16.42578125" bestFit="1" customWidth="1"/>
    <col min="6" max="6" width="9.5703125" bestFit="1" customWidth="1"/>
    <col min="7" max="7" width="16.42578125" bestFit="1" customWidth="1"/>
    <col min="8" max="8" width="11.28515625" customWidth="1"/>
    <col min="9" max="9" width="16.42578125" bestFit="1" customWidth="1"/>
    <col min="10" max="10" width="11.28515625" customWidth="1"/>
    <col min="11" max="11" width="16.42578125" bestFit="1" customWidth="1"/>
    <col min="14" max="14" width="11.28515625" bestFit="1" customWidth="1"/>
    <col min="16" max="16" width="11.28515625" bestFit="1" customWidth="1"/>
    <col min="18" max="18" width="11.28515625" bestFit="1" customWidth="1"/>
    <col min="20" max="20" width="11.28515625" bestFit="1" customWidth="1"/>
    <col min="22" max="22" width="11.28515625" bestFit="1" customWidth="1"/>
  </cols>
  <sheetData>
    <row r="2" spans="2:23" ht="15" customHeight="1" x14ac:dyDescent="0.25">
      <c r="B2" s="152" t="s">
        <v>0</v>
      </c>
      <c r="C2" s="153"/>
      <c r="D2" s="153"/>
      <c r="E2" s="153"/>
      <c r="F2" s="153"/>
      <c r="G2" s="153"/>
      <c r="H2" s="153"/>
      <c r="I2" s="153"/>
      <c r="J2" s="153"/>
      <c r="K2" s="153"/>
      <c r="L2" s="154"/>
      <c r="N2" s="152" t="s">
        <v>0</v>
      </c>
      <c r="O2" s="153"/>
      <c r="P2" s="153"/>
      <c r="Q2" s="153"/>
      <c r="R2" s="153"/>
      <c r="S2" s="153"/>
      <c r="T2" s="153"/>
      <c r="U2" s="153"/>
      <c r="V2" s="153"/>
      <c r="W2" s="154"/>
    </row>
    <row r="3" spans="2:23" ht="15" customHeight="1" x14ac:dyDescent="0.25">
      <c r="B3" s="155"/>
      <c r="C3" s="156"/>
      <c r="D3" s="156"/>
      <c r="E3" s="156"/>
      <c r="F3" s="156"/>
      <c r="G3" s="156"/>
      <c r="H3" s="156"/>
      <c r="I3" s="156"/>
      <c r="J3" s="156"/>
      <c r="K3" s="156"/>
      <c r="L3" s="157"/>
      <c r="N3" s="167"/>
      <c r="O3" s="168"/>
      <c r="P3" s="168"/>
      <c r="Q3" s="168"/>
      <c r="R3" s="168"/>
      <c r="S3" s="168"/>
      <c r="T3" s="168"/>
      <c r="U3" s="168"/>
      <c r="V3" s="168"/>
      <c r="W3" s="169"/>
    </row>
    <row r="4" spans="2:23" x14ac:dyDescent="0.25">
      <c r="B4" s="119"/>
      <c r="C4" s="17">
        <v>2014</v>
      </c>
      <c r="D4" s="18"/>
      <c r="E4" s="18">
        <v>2015</v>
      </c>
      <c r="F4" s="18"/>
      <c r="G4" s="15">
        <v>2016</v>
      </c>
      <c r="H4" s="15"/>
      <c r="I4" s="17">
        <v>2017</v>
      </c>
      <c r="J4" s="19"/>
      <c r="K4" s="19">
        <v>2018</v>
      </c>
      <c r="L4" s="89"/>
      <c r="N4" s="119">
        <v>2019</v>
      </c>
      <c r="O4" s="10"/>
      <c r="P4" s="10">
        <v>2020</v>
      </c>
      <c r="Q4" s="10"/>
      <c r="R4" s="10">
        <v>2021</v>
      </c>
      <c r="S4" s="10"/>
      <c r="T4" s="10">
        <v>2022</v>
      </c>
      <c r="U4" s="10"/>
      <c r="V4" s="10">
        <v>2023</v>
      </c>
      <c r="W4" s="89"/>
    </row>
    <row r="5" spans="2:23" x14ac:dyDescent="0.25">
      <c r="B5" s="120"/>
      <c r="C5" s="171" t="s">
        <v>1</v>
      </c>
      <c r="D5" s="171"/>
      <c r="E5" s="171"/>
      <c r="F5" s="171"/>
      <c r="G5" s="171"/>
      <c r="H5" s="171"/>
      <c r="I5" s="171"/>
      <c r="J5" s="171"/>
      <c r="K5" s="172"/>
      <c r="L5" s="89"/>
      <c r="N5" s="170" t="s">
        <v>1</v>
      </c>
      <c r="O5" s="171"/>
      <c r="P5" s="171"/>
      <c r="Q5" s="171"/>
      <c r="R5" s="171"/>
      <c r="S5" s="171"/>
      <c r="T5" s="171"/>
      <c r="U5" s="171"/>
      <c r="V5" s="172"/>
      <c r="W5" s="89"/>
    </row>
    <row r="6" spans="2:23" x14ac:dyDescent="0.25">
      <c r="B6" s="158" t="s">
        <v>2</v>
      </c>
      <c r="C6" s="159"/>
      <c r="D6" s="159"/>
      <c r="E6" s="159"/>
      <c r="F6" s="159"/>
      <c r="G6" s="159"/>
      <c r="H6" s="159"/>
      <c r="I6" s="159"/>
      <c r="J6" s="159"/>
      <c r="K6" s="159"/>
      <c r="L6" s="160"/>
      <c r="N6" s="164" t="s">
        <v>2</v>
      </c>
      <c r="O6" s="165"/>
      <c r="P6" s="165"/>
      <c r="Q6" s="165"/>
      <c r="R6" s="165"/>
      <c r="S6" s="165"/>
      <c r="T6" s="165"/>
      <c r="U6" s="165"/>
      <c r="V6" s="165"/>
      <c r="W6" s="166"/>
    </row>
    <row r="7" spans="2:23" x14ac:dyDescent="0.25">
      <c r="B7" s="121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89"/>
      <c r="N7" s="119"/>
      <c r="O7" s="10"/>
      <c r="P7" s="10"/>
      <c r="Q7" s="10"/>
      <c r="R7" s="10"/>
      <c r="S7" s="10"/>
      <c r="T7" s="10"/>
      <c r="U7" s="10"/>
      <c r="V7" s="10"/>
      <c r="W7" s="89"/>
    </row>
    <row r="8" spans="2:23" x14ac:dyDescent="0.25">
      <c r="B8" s="119" t="s">
        <v>4</v>
      </c>
      <c r="C8" s="12">
        <v>71803994</v>
      </c>
      <c r="D8" s="48">
        <f>$C8/$C$32</f>
        <v>0.14469823712537433</v>
      </c>
      <c r="E8" s="12">
        <v>109983739</v>
      </c>
      <c r="F8" s="48">
        <f>$E8/$E$32</f>
        <v>0.19860141397413272</v>
      </c>
      <c r="G8" s="12">
        <v>120542404</v>
      </c>
      <c r="H8" s="48">
        <f>$G8/$G$32</f>
        <v>0.20445971826043244</v>
      </c>
      <c r="I8" s="12">
        <v>128336018</v>
      </c>
      <c r="J8" s="48">
        <f>$I8/$I$32</f>
        <v>0.20458867940068093</v>
      </c>
      <c r="K8" s="12">
        <v>124063611</v>
      </c>
      <c r="L8" s="91">
        <f>$K8/$K$32</f>
        <v>0.18614832069040765</v>
      </c>
      <c r="M8" s="45"/>
      <c r="N8" s="127">
        <v>124063611</v>
      </c>
      <c r="O8" s="10"/>
      <c r="P8" s="13">
        <v>124063611</v>
      </c>
      <c r="Q8" s="10"/>
      <c r="R8" s="13">
        <v>124063611</v>
      </c>
      <c r="S8" s="10"/>
      <c r="T8" s="13">
        <v>124063611</v>
      </c>
      <c r="U8" s="10"/>
      <c r="V8" s="13">
        <v>124063611</v>
      </c>
      <c r="W8" s="89"/>
    </row>
    <row r="9" spans="2:23" x14ac:dyDescent="0.25">
      <c r="B9" s="119" t="s">
        <v>5</v>
      </c>
      <c r="C9" s="12">
        <v>74329473</v>
      </c>
      <c r="D9" s="48">
        <f t="shared" ref="D9:D32" si="0">$C9/$C$32</f>
        <v>0.14978754119942281</v>
      </c>
      <c r="E9" s="12">
        <v>78260687</v>
      </c>
      <c r="F9" s="48">
        <f t="shared" ref="F9:F32" si="1">$E9/$E$32</f>
        <v>0.14131800971766406</v>
      </c>
      <c r="G9" s="12">
        <v>87990960</v>
      </c>
      <c r="H9" s="48">
        <f t="shared" ref="H9:H32" si="2">$G9/$G$32</f>
        <v>0.14924712212529775</v>
      </c>
      <c r="I9" s="12">
        <v>95159850</v>
      </c>
      <c r="J9" s="48">
        <f t="shared" ref="J9:J32" si="3">$I9/$I$32</f>
        <v>0.15170042164988232</v>
      </c>
      <c r="K9" s="12">
        <v>94403553</v>
      </c>
      <c r="L9" s="91">
        <f t="shared" ref="L9:L32" si="4">$K9/$K$32</f>
        <v>0.14164558581289316</v>
      </c>
      <c r="M9" s="45"/>
      <c r="N9" s="127">
        <v>94403553</v>
      </c>
      <c r="O9" s="10"/>
      <c r="P9" s="13">
        <v>94403553</v>
      </c>
      <c r="Q9" s="10"/>
      <c r="R9" s="13">
        <v>94403553</v>
      </c>
      <c r="S9" s="10"/>
      <c r="T9" s="13">
        <v>94403553</v>
      </c>
      <c r="U9" s="10"/>
      <c r="V9" s="13">
        <v>94403553</v>
      </c>
      <c r="W9" s="89"/>
    </row>
    <row r="10" spans="2:23" x14ac:dyDescent="0.25">
      <c r="B10" s="119" t="s">
        <v>6</v>
      </c>
      <c r="C10" s="12">
        <v>9637788</v>
      </c>
      <c r="D10" s="48">
        <f t="shared" si="0"/>
        <v>1.9421913123496823E-2</v>
      </c>
      <c r="E10" s="12">
        <v>8139436</v>
      </c>
      <c r="F10" s="48">
        <f t="shared" si="1"/>
        <v>1.4697659065327457E-2</v>
      </c>
      <c r="G10" s="12">
        <v>6834078</v>
      </c>
      <c r="H10" s="48">
        <f t="shared" si="2"/>
        <v>1.1591718897939182E-2</v>
      </c>
      <c r="I10" s="12">
        <v>10996011</v>
      </c>
      <c r="J10" s="48">
        <f t="shared" si="3"/>
        <v>1.7529446559307778E-2</v>
      </c>
      <c r="K10" s="12">
        <v>6525579</v>
      </c>
      <c r="L10" s="91">
        <f t="shared" si="4"/>
        <v>9.7911511892281589E-3</v>
      </c>
      <c r="M10" s="45"/>
      <c r="N10" s="127">
        <v>6525579</v>
      </c>
      <c r="O10" s="10"/>
      <c r="P10" s="13">
        <v>6525579</v>
      </c>
      <c r="Q10" s="10"/>
      <c r="R10" s="13">
        <v>6525579</v>
      </c>
      <c r="S10" s="10"/>
      <c r="T10" s="13">
        <v>6525579</v>
      </c>
      <c r="U10" s="10"/>
      <c r="V10" s="13">
        <v>6525579</v>
      </c>
      <c r="W10" s="89"/>
    </row>
    <row r="11" spans="2:23" x14ac:dyDescent="0.25">
      <c r="B11" s="119"/>
      <c r="C11" s="16">
        <v>155771255</v>
      </c>
      <c r="D11" s="48">
        <f t="shared" si="0"/>
        <v>0.31390769144829395</v>
      </c>
      <c r="E11" s="16">
        <v>196383862</v>
      </c>
      <c r="F11" s="48">
        <f t="shared" si="1"/>
        <v>0.35461708275712428</v>
      </c>
      <c r="G11" s="16">
        <v>215367442</v>
      </c>
      <c r="H11" s="48">
        <f t="shared" si="2"/>
        <v>0.36529855928366939</v>
      </c>
      <c r="I11" s="16">
        <v>234491879</v>
      </c>
      <c r="J11" s="48">
        <f t="shared" si="3"/>
        <v>0.37381854760987104</v>
      </c>
      <c r="K11" s="16">
        <v>224992743</v>
      </c>
      <c r="L11" s="91">
        <f t="shared" si="4"/>
        <v>0.337585057692529</v>
      </c>
      <c r="M11" s="45"/>
      <c r="N11" s="128">
        <v>224992743</v>
      </c>
      <c r="O11" s="10"/>
      <c r="P11" s="16">
        <v>224992743</v>
      </c>
      <c r="Q11" s="10"/>
      <c r="R11" s="16">
        <v>224992743</v>
      </c>
      <c r="S11" s="10"/>
      <c r="T11" s="16">
        <v>224992743</v>
      </c>
      <c r="U11" s="10"/>
      <c r="V11" s="16">
        <v>224992743</v>
      </c>
      <c r="W11" s="89"/>
    </row>
    <row r="12" spans="2:23" x14ac:dyDescent="0.25">
      <c r="B12" s="119" t="s">
        <v>7</v>
      </c>
      <c r="C12" s="12">
        <v>140393508</v>
      </c>
      <c r="D12" s="48">
        <f t="shared" si="0"/>
        <v>0.2829187066035232</v>
      </c>
      <c r="E12" s="12">
        <v>131193328</v>
      </c>
      <c r="F12" s="48">
        <f t="shared" si="1"/>
        <v>0.23690029709548407</v>
      </c>
      <c r="G12" s="12">
        <v>112517292</v>
      </c>
      <c r="H12" s="48">
        <f t="shared" si="2"/>
        <v>0.19084781005153018</v>
      </c>
      <c r="I12" s="12">
        <v>42665810</v>
      </c>
      <c r="J12" s="48">
        <f t="shared" si="3"/>
        <v>6.801630484951128E-2</v>
      </c>
      <c r="K12" s="12">
        <v>27617446</v>
      </c>
      <c r="L12" s="91">
        <f t="shared" si="4"/>
        <v>4.1437945850681522E-2</v>
      </c>
      <c r="M12" s="45"/>
      <c r="N12" s="127">
        <v>27617446</v>
      </c>
      <c r="O12" s="10"/>
      <c r="P12" s="13">
        <v>27617446</v>
      </c>
      <c r="Q12" s="10"/>
      <c r="R12" s="13">
        <v>27617446</v>
      </c>
      <c r="S12" s="10"/>
      <c r="T12" s="13">
        <v>27617446</v>
      </c>
      <c r="U12" s="10"/>
      <c r="V12" s="13">
        <v>27617446</v>
      </c>
      <c r="W12" s="89"/>
    </row>
    <row r="13" spans="2:23" x14ac:dyDescent="0.25">
      <c r="B13" s="119" t="s">
        <v>8</v>
      </c>
      <c r="C13" s="12">
        <v>5170798</v>
      </c>
      <c r="D13" s="48">
        <f t="shared" si="0"/>
        <v>1.042010776073837E-2</v>
      </c>
      <c r="E13" s="12">
        <v>5932606</v>
      </c>
      <c r="F13" s="48">
        <f t="shared" si="1"/>
        <v>1.0712710359405254E-2</v>
      </c>
      <c r="G13" s="12">
        <v>5997669</v>
      </c>
      <c r="H13" s="48">
        <f t="shared" si="2"/>
        <v>1.0173031839976658E-2</v>
      </c>
      <c r="I13" s="12">
        <v>6817374</v>
      </c>
      <c r="J13" s="48">
        <f t="shared" si="3"/>
        <v>1.0868013246605001E-2</v>
      </c>
      <c r="K13" s="12">
        <v>7344145</v>
      </c>
      <c r="L13" s="91">
        <f t="shared" si="4"/>
        <v>1.1019349248643536E-2</v>
      </c>
      <c r="M13" s="45"/>
      <c r="N13" s="127">
        <v>7344145</v>
      </c>
      <c r="O13" s="10"/>
      <c r="P13" s="13">
        <v>7344145</v>
      </c>
      <c r="Q13" s="10"/>
      <c r="R13" s="13">
        <v>7344145</v>
      </c>
      <c r="S13" s="10"/>
      <c r="T13" s="13">
        <v>7344145</v>
      </c>
      <c r="U13" s="10"/>
      <c r="V13" s="13">
        <v>7344145</v>
      </c>
      <c r="W13" s="89"/>
    </row>
    <row r="14" spans="2:23" x14ac:dyDescent="0.25">
      <c r="B14" s="119" t="s">
        <v>9</v>
      </c>
      <c r="C14" s="12">
        <v>736992</v>
      </c>
      <c r="D14" s="48">
        <f t="shared" si="0"/>
        <v>1.4851742533361567E-3</v>
      </c>
      <c r="E14" s="12">
        <v>502972</v>
      </c>
      <c r="F14" s="48">
        <f t="shared" si="1"/>
        <v>9.0823381072176038E-4</v>
      </c>
      <c r="G14" s="12">
        <v>882466</v>
      </c>
      <c r="H14" s="48">
        <f t="shared" si="2"/>
        <v>1.4968072955838078E-3</v>
      </c>
      <c r="I14" s="12">
        <v>852691</v>
      </c>
      <c r="J14" s="48">
        <f t="shared" si="3"/>
        <v>1.359329425561934E-3</v>
      </c>
      <c r="K14" s="12">
        <v>664958</v>
      </c>
      <c r="L14" s="91">
        <f t="shared" si="4"/>
        <v>9.9772055667194867E-4</v>
      </c>
      <c r="M14" s="45"/>
      <c r="N14" s="127">
        <v>664958</v>
      </c>
      <c r="O14" s="10"/>
      <c r="P14" s="13">
        <v>664958</v>
      </c>
      <c r="Q14" s="10"/>
      <c r="R14" s="13">
        <v>664958</v>
      </c>
      <c r="S14" s="10"/>
      <c r="T14" s="13">
        <v>664958</v>
      </c>
      <c r="U14" s="10"/>
      <c r="V14" s="13">
        <v>664958</v>
      </c>
      <c r="W14" s="89"/>
    </row>
    <row r="15" spans="2:23" x14ac:dyDescent="0.25">
      <c r="B15" s="119"/>
      <c r="C15" s="20">
        <v>302072553</v>
      </c>
      <c r="D15" s="48">
        <f t="shared" si="0"/>
        <v>0.60873168006589162</v>
      </c>
      <c r="E15" s="20">
        <v>334012768</v>
      </c>
      <c r="F15" s="48">
        <f t="shared" si="1"/>
        <v>0.60313832402273537</v>
      </c>
      <c r="G15" s="20">
        <v>334764869</v>
      </c>
      <c r="H15" s="48">
        <f t="shared" si="2"/>
        <v>0.56781620847075998</v>
      </c>
      <c r="I15" s="20">
        <v>284827754</v>
      </c>
      <c r="J15" s="48">
        <f t="shared" si="3"/>
        <v>0.45406219513154927</v>
      </c>
      <c r="K15" s="125">
        <v>260619292</v>
      </c>
      <c r="L15" s="91">
        <f t="shared" si="4"/>
        <v>0.39104007334852597</v>
      </c>
      <c r="M15" s="45"/>
      <c r="N15" s="129">
        <v>260619292</v>
      </c>
      <c r="O15" s="10"/>
      <c r="P15" s="21">
        <v>260619292</v>
      </c>
      <c r="Q15" s="10"/>
      <c r="R15" s="21">
        <v>260619292</v>
      </c>
      <c r="S15" s="10"/>
      <c r="T15" s="21">
        <v>260619292</v>
      </c>
      <c r="U15" s="10"/>
      <c r="V15" s="21">
        <v>260619292</v>
      </c>
      <c r="W15" s="89"/>
    </row>
    <row r="16" spans="2:23" x14ac:dyDescent="0.25">
      <c r="B16" s="119"/>
      <c r="C16" s="10"/>
      <c r="D16" s="48"/>
      <c r="E16" s="10"/>
      <c r="F16" s="48"/>
      <c r="G16" s="10"/>
      <c r="H16" s="48"/>
      <c r="I16" s="10"/>
      <c r="J16" s="48"/>
      <c r="K16" s="10"/>
      <c r="L16" s="91"/>
      <c r="M16" s="45"/>
      <c r="N16" s="119"/>
      <c r="O16" s="10"/>
      <c r="P16" s="10"/>
      <c r="Q16" s="10"/>
      <c r="R16" s="10"/>
      <c r="S16" s="10"/>
      <c r="T16" s="10"/>
      <c r="U16" s="10"/>
      <c r="V16" s="10"/>
      <c r="W16" s="89"/>
    </row>
    <row r="17" spans="2:23" x14ac:dyDescent="0.25">
      <c r="B17" s="121" t="s">
        <v>10</v>
      </c>
      <c r="C17" s="10"/>
      <c r="D17" s="48"/>
      <c r="E17" s="10"/>
      <c r="F17" s="48"/>
      <c r="G17" s="10"/>
      <c r="H17" s="48"/>
      <c r="I17" s="10"/>
      <c r="J17" s="48"/>
      <c r="K17" s="10"/>
      <c r="L17" s="91"/>
      <c r="M17" s="45"/>
      <c r="N17" s="119"/>
      <c r="O17" s="10"/>
      <c r="P17" s="10"/>
      <c r="Q17" s="10"/>
      <c r="R17" s="10"/>
      <c r="S17" s="10"/>
      <c r="T17" s="10"/>
      <c r="U17" s="10"/>
      <c r="V17" s="10"/>
      <c r="W17" s="89"/>
    </row>
    <row r="18" spans="2:23" x14ac:dyDescent="0.25">
      <c r="B18" s="119" t="s">
        <v>11</v>
      </c>
      <c r="C18" s="12">
        <v>18502922</v>
      </c>
      <c r="D18" s="48">
        <f t="shared" si="0"/>
        <v>3.7286786513133316E-2</v>
      </c>
      <c r="E18" s="12">
        <v>16847032</v>
      </c>
      <c r="F18" s="48">
        <f t="shared" si="1"/>
        <v>3.0421264151307508E-2</v>
      </c>
      <c r="G18" s="12">
        <v>18251184</v>
      </c>
      <c r="H18" s="48">
        <f t="shared" si="2"/>
        <v>3.0957006121757058E-2</v>
      </c>
      <c r="I18" s="12">
        <v>18442847</v>
      </c>
      <c r="J18" s="48">
        <f t="shared" si="3"/>
        <v>2.9400925561823263E-2</v>
      </c>
      <c r="K18" s="12">
        <v>17984525</v>
      </c>
      <c r="L18" s="91">
        <f t="shared" si="4"/>
        <v>2.6984456603996912E-2</v>
      </c>
      <c r="M18" s="45"/>
      <c r="N18" s="130">
        <f>K18*(1+(-0.0745))</f>
        <v>16644677.887499999</v>
      </c>
      <c r="O18" s="48"/>
      <c r="P18" s="85">
        <f>N18*(1+(-0.0396))</f>
        <v>15985548.643154999</v>
      </c>
      <c r="Q18" s="10"/>
      <c r="R18" s="85">
        <f>P18*(1+0.0234)</f>
        <v>16359610.481404828</v>
      </c>
      <c r="S18" s="10"/>
      <c r="T18" s="85">
        <f>R18*(1+0.0161)</f>
        <v>16623000.210155446</v>
      </c>
      <c r="U18" s="10"/>
      <c r="V18" s="85">
        <f>T18*(1+(-0.0208))</f>
        <v>16277241.805784212</v>
      </c>
      <c r="W18" s="89"/>
    </row>
    <row r="19" spans="2:23" x14ac:dyDescent="0.25">
      <c r="B19" s="119" t="s">
        <v>12</v>
      </c>
      <c r="C19" s="12">
        <v>420626</v>
      </c>
      <c r="D19" s="48">
        <f t="shared" si="0"/>
        <v>8.4763865209361061E-4</v>
      </c>
      <c r="E19" s="12">
        <v>317476</v>
      </c>
      <c r="F19" s="48">
        <f t="shared" si="1"/>
        <v>5.7327731422962232E-4</v>
      </c>
      <c r="G19" s="12">
        <v>291904</v>
      </c>
      <c r="H19" s="48">
        <f t="shared" si="2"/>
        <v>4.9511713404266661E-4</v>
      </c>
      <c r="I19" s="12">
        <v>376390</v>
      </c>
      <c r="J19" s="48">
        <f t="shared" si="3"/>
        <v>6.0002744544888637E-4</v>
      </c>
      <c r="K19" s="12">
        <v>346829</v>
      </c>
      <c r="L19" s="91">
        <f t="shared" si="4"/>
        <v>5.2039139757695263E-4</v>
      </c>
      <c r="M19" s="45"/>
      <c r="N19" s="130">
        <f t="shared" ref="N19:N24" si="5">K19*(1+(-0.0745))</f>
        <v>320990.23950000003</v>
      </c>
      <c r="O19" s="48"/>
      <c r="P19" s="85">
        <f t="shared" ref="P19:P24" si="6">N19*(1+(-0.0396))</f>
        <v>308279.02601580002</v>
      </c>
      <c r="Q19" s="10"/>
      <c r="R19" s="85">
        <f t="shared" ref="R19:R24" si="7">P19*(1+0.0234)</f>
        <v>315492.75522456976</v>
      </c>
      <c r="S19" s="10"/>
      <c r="T19" s="85">
        <f t="shared" ref="T19:T24" si="8">R19*(1+0.0161)</f>
        <v>320572.18858368532</v>
      </c>
      <c r="U19" s="10"/>
      <c r="V19" s="85">
        <f t="shared" ref="V19:V24" si="9">T19*(1+(-0.0208))</f>
        <v>313904.28706114466</v>
      </c>
      <c r="W19" s="89"/>
    </row>
    <row r="20" spans="2:23" x14ac:dyDescent="0.25">
      <c r="B20" s="119" t="s">
        <v>13</v>
      </c>
      <c r="C20" s="12">
        <v>100510995</v>
      </c>
      <c r="D20" s="48">
        <f t="shared" si="0"/>
        <v>0.20254811714536819</v>
      </c>
      <c r="E20" s="12">
        <v>121411485</v>
      </c>
      <c r="F20" s="48">
        <f t="shared" si="1"/>
        <v>0.21923688731567134</v>
      </c>
      <c r="G20" s="12">
        <v>111204186</v>
      </c>
      <c r="H20" s="48">
        <f t="shared" si="2"/>
        <v>0.18862056657622928</v>
      </c>
      <c r="I20" s="12">
        <v>118574468</v>
      </c>
      <c r="J20" s="48">
        <f t="shared" si="3"/>
        <v>0.18902716631552571</v>
      </c>
      <c r="K20" s="12">
        <v>163691820</v>
      </c>
      <c r="L20" s="91">
        <f t="shared" si="4"/>
        <v>0.24560753276604599</v>
      </c>
      <c r="M20" s="45"/>
      <c r="N20" s="130">
        <f t="shared" si="5"/>
        <v>151496779.41</v>
      </c>
      <c r="O20" s="48"/>
      <c r="P20" s="85">
        <f t="shared" si="6"/>
        <v>145497506.945364</v>
      </c>
      <c r="Q20" s="10"/>
      <c r="R20" s="85">
        <f t="shared" si="7"/>
        <v>148902148.60788554</v>
      </c>
      <c r="S20" s="10"/>
      <c r="T20" s="85">
        <f t="shared" si="8"/>
        <v>151299473.2004725</v>
      </c>
      <c r="U20" s="10"/>
      <c r="V20" s="85">
        <f t="shared" si="9"/>
        <v>148152444.15790266</v>
      </c>
      <c r="W20" s="89"/>
    </row>
    <row r="21" spans="2:23" x14ac:dyDescent="0.25">
      <c r="B21" s="119" t="s">
        <v>14</v>
      </c>
      <c r="C21" s="12">
        <v>7909281</v>
      </c>
      <c r="D21" s="48">
        <f t="shared" si="0"/>
        <v>1.5938654020126203E-2</v>
      </c>
      <c r="E21" s="12">
        <v>8043768</v>
      </c>
      <c r="F21" s="48">
        <f t="shared" si="1"/>
        <v>1.4524908072818671E-2</v>
      </c>
      <c r="G21" s="12">
        <v>10459609</v>
      </c>
      <c r="H21" s="48">
        <f t="shared" si="2"/>
        <v>1.7741215027155786E-2</v>
      </c>
      <c r="I21" s="12">
        <v>14079704</v>
      </c>
      <c r="J21" s="48">
        <f t="shared" si="3"/>
        <v>2.244535939795549E-2</v>
      </c>
      <c r="K21" s="12">
        <v>17300931</v>
      </c>
      <c r="L21" s="91">
        <f t="shared" si="4"/>
        <v>2.595877410041382E-2</v>
      </c>
      <c r="M21" s="45"/>
      <c r="N21" s="127">
        <v>17300931</v>
      </c>
      <c r="O21" s="48"/>
      <c r="P21" s="13">
        <v>17300931</v>
      </c>
      <c r="Q21" s="10"/>
      <c r="R21" s="13">
        <v>17300931</v>
      </c>
      <c r="S21" s="10"/>
      <c r="T21" s="13">
        <v>17300931</v>
      </c>
      <c r="U21" s="10"/>
      <c r="V21" s="13">
        <v>17300931</v>
      </c>
      <c r="W21" s="89"/>
    </row>
    <row r="22" spans="2:23" x14ac:dyDescent="0.25">
      <c r="B22" s="119" t="s">
        <v>15</v>
      </c>
      <c r="C22" s="12">
        <v>1336238</v>
      </c>
      <c r="D22" s="48">
        <f t="shared" si="0"/>
        <v>2.6927650149925634E-3</v>
      </c>
      <c r="E22" s="12">
        <v>1414433</v>
      </c>
      <c r="F22" s="48">
        <f t="shared" si="1"/>
        <v>2.5540902348453027E-3</v>
      </c>
      <c r="G22" s="12">
        <v>1646777</v>
      </c>
      <c r="H22" s="48">
        <f t="shared" si="2"/>
        <v>2.7932043022616355E-3</v>
      </c>
      <c r="I22" s="12">
        <v>1557439</v>
      </c>
      <c r="J22" s="48">
        <f t="shared" si="3"/>
        <v>2.4828134238754169E-3</v>
      </c>
      <c r="K22" s="12">
        <v>1339343</v>
      </c>
      <c r="L22" s="91">
        <f t="shared" si="4"/>
        <v>2.0095856332801136E-3</v>
      </c>
      <c r="M22" s="45"/>
      <c r="N22" s="127">
        <v>1339343</v>
      </c>
      <c r="O22" s="48"/>
      <c r="P22" s="13">
        <v>1339343</v>
      </c>
      <c r="Q22" s="10"/>
      <c r="R22" s="13">
        <v>1339343</v>
      </c>
      <c r="S22" s="10"/>
      <c r="T22" s="13">
        <v>1339343</v>
      </c>
      <c r="U22" s="10"/>
      <c r="V22" s="13">
        <v>1339343</v>
      </c>
      <c r="W22" s="89"/>
    </row>
    <row r="23" spans="2:23" x14ac:dyDescent="0.25">
      <c r="B23" s="119" t="s">
        <v>16</v>
      </c>
      <c r="C23" s="12">
        <v>10110450</v>
      </c>
      <c r="D23" s="48">
        <f t="shared" si="0"/>
        <v>2.0374413873749709E-2</v>
      </c>
      <c r="E23" s="12">
        <v>14433563</v>
      </c>
      <c r="F23" s="48">
        <f t="shared" si="1"/>
        <v>2.6063180307815553E-2</v>
      </c>
      <c r="G23" s="12">
        <v>21085027</v>
      </c>
      <c r="H23" s="48">
        <f t="shared" si="2"/>
        <v>3.5763669355172403E-2</v>
      </c>
      <c r="I23" s="12"/>
      <c r="J23" s="48"/>
      <c r="K23" s="12"/>
      <c r="L23" s="91"/>
      <c r="M23" s="45"/>
      <c r="N23" s="130"/>
      <c r="O23" s="48"/>
      <c r="P23" s="85"/>
      <c r="Q23" s="10"/>
      <c r="R23" s="85"/>
      <c r="S23" s="10"/>
      <c r="T23" s="85"/>
      <c r="U23" s="10"/>
      <c r="V23" s="85"/>
      <c r="W23" s="89"/>
    </row>
    <row r="24" spans="2:23" x14ac:dyDescent="0.25">
      <c r="B24" s="119" t="s">
        <v>17</v>
      </c>
      <c r="C24" s="12">
        <v>661017</v>
      </c>
      <c r="D24" s="48">
        <f t="shared" si="0"/>
        <v>1.3320706729754276E-3</v>
      </c>
      <c r="E24" s="12">
        <v>183825</v>
      </c>
      <c r="F24" s="48">
        <f t="shared" si="1"/>
        <v>3.3193911441576788E-4</v>
      </c>
      <c r="G24" s="12">
        <v>182211</v>
      </c>
      <c r="H24" s="48">
        <f t="shared" si="2"/>
        <v>3.0905978715964263E-4</v>
      </c>
      <c r="I24" s="12">
        <v>440997</v>
      </c>
      <c r="J24" s="48">
        <f t="shared" si="3"/>
        <v>7.030216088648012E-4</v>
      </c>
      <c r="K24" s="12">
        <v>452987</v>
      </c>
      <c r="L24" s="91">
        <f t="shared" si="4"/>
        <v>6.7967366631449804E-4</v>
      </c>
      <c r="M24" s="45"/>
      <c r="N24" s="130">
        <f t="shared" si="5"/>
        <v>419239.46850000002</v>
      </c>
      <c r="O24" s="48"/>
      <c r="P24" s="85">
        <f t="shared" si="6"/>
        <v>402637.58554740006</v>
      </c>
      <c r="Q24" s="10"/>
      <c r="R24" s="85">
        <f t="shared" si="7"/>
        <v>412059.30504920927</v>
      </c>
      <c r="S24" s="10"/>
      <c r="T24" s="85">
        <f t="shared" si="8"/>
        <v>418693.45986050152</v>
      </c>
      <c r="U24" s="10"/>
      <c r="V24" s="85">
        <f t="shared" si="9"/>
        <v>409984.63589540304</v>
      </c>
      <c r="W24" s="89"/>
    </row>
    <row r="25" spans="2:23" x14ac:dyDescent="0.25">
      <c r="B25" s="119" t="s">
        <v>18</v>
      </c>
      <c r="C25" s="12">
        <v>14319141</v>
      </c>
      <c r="D25" s="48">
        <f t="shared" si="0"/>
        <v>2.8855699306220624E-2</v>
      </c>
      <c r="E25" s="12">
        <v>24059740</v>
      </c>
      <c r="F25" s="48">
        <f t="shared" si="1"/>
        <v>4.344549864639536E-2</v>
      </c>
      <c r="G25" s="12">
        <v>41599042</v>
      </c>
      <c r="H25" s="48">
        <f t="shared" si="2"/>
        <v>7.0558808560213349E-2</v>
      </c>
      <c r="I25" s="12">
        <v>49601329</v>
      </c>
      <c r="J25" s="48">
        <f t="shared" si="3"/>
        <v>7.9072660619941462E-2</v>
      </c>
      <c r="K25" s="12">
        <v>37278361</v>
      </c>
      <c r="L25" s="91">
        <f t="shared" si="4"/>
        <v>5.5933438034789958E-2</v>
      </c>
      <c r="M25" s="45"/>
      <c r="N25" s="127">
        <v>37278361</v>
      </c>
      <c r="O25" s="48"/>
      <c r="P25" s="13">
        <v>37278361</v>
      </c>
      <c r="Q25" s="10"/>
      <c r="R25" s="13">
        <v>37278361</v>
      </c>
      <c r="S25" s="10"/>
      <c r="T25" s="13">
        <v>37278361</v>
      </c>
      <c r="U25" s="10"/>
      <c r="V25" s="13">
        <v>37278361</v>
      </c>
      <c r="W25" s="89"/>
    </row>
    <row r="26" spans="2:23" x14ac:dyDescent="0.25">
      <c r="B26" s="119" t="s">
        <v>19</v>
      </c>
      <c r="C26" s="12"/>
      <c r="D26" s="48"/>
      <c r="E26" s="12"/>
      <c r="F26" s="48"/>
      <c r="G26" s="12">
        <v>51835027</v>
      </c>
      <c r="H26" s="48">
        <f t="shared" si="2"/>
        <v>8.792072054944175E-2</v>
      </c>
      <c r="I26" s="12">
        <v>123932250</v>
      </c>
      <c r="J26" s="48">
        <f t="shared" si="3"/>
        <v>0.19756835031810821</v>
      </c>
      <c r="K26" s="12">
        <v>95957967</v>
      </c>
      <c r="L26" s="91">
        <f t="shared" si="4"/>
        <v>0.14397786965845735</v>
      </c>
      <c r="M26" s="45"/>
      <c r="N26" s="127">
        <v>95957967</v>
      </c>
      <c r="O26" s="48"/>
      <c r="P26" s="13">
        <v>95957967</v>
      </c>
      <c r="Q26" s="10"/>
      <c r="R26" s="13">
        <v>95957967</v>
      </c>
      <c r="S26" s="10"/>
      <c r="T26" s="13">
        <v>95957967</v>
      </c>
      <c r="U26" s="10"/>
      <c r="V26" s="13">
        <v>95957967</v>
      </c>
      <c r="W26" s="89"/>
    </row>
    <row r="27" spans="2:23" x14ac:dyDescent="0.25">
      <c r="B27" s="119" t="s">
        <v>20</v>
      </c>
      <c r="C27" s="12"/>
      <c r="D27" s="48"/>
      <c r="E27" s="12">
        <v>10250000</v>
      </c>
      <c r="F27" s="48">
        <f t="shared" si="1"/>
        <v>1.8508776949607619E-2</v>
      </c>
      <c r="G27" s="12">
        <v>30750000</v>
      </c>
      <c r="H27" s="48">
        <f t="shared" si="2"/>
        <v>5.2157051194269347E-2</v>
      </c>
      <c r="I27" s="10"/>
      <c r="J27" s="48"/>
      <c r="K27" s="10"/>
      <c r="L27" s="91"/>
      <c r="M27" s="45"/>
      <c r="N27" s="130"/>
      <c r="O27" s="48"/>
      <c r="P27" s="85"/>
      <c r="Q27" s="10"/>
      <c r="R27" s="85"/>
      <c r="S27" s="10"/>
      <c r="T27" s="85"/>
      <c r="U27" s="10"/>
      <c r="V27" s="85"/>
      <c r="W27" s="89"/>
    </row>
    <row r="28" spans="2:23" x14ac:dyDescent="0.25">
      <c r="B28" s="119" t="s">
        <v>21</v>
      </c>
      <c r="C28" s="12">
        <v>37537297</v>
      </c>
      <c r="D28" s="48">
        <f t="shared" si="0"/>
        <v>7.5644548440461437E-2</v>
      </c>
      <c r="E28" s="12">
        <v>9814481</v>
      </c>
      <c r="F28" s="48">
        <f t="shared" si="1"/>
        <v>1.7722345337088968E-2</v>
      </c>
      <c r="G28" s="12">
        <v>11426964</v>
      </c>
      <c r="H28" s="48">
        <f t="shared" si="2"/>
        <v>1.9382008011156839E-2</v>
      </c>
      <c r="I28" s="12">
        <v>11295722</v>
      </c>
      <c r="J28" s="48">
        <f t="shared" si="3"/>
        <v>1.8007235091688903E-2</v>
      </c>
      <c r="K28" s="12">
        <v>67834662</v>
      </c>
      <c r="L28" s="91">
        <f t="shared" si="4"/>
        <v>0.10178091959536315</v>
      </c>
      <c r="M28" s="45"/>
      <c r="N28" s="127">
        <v>67834662</v>
      </c>
      <c r="O28" s="48"/>
      <c r="P28" s="13">
        <v>67834662</v>
      </c>
      <c r="Q28" s="10"/>
      <c r="R28" s="13">
        <v>67834662</v>
      </c>
      <c r="S28" s="10"/>
      <c r="T28" s="13">
        <v>67834662</v>
      </c>
      <c r="U28" s="10"/>
      <c r="V28" s="13">
        <v>67834662</v>
      </c>
      <c r="W28" s="89"/>
    </row>
    <row r="29" spans="2:23" x14ac:dyDescent="0.25">
      <c r="B29" s="119" t="s">
        <v>22</v>
      </c>
      <c r="C29" s="12">
        <v>2852160</v>
      </c>
      <c r="D29" s="48">
        <f t="shared" si="0"/>
        <v>5.7476262949872625E-3</v>
      </c>
      <c r="E29" s="12">
        <v>13002748</v>
      </c>
      <c r="F29" s="48">
        <f t="shared" si="1"/>
        <v>2.3479508533068932E-2</v>
      </c>
      <c r="G29" s="12">
        <v>7903766</v>
      </c>
      <c r="H29" s="48">
        <f t="shared" si="2"/>
        <v>1.3406085459821965E-2</v>
      </c>
      <c r="I29" s="12">
        <v>4159073</v>
      </c>
      <c r="J29" s="48">
        <f t="shared" si="3"/>
        <v>6.6302450852186194E-3</v>
      </c>
      <c r="K29" s="12">
        <v>3670480</v>
      </c>
      <c r="L29" s="91">
        <f t="shared" si="4"/>
        <v>5.5072851952352696E-3</v>
      </c>
      <c r="M29" s="45"/>
      <c r="N29" s="127">
        <v>3670480</v>
      </c>
      <c r="O29" s="48"/>
      <c r="P29" s="13">
        <v>3670480</v>
      </c>
      <c r="Q29" s="10"/>
      <c r="R29" s="13">
        <v>3670480</v>
      </c>
      <c r="S29" s="10"/>
      <c r="T29" s="13">
        <v>3670480</v>
      </c>
      <c r="U29" s="10"/>
      <c r="V29" s="13">
        <v>3670480</v>
      </c>
      <c r="W29" s="89"/>
    </row>
    <row r="30" spans="2:23" x14ac:dyDescent="0.25">
      <c r="B30" s="119"/>
      <c r="C30" s="20">
        <v>194160127</v>
      </c>
      <c r="D30" s="48">
        <f t="shared" si="0"/>
        <v>0.39126831993410832</v>
      </c>
      <c r="E30" s="20">
        <v>219778551</v>
      </c>
      <c r="F30" s="48">
        <f t="shared" si="1"/>
        <v>0.39686167597726463</v>
      </c>
      <c r="G30" s="20">
        <v>254800670</v>
      </c>
      <c r="H30" s="48">
        <f t="shared" si="2"/>
        <v>0.43218379152923997</v>
      </c>
      <c r="I30" s="20">
        <v>342460219</v>
      </c>
      <c r="J30" s="48">
        <f t="shared" si="3"/>
        <v>0.54593780486845078</v>
      </c>
      <c r="K30" s="125">
        <v>405857905</v>
      </c>
      <c r="L30" s="91">
        <f t="shared" si="4"/>
        <v>0.60895992665147403</v>
      </c>
      <c r="M30" s="45"/>
      <c r="N30" s="131">
        <f>SUM(N18:N22,N24:N26,N28:N29)</f>
        <v>392263431.00549996</v>
      </c>
      <c r="O30" s="10"/>
      <c r="P30" s="117">
        <f>SUM(P18:P22,P24:P26,P28:P29)</f>
        <v>385575716.20008218</v>
      </c>
      <c r="Q30" s="10"/>
      <c r="R30" s="117">
        <f>SUM(R18:R22,R24:R26,R28:R29)</f>
        <v>389371055.14956415</v>
      </c>
      <c r="S30" s="10"/>
      <c r="T30" s="117">
        <f>SUM(T18:T22,T24:T26,T28:T29)</f>
        <v>392043483.05907214</v>
      </c>
      <c r="U30" s="10"/>
      <c r="V30" s="117">
        <f>SUM(V18:V22,V24:V26,V28:V29)</f>
        <v>388535318.88664341</v>
      </c>
      <c r="W30" s="89"/>
    </row>
    <row r="31" spans="2:23" x14ac:dyDescent="0.25">
      <c r="B31" s="119"/>
      <c r="C31" s="10"/>
      <c r="D31" s="48"/>
      <c r="E31" s="10"/>
      <c r="F31" s="48"/>
      <c r="G31" s="10"/>
      <c r="H31" s="48"/>
      <c r="I31" s="10"/>
      <c r="J31" s="48"/>
      <c r="K31" s="10"/>
      <c r="L31" s="91"/>
      <c r="M31" s="45"/>
      <c r="N31" s="119"/>
      <c r="O31" s="10"/>
      <c r="P31" s="10"/>
      <c r="Q31" s="10"/>
      <c r="R31" s="10"/>
      <c r="S31" s="10"/>
      <c r="T31" s="10"/>
      <c r="U31" s="10"/>
      <c r="V31" s="10"/>
      <c r="W31" s="89"/>
    </row>
    <row r="32" spans="2:23" x14ac:dyDescent="0.25">
      <c r="B32" s="121" t="s">
        <v>23</v>
      </c>
      <c r="C32" s="22">
        <v>496232680</v>
      </c>
      <c r="D32" s="48">
        <f t="shared" si="0"/>
        <v>1</v>
      </c>
      <c r="E32" s="22">
        <v>553791319</v>
      </c>
      <c r="F32" s="48">
        <f t="shared" si="1"/>
        <v>1</v>
      </c>
      <c r="G32" s="22">
        <v>589565539</v>
      </c>
      <c r="H32" s="48">
        <f t="shared" si="2"/>
        <v>1</v>
      </c>
      <c r="I32" s="22">
        <v>627287973</v>
      </c>
      <c r="J32" s="48">
        <f t="shared" si="3"/>
        <v>1</v>
      </c>
      <c r="K32" s="126">
        <v>666477197</v>
      </c>
      <c r="L32" s="91">
        <f t="shared" si="4"/>
        <v>1</v>
      </c>
      <c r="M32" s="45"/>
      <c r="N32" s="132">
        <f>SUM(N15,N30)</f>
        <v>652882723.00549996</v>
      </c>
      <c r="O32" s="34"/>
      <c r="P32" s="118">
        <f>SUM(P15,P30)</f>
        <v>646195008.20008218</v>
      </c>
      <c r="Q32" s="34"/>
      <c r="R32" s="118">
        <f>SUM(R15,R30)</f>
        <v>649990347.14956415</v>
      </c>
      <c r="S32" s="34"/>
      <c r="T32" s="118">
        <f>SUM(T15,T30)</f>
        <v>652662775.05907214</v>
      </c>
      <c r="U32" s="34"/>
      <c r="V32" s="118">
        <f>SUM(V15,V30)</f>
        <v>649154610.88664341</v>
      </c>
      <c r="W32" s="89"/>
    </row>
    <row r="33" spans="2:23" x14ac:dyDescent="0.25">
      <c r="B33" s="119"/>
      <c r="C33" s="10"/>
      <c r="D33" s="10"/>
      <c r="E33" s="10"/>
      <c r="F33" s="10"/>
      <c r="G33" s="10"/>
      <c r="H33" s="10"/>
      <c r="I33" s="10"/>
      <c r="J33" s="10"/>
      <c r="K33" s="10"/>
      <c r="L33" s="89"/>
      <c r="N33" s="119"/>
      <c r="O33" s="10"/>
      <c r="P33" s="10"/>
      <c r="Q33" s="10"/>
      <c r="R33" s="10"/>
      <c r="S33" s="10"/>
      <c r="T33" s="10"/>
      <c r="U33" s="10"/>
      <c r="V33" s="10"/>
      <c r="W33" s="89"/>
    </row>
    <row r="34" spans="2:23" x14ac:dyDescent="0.25">
      <c r="B34" s="119"/>
      <c r="C34" s="10"/>
      <c r="D34" s="10"/>
      <c r="E34" s="10"/>
      <c r="F34" s="10"/>
      <c r="G34" s="10"/>
      <c r="H34" s="10"/>
      <c r="I34" s="10"/>
      <c r="J34" s="10"/>
      <c r="K34" s="10"/>
      <c r="L34" s="89"/>
      <c r="N34" s="119"/>
      <c r="O34" s="10"/>
      <c r="P34" s="10"/>
      <c r="Q34" s="10"/>
      <c r="R34" s="10"/>
      <c r="S34" s="10"/>
      <c r="T34" s="10"/>
      <c r="U34" s="10"/>
      <c r="V34" s="10"/>
      <c r="W34" s="89"/>
    </row>
    <row r="35" spans="2:23" x14ac:dyDescent="0.25">
      <c r="B35" s="161" t="s">
        <v>24</v>
      </c>
      <c r="C35" s="162"/>
      <c r="D35" s="162"/>
      <c r="E35" s="162"/>
      <c r="F35" s="162"/>
      <c r="G35" s="162"/>
      <c r="H35" s="162"/>
      <c r="I35" s="162"/>
      <c r="J35" s="162"/>
      <c r="K35" s="162"/>
      <c r="L35" s="163"/>
      <c r="N35" s="173" t="s">
        <v>24</v>
      </c>
      <c r="O35" s="174"/>
      <c r="P35" s="174"/>
      <c r="Q35" s="174"/>
      <c r="R35" s="174"/>
      <c r="S35" s="174"/>
      <c r="T35" s="174"/>
      <c r="U35" s="174"/>
      <c r="V35" s="174"/>
      <c r="W35" s="175"/>
    </row>
    <row r="36" spans="2:23" x14ac:dyDescent="0.25">
      <c r="B36" s="149" t="s">
        <v>25</v>
      </c>
      <c r="C36" s="150"/>
      <c r="D36" s="150"/>
      <c r="E36" s="150"/>
      <c r="F36" s="150"/>
      <c r="G36" s="150"/>
      <c r="H36" s="150"/>
      <c r="I36" s="150"/>
      <c r="J36" s="150"/>
      <c r="K36" s="150"/>
      <c r="L36" s="151"/>
      <c r="N36" s="149" t="s">
        <v>25</v>
      </c>
      <c r="O36" s="150"/>
      <c r="P36" s="150"/>
      <c r="Q36" s="150"/>
      <c r="R36" s="150"/>
      <c r="S36" s="150"/>
      <c r="T36" s="150"/>
      <c r="U36" s="150"/>
      <c r="V36" s="150"/>
      <c r="W36" s="151"/>
    </row>
    <row r="37" spans="2:23" x14ac:dyDescent="0.25">
      <c r="B37" s="121" t="s">
        <v>26</v>
      </c>
      <c r="C37" s="10"/>
      <c r="D37" s="10"/>
      <c r="E37" s="10"/>
      <c r="F37" s="10"/>
      <c r="G37" s="10"/>
      <c r="H37" s="10"/>
      <c r="I37" s="10"/>
      <c r="J37" s="10"/>
      <c r="K37" s="11"/>
      <c r="L37" s="89"/>
      <c r="N37" s="119"/>
      <c r="O37" s="10"/>
      <c r="P37" s="10"/>
      <c r="Q37" s="10"/>
      <c r="R37" s="10"/>
      <c r="S37" s="10"/>
      <c r="T37" s="10"/>
      <c r="U37" s="10"/>
      <c r="V37" s="10"/>
      <c r="W37" s="89"/>
    </row>
    <row r="38" spans="2:23" x14ac:dyDescent="0.25">
      <c r="B38" s="119" t="s">
        <v>27</v>
      </c>
      <c r="C38" s="12">
        <v>22270517</v>
      </c>
      <c r="D38" s="48">
        <f>$C38/$C$32</f>
        <v>4.4879182483507536E-2</v>
      </c>
      <c r="E38" s="12">
        <v>16606840</v>
      </c>
      <c r="F38" s="48">
        <f>$E38/$E$32</f>
        <v>2.998754120954359E-2</v>
      </c>
      <c r="G38" s="12">
        <v>15579499</v>
      </c>
      <c r="H38" s="48">
        <f>$G38/$G$32</f>
        <v>2.6425389493465627E-2</v>
      </c>
      <c r="I38" s="12">
        <v>19638412</v>
      </c>
      <c r="J38" s="48">
        <f>$I38/$I$32</f>
        <v>3.1306852427090928E-2</v>
      </c>
      <c r="K38" s="12">
        <v>19980119</v>
      </c>
      <c r="L38" s="91">
        <f>$K38/$K$32</f>
        <v>2.9978698581040877E-2</v>
      </c>
      <c r="M38" s="45"/>
      <c r="N38" s="127">
        <v>19980119</v>
      </c>
      <c r="O38" s="10"/>
      <c r="P38" s="13">
        <v>19980119</v>
      </c>
      <c r="Q38" s="10"/>
      <c r="R38" s="13">
        <v>19980119</v>
      </c>
      <c r="S38" s="10"/>
      <c r="T38" s="13">
        <v>19980119</v>
      </c>
      <c r="U38" s="10"/>
      <c r="V38" s="13">
        <v>19980119</v>
      </c>
      <c r="W38" s="89"/>
    </row>
    <row r="39" spans="2:23" x14ac:dyDescent="0.25">
      <c r="B39" s="119" t="s">
        <v>28</v>
      </c>
      <c r="C39" s="12">
        <v>9827561</v>
      </c>
      <c r="D39" s="48">
        <f t="shared" ref="D39:D47" si="10">$C39/$C$32</f>
        <v>1.9804340576682695E-2</v>
      </c>
      <c r="E39" s="12">
        <v>12457915</v>
      </c>
      <c r="F39" s="48">
        <f t="shared" ref="F39:F47" si="11">$E39/$E$32</f>
        <v>2.2495684877284976E-2</v>
      </c>
      <c r="G39" s="12">
        <v>14971638</v>
      </c>
      <c r="H39" s="48">
        <f t="shared" ref="H39:H47" si="12">$G39/$G$32</f>
        <v>2.5394357386278644E-2</v>
      </c>
      <c r="I39" s="12">
        <v>19026984</v>
      </c>
      <c r="J39" s="48">
        <f t="shared" ref="J39:J41" si="13">$I39/$I$32</f>
        <v>3.0332135827510917E-2</v>
      </c>
      <c r="K39" s="12">
        <v>21280694</v>
      </c>
      <c r="L39" s="91">
        <f t="shared" ref="L39:L47" si="14">$K39/$K$32</f>
        <v>3.1930115682562502E-2</v>
      </c>
      <c r="M39" s="45"/>
      <c r="N39" s="127">
        <v>21280694</v>
      </c>
      <c r="O39" s="10"/>
      <c r="P39" s="13">
        <v>21280694</v>
      </c>
      <c r="Q39" s="10"/>
      <c r="R39" s="13">
        <v>21280694</v>
      </c>
      <c r="S39" s="10"/>
      <c r="T39" s="13">
        <v>21280694</v>
      </c>
      <c r="U39" s="10"/>
      <c r="V39" s="13">
        <v>21280694</v>
      </c>
      <c r="W39" s="89"/>
    </row>
    <row r="40" spans="2:23" x14ac:dyDescent="0.25">
      <c r="B40" s="119" t="s">
        <v>29</v>
      </c>
      <c r="C40" s="12">
        <v>20417830</v>
      </c>
      <c r="D40" s="48">
        <f t="shared" si="10"/>
        <v>4.114567787030874E-2</v>
      </c>
      <c r="E40" s="12">
        <v>20303619</v>
      </c>
      <c r="F40" s="48">
        <f t="shared" si="11"/>
        <v>3.6662941984469788E-2</v>
      </c>
      <c r="G40" s="12">
        <v>21412687</v>
      </c>
      <c r="H40" s="48">
        <f t="shared" si="12"/>
        <v>3.6319434538727338E-2</v>
      </c>
      <c r="I40" s="12">
        <v>22027796</v>
      </c>
      <c r="J40" s="48">
        <f t="shared" si="13"/>
        <v>3.5115922747015589E-2</v>
      </c>
      <c r="K40" s="12">
        <v>19465075</v>
      </c>
      <c r="L40" s="91">
        <f t="shared" si="14"/>
        <v>2.9205912951887535E-2</v>
      </c>
      <c r="M40" s="45"/>
      <c r="N40" s="127">
        <v>19465075</v>
      </c>
      <c r="O40" s="10"/>
      <c r="P40" s="13">
        <v>19465075</v>
      </c>
      <c r="Q40" s="10"/>
      <c r="R40" s="13">
        <v>19465075</v>
      </c>
      <c r="S40" s="10"/>
      <c r="T40" s="13">
        <v>19465075</v>
      </c>
      <c r="U40" s="10"/>
      <c r="V40" s="13">
        <v>19465075</v>
      </c>
      <c r="W40" s="89"/>
    </row>
    <row r="41" spans="2:23" x14ac:dyDescent="0.25">
      <c r="B41" s="119"/>
      <c r="C41" s="20">
        <v>52515908</v>
      </c>
      <c r="D41" s="48">
        <f t="shared" si="10"/>
        <v>0.10582920093049898</v>
      </c>
      <c r="E41" s="20">
        <v>49368374</v>
      </c>
      <c r="F41" s="48">
        <f t="shared" si="11"/>
        <v>8.9146168071298354E-2</v>
      </c>
      <c r="G41" s="20">
        <v>51963824</v>
      </c>
      <c r="H41" s="48">
        <f t="shared" si="12"/>
        <v>8.8139181418471615E-2</v>
      </c>
      <c r="I41" s="20">
        <v>60693192</v>
      </c>
      <c r="J41" s="48">
        <f t="shared" si="13"/>
        <v>9.6754911001617427E-2</v>
      </c>
      <c r="K41" s="125">
        <v>60725888</v>
      </c>
      <c r="L41" s="91">
        <f t="shared" si="14"/>
        <v>9.1114727215490909E-2</v>
      </c>
      <c r="M41" s="45"/>
      <c r="N41" s="129">
        <v>60725888</v>
      </c>
      <c r="O41" s="10"/>
      <c r="P41" s="21">
        <v>60725888</v>
      </c>
      <c r="Q41" s="10"/>
      <c r="R41" s="21">
        <v>60725888</v>
      </c>
      <c r="S41" s="10"/>
      <c r="T41" s="21">
        <v>60725888</v>
      </c>
      <c r="U41" s="10"/>
      <c r="V41" s="21">
        <v>60725888</v>
      </c>
      <c r="W41" s="89"/>
    </row>
    <row r="42" spans="2:23" x14ac:dyDescent="0.25">
      <c r="B42" s="121" t="s">
        <v>30</v>
      </c>
      <c r="C42" s="12"/>
      <c r="D42" s="48"/>
      <c r="E42" s="10"/>
      <c r="F42" s="48"/>
      <c r="G42" s="10"/>
      <c r="H42" s="48"/>
      <c r="I42" s="10"/>
      <c r="J42" s="48"/>
      <c r="K42" s="10"/>
      <c r="L42" s="91"/>
      <c r="M42" s="45"/>
      <c r="N42" s="119"/>
      <c r="O42" s="10"/>
      <c r="P42" s="10"/>
      <c r="Q42" s="10"/>
      <c r="R42" s="10"/>
      <c r="S42" s="10"/>
      <c r="T42" s="10"/>
      <c r="U42" s="10"/>
      <c r="V42" s="10"/>
      <c r="W42" s="89"/>
    </row>
    <row r="43" spans="2:23" x14ac:dyDescent="0.25">
      <c r="B43" s="119" t="s">
        <v>31</v>
      </c>
      <c r="C43" s="12">
        <v>48045567</v>
      </c>
      <c r="D43" s="48">
        <f t="shared" si="10"/>
        <v>9.682064268721681E-2</v>
      </c>
      <c r="E43" s="12">
        <v>61901977</v>
      </c>
      <c r="F43" s="48">
        <f t="shared" si="11"/>
        <v>0.11177852536904791</v>
      </c>
      <c r="G43" s="12">
        <v>46328588</v>
      </c>
      <c r="H43" s="48">
        <f t="shared" si="12"/>
        <v>7.8580895482088214E-2</v>
      </c>
      <c r="I43" s="12">
        <v>39170859</v>
      </c>
      <c r="J43" s="48">
        <f t="shared" ref="J43:J47" si="15">$I43/$I$47</f>
        <v>0.34269127711737885</v>
      </c>
      <c r="K43" s="12">
        <v>36705914</v>
      </c>
      <c r="L43" s="91">
        <f t="shared" si="14"/>
        <v>5.5074523427393419E-2</v>
      </c>
      <c r="M43" s="45"/>
      <c r="N43" s="130">
        <f>K43*(1+'IS '!$AE$20)</f>
        <v>36333188.385117345</v>
      </c>
      <c r="O43" s="10"/>
      <c r="P43" s="85">
        <f>N43*(1+'IS '!$AE$21)</f>
        <v>35875498.274341844</v>
      </c>
      <c r="Q43" s="10"/>
      <c r="R43" s="85">
        <f>P43*(1+'IS '!$AE$22)</f>
        <v>35939810.11748898</v>
      </c>
      <c r="S43" s="10"/>
      <c r="T43" s="85">
        <f>R43*(1+'IS '!$AE$23)</f>
        <v>35944945.720067814</v>
      </c>
      <c r="U43" s="10"/>
      <c r="V43" s="85">
        <f>T43*(1+'IS '!$AE$25)</f>
        <v>35194826.880127989</v>
      </c>
      <c r="W43" s="89"/>
    </row>
    <row r="44" spans="2:23" x14ac:dyDescent="0.25">
      <c r="B44" s="119" t="s">
        <v>32</v>
      </c>
      <c r="C44" s="10"/>
      <c r="D44" s="48"/>
      <c r="E44" s="10"/>
      <c r="F44" s="48"/>
      <c r="G44" s="12">
        <v>12439784</v>
      </c>
      <c r="H44" s="48">
        <f t="shared" si="12"/>
        <v>2.1099917103533421E-2</v>
      </c>
      <c r="I44" s="12">
        <v>13862361</v>
      </c>
      <c r="J44" s="48">
        <f t="shared" si="15"/>
        <v>0.12127664075358023</v>
      </c>
      <c r="K44" s="12">
        <v>18169267</v>
      </c>
      <c r="L44" s="91">
        <f t="shared" si="14"/>
        <v>2.7261648383147909E-2</v>
      </c>
      <c r="M44" s="45"/>
      <c r="N44" s="130">
        <f>K44*(1+'IS '!$AE$20)</f>
        <v>17984769.449699465</v>
      </c>
      <c r="O44" s="10"/>
      <c r="P44" s="85">
        <f>N44*(1+'IS '!$AE$21)</f>
        <v>17758214.845285047</v>
      </c>
      <c r="Q44" s="10"/>
      <c r="R44" s="85">
        <f>P44*(1+'IS '!$AE$22)</f>
        <v>17790048.926556047</v>
      </c>
      <c r="S44" s="10"/>
      <c r="T44" s="85">
        <f>R44*(1+'IS '!$AE$23)</f>
        <v>17792591.027386468</v>
      </c>
      <c r="U44" s="10"/>
      <c r="V44" s="85">
        <f>T44*(1+'IS '!$AE$25)</f>
        <v>17421285.480149668</v>
      </c>
      <c r="W44" s="89"/>
    </row>
    <row r="45" spans="2:23" x14ac:dyDescent="0.25">
      <c r="B45" s="119" t="s">
        <v>33</v>
      </c>
      <c r="C45" s="10"/>
      <c r="D45" s="48"/>
      <c r="E45" s="10"/>
      <c r="F45" s="48"/>
      <c r="G45" s="12">
        <v>200776</v>
      </c>
      <c r="H45" s="48">
        <f t="shared" si="12"/>
        <v>3.4054907676684949E-4</v>
      </c>
      <c r="I45" s="12">
        <v>577224</v>
      </c>
      <c r="J45" s="48">
        <f t="shared" si="15"/>
        <v>5.0499180970936045E-3</v>
      </c>
      <c r="K45" s="12">
        <v>319706</v>
      </c>
      <c r="L45" s="91">
        <f t="shared" si="14"/>
        <v>4.7969533157186169E-4</v>
      </c>
      <c r="M45" s="45"/>
      <c r="N45" s="130">
        <f>K45*(1+'IS '!$AE$20)</f>
        <v>316459.5853913984</v>
      </c>
      <c r="O45" s="10"/>
      <c r="P45" s="85">
        <f>N45*(1+'IS '!$AE$21)</f>
        <v>312473.13583573297</v>
      </c>
      <c r="Q45" s="10"/>
      <c r="R45" s="85">
        <f>P45*(1+'IS '!$AE$22)</f>
        <v>313033.28759016684</v>
      </c>
      <c r="S45" s="10"/>
      <c r="T45" s="85">
        <f>R45*(1+'IS '!$AE$23)</f>
        <v>313078.01833731751</v>
      </c>
      <c r="U45" s="10"/>
      <c r="V45" s="85">
        <f>T45*(1+'IS '!$AE$25)</f>
        <v>306544.53455479129</v>
      </c>
      <c r="W45" s="89"/>
    </row>
    <row r="46" spans="2:23" x14ac:dyDescent="0.25">
      <c r="B46" s="119"/>
      <c r="C46" s="20">
        <v>48045567</v>
      </c>
      <c r="D46" s="48">
        <f t="shared" si="10"/>
        <v>9.682064268721681E-2</v>
      </c>
      <c r="E46" s="20">
        <v>61901977</v>
      </c>
      <c r="F46" s="48">
        <f t="shared" si="11"/>
        <v>0.11177852536904791</v>
      </c>
      <c r="G46" s="20">
        <v>58969148</v>
      </c>
      <c r="H46" s="48">
        <f t="shared" si="12"/>
        <v>0.10002136166238848</v>
      </c>
      <c r="I46" s="20">
        <v>53610444</v>
      </c>
      <c r="J46" s="48">
        <f t="shared" si="15"/>
        <v>0.46901783596805269</v>
      </c>
      <c r="K46" s="21">
        <v>55194887</v>
      </c>
      <c r="L46" s="91">
        <f t="shared" si="14"/>
        <v>8.2815867142113198E-2</v>
      </c>
      <c r="M46" s="45"/>
      <c r="N46" s="133">
        <f>SUM(N43:N45)</f>
        <v>54634417.420208208</v>
      </c>
      <c r="O46" s="10"/>
      <c r="P46" s="87">
        <f>SUM(P43:P45)</f>
        <v>53946186.255462624</v>
      </c>
      <c r="Q46" s="10"/>
      <c r="R46" s="87">
        <f>SUM(R43:R45)</f>
        <v>54042892.331635199</v>
      </c>
      <c r="S46" s="10"/>
      <c r="T46" s="87">
        <f>SUM(T43:T45)</f>
        <v>54050614.765791602</v>
      </c>
      <c r="U46" s="10"/>
      <c r="V46" s="87">
        <f>SUM(V43:V45)</f>
        <v>52922656.894832447</v>
      </c>
      <c r="W46" s="89"/>
    </row>
    <row r="47" spans="2:23" x14ac:dyDescent="0.25">
      <c r="B47" s="121" t="s">
        <v>34</v>
      </c>
      <c r="C47" s="20">
        <f>C41+C46</f>
        <v>100561475</v>
      </c>
      <c r="D47" s="48">
        <f t="shared" si="10"/>
        <v>0.20264984361771579</v>
      </c>
      <c r="E47" s="20">
        <f>E46+E41</f>
        <v>111270351</v>
      </c>
      <c r="F47" s="48">
        <f t="shared" si="11"/>
        <v>0.20092469344034625</v>
      </c>
      <c r="G47" s="20">
        <f>G41+G46</f>
        <v>110932972</v>
      </c>
      <c r="H47" s="48">
        <f t="shared" si="12"/>
        <v>0.18816054308086008</v>
      </c>
      <c r="I47" s="20">
        <f t="shared" ref="I47:K47" si="16">I41+I46</f>
        <v>114303636</v>
      </c>
      <c r="J47" s="48">
        <f t="shared" si="15"/>
        <v>1</v>
      </c>
      <c r="K47" s="20">
        <f t="shared" si="16"/>
        <v>115920775</v>
      </c>
      <c r="L47" s="91">
        <f t="shared" si="14"/>
        <v>0.17393059435760411</v>
      </c>
      <c r="M47" s="45"/>
      <c r="N47" s="132">
        <f>SUM(N41,N46)</f>
        <v>115360305.42020822</v>
      </c>
      <c r="O47" s="10"/>
      <c r="P47" s="118">
        <f>P41+P46</f>
        <v>114672074.25546262</v>
      </c>
      <c r="Q47" s="10"/>
      <c r="R47" s="118">
        <f>R41+R46</f>
        <v>114768780.33163521</v>
      </c>
      <c r="S47" s="10"/>
      <c r="T47" s="118">
        <f>T41+T46</f>
        <v>114776502.76579159</v>
      </c>
      <c r="U47" s="10"/>
      <c r="V47" s="118">
        <f>V41+V46</f>
        <v>113648544.89483245</v>
      </c>
      <c r="W47" s="89"/>
    </row>
    <row r="48" spans="2:23" x14ac:dyDescent="0.25">
      <c r="B48" s="119"/>
      <c r="C48" s="12"/>
      <c r="D48" s="12"/>
      <c r="E48" s="10"/>
      <c r="F48" s="10"/>
      <c r="G48" s="10"/>
      <c r="H48" s="10"/>
      <c r="I48" s="10"/>
      <c r="J48" s="10"/>
      <c r="K48" s="13"/>
      <c r="L48" s="89"/>
      <c r="N48" s="119"/>
      <c r="O48" s="10"/>
      <c r="P48" s="10"/>
      <c r="Q48" s="10"/>
      <c r="R48" s="10"/>
      <c r="S48" s="10"/>
      <c r="T48" s="10"/>
      <c r="U48" s="10"/>
      <c r="V48" s="10"/>
      <c r="W48" s="89"/>
    </row>
    <row r="49" spans="2:23" x14ac:dyDescent="0.25">
      <c r="B49" s="119"/>
      <c r="C49" s="10"/>
      <c r="D49" s="10"/>
      <c r="E49" s="10"/>
      <c r="F49" s="10"/>
      <c r="G49" s="10"/>
      <c r="H49" s="10"/>
      <c r="I49" s="10"/>
      <c r="J49" s="10"/>
      <c r="K49" s="14"/>
      <c r="L49" s="89"/>
      <c r="N49" s="119"/>
      <c r="O49" s="10"/>
      <c r="P49" s="10"/>
      <c r="Q49" s="10"/>
      <c r="R49" s="10"/>
      <c r="S49" s="10"/>
      <c r="T49" s="10"/>
      <c r="U49" s="10"/>
      <c r="V49" s="10"/>
      <c r="W49" s="89"/>
    </row>
    <row r="50" spans="2:23" x14ac:dyDescent="0.25">
      <c r="B50" s="149" t="s">
        <v>35</v>
      </c>
      <c r="C50" s="150"/>
      <c r="D50" s="150"/>
      <c r="E50" s="150"/>
      <c r="F50" s="150"/>
      <c r="G50" s="150"/>
      <c r="H50" s="150"/>
      <c r="I50" s="150"/>
      <c r="J50" s="150"/>
      <c r="K50" s="150"/>
      <c r="L50" s="151"/>
      <c r="N50" s="149" t="s">
        <v>35</v>
      </c>
      <c r="O50" s="150"/>
      <c r="P50" s="150"/>
      <c r="Q50" s="150"/>
      <c r="R50" s="150"/>
      <c r="S50" s="150"/>
      <c r="T50" s="150"/>
      <c r="U50" s="150"/>
      <c r="V50" s="150"/>
      <c r="W50" s="151"/>
    </row>
    <row r="51" spans="2:23" x14ac:dyDescent="0.25">
      <c r="B51" s="119"/>
      <c r="C51" s="10"/>
      <c r="D51" s="10"/>
      <c r="E51" s="10"/>
      <c r="F51" s="10"/>
      <c r="G51" s="10"/>
      <c r="H51" s="10"/>
      <c r="I51" s="10"/>
      <c r="J51" s="10"/>
      <c r="K51" s="12"/>
      <c r="L51" s="89"/>
      <c r="N51" s="119"/>
      <c r="O51" s="10"/>
      <c r="P51" s="10"/>
      <c r="Q51" s="10"/>
      <c r="R51" s="10"/>
      <c r="S51" s="10"/>
      <c r="T51" s="10"/>
      <c r="U51" s="10"/>
      <c r="V51" s="10"/>
      <c r="W51" s="89"/>
    </row>
    <row r="52" spans="2:23" x14ac:dyDescent="0.25">
      <c r="B52" s="119" t="s">
        <v>36</v>
      </c>
      <c r="C52" s="12">
        <v>43009284</v>
      </c>
      <c r="D52" s="48">
        <f>$C52/$C$32</f>
        <v>8.6671607359676509E-2</v>
      </c>
      <c r="E52" s="12">
        <v>43009284</v>
      </c>
      <c r="F52" s="48">
        <f>$E52/$E$32</f>
        <v>7.766334090910515E-2</v>
      </c>
      <c r="G52" s="12">
        <v>43009284</v>
      </c>
      <c r="H52" s="48">
        <f>$G52/$G$32</f>
        <v>7.2950810647703077E-2</v>
      </c>
      <c r="I52" s="12">
        <v>43009284</v>
      </c>
      <c r="J52" s="48">
        <f>$I52/$I$32</f>
        <v>6.8563858787708654E-2</v>
      </c>
      <c r="K52" s="12">
        <v>43009284</v>
      </c>
      <c r="L52" s="91">
        <f>$K52/$K$32</f>
        <v>6.4532266360494847E-2</v>
      </c>
      <c r="M52" s="45"/>
      <c r="N52" s="127">
        <v>43009284</v>
      </c>
      <c r="O52" s="10"/>
      <c r="P52" s="13">
        <v>43009284</v>
      </c>
      <c r="Q52" s="10"/>
      <c r="R52" s="13">
        <v>43009284</v>
      </c>
      <c r="S52" s="10"/>
      <c r="T52" s="13">
        <v>43009284</v>
      </c>
      <c r="U52" s="10"/>
      <c r="V52" s="13">
        <v>43009284</v>
      </c>
      <c r="W52" s="89"/>
    </row>
    <row r="53" spans="2:23" x14ac:dyDescent="0.25">
      <c r="B53" s="119" t="s">
        <v>37</v>
      </c>
      <c r="C53" s="12">
        <v>6606000</v>
      </c>
      <c r="D53" s="48">
        <f t="shared" ref="D53:D57" si="17">$C53/$C$32</f>
        <v>1.3312303413793707E-2</v>
      </c>
      <c r="E53" s="12">
        <v>7456000</v>
      </c>
      <c r="F53" s="48">
        <f t="shared" ref="F53:F57" si="18">$E53/$E$32</f>
        <v>1.3463555213295064E-2</v>
      </c>
      <c r="G53" s="12">
        <v>10529373</v>
      </c>
      <c r="H53" s="48">
        <f t="shared" ref="H53:H57" si="19">$G53/$G$32</f>
        <v>1.7859546231042515E-2</v>
      </c>
      <c r="I53" s="12">
        <v>12093287</v>
      </c>
      <c r="J53" s="48">
        <f t="shared" ref="J53:J57" si="20">$I53/$I$32</f>
        <v>1.9278684624167024E-2</v>
      </c>
      <c r="K53" s="12">
        <v>13366622</v>
      </c>
      <c r="L53" s="91">
        <f t="shared" ref="L53:L57" si="21">$K53/$K$32</f>
        <v>2.0055632901120845E-2</v>
      </c>
      <c r="M53" s="45"/>
      <c r="N53" s="127">
        <v>13366622</v>
      </c>
      <c r="O53" s="10"/>
      <c r="P53" s="13">
        <v>13366622</v>
      </c>
      <c r="Q53" s="10"/>
      <c r="R53" s="13">
        <v>13366622</v>
      </c>
      <c r="S53" s="10"/>
      <c r="T53" s="13">
        <v>13366622</v>
      </c>
      <c r="U53" s="10"/>
      <c r="V53" s="13">
        <v>13366622</v>
      </c>
      <c r="W53" s="89"/>
    </row>
    <row r="54" spans="2:23" x14ac:dyDescent="0.25">
      <c r="B54" s="119" t="s">
        <v>38</v>
      </c>
      <c r="C54" s="12">
        <v>346055921</v>
      </c>
      <c r="D54" s="48">
        <f t="shared" si="17"/>
        <v>0.69736624560881399</v>
      </c>
      <c r="E54" s="12">
        <v>392055684</v>
      </c>
      <c r="F54" s="48">
        <f t="shared" si="18"/>
        <v>0.70794841043725354</v>
      </c>
      <c r="G54" s="12">
        <v>425093910</v>
      </c>
      <c r="H54" s="48">
        <f t="shared" si="19"/>
        <v>0.72102910004039433</v>
      </c>
      <c r="I54" s="12">
        <v>457881766</v>
      </c>
      <c r="J54" s="48">
        <f t="shared" si="20"/>
        <v>0.72993869754936302</v>
      </c>
      <c r="K54" s="12">
        <v>494180516</v>
      </c>
      <c r="L54" s="91">
        <f t="shared" si="21"/>
        <v>0.74148150638078014</v>
      </c>
      <c r="M54" s="45"/>
      <c r="N54" s="12">
        <f>494180516-13034004</f>
        <v>481146512</v>
      </c>
      <c r="O54" s="10"/>
      <c r="P54" s="13">
        <f>494180516-19033488</f>
        <v>475147028</v>
      </c>
      <c r="Q54" s="10"/>
      <c r="R54" s="13">
        <f>494180516-15334855</f>
        <v>478845661</v>
      </c>
      <c r="S54" s="10"/>
      <c r="T54" s="13">
        <f>494180516-12670150</f>
        <v>481510366</v>
      </c>
      <c r="U54" s="10"/>
      <c r="V54" s="13">
        <f>494180516-15050356</f>
        <v>479130160</v>
      </c>
      <c r="W54" s="89"/>
    </row>
    <row r="55" spans="2:23" x14ac:dyDescent="0.25">
      <c r="B55" s="121" t="s">
        <v>39</v>
      </c>
      <c r="C55" s="20">
        <v>395671205</v>
      </c>
      <c r="D55" s="48">
        <f t="shared" si="17"/>
        <v>0.79735015638228424</v>
      </c>
      <c r="E55" s="20">
        <v>442520968</v>
      </c>
      <c r="F55" s="48">
        <f t="shared" si="18"/>
        <v>0.79907530655965375</v>
      </c>
      <c r="G55" s="20">
        <v>478632567</v>
      </c>
      <c r="H55" s="48">
        <f t="shared" si="19"/>
        <v>0.81183945691913995</v>
      </c>
      <c r="I55" s="20">
        <v>512984337</v>
      </c>
      <c r="J55" s="48">
        <f t="shared" si="20"/>
        <v>0.81778124096123872</v>
      </c>
      <c r="K55" s="21">
        <v>550556422</v>
      </c>
      <c r="L55" s="91">
        <f t="shared" si="21"/>
        <v>0.82606940564239595</v>
      </c>
      <c r="M55" s="45"/>
      <c r="N55" s="129">
        <f>SUM(N52:N54)</f>
        <v>537522418</v>
      </c>
      <c r="O55" s="10"/>
      <c r="P55" s="21">
        <f>SUM(P52:P54)</f>
        <v>531522934</v>
      </c>
      <c r="Q55" s="10"/>
      <c r="R55" s="21">
        <f>SUM(R52:R54)</f>
        <v>535221567</v>
      </c>
      <c r="S55" s="10"/>
      <c r="T55" s="21">
        <f>SUM(T52:T54)</f>
        <v>537886272</v>
      </c>
      <c r="U55" s="10"/>
      <c r="V55" s="21">
        <f>SUM(V52:V54)</f>
        <v>535506066</v>
      </c>
      <c r="W55" s="89"/>
    </row>
    <row r="56" spans="2:23" x14ac:dyDescent="0.25">
      <c r="B56" s="121" t="s">
        <v>40</v>
      </c>
      <c r="C56" s="12"/>
      <c r="D56" s="48"/>
      <c r="E56" s="10"/>
      <c r="F56" s="48"/>
      <c r="G56" s="10"/>
      <c r="H56" s="48"/>
      <c r="I56" s="10"/>
      <c r="J56" s="48"/>
      <c r="K56" s="11"/>
      <c r="L56" s="91"/>
      <c r="M56" s="45"/>
      <c r="N56" s="134">
        <f>N$57-N$32</f>
        <v>0.41470825672149658</v>
      </c>
      <c r="O56" s="12"/>
      <c r="P56" s="12"/>
      <c r="Q56" s="12"/>
      <c r="R56" s="12"/>
      <c r="S56" s="12"/>
      <c r="T56" s="12"/>
      <c r="U56" s="12"/>
      <c r="V56" s="12"/>
      <c r="W56" s="89"/>
    </row>
    <row r="57" spans="2:23" x14ac:dyDescent="0.25">
      <c r="B57" s="122" t="s">
        <v>41</v>
      </c>
      <c r="C57" s="118">
        <v>496232680</v>
      </c>
      <c r="D57" s="123">
        <f t="shared" si="17"/>
        <v>1</v>
      </c>
      <c r="E57" s="118">
        <v>553791319</v>
      </c>
      <c r="F57" s="123">
        <f t="shared" si="18"/>
        <v>1</v>
      </c>
      <c r="G57" s="118">
        <v>589565539</v>
      </c>
      <c r="H57" s="123">
        <f t="shared" si="19"/>
        <v>1</v>
      </c>
      <c r="I57" s="118">
        <v>627287973</v>
      </c>
      <c r="J57" s="123">
        <f t="shared" si="20"/>
        <v>1</v>
      </c>
      <c r="K57" s="124">
        <v>666477197</v>
      </c>
      <c r="L57" s="99">
        <f t="shared" si="21"/>
        <v>1</v>
      </c>
      <c r="M57" s="45"/>
      <c r="N57" s="135">
        <f>SUM(N47,N55)</f>
        <v>652882723.42020822</v>
      </c>
      <c r="O57" s="136"/>
      <c r="P57" s="137">
        <f>P47+P55</f>
        <v>646195008.25546265</v>
      </c>
      <c r="Q57" s="136"/>
      <c r="R57" s="137">
        <f>R47+R55</f>
        <v>649990347.33163524</v>
      </c>
      <c r="S57" s="136"/>
      <c r="T57" s="137">
        <f>T47+T55</f>
        <v>652662774.76579165</v>
      </c>
      <c r="U57" s="136"/>
      <c r="V57" s="137">
        <f>V47+V55</f>
        <v>649154610.89483249</v>
      </c>
      <c r="W57" s="138"/>
    </row>
    <row r="59" spans="2:23" x14ac:dyDescent="0.25">
      <c r="N59" s="1"/>
    </row>
    <row r="60" spans="2:23" x14ac:dyDescent="0.25">
      <c r="N60" s="1"/>
    </row>
  </sheetData>
  <mergeCells count="12">
    <mergeCell ref="N36:W36"/>
    <mergeCell ref="N50:W50"/>
    <mergeCell ref="B2:L3"/>
    <mergeCell ref="B6:L6"/>
    <mergeCell ref="B35:L35"/>
    <mergeCell ref="B36:L36"/>
    <mergeCell ref="B50:L50"/>
    <mergeCell ref="N6:W6"/>
    <mergeCell ref="N2:W3"/>
    <mergeCell ref="N5:V5"/>
    <mergeCell ref="N35:W35"/>
    <mergeCell ref="C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4"/>
  <sheetViews>
    <sheetView topLeftCell="I1" zoomScale="85" zoomScaleNormal="85" workbookViewId="0">
      <selection activeCell="AH26" sqref="AH26"/>
    </sheetView>
  </sheetViews>
  <sheetFormatPr defaultRowHeight="15" x14ac:dyDescent="0.25"/>
  <cols>
    <col min="7" max="7" width="11.28515625" bestFit="1" customWidth="1"/>
    <col min="8" max="8" width="12.85546875" bestFit="1" customWidth="1"/>
    <col min="9" max="9" width="11.28515625" bestFit="1" customWidth="1"/>
    <col min="10" max="10" width="10.42578125" customWidth="1"/>
    <col min="11" max="11" width="11.28515625" bestFit="1" customWidth="1"/>
    <col min="12" max="12" width="11.28515625" customWidth="1"/>
    <col min="13" max="13" width="11.28515625" bestFit="1" customWidth="1"/>
    <col min="14" max="14" width="9.85546875" bestFit="1" customWidth="1"/>
    <col min="15" max="15" width="11.28515625" bestFit="1" customWidth="1"/>
    <col min="16" max="17" width="11.28515625" customWidth="1"/>
    <col min="18" max="18" width="15.85546875" bestFit="1" customWidth="1"/>
    <col min="19" max="19" width="12.140625" customWidth="1"/>
    <col min="20" max="20" width="12.7109375" bestFit="1" customWidth="1"/>
    <col min="21" max="21" width="9.85546875" bestFit="1" customWidth="1"/>
    <col min="22" max="22" width="11.28515625" bestFit="1" customWidth="1"/>
    <col min="24" max="24" width="12.7109375" bestFit="1" customWidth="1"/>
    <col min="25" max="25" width="14.42578125" bestFit="1" customWidth="1"/>
    <col min="26" max="26" width="11.28515625" bestFit="1" customWidth="1"/>
    <col min="27" max="27" width="12.28515625" bestFit="1" customWidth="1"/>
    <col min="29" max="29" width="12" hidden="1" customWidth="1"/>
    <col min="30" max="30" width="17.140625" hidden="1" customWidth="1"/>
    <col min="31" max="31" width="0" hidden="1" customWidth="1"/>
    <col min="32" max="32" width="11" bestFit="1" customWidth="1"/>
  </cols>
  <sheetData>
    <row r="1" spans="2:32" ht="15.75" customHeight="1" x14ac:dyDescent="0.25">
      <c r="C1" s="2"/>
      <c r="D1" s="2"/>
      <c r="E1" s="2"/>
      <c r="F1" s="2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"/>
      <c r="Y1" s="3"/>
    </row>
    <row r="2" spans="2:32" ht="15" customHeight="1" x14ac:dyDescent="0.25">
      <c r="C2" s="193" t="s">
        <v>42</v>
      </c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5"/>
      <c r="Q2" s="108"/>
      <c r="R2" s="187" t="s">
        <v>43</v>
      </c>
      <c r="S2" s="188"/>
      <c r="T2" s="188"/>
      <c r="U2" s="188"/>
      <c r="V2" s="188"/>
      <c r="W2" s="188"/>
      <c r="X2" s="188"/>
      <c r="Y2" s="188"/>
      <c r="Z2" s="188"/>
      <c r="AA2" s="189"/>
    </row>
    <row r="3" spans="2:32" ht="26.25" customHeight="1" x14ac:dyDescent="0.25">
      <c r="C3" s="196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8"/>
      <c r="Q3" s="109"/>
      <c r="R3" s="190"/>
      <c r="S3" s="191"/>
      <c r="T3" s="191"/>
      <c r="U3" s="191"/>
      <c r="V3" s="191"/>
      <c r="W3" s="191"/>
      <c r="X3" s="191"/>
      <c r="Y3" s="191"/>
      <c r="Z3" s="191"/>
      <c r="AA3" s="192"/>
    </row>
    <row r="4" spans="2:32" ht="26.25" customHeight="1" x14ac:dyDescent="0.25">
      <c r="C4" s="106"/>
      <c r="D4" s="107"/>
      <c r="E4" s="107"/>
      <c r="F4" s="107"/>
      <c r="G4" s="199" t="s">
        <v>44</v>
      </c>
      <c r="H4" s="199"/>
      <c r="I4" s="199"/>
      <c r="J4" s="199"/>
      <c r="K4" s="199"/>
      <c r="L4" s="199"/>
      <c r="M4" s="199"/>
      <c r="N4" s="199"/>
      <c r="O4" s="199"/>
      <c r="P4" s="200"/>
      <c r="Q4" s="109"/>
      <c r="R4" s="199" t="s">
        <v>44</v>
      </c>
      <c r="S4" s="199"/>
      <c r="T4" s="199"/>
      <c r="U4" s="199"/>
      <c r="V4" s="199"/>
      <c r="W4" s="199"/>
      <c r="X4" s="199"/>
      <c r="Y4" s="199"/>
      <c r="Z4" s="199"/>
      <c r="AA4" s="200"/>
    </row>
    <row r="5" spans="2:32" x14ac:dyDescent="0.25">
      <c r="C5" s="179"/>
      <c r="D5" s="180"/>
      <c r="E5" s="180"/>
      <c r="F5" s="181"/>
      <c r="G5" s="112">
        <v>2014</v>
      </c>
      <c r="H5" s="77" t="s">
        <v>45</v>
      </c>
      <c r="I5" s="7">
        <v>2015</v>
      </c>
      <c r="J5" s="77" t="s">
        <v>45</v>
      </c>
      <c r="K5" s="7">
        <v>2016</v>
      </c>
      <c r="L5" s="77" t="s">
        <v>45</v>
      </c>
      <c r="M5" s="7">
        <v>2017</v>
      </c>
      <c r="N5" s="78" t="s">
        <v>45</v>
      </c>
      <c r="O5" s="6">
        <v>2018</v>
      </c>
      <c r="P5" s="77" t="s">
        <v>45</v>
      </c>
      <c r="Q5" s="78"/>
      <c r="R5" s="6">
        <v>2019</v>
      </c>
      <c r="S5" s="77" t="s">
        <v>45</v>
      </c>
      <c r="T5" s="7">
        <v>2020</v>
      </c>
      <c r="U5" s="77" t="s">
        <v>45</v>
      </c>
      <c r="V5" s="7">
        <v>2021</v>
      </c>
      <c r="W5" s="76" t="s">
        <v>45</v>
      </c>
      <c r="X5" s="7">
        <v>2022</v>
      </c>
      <c r="Y5" s="67" t="s">
        <v>45</v>
      </c>
      <c r="Z5" s="6">
        <v>2023</v>
      </c>
      <c r="AA5" s="90" t="s">
        <v>45</v>
      </c>
      <c r="AC5" t="s">
        <v>46</v>
      </c>
      <c r="AD5" t="s">
        <v>47</v>
      </c>
      <c r="AE5" t="s">
        <v>48</v>
      </c>
    </row>
    <row r="6" spans="2:32" x14ac:dyDescent="0.25">
      <c r="C6" s="176" t="s">
        <v>49</v>
      </c>
      <c r="D6" s="177"/>
      <c r="E6" s="177"/>
      <c r="F6" s="178"/>
      <c r="G6" s="12">
        <v>257014254</v>
      </c>
      <c r="H6" s="48">
        <f>$G6/$G$6</f>
        <v>1</v>
      </c>
      <c r="I6" s="12">
        <v>210624908</v>
      </c>
      <c r="J6" s="48">
        <f>$I6/$I$6</f>
        <v>1</v>
      </c>
      <c r="K6" s="12">
        <v>162866578</v>
      </c>
      <c r="L6" s="48">
        <f>$K6/$K$6</f>
        <v>1</v>
      </c>
      <c r="M6" s="12">
        <v>171829364</v>
      </c>
      <c r="N6" s="48">
        <f>$M6/$M$6</f>
        <v>1</v>
      </c>
      <c r="O6" s="12">
        <f>1+ABS(205335000)</f>
        <v>205335001</v>
      </c>
      <c r="P6" s="86">
        <f>$O6/$O$6</f>
        <v>1</v>
      </c>
      <c r="Q6" s="48"/>
      <c r="R6" s="100">
        <f>O6*(1+AE10)</f>
        <v>190030063.19316524</v>
      </c>
      <c r="S6" s="48">
        <f>$R6/$R$6</f>
        <v>1</v>
      </c>
      <c r="T6" s="85">
        <f>R6*(1+AE11)</f>
        <v>182503018.5200412</v>
      </c>
      <c r="U6" s="48">
        <f>$T6/$T$6</f>
        <v>1</v>
      </c>
      <c r="V6" s="12">
        <f>AC13</f>
        <v>186771466.9910658</v>
      </c>
      <c r="W6" s="48">
        <f>$V6/$V$6</f>
        <v>1</v>
      </c>
      <c r="X6" s="12">
        <f>AC14</f>
        <v>189771314.50022057</v>
      </c>
      <c r="Y6" s="48">
        <f>$X6/$X$6</f>
        <v>1</v>
      </c>
      <c r="Z6" s="12">
        <f>AC15</f>
        <v>185827799.96716908</v>
      </c>
      <c r="AA6" s="91">
        <f>$Z6/$Z$6</f>
        <v>1</v>
      </c>
      <c r="AC6" s="1">
        <f>G6</f>
        <v>257014254</v>
      </c>
      <c r="AD6" s="44"/>
      <c r="AF6" s="1"/>
    </row>
    <row r="7" spans="2:32" x14ac:dyDescent="0.25">
      <c r="B7" t="s">
        <v>50</v>
      </c>
      <c r="C7" s="176" t="s">
        <v>51</v>
      </c>
      <c r="D7" s="177"/>
      <c r="E7" s="177"/>
      <c r="F7" s="177"/>
      <c r="G7" s="12">
        <v>29720093</v>
      </c>
      <c r="H7" s="48">
        <f t="shared" ref="H7:H27" si="0">$G7/$G$6</f>
        <v>0.11563597169206032</v>
      </c>
      <c r="I7" s="12">
        <v>23736702</v>
      </c>
      <c r="J7" s="48">
        <f t="shared" ref="J7:J8" si="1">$I7/$I$6</f>
        <v>0.11269655723719058</v>
      </c>
      <c r="K7" s="12">
        <v>18078772</v>
      </c>
      <c r="L7" s="48">
        <f t="shared" ref="L7:L27" si="2">$K7/$K$6</f>
        <v>0.11100357250706158</v>
      </c>
      <c r="M7" s="10" t="s">
        <v>52</v>
      </c>
      <c r="N7" s="48">
        <f>0.1077</f>
        <v>0.1077</v>
      </c>
      <c r="O7" s="12">
        <v>21970947</v>
      </c>
      <c r="P7" s="86">
        <f>$O7/$O$6</f>
        <v>0.10700049622811261</v>
      </c>
      <c r="Q7" s="48"/>
      <c r="R7" s="100">
        <f>AVERAGE($H7,$J7,$L7,$N7,$P7)*$R$6</f>
        <v>21056721.933099389</v>
      </c>
      <c r="S7" s="48">
        <f t="shared" ref="S7:S27" si="3">$R7/$R$6</f>
        <v>0.110807319532885</v>
      </c>
      <c r="T7" s="85">
        <f>$T$6*AVERAGE($J7,$L7,$N7,$P7,$S7)</f>
        <v>20046421.569979675</v>
      </c>
      <c r="U7" s="48">
        <f t="shared" ref="U7:U27" si="4">$T7/$T$6</f>
        <v>0.10984158910104995</v>
      </c>
      <c r="V7" s="85">
        <f>$V$6*AVERAGE($L7,$N7,$P7,$S7,$U7)</f>
        <v>20408629.415633019</v>
      </c>
      <c r="W7" s="48">
        <f t="shared" ref="W7:W27" si="5">$V7/$V$6</f>
        <v>0.10927059547382184</v>
      </c>
      <c r="X7" s="85">
        <f>$X$6*AVERAGE($N7,$P7,$S7,$U7,$W7)</f>
        <v>20670650.673369702</v>
      </c>
      <c r="Y7" s="48">
        <f t="shared" ref="Y7:Y27" si="6">$X7/$X$6</f>
        <v>0.10892400006717388</v>
      </c>
      <c r="Z7" s="85">
        <f>$Z$6*AVERAGE($P7,$S7,$U7,$W7,$Y7)</f>
        <v>20286597.944035217</v>
      </c>
      <c r="AA7" s="91">
        <f t="shared" ref="AA7:AA27" si="7">$Z7/$Z$6</f>
        <v>0.10916880008060866</v>
      </c>
      <c r="AC7" s="1">
        <f>I6</f>
        <v>210624908</v>
      </c>
      <c r="AD7" s="45">
        <f>(AC7-AC6)/AC7</f>
        <v>-0.22024624931824302</v>
      </c>
      <c r="AF7" s="1"/>
    </row>
    <row r="8" spans="2:32" x14ac:dyDescent="0.25">
      <c r="B8" t="s">
        <v>50</v>
      </c>
      <c r="C8" s="176" t="s">
        <v>53</v>
      </c>
      <c r="D8" s="177"/>
      <c r="E8" s="177"/>
      <c r="F8" s="177"/>
      <c r="G8" s="12">
        <v>48833114</v>
      </c>
      <c r="H8" s="48">
        <f t="shared" si="0"/>
        <v>0.19000157866730613</v>
      </c>
      <c r="I8" s="12">
        <v>52935481</v>
      </c>
      <c r="J8" s="48">
        <f t="shared" si="1"/>
        <v>0.25132583559395549</v>
      </c>
      <c r="K8" s="12">
        <v>54986250</v>
      </c>
      <c r="L8" s="48">
        <f t="shared" si="2"/>
        <v>0.33761530864853068</v>
      </c>
      <c r="M8" s="12">
        <v>56585214</v>
      </c>
      <c r="N8" s="48">
        <f t="shared" ref="N8:N27" si="8">$M8/$M$6</f>
        <v>0.32931050131804013</v>
      </c>
      <c r="O8" s="12">
        <v>60213460</v>
      </c>
      <c r="P8" s="86">
        <f>$O8/$O$6</f>
        <v>0.29324498846643293</v>
      </c>
      <c r="Q8" s="48"/>
      <c r="R8" s="100">
        <f t="shared" ref="R8:R27" si="9">AVERAGE($H8,$J8,$L8,$N8,$P8)*$R$6</f>
        <v>53265358.784679882</v>
      </c>
      <c r="S8" s="48">
        <f t="shared" si="3"/>
        <v>0.28029964253885309</v>
      </c>
      <c r="T8" s="85">
        <f t="shared" ref="T8:T27" si="10">$T$6*AVERAGE($J8,$L8,$N8,$P8,$S8)</f>
        <v>54451464.698043793</v>
      </c>
      <c r="U8" s="48">
        <f t="shared" si="4"/>
        <v>0.29835925531316249</v>
      </c>
      <c r="V8" s="85">
        <f t="shared" ref="V8:V27" si="11">$V$6*AVERAGE($L8,$N8,$P8,$S8,$U8)</f>
        <v>57481895.96491386</v>
      </c>
      <c r="W8" s="48">
        <f t="shared" si="5"/>
        <v>0.30776593925700385</v>
      </c>
      <c r="X8" s="85">
        <f t="shared" ref="X8:X27" si="12">$X$6*AVERAGE($N8,$P8,$S8,$U8,$W8)</f>
        <v>57272236.037910126</v>
      </c>
      <c r="Y8" s="48">
        <f t="shared" si="6"/>
        <v>0.30179606537869852</v>
      </c>
      <c r="Z8" s="85">
        <f t="shared" ref="Z8:Z27" si="13">$Z$6*AVERAGE($P8,$S8,$U8,$W8,$Y8)</f>
        <v>55059509.448482372</v>
      </c>
      <c r="AA8" s="91">
        <f t="shared" si="7"/>
        <v>0.29629317819083018</v>
      </c>
      <c r="AC8" s="1">
        <f>K6</f>
        <v>162866578</v>
      </c>
      <c r="AD8" s="45">
        <f t="shared" ref="AD8:AD10" si="14">(AC8-AC7)/AC8</f>
        <v>-0.29323591486032202</v>
      </c>
      <c r="AF8" s="1"/>
    </row>
    <row r="9" spans="2:32" x14ac:dyDescent="0.25">
      <c r="B9" t="s">
        <v>50</v>
      </c>
      <c r="C9" s="176" t="s">
        <v>54</v>
      </c>
      <c r="D9" s="177"/>
      <c r="E9" s="177"/>
      <c r="F9" s="177"/>
      <c r="G9" s="12">
        <v>2388243</v>
      </c>
      <c r="H9" s="48">
        <f t="shared" si="0"/>
        <v>9.2922589421830272E-3</v>
      </c>
      <c r="I9" s="10" t="s">
        <v>55</v>
      </c>
      <c r="J9" s="48">
        <f>0.0094</f>
        <v>9.4000000000000004E-3</v>
      </c>
      <c r="K9" s="12">
        <v>1912017</v>
      </c>
      <c r="L9" s="48">
        <f t="shared" si="2"/>
        <v>1.1739775118256614E-2</v>
      </c>
      <c r="M9" s="12">
        <v>1720982</v>
      </c>
      <c r="N9" s="48">
        <f t="shared" si="8"/>
        <v>1.0015645521448825E-2</v>
      </c>
      <c r="O9" s="12">
        <v>1670850</v>
      </c>
      <c r="P9" s="86">
        <f t="shared" ref="P9:P27" si="15">$O9/$O$6</f>
        <v>8.1371904052539006E-3</v>
      </c>
      <c r="Q9" s="48"/>
      <c r="R9" s="100">
        <f t="shared" si="9"/>
        <v>1846517.1827776763</v>
      </c>
      <c r="S9" s="48">
        <f t="shared" si="3"/>
        <v>9.7169739974284734E-3</v>
      </c>
      <c r="T9" s="85">
        <f t="shared" si="10"/>
        <v>1788879.4413300874</v>
      </c>
      <c r="U9" s="48">
        <f t="shared" si="4"/>
        <v>9.8019170084775627E-3</v>
      </c>
      <c r="V9" s="85">
        <f t="shared" si="11"/>
        <v>1845731.7448544367</v>
      </c>
      <c r="W9" s="48">
        <f t="shared" si="5"/>
        <v>9.8823004101730762E-3</v>
      </c>
      <c r="X9" s="85">
        <f t="shared" si="12"/>
        <v>1804878.055723828</v>
      </c>
      <c r="Y9" s="48">
        <f t="shared" si="6"/>
        <v>9.510805468556368E-3</v>
      </c>
      <c r="Z9" s="85">
        <f t="shared" si="13"/>
        <v>1748609.3928646876</v>
      </c>
      <c r="AA9" s="91">
        <f t="shared" si="7"/>
        <v>9.4098374579778769E-3</v>
      </c>
      <c r="AC9" s="1">
        <f>M6</f>
        <v>171829364</v>
      </c>
      <c r="AD9" s="45">
        <f t="shared" si="14"/>
        <v>5.2160968249873756E-2</v>
      </c>
      <c r="AF9" s="1"/>
    </row>
    <row r="10" spans="2:32" x14ac:dyDescent="0.25">
      <c r="B10" t="s">
        <v>50</v>
      </c>
      <c r="C10" s="176" t="s">
        <v>56</v>
      </c>
      <c r="D10" s="177"/>
      <c r="E10" s="177"/>
      <c r="F10" s="177"/>
      <c r="G10" s="83">
        <v>80941450</v>
      </c>
      <c r="H10" s="48">
        <f t="shared" si="0"/>
        <v>0.31492980930154946</v>
      </c>
      <c r="I10" s="83">
        <v>78657997</v>
      </c>
      <c r="J10" s="48">
        <f t="shared" ref="J10:J27" si="16">$I10/$I$6</f>
        <v>0.37345059398198049</v>
      </c>
      <c r="K10" s="83">
        <v>74977039</v>
      </c>
      <c r="L10" s="48">
        <f t="shared" si="2"/>
        <v>0.46035865627384887</v>
      </c>
      <c r="M10" s="83">
        <v>76825178</v>
      </c>
      <c r="N10" s="48">
        <f t="shared" si="8"/>
        <v>0.44710156757607505</v>
      </c>
      <c r="O10" s="83">
        <v>83855257</v>
      </c>
      <c r="P10" s="86">
        <f t="shared" si="15"/>
        <v>0.40838267509979947</v>
      </c>
      <c r="Q10" s="48"/>
      <c r="R10" s="104">
        <f t="shared" si="9"/>
        <v>76172536.155319884</v>
      </c>
      <c r="S10" s="48">
        <f t="shared" si="3"/>
        <v>0.40084466044665062</v>
      </c>
      <c r="T10" s="105">
        <f t="shared" si="10"/>
        <v>76291304.423090905</v>
      </c>
      <c r="U10" s="48">
        <f t="shared" si="4"/>
        <v>0.41802763067567089</v>
      </c>
      <c r="V10" s="105">
        <f t="shared" si="11"/>
        <v>79740777.531573519</v>
      </c>
      <c r="W10" s="48">
        <f t="shared" si="5"/>
        <v>0.42694303801440886</v>
      </c>
      <c r="X10" s="105">
        <f t="shared" si="12"/>
        <v>79753276.380325735</v>
      </c>
      <c r="Y10" s="48">
        <f t="shared" si="6"/>
        <v>0.42025991436252097</v>
      </c>
      <c r="Z10" s="105">
        <f t="shared" si="13"/>
        <v>77098390.227546871</v>
      </c>
      <c r="AA10" s="91">
        <f t="shared" si="7"/>
        <v>0.41489158371981022</v>
      </c>
      <c r="AC10" s="1">
        <f>O6</f>
        <v>205335001</v>
      </c>
      <c r="AD10" s="45">
        <f t="shared" si="14"/>
        <v>0.16317547830045789</v>
      </c>
      <c r="AE10" s="45">
        <f>AVERAGE(AD7:AD10)</f>
        <v>-7.4536429407058347E-2</v>
      </c>
      <c r="AF10" s="1"/>
    </row>
    <row r="11" spans="2:32" x14ac:dyDescent="0.25">
      <c r="C11" s="204" t="s">
        <v>57</v>
      </c>
      <c r="D11" s="205"/>
      <c r="E11" s="205"/>
      <c r="F11" s="206"/>
      <c r="G11" s="84">
        <v>176072804</v>
      </c>
      <c r="H11" s="48">
        <f t="shared" si="0"/>
        <v>0.68507019069845054</v>
      </c>
      <c r="I11" s="32">
        <v>131966911</v>
      </c>
      <c r="J11" s="48">
        <f t="shared" si="16"/>
        <v>0.62654940601801945</v>
      </c>
      <c r="K11" s="32">
        <v>87889539</v>
      </c>
      <c r="L11" s="48">
        <f t="shared" si="2"/>
        <v>0.53964134372615113</v>
      </c>
      <c r="M11" s="32">
        <v>95004186</v>
      </c>
      <c r="N11" s="48">
        <f t="shared" si="8"/>
        <v>0.55289843242392489</v>
      </c>
      <c r="O11" s="32">
        <v>121479743</v>
      </c>
      <c r="P11" s="86">
        <f t="shared" si="15"/>
        <v>0.59161732003011025</v>
      </c>
      <c r="Q11" s="48"/>
      <c r="R11" s="102">
        <f t="shared" si="9"/>
        <v>113857526.85275263</v>
      </c>
      <c r="S11" s="48">
        <f t="shared" si="3"/>
        <v>0.59915533857933123</v>
      </c>
      <c r="T11" s="103">
        <f t="shared" si="10"/>
        <v>106211713.88363682</v>
      </c>
      <c r="U11" s="48">
        <f t="shared" si="4"/>
        <v>0.58197236815550746</v>
      </c>
      <c r="V11" s="103">
        <f t="shared" si="11"/>
        <v>107030689.19752923</v>
      </c>
      <c r="W11" s="48">
        <f t="shared" si="5"/>
        <v>0.57305696058300504</v>
      </c>
      <c r="X11" s="103">
        <f t="shared" si="12"/>
        <v>110018037.80049013</v>
      </c>
      <c r="Y11" s="48">
        <f t="shared" si="6"/>
        <v>0.57974008395437582</v>
      </c>
      <c r="Z11" s="103">
        <f t="shared" si="13"/>
        <v>108729409.36430135</v>
      </c>
      <c r="AA11" s="91">
        <f t="shared" si="7"/>
        <v>0.58510841426046589</v>
      </c>
      <c r="AC11" s="1">
        <f>R6</f>
        <v>190030063.19316524</v>
      </c>
      <c r="AD11" s="45">
        <f>(AC11-AC10)/AC11</f>
        <v>-8.0539560686654688E-2</v>
      </c>
      <c r="AE11" s="45">
        <f>AVERAGE(AD8:AD11)</f>
        <v>-3.9609757249161263E-2</v>
      </c>
    </row>
    <row r="12" spans="2:32" x14ac:dyDescent="0.25">
      <c r="C12" s="201"/>
      <c r="D12" s="202"/>
      <c r="E12" s="202"/>
      <c r="F12" s="203"/>
      <c r="G12" s="47"/>
      <c r="H12" s="48"/>
      <c r="I12" s="47"/>
      <c r="J12" s="48"/>
      <c r="K12" s="47"/>
      <c r="L12" s="48"/>
      <c r="M12" s="47"/>
      <c r="N12" s="48"/>
      <c r="O12" s="47"/>
      <c r="P12" s="86"/>
      <c r="Q12" s="48"/>
      <c r="R12" s="100"/>
      <c r="S12" s="48"/>
      <c r="T12" s="85"/>
      <c r="U12" s="48"/>
      <c r="V12" s="85"/>
      <c r="W12" s="48"/>
      <c r="X12" s="85"/>
      <c r="Y12" s="48"/>
      <c r="Z12" s="85"/>
      <c r="AA12" s="91"/>
      <c r="AC12" s="1">
        <f>T6</f>
        <v>182503018.5200412</v>
      </c>
      <c r="AD12" s="45">
        <f>($AC12-$AC11)/$AC12</f>
        <v>-4.1243398241643206E-2</v>
      </c>
      <c r="AE12" s="45">
        <f>AVERAGE(AD9:AD12)</f>
        <v>2.3388371905508441E-2</v>
      </c>
    </row>
    <row r="13" spans="2:32" x14ac:dyDescent="0.25">
      <c r="B13" t="s">
        <v>50</v>
      </c>
      <c r="C13" s="176" t="s">
        <v>58</v>
      </c>
      <c r="D13" s="177"/>
      <c r="E13" s="177"/>
      <c r="F13" s="178"/>
      <c r="G13" s="12">
        <v>8722796</v>
      </c>
      <c r="H13" s="48">
        <f>'BS '!G43/(IS..!K6/365)</f>
        <v>103.82691665566891</v>
      </c>
      <c r="I13" s="12">
        <v>11627518</v>
      </c>
      <c r="J13" s="48">
        <f t="shared" si="16"/>
        <v>5.5204857347640954E-2</v>
      </c>
      <c r="K13" s="12">
        <v>14548295</v>
      </c>
      <c r="L13" s="48">
        <f t="shared" si="2"/>
        <v>8.932646082856853E-2</v>
      </c>
      <c r="M13" s="12">
        <v>13268575</v>
      </c>
      <c r="N13" s="48">
        <f t="shared" si="8"/>
        <v>7.7219485023526019E-2</v>
      </c>
      <c r="O13" s="12">
        <v>16190496</v>
      </c>
      <c r="P13" s="86">
        <f t="shared" si="15"/>
        <v>7.884917778825247E-2</v>
      </c>
      <c r="Q13" s="48"/>
      <c r="R13" s="100">
        <f t="shared" si="9"/>
        <v>3957471713.3222556</v>
      </c>
      <c r="S13" s="48">
        <f t="shared" si="3"/>
        <v>20.825503327331383</v>
      </c>
      <c r="T13" s="85">
        <f t="shared" si="10"/>
        <v>771115524.66690278</v>
      </c>
      <c r="U13" s="48">
        <f>$T13/$T$6</f>
        <v>4.2252206616638741</v>
      </c>
      <c r="V13" s="85">
        <f t="shared" si="11"/>
        <v>944918655.16953778</v>
      </c>
      <c r="W13" s="48">
        <f t="shared" si="5"/>
        <v>5.0592238225271204</v>
      </c>
      <c r="X13" s="85">
        <f t="shared" si="12"/>
        <v>1148724346.2039449</v>
      </c>
      <c r="Y13" s="48">
        <f t="shared" si="6"/>
        <v>6.0532032948668322</v>
      </c>
      <c r="Z13" s="85">
        <f t="shared" si="13"/>
        <v>1346954235.8436427</v>
      </c>
      <c r="AA13" s="91">
        <f t="shared" si="7"/>
        <v>7.248400056835492</v>
      </c>
      <c r="AC13" s="1">
        <f>(1+$AE12)*$AC12</f>
        <v>186771466.9910658</v>
      </c>
      <c r="AD13" s="45">
        <f t="shared" ref="AD13:AD14" si="17">($AC13-$AC12)/$AC13</f>
        <v>2.2853857389409399E-2</v>
      </c>
      <c r="AE13" s="45">
        <f t="shared" ref="AE13:AE15" si="18">AVERAGE(AD10:AD13)</f>
        <v>1.606159419039235E-2</v>
      </c>
    </row>
    <row r="14" spans="2:32" x14ac:dyDescent="0.25">
      <c r="B14" t="s">
        <v>50</v>
      </c>
      <c r="C14" s="176" t="s">
        <v>59</v>
      </c>
      <c r="D14" s="177"/>
      <c r="E14" s="177"/>
      <c r="F14" s="178"/>
      <c r="G14" s="12">
        <v>2964932</v>
      </c>
      <c r="H14" s="48">
        <f t="shared" si="0"/>
        <v>1.1536060564174002E-2</v>
      </c>
      <c r="I14" s="12">
        <v>4308255</v>
      </c>
      <c r="J14" s="48">
        <f t="shared" si="16"/>
        <v>2.0454632079886771E-2</v>
      </c>
      <c r="K14" s="12">
        <v>3770607</v>
      </c>
      <c r="L14" s="48">
        <f t="shared" si="2"/>
        <v>2.3151508715311745E-2</v>
      </c>
      <c r="M14" s="12">
        <v>4239642</v>
      </c>
      <c r="N14" s="48">
        <f t="shared" si="8"/>
        <v>2.4673559287573223E-2</v>
      </c>
      <c r="O14" s="12">
        <v>4087862</v>
      </c>
      <c r="P14" s="86">
        <f t="shared" si="15"/>
        <v>1.9908257141216756E-2</v>
      </c>
      <c r="Q14" s="48"/>
      <c r="R14" s="100">
        <f t="shared" si="9"/>
        <v>3790112.2804321707</v>
      </c>
      <c r="S14" s="48">
        <f t="shared" si="3"/>
        <v>1.99448035576325E-2</v>
      </c>
      <c r="T14" s="85">
        <f t="shared" si="10"/>
        <v>3946911.0487102731</v>
      </c>
      <c r="U14" s="48">
        <f t="shared" si="4"/>
        <v>2.1626552156324204E-2</v>
      </c>
      <c r="V14" s="85">
        <f t="shared" si="11"/>
        <v>4082999.1185699678</v>
      </c>
      <c r="W14" s="48">
        <f t="shared" si="5"/>
        <v>2.1860936171611684E-2</v>
      </c>
      <c r="X14" s="85">
        <f t="shared" si="12"/>
        <v>4099595.863876998</v>
      </c>
      <c r="Y14" s="48">
        <f t="shared" si="6"/>
        <v>2.1602821662871672E-2</v>
      </c>
      <c r="Z14" s="85">
        <f t="shared" si="13"/>
        <v>3900279.139279604</v>
      </c>
      <c r="AA14" s="91">
        <f t="shared" si="7"/>
        <v>2.0988674137931363E-2</v>
      </c>
      <c r="AC14" s="1">
        <f t="shared" ref="AC14" si="19">(1+$AE13)*$AC13</f>
        <v>189771314.50022057</v>
      </c>
      <c r="AD14" s="45">
        <f t="shared" si="17"/>
        <v>1.5807697370148532E-2</v>
      </c>
      <c r="AE14" s="45">
        <f t="shared" si="18"/>
        <v>-2.0780351042184991E-2</v>
      </c>
    </row>
    <row r="15" spans="2:32" x14ac:dyDescent="0.25">
      <c r="B15" t="s">
        <v>50</v>
      </c>
      <c r="C15" s="92" t="s">
        <v>53</v>
      </c>
      <c r="D15" s="63"/>
      <c r="E15" s="63"/>
      <c r="F15" s="64"/>
      <c r="G15" s="12">
        <f>G13+G14</f>
        <v>11687728</v>
      </c>
      <c r="H15" s="48">
        <f t="shared" si="0"/>
        <v>4.5475018673477932E-2</v>
      </c>
      <c r="I15" s="13">
        <f t="shared" ref="I15:K15" si="20">I13+I14</f>
        <v>15935773</v>
      </c>
      <c r="J15" s="48">
        <f t="shared" si="16"/>
        <v>7.5659489427527732E-2</v>
      </c>
      <c r="K15" s="13">
        <f t="shared" si="20"/>
        <v>18318902</v>
      </c>
      <c r="L15" s="48">
        <f t="shared" si="2"/>
        <v>0.11247796954388027</v>
      </c>
      <c r="M15" s="13">
        <f>M13+M14</f>
        <v>17508217</v>
      </c>
      <c r="N15" s="48">
        <f t="shared" si="8"/>
        <v>0.10189304431109923</v>
      </c>
      <c r="O15" s="13">
        <f>O13+O14</f>
        <v>20278358</v>
      </c>
      <c r="P15" s="86">
        <f t="shared" si="15"/>
        <v>9.8757434929469229E-2</v>
      </c>
      <c r="Q15" s="48"/>
      <c r="R15" s="100">
        <f t="shared" si="9"/>
        <v>16504603.427878736</v>
      </c>
      <c r="S15" s="48">
        <f t="shared" si="3"/>
        <v>8.6852591377090865E-2</v>
      </c>
      <c r="T15" s="85">
        <f t="shared" si="10"/>
        <v>17361166.476095151</v>
      </c>
      <c r="U15" s="48">
        <f t="shared" si="4"/>
        <v>9.5128105917813469E-2</v>
      </c>
      <c r="V15" s="85">
        <f t="shared" si="11"/>
        <v>18494452.306786932</v>
      </c>
      <c r="W15" s="48">
        <f t="shared" si="5"/>
        <v>9.9021829215870605E-2</v>
      </c>
      <c r="X15" s="85">
        <f t="shared" si="12"/>
        <v>18280784.806882944</v>
      </c>
      <c r="Y15" s="48">
        <f t="shared" si="6"/>
        <v>9.633060115026866E-2</v>
      </c>
      <c r="Z15" s="85">
        <f t="shared" si="13"/>
        <v>17694172.36626536</v>
      </c>
      <c r="AA15" s="91">
        <f t="shared" si="7"/>
        <v>9.5218112518102554E-2</v>
      </c>
      <c r="AC15" s="1">
        <f>(1+$AE14)*$AC14</f>
        <v>185827799.96716908</v>
      </c>
      <c r="AD15" s="45">
        <f>($AC15-$AC14)/$AC15</f>
        <v>-2.12213378931904E-2</v>
      </c>
      <c r="AE15" s="45">
        <f t="shared" si="18"/>
        <v>-5.9507953438189187E-3</v>
      </c>
    </row>
    <row r="16" spans="2:32" x14ac:dyDescent="0.25">
      <c r="C16" s="93" t="s">
        <v>60</v>
      </c>
      <c r="D16" s="66"/>
      <c r="E16" s="66"/>
      <c r="F16" s="110"/>
      <c r="G16" s="84">
        <f>G11+G15</f>
        <v>187760532</v>
      </c>
      <c r="H16" s="48">
        <f t="shared" si="0"/>
        <v>0.73054520937192846</v>
      </c>
      <c r="I16" s="43">
        <f t="shared" ref="I16:O16" si="21">I11+I15</f>
        <v>147902684</v>
      </c>
      <c r="J16" s="48">
        <f t="shared" si="16"/>
        <v>0.70220889544554721</v>
      </c>
      <c r="K16" s="43">
        <f t="shared" si="21"/>
        <v>106208441</v>
      </c>
      <c r="L16" s="48">
        <f t="shared" si="2"/>
        <v>0.65211931327003136</v>
      </c>
      <c r="M16" s="43">
        <f t="shared" si="21"/>
        <v>112512403</v>
      </c>
      <c r="N16" s="48">
        <f t="shared" si="8"/>
        <v>0.65479147673502414</v>
      </c>
      <c r="O16" s="43">
        <f t="shared" si="21"/>
        <v>141758101</v>
      </c>
      <c r="P16" s="86">
        <f t="shared" si="15"/>
        <v>0.69037475495957945</v>
      </c>
      <c r="Q16" s="48"/>
      <c r="R16" s="102">
        <f t="shared" si="9"/>
        <v>130362130.28063138</v>
      </c>
      <c r="S16" s="48">
        <f>$R16/$R$6</f>
        <v>0.68600792995642212</v>
      </c>
      <c r="T16" s="103">
        <f t="shared" si="10"/>
        <v>123572880.35973196</v>
      </c>
      <c r="U16" s="48">
        <f t="shared" si="4"/>
        <v>0.67710047407332086</v>
      </c>
      <c r="V16" s="103">
        <f t="shared" si="11"/>
        <v>125525141.50431614</v>
      </c>
      <c r="W16" s="48">
        <f t="shared" si="5"/>
        <v>0.67207878979887559</v>
      </c>
      <c r="X16" s="103">
        <f t="shared" si="12"/>
        <v>128298822.60737307</v>
      </c>
      <c r="Y16" s="48">
        <f t="shared" si="6"/>
        <v>0.67607068510464452</v>
      </c>
      <c r="Z16" s="103">
        <f t="shared" si="13"/>
        <v>126423581.73056673</v>
      </c>
      <c r="AA16" s="91">
        <f t="shared" si="7"/>
        <v>0.68032652677856853</v>
      </c>
      <c r="AC16" s="1"/>
      <c r="AD16" s="45"/>
    </row>
    <row r="17" spans="2:31" x14ac:dyDescent="0.25">
      <c r="C17" s="92"/>
      <c r="D17" s="63"/>
      <c r="E17" s="63"/>
      <c r="F17" s="64"/>
      <c r="G17" s="12"/>
      <c r="H17" s="48"/>
      <c r="I17" s="12"/>
      <c r="J17" s="48"/>
      <c r="K17" s="12"/>
      <c r="L17" s="48"/>
      <c r="M17" s="12"/>
      <c r="N17" s="48"/>
      <c r="O17" s="12"/>
      <c r="P17" s="86"/>
      <c r="Q17" s="48"/>
      <c r="R17" s="100"/>
      <c r="S17" s="48"/>
      <c r="T17" s="85"/>
      <c r="U17" s="48"/>
      <c r="V17" s="85"/>
      <c r="W17" s="48"/>
      <c r="X17" s="85"/>
      <c r="Y17" s="48"/>
      <c r="Z17" s="85"/>
      <c r="AA17" s="91"/>
    </row>
    <row r="18" spans="2:31" x14ac:dyDescent="0.25">
      <c r="C18" s="176" t="s">
        <v>61</v>
      </c>
      <c r="D18" s="177"/>
      <c r="E18" s="177"/>
      <c r="F18" s="178"/>
      <c r="G18" s="12">
        <f>IS..!I21/IS..!I22</f>
        <v>68.55434229767296</v>
      </c>
      <c r="H18" s="48">
        <f t="shared" si="0"/>
        <v>2.6673361975352914E-7</v>
      </c>
      <c r="I18" s="12">
        <v>19186191</v>
      </c>
      <c r="J18" s="48">
        <f t="shared" si="16"/>
        <v>9.1091747800312386E-2</v>
      </c>
      <c r="K18" s="12">
        <v>14702971</v>
      </c>
      <c r="L18" s="48">
        <f t="shared" si="2"/>
        <v>9.0276170719323395E-2</v>
      </c>
      <c r="M18" s="12">
        <v>16020333</v>
      </c>
      <c r="N18" s="48">
        <f t="shared" si="8"/>
        <v>9.3233965528732324E-2</v>
      </c>
      <c r="O18" s="12">
        <v>16008118</v>
      </c>
      <c r="P18" s="86">
        <f t="shared" si="15"/>
        <v>7.796098045651749E-2</v>
      </c>
      <c r="Q18" s="48"/>
      <c r="R18" s="100">
        <f t="shared" si="9"/>
        <v>13399518.821766678</v>
      </c>
      <c r="S18" s="48">
        <f t="shared" si="3"/>
        <v>7.0512626247701077E-2</v>
      </c>
      <c r="T18" s="85">
        <f t="shared" si="10"/>
        <v>15442510.824838968</v>
      </c>
      <c r="U18" s="48">
        <f t="shared" si="4"/>
        <v>8.4615098150517334E-2</v>
      </c>
      <c r="V18" s="85">
        <f t="shared" si="11"/>
        <v>15561755.339909263</v>
      </c>
      <c r="W18" s="48">
        <f t="shared" si="5"/>
        <v>8.3319768220558324E-2</v>
      </c>
      <c r="X18" s="85">
        <f t="shared" si="12"/>
        <v>15547676.809792403</v>
      </c>
      <c r="Y18" s="48">
        <f t="shared" si="6"/>
        <v>8.1928487720805312E-2</v>
      </c>
      <c r="Z18" s="85">
        <f t="shared" si="13"/>
        <v>14804416.214069529</v>
      </c>
      <c r="AA18" s="91">
        <f t="shared" si="7"/>
        <v>7.9667392159219891E-2</v>
      </c>
    </row>
    <row r="19" spans="2:31" x14ac:dyDescent="0.25">
      <c r="B19" t="s">
        <v>50</v>
      </c>
      <c r="C19" s="176" t="s">
        <v>62</v>
      </c>
      <c r="D19" s="177"/>
      <c r="E19" s="177"/>
      <c r="F19" s="178"/>
      <c r="G19" s="12">
        <v>9071048</v>
      </c>
      <c r="H19" s="48">
        <f t="shared" si="0"/>
        <v>3.5293949105250792E-2</v>
      </c>
      <c r="I19" s="12">
        <v>6685550</v>
      </c>
      <c r="J19" s="48">
        <f t="shared" si="16"/>
        <v>3.1741497544060651E-2</v>
      </c>
      <c r="K19" s="12">
        <v>4237231</v>
      </c>
      <c r="L19" s="48">
        <f t="shared" si="2"/>
        <v>2.601657781500143E-2</v>
      </c>
      <c r="M19" s="12">
        <v>4691445</v>
      </c>
      <c r="N19" s="48">
        <f t="shared" si="8"/>
        <v>2.7302929434109995E-2</v>
      </c>
      <c r="O19" s="12">
        <v>5927724</v>
      </c>
      <c r="P19" s="86">
        <f t="shared" si="15"/>
        <v>2.8868551251035861E-2</v>
      </c>
      <c r="Q19" s="48"/>
      <c r="R19" s="100">
        <f t="shared" si="9"/>
        <v>5671390.4226914514</v>
      </c>
      <c r="S19" s="48">
        <f t="shared" si="3"/>
        <v>2.984470102989174E-2</v>
      </c>
      <c r="T19" s="85">
        <f t="shared" si="10"/>
        <v>5247847.1802999154</v>
      </c>
      <c r="U19" s="48">
        <f t="shared" si="4"/>
        <v>2.8754851414819933E-2</v>
      </c>
      <c r="V19" s="85">
        <f t="shared" si="11"/>
        <v>5259021.7260677479</v>
      </c>
      <c r="W19" s="48">
        <f t="shared" si="5"/>
        <v>2.8157522188971794E-2</v>
      </c>
      <c r="X19" s="85">
        <f t="shared" si="12"/>
        <v>5424747.9644943466</v>
      </c>
      <c r="Y19" s="48">
        <f t="shared" si="6"/>
        <v>2.8585711063765864E-2</v>
      </c>
      <c r="Z19" s="85">
        <f t="shared" si="13"/>
        <v>5359695.0950922249</v>
      </c>
      <c r="AA19" s="91">
        <f t="shared" si="7"/>
        <v>2.8842267389697036E-2</v>
      </c>
      <c r="AC19" s="29">
        <v>80941450</v>
      </c>
    </row>
    <row r="20" spans="2:31" x14ac:dyDescent="0.25">
      <c r="C20" s="176" t="s">
        <v>63</v>
      </c>
      <c r="D20" s="177"/>
      <c r="E20" s="177"/>
      <c r="F20" s="178"/>
      <c r="G20" s="12">
        <v>113911</v>
      </c>
      <c r="H20" s="48">
        <f t="shared" si="0"/>
        <v>4.4320888132531357E-4</v>
      </c>
      <c r="I20" s="12">
        <v>1043741</v>
      </c>
      <c r="J20" s="48">
        <f t="shared" si="16"/>
        <v>4.9554490487896145E-3</v>
      </c>
      <c r="K20" s="12">
        <v>2188899</v>
      </c>
      <c r="L20" s="48">
        <f t="shared" si="2"/>
        <v>1.3439829257049903E-2</v>
      </c>
      <c r="M20" s="12">
        <v>1827239</v>
      </c>
      <c r="N20" s="48">
        <f t="shared" si="8"/>
        <v>1.0634032260050733E-2</v>
      </c>
      <c r="O20" s="12">
        <v>3074868</v>
      </c>
      <c r="P20" s="86">
        <f t="shared" si="15"/>
        <v>1.497488487118667E-2</v>
      </c>
      <c r="Q20" s="48"/>
      <c r="R20" s="100">
        <f t="shared" si="9"/>
        <v>1689268.6102796283</v>
      </c>
      <c r="S20" s="48">
        <f t="shared" si="3"/>
        <v>8.8894808636804466E-3</v>
      </c>
      <c r="T20" s="85">
        <f t="shared" si="10"/>
        <v>1930651.117102037</v>
      </c>
      <c r="U20" s="48">
        <f t="shared" si="4"/>
        <v>1.0578735260151472E-2</v>
      </c>
      <c r="V20" s="85">
        <f t="shared" si="11"/>
        <v>2185859.7864499423</v>
      </c>
      <c r="W20" s="48">
        <f t="shared" si="5"/>
        <v>1.1703392502423846E-2</v>
      </c>
      <c r="X20" s="85">
        <f t="shared" si="12"/>
        <v>2155063.0022026221</v>
      </c>
      <c r="Y20" s="48">
        <f t="shared" si="6"/>
        <v>1.1356105151498633E-2</v>
      </c>
      <c r="Z20" s="85">
        <f t="shared" si="13"/>
        <v>2137116.2798655652</v>
      </c>
      <c r="AA20" s="91">
        <f t="shared" si="7"/>
        <v>1.1500519729788211E-2</v>
      </c>
      <c r="AC20" s="23">
        <v>78657997</v>
      </c>
      <c r="AD20" s="45">
        <f>(AC20-AC19)/AC20</f>
        <v>-2.9030144258567887E-2</v>
      </c>
    </row>
    <row r="21" spans="2:31" x14ac:dyDescent="0.25">
      <c r="C21" s="92" t="s">
        <v>64</v>
      </c>
      <c r="D21" s="63"/>
      <c r="E21" s="63"/>
      <c r="F21" s="64"/>
      <c r="G21" s="12">
        <f>SUM(G16,G18,G19,G20)</f>
        <v>196945559.5543423</v>
      </c>
      <c r="H21" s="48">
        <f t="shared" si="0"/>
        <v>0.76628263409212427</v>
      </c>
      <c r="I21" s="12">
        <f>SUM(I16,I18,I19,I20)</f>
        <v>174818166</v>
      </c>
      <c r="J21" s="48">
        <f t="shared" si="16"/>
        <v>0.82999758983870986</v>
      </c>
      <c r="K21" s="12">
        <f>SUM(K16,K18,K19,K20)</f>
        <v>127337542</v>
      </c>
      <c r="L21" s="48">
        <f t="shared" si="2"/>
        <v>0.78185189106140607</v>
      </c>
      <c r="M21" s="12">
        <f>SUM(M16,M18,M19,M20)</f>
        <v>135051420</v>
      </c>
      <c r="N21" s="48">
        <f t="shared" si="8"/>
        <v>0.78596240395791728</v>
      </c>
      <c r="O21" s="12">
        <f>O16+O18+O19+O20</f>
        <v>166768811</v>
      </c>
      <c r="P21" s="86">
        <f t="shared" si="15"/>
        <v>0.81217917153831942</v>
      </c>
      <c r="Q21" s="48"/>
      <c r="R21" s="100">
        <f t="shared" si="9"/>
        <v>151122308.13536912</v>
      </c>
      <c r="S21" s="48">
        <f t="shared" si="3"/>
        <v>0.79525473809769531</v>
      </c>
      <c r="T21" s="85">
        <f t="shared" si="10"/>
        <v>146193889.48197287</v>
      </c>
      <c r="U21" s="48">
        <f t="shared" si="4"/>
        <v>0.80104915889880957</v>
      </c>
      <c r="V21" s="85">
        <f t="shared" si="11"/>
        <v>148531778.3567431</v>
      </c>
      <c r="W21" s="48">
        <f t="shared" si="5"/>
        <v>0.79525947271082953</v>
      </c>
      <c r="X21" s="85">
        <f t="shared" si="12"/>
        <v>151426310.38386244</v>
      </c>
      <c r="Y21" s="48">
        <f t="shared" si="6"/>
        <v>0.7979409890407142</v>
      </c>
      <c r="Z21" s="85">
        <f t="shared" si="13"/>
        <v>148724809.319594</v>
      </c>
      <c r="AA21" s="91">
        <f t="shared" si="7"/>
        <v>0.80033670605727336</v>
      </c>
      <c r="AC21" s="28">
        <v>74977039</v>
      </c>
      <c r="AD21" s="45">
        <f t="shared" ref="AD21:AD29" si="22">(AC21-AC20)/AC21</f>
        <v>-4.9094470108375449E-2</v>
      </c>
      <c r="AE21" s="45">
        <f>AVERAGE(AD20:AD24)</f>
        <v>-1.0154374983896489E-2</v>
      </c>
    </row>
    <row r="22" spans="2:31" x14ac:dyDescent="0.25">
      <c r="B22" t="s">
        <v>50</v>
      </c>
      <c r="C22" s="176" t="s">
        <v>65</v>
      </c>
      <c r="D22" s="177"/>
      <c r="E22" s="177"/>
      <c r="F22" s="178"/>
      <c r="G22" s="12">
        <v>2204287</v>
      </c>
      <c r="H22" s="48">
        <f t="shared" si="0"/>
        <v>8.5765165382617262E-3</v>
      </c>
      <c r="I22" s="12">
        <v>2550067</v>
      </c>
      <c r="J22" s="48">
        <f t="shared" si="16"/>
        <v>1.2107148315051133E-2</v>
      </c>
      <c r="K22" s="12">
        <v>1717889</v>
      </c>
      <c r="L22" s="48">
        <f t="shared" si="2"/>
        <v>1.0547830138605847E-2</v>
      </c>
      <c r="M22" s="31">
        <v>4691445</v>
      </c>
      <c r="N22" s="48">
        <f t="shared" si="8"/>
        <v>2.7302929434109995E-2</v>
      </c>
      <c r="O22" s="12">
        <v>1729886</v>
      </c>
      <c r="P22" s="86">
        <f t="shared" si="15"/>
        <v>8.4247010571763172E-3</v>
      </c>
      <c r="Q22" s="48"/>
      <c r="R22" s="100">
        <f t="shared" si="9"/>
        <v>2544849.3693865058</v>
      </c>
      <c r="S22" s="48">
        <f t="shared" si="3"/>
        <v>1.3391825096641002E-2</v>
      </c>
      <c r="T22" s="85">
        <f t="shared" si="10"/>
        <v>2619810.1730313469</v>
      </c>
      <c r="U22" s="48">
        <f t="shared" si="4"/>
        <v>1.4354886808316859E-2</v>
      </c>
      <c r="V22" s="85">
        <f t="shared" si="11"/>
        <v>2765045.9508399437</v>
      </c>
      <c r="W22" s="48">
        <f t="shared" si="5"/>
        <v>1.4804434506970004E-2</v>
      </c>
      <c r="X22" s="85">
        <f t="shared" si="12"/>
        <v>2971013.2780784923</v>
      </c>
      <c r="Y22" s="48">
        <f t="shared" si="6"/>
        <v>1.5655755380642837E-2</v>
      </c>
      <c r="Z22" s="85">
        <f t="shared" si="13"/>
        <v>2476400.8331709285</v>
      </c>
      <c r="AA22" s="91">
        <f t="shared" si="7"/>
        <v>1.3326320569949405E-2</v>
      </c>
      <c r="AC22" s="28">
        <v>76825178</v>
      </c>
      <c r="AD22" s="45">
        <f t="shared" si="22"/>
        <v>2.4056423273109761E-2</v>
      </c>
      <c r="AE22" s="45">
        <f>AVERAGE(AD21:AD26)</f>
        <v>-1.2597025780511523E-2</v>
      </c>
    </row>
    <row r="23" spans="2:31" x14ac:dyDescent="0.25">
      <c r="C23" s="92"/>
      <c r="D23" s="63"/>
      <c r="E23" s="63"/>
      <c r="F23" s="64"/>
      <c r="G23" s="12"/>
      <c r="H23" s="48"/>
      <c r="I23" s="12"/>
      <c r="J23" s="48"/>
      <c r="K23" s="12"/>
      <c r="L23" s="48"/>
      <c r="M23" s="31"/>
      <c r="N23" s="48"/>
      <c r="O23" s="12"/>
      <c r="P23" s="86"/>
      <c r="Q23" s="48"/>
      <c r="R23" s="100"/>
      <c r="S23" s="48"/>
      <c r="T23" s="85"/>
      <c r="U23" s="48"/>
      <c r="V23" s="85"/>
      <c r="W23" s="48"/>
      <c r="X23" s="85"/>
      <c r="Y23" s="48"/>
      <c r="Z23" s="85"/>
      <c r="AA23" s="91"/>
      <c r="AC23" s="28">
        <v>83855257</v>
      </c>
      <c r="AD23" s="45">
        <f t="shared" si="22"/>
        <v>8.3835876861005867E-2</v>
      </c>
      <c r="AE23" s="45">
        <f>AVERAGE(AD22:AD27)</f>
        <v>1.792639719045426E-3</v>
      </c>
    </row>
    <row r="24" spans="2:31" x14ac:dyDescent="0.25">
      <c r="C24" s="204" t="s">
        <v>66</v>
      </c>
      <c r="D24" s="205"/>
      <c r="E24" s="205"/>
      <c r="F24" s="206"/>
      <c r="G24" s="84">
        <v>172349905</v>
      </c>
      <c r="H24" s="48">
        <f t="shared" si="0"/>
        <v>0.67058500576392155</v>
      </c>
      <c r="I24" s="32">
        <v>127025453</v>
      </c>
      <c r="J24" s="48">
        <f t="shared" si="16"/>
        <v>0.60308846758048196</v>
      </c>
      <c r="K24" s="32">
        <v>80507387</v>
      </c>
      <c r="L24" s="48">
        <f t="shared" si="2"/>
        <v>0.49431496620503684</v>
      </c>
      <c r="M24" s="32">
        <v>89137462</v>
      </c>
      <c r="N24" s="48">
        <f t="shared" si="8"/>
        <v>0.51875569998617932</v>
      </c>
      <c r="O24" s="32">
        <v>112626761</v>
      </c>
      <c r="P24" s="86">
        <f t="shared" si="15"/>
        <v>0.54850249812013296</v>
      </c>
      <c r="Q24" s="48"/>
      <c r="R24" s="115">
        <f t="shared" si="9"/>
        <v>107756419.5443864</v>
      </c>
      <c r="S24" s="48">
        <f t="shared" si="3"/>
        <v>0.56704932753115056</v>
      </c>
      <c r="T24" s="116">
        <f t="shared" si="10"/>
        <v>99709099.163794383</v>
      </c>
      <c r="U24" s="48">
        <f t="shared" si="4"/>
        <v>0.54634219188459632</v>
      </c>
      <c r="V24" s="116">
        <f t="shared" si="11"/>
        <v>99921415.625800401</v>
      </c>
      <c r="W24" s="48">
        <f t="shared" si="5"/>
        <v>0.53499293674541915</v>
      </c>
      <c r="X24" s="116">
        <f t="shared" si="12"/>
        <v>103070215.24264148</v>
      </c>
      <c r="Y24" s="48">
        <f t="shared" si="6"/>
        <v>0.54312853085349566</v>
      </c>
      <c r="Z24" s="116">
        <f t="shared" si="13"/>
        <v>101834209.89571486</v>
      </c>
      <c r="AA24" s="91">
        <f t="shared" si="7"/>
        <v>0.54800309702695893</v>
      </c>
      <c r="AC24" s="49">
        <v>77604985.55620876</v>
      </c>
      <c r="AD24" s="45">
        <f t="shared" si="22"/>
        <v>-8.0539560686654743E-2</v>
      </c>
      <c r="AE24" s="45">
        <f>AVERAGE(AD23:AD28)</f>
        <v>1.4289453845316714E-4</v>
      </c>
    </row>
    <row r="25" spans="2:31" s="68" customFormat="1" x14ac:dyDescent="0.25">
      <c r="C25" s="94"/>
      <c r="D25" s="70"/>
      <c r="E25" s="70"/>
      <c r="F25" s="111"/>
      <c r="G25" s="73"/>
      <c r="H25" s="72"/>
      <c r="I25" s="73"/>
      <c r="J25" s="72"/>
      <c r="K25" s="73"/>
      <c r="L25" s="72"/>
      <c r="M25" s="73"/>
      <c r="N25" s="72"/>
      <c r="O25" s="73"/>
      <c r="P25" s="88"/>
      <c r="Q25" s="72"/>
      <c r="R25" s="100"/>
      <c r="S25" s="72"/>
      <c r="T25" s="85"/>
      <c r="U25" s="72"/>
      <c r="V25" s="85"/>
      <c r="W25" s="72"/>
      <c r="X25" s="85"/>
      <c r="Y25" s="72"/>
      <c r="Z25" s="85"/>
      <c r="AA25" s="95"/>
      <c r="AC25" s="75"/>
      <c r="AD25" s="74"/>
      <c r="AE25" s="74"/>
    </row>
    <row r="26" spans="2:31" x14ac:dyDescent="0.25">
      <c r="B26" t="s">
        <v>50</v>
      </c>
      <c r="C26" s="176" t="s">
        <v>67</v>
      </c>
      <c r="D26" s="177"/>
      <c r="E26" s="177"/>
      <c r="F26" s="178"/>
      <c r="G26" s="12">
        <v>48435355</v>
      </c>
      <c r="H26" s="48">
        <f t="shared" si="0"/>
        <v>0.18845396411360127</v>
      </c>
      <c r="I26" s="12">
        <v>39776421</v>
      </c>
      <c r="J26" s="48">
        <f t="shared" si="16"/>
        <v>0.18884955904645429</v>
      </c>
      <c r="K26" s="31">
        <v>20536585</v>
      </c>
      <c r="L26" s="48">
        <f t="shared" si="2"/>
        <v>0.12609453242150148</v>
      </c>
      <c r="M26" s="12">
        <v>25334060</v>
      </c>
      <c r="N26" s="48">
        <f t="shared" si="8"/>
        <v>0.14743731461404933</v>
      </c>
      <c r="O26" s="12">
        <v>33890466</v>
      </c>
      <c r="P26" s="86">
        <f t="shared" si="15"/>
        <v>0.16504963028685013</v>
      </c>
      <c r="Q26" s="48"/>
      <c r="R26" s="100">
        <f t="shared" si="9"/>
        <v>31008535.640007373</v>
      </c>
      <c r="S26" s="48">
        <f t="shared" si="3"/>
        <v>0.1631770000964913</v>
      </c>
      <c r="T26" s="85">
        <f t="shared" si="10"/>
        <v>28857670.624225706</v>
      </c>
      <c r="U26" s="48">
        <f t="shared" si="4"/>
        <v>0.15812160729306929</v>
      </c>
      <c r="V26" s="85">
        <f t="shared" si="11"/>
        <v>28384783.631789684</v>
      </c>
      <c r="W26" s="48">
        <f t="shared" si="5"/>
        <v>0.15197601694239232</v>
      </c>
      <c r="X26" s="85">
        <f t="shared" si="12"/>
        <v>29823001.17541489</v>
      </c>
      <c r="Y26" s="48">
        <f t="shared" si="6"/>
        <v>0.15715231384657047</v>
      </c>
      <c r="Z26" s="85">
        <f t="shared" si="13"/>
        <v>29564332.1286707</v>
      </c>
      <c r="AA26" s="91">
        <f t="shared" si="7"/>
        <v>0.1590953136930747</v>
      </c>
      <c r="AC26" s="49">
        <v>74531070.917002678</v>
      </c>
      <c r="AD26" s="45">
        <f>(AC26-AC24)/AC26</f>
        <v>-4.1243398241643046E-2</v>
      </c>
      <c r="AE26" s="45">
        <f>AVERAGE(AD24:AD29)</f>
        <v>-2.0868548412386053E-2</v>
      </c>
    </row>
    <row r="27" spans="2:31" x14ac:dyDescent="0.25">
      <c r="C27" s="204" t="s">
        <v>68</v>
      </c>
      <c r="D27" s="205"/>
      <c r="E27" s="205"/>
      <c r="F27" s="206"/>
      <c r="G27" s="84">
        <v>123914550</v>
      </c>
      <c r="H27" s="48">
        <f t="shared" si="0"/>
        <v>0.48213104165032028</v>
      </c>
      <c r="I27" s="39">
        <v>87249032</v>
      </c>
      <c r="J27" s="48">
        <f t="shared" si="16"/>
        <v>0.41423890853402773</v>
      </c>
      <c r="K27" s="39">
        <v>59970802</v>
      </c>
      <c r="L27" s="48">
        <f t="shared" si="2"/>
        <v>0.36822043378353536</v>
      </c>
      <c r="M27" s="39">
        <v>63803402</v>
      </c>
      <c r="N27" s="48">
        <f t="shared" si="8"/>
        <v>0.37131838537212997</v>
      </c>
      <c r="O27" s="39">
        <v>78736295</v>
      </c>
      <c r="P27" s="86">
        <f t="shared" si="15"/>
        <v>0.38345286783328286</v>
      </c>
      <c r="Q27" s="48"/>
      <c r="R27" s="113">
        <f t="shared" si="9"/>
        <v>76747883.904379025</v>
      </c>
      <c r="S27" s="48">
        <f t="shared" si="3"/>
        <v>0.40387232743465928</v>
      </c>
      <c r="T27" s="114">
        <f t="shared" si="10"/>
        <v>70851428.539568678</v>
      </c>
      <c r="U27" s="48">
        <f t="shared" si="4"/>
        <v>0.38822058459152703</v>
      </c>
      <c r="V27" s="114">
        <f t="shared" si="11"/>
        <v>71536631.994010732</v>
      </c>
      <c r="W27" s="48">
        <f t="shared" si="5"/>
        <v>0.38301691980302688</v>
      </c>
      <c r="X27" s="114">
        <f t="shared" si="12"/>
        <v>73247214.067226589</v>
      </c>
      <c r="Y27" s="48">
        <f t="shared" si="6"/>
        <v>0.38597621700692525</v>
      </c>
      <c r="Z27" s="114">
        <f t="shared" si="13"/>
        <v>72269877.767044172</v>
      </c>
      <c r="AA27" s="91">
        <f t="shared" si="7"/>
        <v>0.38890778333388426</v>
      </c>
      <c r="AC27" s="49">
        <v>76274231.322125345</v>
      </c>
      <c r="AD27" s="45">
        <f t="shared" si="22"/>
        <v>2.2853857389409288E-2</v>
      </c>
      <c r="AE27" s="45">
        <f t="shared" ref="AE27" si="23">AVERAGE(AD26:AD30)</f>
        <v>-5.9507953438188814E-3</v>
      </c>
    </row>
    <row r="28" spans="2:31" x14ac:dyDescent="0.25">
      <c r="C28" s="201"/>
      <c r="D28" s="202"/>
      <c r="E28" s="202"/>
      <c r="F28" s="203"/>
      <c r="G28" s="12"/>
      <c r="H28" s="12"/>
      <c r="I28" s="12"/>
      <c r="J28" s="12"/>
      <c r="K28" s="12"/>
      <c r="L28" s="12"/>
      <c r="M28" s="12"/>
      <c r="N28" s="12"/>
      <c r="O28" s="12"/>
      <c r="P28" s="13"/>
      <c r="Q28" s="12"/>
      <c r="R28" s="8"/>
      <c r="S28" s="10"/>
      <c r="T28" s="10"/>
      <c r="U28" s="10"/>
      <c r="V28" s="10"/>
      <c r="W28" s="10"/>
      <c r="X28" s="10"/>
      <c r="Y28" s="48"/>
      <c r="Z28" s="10"/>
      <c r="AA28" s="91"/>
      <c r="AC28" s="49">
        <v>77499317.072805434</v>
      </c>
      <c r="AD28" s="45">
        <f t="shared" si="22"/>
        <v>1.580769737014847E-2</v>
      </c>
      <c r="AE28" s="45"/>
    </row>
    <row r="29" spans="2:31" x14ac:dyDescent="0.25">
      <c r="C29" s="182" t="s">
        <v>69</v>
      </c>
      <c r="D29" s="183"/>
      <c r="E29" s="183"/>
      <c r="F29" s="184"/>
      <c r="G29" s="97">
        <v>28.81</v>
      </c>
      <c r="H29" s="97"/>
      <c r="I29" s="97">
        <v>20.29</v>
      </c>
      <c r="J29" s="97"/>
      <c r="K29" s="97">
        <v>13.94</v>
      </c>
      <c r="L29" s="97"/>
      <c r="M29" s="97">
        <v>14.83</v>
      </c>
      <c r="N29" s="97"/>
      <c r="O29" s="97">
        <v>18.309999999999999</v>
      </c>
      <c r="P29" s="96"/>
      <c r="Q29" s="97"/>
      <c r="R29" s="101">
        <f>R27/N33</f>
        <v>17.84448570527282</v>
      </c>
      <c r="S29" s="98"/>
      <c r="T29" s="98">
        <f>T27/N33</f>
        <v>16.473513528369139</v>
      </c>
      <c r="U29" s="98"/>
      <c r="V29" s="98">
        <f>V27/N33</f>
        <v>16.632828712397256</v>
      </c>
      <c r="W29" s="98"/>
      <c r="X29" s="98">
        <f>X27/N33</f>
        <v>17.030552477540112</v>
      </c>
      <c r="Y29" s="98"/>
      <c r="Z29" s="98">
        <f>Z27/N33</f>
        <v>16.803314112771929</v>
      </c>
      <c r="AA29" s="99"/>
      <c r="AC29" s="49">
        <v>75888854.058502942</v>
      </c>
      <c r="AD29" s="45">
        <f t="shared" si="22"/>
        <v>-2.1221337893190237E-2</v>
      </c>
      <c r="AE29" s="45"/>
    </row>
    <row r="30" spans="2:31" x14ac:dyDescent="0.25">
      <c r="C30" s="185"/>
      <c r="D30" s="185"/>
      <c r="E30" s="185"/>
      <c r="F30" s="185"/>
      <c r="AD30" s="45"/>
    </row>
    <row r="31" spans="2:31" x14ac:dyDescent="0.25">
      <c r="C31" s="186" t="s">
        <v>70</v>
      </c>
      <c r="D31" s="186"/>
      <c r="E31" s="186"/>
      <c r="F31" s="186"/>
      <c r="G31" s="50">
        <v>4300930</v>
      </c>
    </row>
    <row r="32" spans="2:31" hidden="1" x14ac:dyDescent="0.25">
      <c r="L32" s="50" t="s">
        <v>70</v>
      </c>
      <c r="M32" s="50"/>
      <c r="N32" s="79">
        <v>4300.93</v>
      </c>
    </row>
    <row r="33" spans="3:16" hidden="1" x14ac:dyDescent="0.25">
      <c r="C33" s="185"/>
      <c r="D33" s="185"/>
      <c r="E33" s="185"/>
      <c r="F33" s="185"/>
      <c r="N33">
        <f>N32*1000</f>
        <v>4300930</v>
      </c>
      <c r="P33">
        <f>O27/N33</f>
        <v>18.306806899903044</v>
      </c>
    </row>
    <row r="34" spans="3:16" x14ac:dyDescent="0.25">
      <c r="C34" s="185"/>
      <c r="D34" s="185"/>
      <c r="E34" s="185"/>
      <c r="F34" s="185"/>
    </row>
  </sheetData>
  <mergeCells count="27">
    <mergeCell ref="R2:AA3"/>
    <mergeCell ref="C2:P3"/>
    <mergeCell ref="G4:P4"/>
    <mergeCell ref="R4:AA4"/>
    <mergeCell ref="C28:F28"/>
    <mergeCell ref="C19:F19"/>
    <mergeCell ref="C20:F20"/>
    <mergeCell ref="C22:F22"/>
    <mergeCell ref="C24:F24"/>
    <mergeCell ref="C26:F26"/>
    <mergeCell ref="C27:F27"/>
    <mergeCell ref="C10:F10"/>
    <mergeCell ref="C11:F11"/>
    <mergeCell ref="C12:F12"/>
    <mergeCell ref="C13:F13"/>
    <mergeCell ref="C14:F14"/>
    <mergeCell ref="C29:F29"/>
    <mergeCell ref="C30:F30"/>
    <mergeCell ref="C31:F31"/>
    <mergeCell ref="C33:F33"/>
    <mergeCell ref="C34:F34"/>
    <mergeCell ref="C18:F18"/>
    <mergeCell ref="C5:F5"/>
    <mergeCell ref="C6:F6"/>
    <mergeCell ref="C7:F7"/>
    <mergeCell ref="C8:F8"/>
    <mergeCell ref="C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Y35"/>
  <sheetViews>
    <sheetView topLeftCell="A4" zoomScale="85" zoomScaleNormal="85" workbookViewId="0">
      <selection activeCell="A7" sqref="A7"/>
    </sheetView>
  </sheetViews>
  <sheetFormatPr defaultRowHeight="15" x14ac:dyDescent="0.25"/>
  <cols>
    <col min="4" max="4" width="24.7109375" bestFit="1" customWidth="1"/>
    <col min="5" max="5" width="8.85546875" customWidth="1"/>
    <col min="11" max="11" width="16.28515625" bestFit="1" customWidth="1"/>
    <col min="12" max="12" width="11.7109375" bestFit="1" customWidth="1"/>
    <col min="13" max="13" width="14.85546875" bestFit="1" customWidth="1"/>
    <col min="16" max="16" width="24.7109375" bestFit="1" customWidth="1"/>
    <col min="19" max="19" width="9.140625" style="54"/>
    <col min="24" max="24" width="17.42578125" bestFit="1" customWidth="1"/>
  </cols>
  <sheetData>
    <row r="4" spans="3:25" ht="15" customHeight="1" x14ac:dyDescent="0.25">
      <c r="C4" s="207" t="s">
        <v>71</v>
      </c>
      <c r="D4" s="208"/>
      <c r="E4" s="208"/>
      <c r="F4" s="208"/>
      <c r="G4" s="208"/>
      <c r="H4" s="208"/>
      <c r="I4" s="208"/>
      <c r="J4" s="209"/>
      <c r="L4" s="219" t="s">
        <v>72</v>
      </c>
      <c r="M4" s="219"/>
      <c r="O4" s="152" t="s">
        <v>73</v>
      </c>
      <c r="P4" s="153"/>
      <c r="Q4" s="153"/>
      <c r="R4" s="153"/>
      <c r="S4" s="153"/>
      <c r="T4" s="153"/>
      <c r="U4" s="153"/>
      <c r="V4" s="212"/>
      <c r="W4" s="213" t="s">
        <v>74</v>
      </c>
      <c r="X4" s="214"/>
      <c r="Y4" s="215"/>
    </row>
    <row r="5" spans="3:25" ht="15" customHeight="1" x14ac:dyDescent="0.25">
      <c r="C5" s="210"/>
      <c r="D5" s="168"/>
      <c r="E5" s="168"/>
      <c r="F5" s="168"/>
      <c r="G5" s="168"/>
      <c r="H5" s="168"/>
      <c r="I5" s="168"/>
      <c r="J5" s="211"/>
      <c r="L5" s="219"/>
      <c r="M5" s="219"/>
      <c r="O5" s="167"/>
      <c r="P5" s="168"/>
      <c r="Q5" s="168"/>
      <c r="R5" s="168"/>
      <c r="S5" s="168"/>
      <c r="T5" s="168"/>
      <c r="U5" s="168"/>
      <c r="V5" s="211"/>
      <c r="W5" s="216"/>
      <c r="X5" s="217"/>
      <c r="Y5" s="218"/>
    </row>
    <row r="6" spans="3:25" x14ac:dyDescent="0.25">
      <c r="C6" s="8"/>
      <c r="D6" s="10"/>
      <c r="E6" s="10"/>
      <c r="F6" s="34">
        <v>2014</v>
      </c>
      <c r="G6" s="34">
        <v>2015</v>
      </c>
      <c r="H6" s="34">
        <v>2016</v>
      </c>
      <c r="I6" s="34">
        <v>2017</v>
      </c>
      <c r="J6" s="35">
        <v>2018</v>
      </c>
      <c r="K6" s="50" t="s">
        <v>75</v>
      </c>
      <c r="L6" s="50" t="s">
        <v>76</v>
      </c>
      <c r="M6" s="50" t="s">
        <v>77</v>
      </c>
      <c r="O6" s="119"/>
      <c r="P6" s="10"/>
      <c r="Q6" s="10"/>
      <c r="R6" s="9">
        <v>2019</v>
      </c>
      <c r="S6" s="34">
        <v>2022</v>
      </c>
      <c r="T6" s="34">
        <v>2021</v>
      </c>
      <c r="U6" s="34">
        <v>2022</v>
      </c>
      <c r="V6" s="34">
        <v>2023</v>
      </c>
      <c r="W6" s="34"/>
      <c r="X6" s="34"/>
      <c r="Y6" s="142"/>
    </row>
    <row r="7" spans="3:25" x14ac:dyDescent="0.25">
      <c r="C7" s="36" t="s">
        <v>78</v>
      </c>
      <c r="D7" s="37"/>
      <c r="E7" s="37"/>
      <c r="F7" s="37"/>
      <c r="G7" s="37"/>
      <c r="H7" s="37"/>
      <c r="I7" s="37"/>
      <c r="J7" s="38"/>
      <c r="O7" s="143" t="s">
        <v>78</v>
      </c>
      <c r="P7" s="37"/>
      <c r="Q7" s="37"/>
      <c r="R7" s="37"/>
      <c r="S7" s="37"/>
      <c r="T7" s="37"/>
      <c r="U7" s="37"/>
      <c r="V7" s="38"/>
      <c r="W7" s="41"/>
      <c r="X7" s="41"/>
      <c r="Y7" s="144"/>
    </row>
    <row r="8" spans="3:25" x14ac:dyDescent="0.25">
      <c r="C8" s="8"/>
      <c r="D8" s="34" t="s">
        <v>79</v>
      </c>
      <c r="E8" s="34" t="s">
        <v>80</v>
      </c>
      <c r="F8" s="51">
        <f>'BS '!C30/'BS '!C46</f>
        <v>4.0411663161348477</v>
      </c>
      <c r="G8" s="51">
        <f>'BS '!E30/'BS '!E46</f>
        <v>3.550428623628612</v>
      </c>
      <c r="H8" s="51">
        <f>'BS '!G30/'BS '!G46</f>
        <v>4.3209148960402137</v>
      </c>
      <c r="I8" s="51">
        <f>'BS '!I30/'BS '!I46</f>
        <v>6.387938495715499</v>
      </c>
      <c r="J8" s="52">
        <f>'BS '!K30/'BS '!K46</f>
        <v>7.3531793805466075</v>
      </c>
      <c r="K8" s="42">
        <v>3.93</v>
      </c>
      <c r="L8" t="s">
        <v>81</v>
      </c>
      <c r="M8" t="s">
        <v>82</v>
      </c>
      <c r="O8" s="119"/>
      <c r="P8" s="34" t="s">
        <v>79</v>
      </c>
      <c r="Q8" s="34" t="s">
        <v>80</v>
      </c>
      <c r="R8" s="58">
        <f>'BS '!N30/'BS '!N46</f>
        <v>7.1797861042151307</v>
      </c>
      <c r="S8" s="59">
        <f>'BS '!P30/'BS '!P46</f>
        <v>7.147413801861453</v>
      </c>
      <c r="T8" s="59">
        <f>'BS '!R30/'BS '!R46</f>
        <v>7.2048522636460968</v>
      </c>
      <c r="U8" s="59">
        <f>'BS '!T30/'BS '!T46</f>
        <v>7.2532659389323868</v>
      </c>
      <c r="V8" s="51">
        <f>'BS '!P30/'BS '!P46</f>
        <v>7.147413801861453</v>
      </c>
      <c r="W8" s="41"/>
      <c r="X8" s="41" t="s">
        <v>83</v>
      </c>
      <c r="Y8" s="144"/>
    </row>
    <row r="9" spans="3:25" x14ac:dyDescent="0.25">
      <c r="C9" s="8"/>
      <c r="D9" s="34" t="s">
        <v>84</v>
      </c>
      <c r="E9" s="34" t="s">
        <v>80</v>
      </c>
      <c r="F9" s="51">
        <f>('BS '!C30-'BS '!C18)/'BS '!C46</f>
        <v>3.6560543660562899</v>
      </c>
      <c r="G9" s="51">
        <f>('BS '!E30-'BS '!E18)/'BS '!E46</f>
        <v>3.2782720170633644</v>
      </c>
      <c r="H9" s="51">
        <f>('BS '!G30-'BS '!G18)/'BS '!G46</f>
        <v>4.0114109500106734</v>
      </c>
      <c r="I9" s="51">
        <f>('BS '!I30-'BS '!I18)/'BS '!I46</f>
        <v>6.0439225610591842</v>
      </c>
      <c r="J9" s="51">
        <f>('BS '!K30-'BS '!K18)/'BS '!K46</f>
        <v>7.0273425870044814</v>
      </c>
      <c r="K9" s="55">
        <v>3.7233333333333332</v>
      </c>
      <c r="L9" t="s">
        <v>81</v>
      </c>
      <c r="M9" t="s">
        <v>82</v>
      </c>
      <c r="O9" s="119"/>
      <c r="P9" s="34" t="s">
        <v>84</v>
      </c>
      <c r="Q9" s="34" t="s">
        <v>80</v>
      </c>
      <c r="R9" s="58">
        <f>('BS reference'!B25-'BS reference'!B13)/'BS reference'!B39</f>
        <v>6.8751305652078925</v>
      </c>
      <c r="S9" s="58">
        <f>('BS reference'!C25-'BS reference'!C13)/'BS reference'!C39</f>
        <v>6.8510898213773599</v>
      </c>
      <c r="T9" s="58">
        <f>('BS reference'!D25-'BS reference'!D13)/'BS reference'!D39</f>
        <v>6.9021369614928778</v>
      </c>
      <c r="U9" s="58">
        <f>('BS reference'!E25-'BS reference'!E13)/'BS reference'!E39</f>
        <v>6.945720866925619</v>
      </c>
      <c r="V9" s="58">
        <f>('BS reference'!F25-'BS reference'!F13)/'BS reference'!F39</f>
        <v>7.0340020498329849</v>
      </c>
      <c r="W9" s="41"/>
      <c r="X9" s="41" t="s">
        <v>85</v>
      </c>
      <c r="Y9" s="144"/>
    </row>
    <row r="10" spans="3:25" x14ac:dyDescent="0.25">
      <c r="C10" s="8"/>
      <c r="D10" s="10"/>
      <c r="E10" s="10"/>
      <c r="F10" s="10"/>
      <c r="G10" s="10"/>
      <c r="H10" s="10"/>
      <c r="I10" s="10"/>
      <c r="J10" s="11"/>
      <c r="K10" s="41"/>
      <c r="O10" s="119"/>
      <c r="P10" s="10"/>
      <c r="Q10" s="10"/>
      <c r="R10" s="41"/>
      <c r="S10" s="53"/>
      <c r="T10" s="41"/>
      <c r="U10" s="41"/>
      <c r="V10" s="41"/>
      <c r="W10" s="41"/>
      <c r="X10" s="41"/>
      <c r="Y10" s="144"/>
    </row>
    <row r="11" spans="3:25" x14ac:dyDescent="0.25">
      <c r="C11" s="36" t="s">
        <v>86</v>
      </c>
      <c r="D11" s="37"/>
      <c r="E11" s="37"/>
      <c r="F11" s="37"/>
      <c r="G11" s="37"/>
      <c r="H11" s="37"/>
      <c r="I11" s="37"/>
      <c r="J11" s="38"/>
      <c r="K11" s="41"/>
      <c r="O11" s="143" t="s">
        <v>86</v>
      </c>
      <c r="P11" s="37"/>
      <c r="Q11" s="37"/>
      <c r="R11" s="37"/>
      <c r="S11" s="37"/>
      <c r="T11" s="37"/>
      <c r="U11" s="37"/>
      <c r="V11" s="38"/>
      <c r="W11" s="41"/>
      <c r="X11" s="41"/>
      <c r="Y11" s="144"/>
    </row>
    <row r="12" spans="3:25" x14ac:dyDescent="0.25">
      <c r="C12" s="8"/>
      <c r="D12" s="34" t="s">
        <v>87</v>
      </c>
      <c r="E12" s="34" t="s">
        <v>80</v>
      </c>
      <c r="F12" s="51">
        <f>IS..!G10/'BS '!C18</f>
        <v>4.374522575407279</v>
      </c>
      <c r="G12" s="51">
        <f>IS..!I10/'BS '!E18</f>
        <v>4.6689527864611406</v>
      </c>
      <c r="H12" s="51">
        <f>IS..!K10/'BS '!G18</f>
        <v>4.1080643863981647</v>
      </c>
      <c r="I12" s="51">
        <f>IS..!M10/'BS '!I18</f>
        <v>4.165581268445159</v>
      </c>
      <c r="J12" s="51">
        <f>IS..!O10/'BS '!K18</f>
        <v>4.6626339589174579</v>
      </c>
      <c r="K12" s="55">
        <v>7.3800871042273988</v>
      </c>
      <c r="L12" t="s">
        <v>83</v>
      </c>
      <c r="M12" t="s">
        <v>82</v>
      </c>
      <c r="O12" s="119"/>
      <c r="P12" s="34" t="s">
        <v>87</v>
      </c>
      <c r="Q12" s="34" t="s">
        <v>80</v>
      </c>
      <c r="R12" s="58">
        <f>'IS reference'!E6/'BS reference'!B13</f>
        <v>4.5763899229629885</v>
      </c>
      <c r="S12" s="58">
        <f>'IS reference'!F6/'BS reference'!C13</f>
        <v>4.7725171106816395</v>
      </c>
      <c r="T12" s="58">
        <f>'IS reference'!G6/'BS reference'!D13</f>
        <v>4.8742467079036498</v>
      </c>
      <c r="U12" s="58">
        <f>'IS reference'!H6/'BS reference'!E13</f>
        <v>4.797766671000959</v>
      </c>
      <c r="V12" s="58">
        <f>'IS reference'!I6/'BS reference'!F13</f>
        <v>4.7365758368318591</v>
      </c>
      <c r="W12" s="41"/>
      <c r="X12" s="41" t="s">
        <v>88</v>
      </c>
      <c r="Y12" s="144"/>
    </row>
    <row r="13" spans="3:25" x14ac:dyDescent="0.25">
      <c r="C13" s="8"/>
      <c r="D13" s="34" t="s">
        <v>89</v>
      </c>
      <c r="E13" s="34" t="s">
        <v>90</v>
      </c>
      <c r="F13" s="51">
        <f>'BS '!C20/(IS..!G6/365)</f>
        <v>142.74116164389855</v>
      </c>
      <c r="G13" s="51">
        <f>'BS '!E20/(IS..!I6/365)</f>
        <v>210.39862970527685</v>
      </c>
      <c r="H13" s="51">
        <f>'BS '!G20/(IS..!K6/365)</f>
        <v>249.21950463034841</v>
      </c>
      <c r="I13" s="51">
        <f>'BS '!I20/(IS..!M6/365)</f>
        <v>251.87592977414502</v>
      </c>
      <c r="J13" s="52">
        <f>'BS '!K20/(IS..!O6/365)</f>
        <v>290.97579082486766</v>
      </c>
      <c r="K13" s="55">
        <v>255.99333333333334</v>
      </c>
      <c r="L13" t="s">
        <v>91</v>
      </c>
      <c r="M13" t="s">
        <v>92</v>
      </c>
      <c r="O13" s="119"/>
      <c r="P13" s="34" t="s">
        <v>89</v>
      </c>
      <c r="Q13" s="34" t="s">
        <v>90</v>
      </c>
      <c r="R13" s="58">
        <f>'BS reference'!B15/('IS reference'!E2/365)</f>
        <v>290.98724462582209</v>
      </c>
      <c r="S13" s="58">
        <f>'BS reference'!C15/('IS reference'!F2/365)</f>
        <v>290.99020096057239</v>
      </c>
      <c r="T13" s="58">
        <f>'BS reference'!D15/('IS reference'!G2/365)</f>
        <v>290.99350729240678</v>
      </c>
      <c r="U13" s="58">
        <f>'BS reference'!E15/('IS reference'!H2/365)</f>
        <v>291.00450646932876</v>
      </c>
      <c r="V13" s="58">
        <f>'BS reference'!F15/('IS reference'!I2/365)</f>
        <v>290.99866719182074</v>
      </c>
      <c r="W13" s="41"/>
      <c r="X13" s="41" t="s">
        <v>83</v>
      </c>
      <c r="Y13" s="144"/>
    </row>
    <row r="14" spans="3:25" x14ac:dyDescent="0.25">
      <c r="C14" s="8"/>
      <c r="D14" s="34" t="s">
        <v>93</v>
      </c>
      <c r="E14" s="34" t="s">
        <v>90</v>
      </c>
      <c r="F14" s="51">
        <f>'BS '!C43/('IS '!G5/365)</f>
        <v>68.232137642451534</v>
      </c>
      <c r="G14" s="51">
        <f>'BS '!E43/('IS '!I5/365)</f>
        <v>107.27231560381264</v>
      </c>
      <c r="H14" s="51">
        <v>103.8</v>
      </c>
      <c r="I14" s="51">
        <f>'BS '!I43/(IS..!M6/365)</f>
        <v>83.206753503434953</v>
      </c>
      <c r="J14" s="52">
        <f>'BS '!K43/(IS..!O6/365)</f>
        <v>65.24780745977155</v>
      </c>
      <c r="K14" s="55">
        <v>159.42604238675617</v>
      </c>
      <c r="L14" t="s">
        <v>81</v>
      </c>
      <c r="M14" t="s">
        <v>82</v>
      </c>
      <c r="O14" s="119"/>
      <c r="P14" s="34" t="s">
        <v>93</v>
      </c>
      <c r="Q14" s="34" t="s">
        <v>90</v>
      </c>
      <c r="R14" s="58">
        <f>'BS reference'!B36/('IS reference'!E2/365)</f>
        <v>69.786924961906806</v>
      </c>
      <c r="S14" s="58">
        <f>'BS reference'!C36/('IS reference'!F2/365)</f>
        <v>71.749809818607574</v>
      </c>
      <c r="T14" s="58">
        <f>'BS reference'!D36/('IS reference'!G2/365)</f>
        <v>70.235731957446035</v>
      </c>
      <c r="U14" s="58">
        <f>'BS reference'!E36/('IS reference'!H2/365)</f>
        <v>69.135344413760194</v>
      </c>
      <c r="V14" s="58">
        <f>'BS reference'!F36/('IS reference'!I2/365)</f>
        <v>69.129117459907988</v>
      </c>
      <c r="W14" s="41"/>
      <c r="X14" s="41" t="s">
        <v>83</v>
      </c>
      <c r="Y14" s="144"/>
    </row>
    <row r="15" spans="3:25" x14ac:dyDescent="0.25">
      <c r="C15" s="8"/>
      <c r="D15" s="34" t="s">
        <v>94</v>
      </c>
      <c r="E15" s="34" t="s">
        <v>95</v>
      </c>
      <c r="F15" s="48">
        <f>IS..!G6/'BS '!C32</f>
        <v>0.51793093111078459</v>
      </c>
      <c r="G15" s="48">
        <f>IS..!I6/'BS '!E32</f>
        <v>0.3803326285076708</v>
      </c>
      <c r="H15" s="48">
        <f>IS..!K6/'BS '!G32</f>
        <v>0.27624846980752721</v>
      </c>
      <c r="I15" s="48">
        <f>IS..!M6/'BS '!I32</f>
        <v>0.27392421247649201</v>
      </c>
      <c r="J15" s="86">
        <f>IS..!O6/'BS '!K32</f>
        <v>0.30809006208204898</v>
      </c>
      <c r="K15" s="55">
        <v>0.39666666666666667</v>
      </c>
      <c r="L15" t="s">
        <v>96</v>
      </c>
      <c r="M15" t="s">
        <v>88</v>
      </c>
      <c r="O15" s="119"/>
      <c r="P15" s="34" t="s">
        <v>94</v>
      </c>
      <c r="Q15" s="34" t="s">
        <v>95</v>
      </c>
      <c r="R15" s="58">
        <f>'IS reference'!E2/'BS reference'!B27</f>
        <v>0.29106309065489611</v>
      </c>
      <c r="S15" s="58">
        <f>'IS reference'!F2/'BS reference'!C27</f>
        <v>0.2824271562053487</v>
      </c>
      <c r="T15" s="58">
        <f>'IS reference'!G2/'BS reference'!D27</f>
        <v>0.28734498567574773</v>
      </c>
      <c r="U15" s="58">
        <f>'IS reference'!H2/'BS reference'!E27</f>
        <v>0.29076472835921197</v>
      </c>
      <c r="V15" s="58">
        <f>'IS reference'!I2/'BS reference'!F27</f>
        <v>0.28626123399687087</v>
      </c>
      <c r="W15" s="41"/>
      <c r="X15" s="41" t="s">
        <v>83</v>
      </c>
      <c r="Y15" s="144"/>
    </row>
    <row r="16" spans="3:25" x14ac:dyDescent="0.25">
      <c r="C16" s="8"/>
      <c r="D16" s="10"/>
      <c r="E16" s="10"/>
      <c r="F16" s="10"/>
      <c r="G16" s="10"/>
      <c r="H16" s="10"/>
      <c r="I16" s="10"/>
      <c r="J16" s="11"/>
      <c r="K16" s="55"/>
      <c r="O16" s="119"/>
      <c r="P16" s="10"/>
      <c r="Q16" s="10"/>
      <c r="R16" s="41"/>
      <c r="S16" s="53"/>
      <c r="T16" s="55"/>
      <c r="U16" s="41"/>
      <c r="V16" s="41"/>
      <c r="W16" s="41"/>
      <c r="X16" s="41"/>
      <c r="Y16" s="144"/>
    </row>
    <row r="17" spans="3:25" x14ac:dyDescent="0.25">
      <c r="C17" s="36" t="s">
        <v>97</v>
      </c>
      <c r="D17" s="37"/>
      <c r="E17" s="37"/>
      <c r="F17" s="37"/>
      <c r="G17" s="37"/>
      <c r="H17" s="37"/>
      <c r="I17" s="37"/>
      <c r="J17" s="38"/>
      <c r="K17" s="55"/>
      <c r="O17" s="143" t="s">
        <v>97</v>
      </c>
      <c r="P17" s="37"/>
      <c r="Q17" s="37"/>
      <c r="R17" s="37"/>
      <c r="S17" s="37"/>
      <c r="T17" s="37"/>
      <c r="U17" s="37"/>
      <c r="V17" s="38"/>
      <c r="W17" s="41"/>
      <c r="X17" s="41"/>
      <c r="Y17" s="144"/>
    </row>
    <row r="18" spans="3:25" x14ac:dyDescent="0.25">
      <c r="C18" s="8"/>
      <c r="D18" s="34" t="s">
        <v>98</v>
      </c>
      <c r="E18" s="34" t="s">
        <v>80</v>
      </c>
      <c r="F18" s="140">
        <f>'BS '!C47/'BS '!C32</f>
        <v>0.20264984361771579</v>
      </c>
      <c r="G18" s="140">
        <f>'BS '!E47/'BS '!E32</f>
        <v>0.20092469344034625</v>
      </c>
      <c r="H18" s="140">
        <f>'BS '!G47/'BS '!G32</f>
        <v>0.18816054308086008</v>
      </c>
      <c r="I18" s="140">
        <f>'BS '!I47/'BS '!I32</f>
        <v>0.18221875903876128</v>
      </c>
      <c r="J18" s="140">
        <f>'BS '!K47/'BS '!K32</f>
        <v>0.17393059435760411</v>
      </c>
      <c r="K18" s="55">
        <v>0.33669890222694004</v>
      </c>
      <c r="L18" t="s">
        <v>83</v>
      </c>
      <c r="M18" t="s">
        <v>82</v>
      </c>
      <c r="O18" s="119"/>
      <c r="P18" s="34" t="s">
        <v>98</v>
      </c>
      <c r="Q18" s="34" t="s">
        <v>80</v>
      </c>
      <c r="R18" s="60">
        <f>'BS reference'!B40/'BS reference'!B27</f>
        <v>0.17669376345135174</v>
      </c>
      <c r="S18" s="60">
        <f>'BS reference'!C40/'BS reference'!C27</f>
        <v>0.17745738175055131</v>
      </c>
      <c r="T18" s="60">
        <f>'BS reference'!D40/'BS reference'!D27</f>
        <v>0.17656997651570766</v>
      </c>
      <c r="U18" s="60">
        <f>'BS reference'!E40/'BS reference'!E27</f>
        <v>0.17585881584161628</v>
      </c>
      <c r="V18" s="60">
        <f>'BS reference'!F40/'BS reference'!F27</f>
        <v>0.17507161312403891</v>
      </c>
      <c r="W18" s="41"/>
      <c r="X18" s="41" t="s">
        <v>99</v>
      </c>
      <c r="Y18" s="144"/>
    </row>
    <row r="19" spans="3:25" x14ac:dyDescent="0.25">
      <c r="C19" s="8"/>
      <c r="D19" s="34" t="s">
        <v>100</v>
      </c>
      <c r="E19" s="34" t="s">
        <v>80</v>
      </c>
      <c r="F19" s="140">
        <f>IS..!G21/IS..!G22</f>
        <v>89.34660484516867</v>
      </c>
      <c r="G19" s="140">
        <f>IS..!I21/IS..!I22</f>
        <v>68.55434229767296</v>
      </c>
      <c r="H19" s="140">
        <f>IS..!K21/IS..!K22</f>
        <v>74.124429459644944</v>
      </c>
      <c r="I19" s="140">
        <f>IS..!M21/IS..!M22</f>
        <v>28.786742677362732</v>
      </c>
      <c r="J19" s="141">
        <f>IS..!O21/IS..!O22</f>
        <v>96.404509314486617</v>
      </c>
      <c r="K19" s="55">
        <v>72.86666666666666</v>
      </c>
      <c r="L19" t="s">
        <v>101</v>
      </c>
      <c r="M19" t="s">
        <v>102</v>
      </c>
      <c r="O19" s="119"/>
      <c r="P19" s="34" t="s">
        <v>100</v>
      </c>
      <c r="Q19" s="34" t="s">
        <v>80</v>
      </c>
      <c r="R19" s="58">
        <f>'IS reference'!E17/'IS reference'!E18</f>
        <v>59.383596511961969</v>
      </c>
      <c r="S19" s="58">
        <f>'IS reference'!F17/'IS reference'!F18</f>
        <v>55.803237573054346</v>
      </c>
      <c r="T19" s="58">
        <f>'IS reference'!G17/'IS reference'!G18</f>
        <v>53.717652797640952</v>
      </c>
      <c r="U19" s="58">
        <f>'IS reference'!H17/'IS reference'!H18</f>
        <v>50.967900918234079</v>
      </c>
      <c r="V19" s="58">
        <f>'IS reference'!I17/'IS reference'!I18</f>
        <v>60.056840285083432</v>
      </c>
      <c r="W19" s="41"/>
      <c r="X19" s="41" t="s">
        <v>103</v>
      </c>
      <c r="Y19" s="144"/>
    </row>
    <row r="20" spans="3:25" x14ac:dyDescent="0.25">
      <c r="C20" s="8"/>
      <c r="D20" s="10"/>
      <c r="E20" s="10"/>
      <c r="F20" s="10"/>
      <c r="G20" s="10"/>
      <c r="H20" s="10"/>
      <c r="I20" s="10"/>
      <c r="J20" s="11"/>
      <c r="K20" s="55"/>
      <c r="O20" s="119"/>
      <c r="P20" s="10"/>
      <c r="Q20" s="10"/>
      <c r="R20" s="41"/>
      <c r="S20" s="53"/>
      <c r="T20" s="55"/>
      <c r="U20" s="41"/>
      <c r="V20" s="41"/>
      <c r="W20" s="41"/>
      <c r="X20" s="41"/>
      <c r="Y20" s="144"/>
    </row>
    <row r="21" spans="3:25" x14ac:dyDescent="0.25">
      <c r="C21" s="36" t="s">
        <v>104</v>
      </c>
      <c r="D21" s="37"/>
      <c r="E21" s="37"/>
      <c r="F21" s="37"/>
      <c r="G21" s="37"/>
      <c r="H21" s="37"/>
      <c r="I21" s="37"/>
      <c r="J21" s="38"/>
      <c r="K21" s="55"/>
      <c r="O21" s="143" t="s">
        <v>104</v>
      </c>
      <c r="P21" s="37"/>
      <c r="Q21" s="37"/>
      <c r="R21" s="37"/>
      <c r="S21" s="37"/>
      <c r="T21" s="37"/>
      <c r="U21" s="37"/>
      <c r="V21" s="38"/>
      <c r="W21" s="41"/>
      <c r="X21" s="41"/>
      <c r="Y21" s="144"/>
    </row>
    <row r="22" spans="3:25" x14ac:dyDescent="0.25">
      <c r="C22" s="8"/>
      <c r="D22" s="34" t="s">
        <v>105</v>
      </c>
      <c r="E22" s="34" t="s">
        <v>95</v>
      </c>
      <c r="F22" s="48">
        <f>IS..!G11/IS..!G6</f>
        <v>0.68507019069845054</v>
      </c>
      <c r="G22" s="48">
        <f>IS..!I11/IS..!I6</f>
        <v>0.62654940601801945</v>
      </c>
      <c r="H22" s="48">
        <f>IS..!K11/IS..!K6</f>
        <v>0.53964134372615113</v>
      </c>
      <c r="I22" s="48">
        <f>IS..!M11/IS..!M6</f>
        <v>0.55289843242392489</v>
      </c>
      <c r="J22" s="86">
        <f>IS..!O16/IS..!O6</f>
        <v>0.69037475495957945</v>
      </c>
      <c r="K22" s="55">
        <v>48.183333333333337</v>
      </c>
      <c r="L22" t="s">
        <v>96</v>
      </c>
      <c r="M22" t="s">
        <v>88</v>
      </c>
      <c r="O22" s="119"/>
      <c r="P22" s="34" t="s">
        <v>105</v>
      </c>
      <c r="Q22" s="34" t="s">
        <v>95</v>
      </c>
      <c r="R22" s="72">
        <f>'IS reference'!E7/'IS reference'!E2</f>
        <v>0.59915533857933123</v>
      </c>
      <c r="S22" s="72">
        <f>'IS reference'!F7/'IS reference'!F2</f>
        <v>0.58197236815550746</v>
      </c>
      <c r="T22" s="72">
        <f>'IS reference'!G7/'IS reference'!G2</f>
        <v>0.57305696058300504</v>
      </c>
      <c r="U22" s="72">
        <f>'IS reference'!H7/'IS reference'!H2</f>
        <v>0.57974008395437582</v>
      </c>
      <c r="V22" s="72">
        <f>'IS reference'!I7/'IS reference'!I2</f>
        <v>0.58510841426046589</v>
      </c>
      <c r="W22" s="41"/>
      <c r="X22" s="41" t="s">
        <v>83</v>
      </c>
      <c r="Y22" s="144"/>
    </row>
    <row r="23" spans="3:25" x14ac:dyDescent="0.25">
      <c r="C23" s="8"/>
      <c r="D23" s="34" t="s">
        <v>106</v>
      </c>
      <c r="E23" s="34" t="s">
        <v>95</v>
      </c>
      <c r="F23" s="48">
        <f>IS..!G16/IS..!G6</f>
        <v>0.73054520937192846</v>
      </c>
      <c r="G23" s="48">
        <f>IS..!I16/IS..!I6</f>
        <v>0.70220889544554721</v>
      </c>
      <c r="H23" s="48">
        <f>IS..!K16/IS..!K6</f>
        <v>0.65211931327003136</v>
      </c>
      <c r="I23" s="48">
        <f>IS..!M16/IS..!M6</f>
        <v>0.65479147673502414</v>
      </c>
      <c r="J23" s="86">
        <f>IS..!O16/IS..!O6</f>
        <v>0.69037475495957945</v>
      </c>
      <c r="K23" s="55">
        <v>53.743333333333332</v>
      </c>
      <c r="L23" t="s">
        <v>88</v>
      </c>
      <c r="M23" t="s">
        <v>82</v>
      </c>
      <c r="O23" s="119"/>
      <c r="P23" s="34" t="s">
        <v>106</v>
      </c>
      <c r="Q23" s="34" t="s">
        <v>95</v>
      </c>
      <c r="R23" s="72">
        <f>'IS reference'!E12/'IS reference'!E2</f>
        <v>0.68600792995642212</v>
      </c>
      <c r="S23" s="72">
        <f>'IS reference'!F12/'IS reference'!F2</f>
        <v>0.67710047407332086</v>
      </c>
      <c r="T23" s="72">
        <f>'IS reference'!G12/'IS reference'!G2</f>
        <v>0.67207878979887559</v>
      </c>
      <c r="U23" s="72">
        <f>'IS reference'!H12/'IS reference'!H2</f>
        <v>0.67607068510464452</v>
      </c>
      <c r="V23" s="72">
        <f>'IS reference'!I12/'IS reference'!I2</f>
        <v>0.68032652677856853</v>
      </c>
      <c r="W23" s="41"/>
      <c r="X23" s="41" t="s">
        <v>83</v>
      </c>
      <c r="Y23" s="144"/>
    </row>
    <row r="24" spans="3:25" x14ac:dyDescent="0.25">
      <c r="C24" s="8"/>
      <c r="D24" s="34" t="s">
        <v>107</v>
      </c>
      <c r="E24" s="34" t="s">
        <v>95</v>
      </c>
      <c r="F24" s="48">
        <f>IS..!G27/IS..!G6</f>
        <v>0.48213104165032028</v>
      </c>
      <c r="G24" s="48">
        <f>IS..!I27/IS..!I6</f>
        <v>0.41423890853402773</v>
      </c>
      <c r="H24" s="48">
        <f>IS..!K27/IS..!K6</f>
        <v>0.36822043378353536</v>
      </c>
      <c r="I24" s="48">
        <f>IS..!M27/IS..!M6</f>
        <v>0.37131838537212997</v>
      </c>
      <c r="J24" s="86">
        <f>IS..!O27/IS..!O6</f>
        <v>0.38345286783328286</v>
      </c>
      <c r="K24" s="55">
        <v>36.466666666666669</v>
      </c>
      <c r="L24" t="s">
        <v>88</v>
      </c>
      <c r="M24" t="s">
        <v>88</v>
      </c>
      <c r="O24" s="119"/>
      <c r="P24" s="34" t="s">
        <v>107</v>
      </c>
      <c r="Q24" s="34" t="s">
        <v>95</v>
      </c>
      <c r="R24" s="72">
        <f>'IS reference'!E23/'IS reference'!E2</f>
        <v>0.40387232743465928</v>
      </c>
      <c r="S24" s="72">
        <f>'IS reference'!F23/'IS reference'!F2</f>
        <v>0.38822058459152703</v>
      </c>
      <c r="T24" s="72">
        <f>'IS reference'!G23/'IS reference'!G2</f>
        <v>0.38301691980302688</v>
      </c>
      <c r="U24" s="72">
        <f>'IS reference'!H23/'IS reference'!H2</f>
        <v>0.38597621700692525</v>
      </c>
      <c r="V24" s="72">
        <f>'IS reference'!I23/'IS reference'!I2</f>
        <v>0.38890778333388426</v>
      </c>
      <c r="W24" s="41"/>
      <c r="X24" s="41" t="s">
        <v>83</v>
      </c>
      <c r="Y24" s="144"/>
    </row>
    <row r="25" spans="3:25" x14ac:dyDescent="0.25">
      <c r="C25" s="8"/>
      <c r="D25" s="34" t="s">
        <v>108</v>
      </c>
      <c r="E25" s="34" t="s">
        <v>80</v>
      </c>
      <c r="F25" s="51">
        <f>IS..!G27/IS..!G31</f>
        <v>28.811105970104141</v>
      </c>
      <c r="G25" s="51">
        <f>IS..!I27/IS..!G31</f>
        <v>20.286085102524339</v>
      </c>
      <c r="H25" s="51">
        <f>IS..!K27/IS..!G31</f>
        <v>13.943682412873494</v>
      </c>
      <c r="I25" s="51">
        <f>IS..!M27/IS..!G31</f>
        <v>14.834792010100141</v>
      </c>
      <c r="J25" s="52">
        <f>IS..!O27/IS..!G31</f>
        <v>18.306806899903044</v>
      </c>
      <c r="K25" s="55">
        <v>29.870000000000005</v>
      </c>
      <c r="L25" t="s">
        <v>81</v>
      </c>
      <c r="M25" t="s">
        <v>92</v>
      </c>
      <c r="O25" s="119"/>
      <c r="P25" s="34" t="s">
        <v>108</v>
      </c>
      <c r="Q25" s="34" t="s">
        <v>80</v>
      </c>
      <c r="R25" s="58">
        <f>'IS reference'!E23/'IS reference'!$F$27</f>
        <v>17.84448570527282</v>
      </c>
      <c r="S25" s="58">
        <f>'IS reference'!F23/'IS reference'!$F$27</f>
        <v>16.473513528369139</v>
      </c>
      <c r="T25" s="58">
        <f>'IS reference'!G23/'IS reference'!$F$27</f>
        <v>16.632828712397256</v>
      </c>
      <c r="U25" s="58">
        <f>'IS reference'!H23/'IS reference'!$F$27</f>
        <v>17.030552477540112</v>
      </c>
      <c r="V25" s="58">
        <f>'IS reference'!I23/'IS reference'!$F$27</f>
        <v>16.803314112771929</v>
      </c>
      <c r="W25" s="41"/>
      <c r="X25" s="41" t="s">
        <v>83</v>
      </c>
      <c r="Y25" s="144"/>
    </row>
    <row r="26" spans="3:25" x14ac:dyDescent="0.25">
      <c r="C26" s="8"/>
      <c r="D26" s="34" t="s">
        <v>109</v>
      </c>
      <c r="E26" s="34" t="s">
        <v>95</v>
      </c>
      <c r="F26" s="48">
        <f>IS..!G27/'BS '!C32</f>
        <v>0.24971057931936286</v>
      </c>
      <c r="G26" s="48">
        <f>IS..!I27/'BS '!E32</f>
        <v>0.15754857291289537</v>
      </c>
      <c r="H26" s="48">
        <f>IS..!K27/'BS '!G32</f>
        <v>0.10172033138456554</v>
      </c>
      <c r="I26" s="48">
        <f>IS..!M27/'BS '!I32</f>
        <v>0.10171309629110328</v>
      </c>
      <c r="J26" s="86">
        <f>IS..!O24/'BS '!K32</f>
        <v>0.16898816869799071</v>
      </c>
      <c r="K26" s="55">
        <v>13.49</v>
      </c>
      <c r="L26" t="s">
        <v>83</v>
      </c>
      <c r="M26" t="s">
        <v>88</v>
      </c>
      <c r="O26" s="119"/>
      <c r="P26" s="34" t="s">
        <v>109</v>
      </c>
      <c r="Q26" s="34" t="s">
        <v>95</v>
      </c>
      <c r="R26" s="72">
        <f>'IS reference'!E23/'BS reference'!B27</f>
        <v>0.1175523278531181</v>
      </c>
      <c r="S26" s="72">
        <f>'IS reference'!F23/'BS reference'!C27</f>
        <v>0.10964403568656299</v>
      </c>
      <c r="T26" s="72">
        <f>'IS reference'!G23/'BS reference'!D27</f>
        <v>0.11005799133436978</v>
      </c>
      <c r="U26" s="72">
        <f>'IS reference'!H23/'BS reference'!E27</f>
        <v>0.11222826989113487</v>
      </c>
      <c r="V26" s="72">
        <f>'IS reference'!I23/'BS reference'!F27</f>
        <v>0.11132922196814539</v>
      </c>
      <c r="W26" s="41"/>
      <c r="X26" s="41" t="s">
        <v>83</v>
      </c>
      <c r="Y26" s="144"/>
    </row>
    <row r="27" spans="3:25" x14ac:dyDescent="0.25">
      <c r="C27" s="8"/>
      <c r="D27" s="34" t="s">
        <v>110</v>
      </c>
      <c r="E27" s="34" t="s">
        <v>95</v>
      </c>
      <c r="F27" s="48">
        <f>IS..!G27/'BS '!C55</f>
        <v>0.31317555696275651</v>
      </c>
      <c r="G27" s="48">
        <f>IS..!I27/'BS '!E55</f>
        <v>0.19716361101334298</v>
      </c>
      <c r="H27" s="48">
        <f>IS..!K27/'BS '!G55</f>
        <v>0.12529611676006158</v>
      </c>
      <c r="I27" s="48">
        <f>IS..!M27/'BS '!I55</f>
        <v>0.12437690080974148</v>
      </c>
      <c r="J27" s="48">
        <f>IS..!O27/'BS '!K55</f>
        <v>0.1430122179194197</v>
      </c>
      <c r="K27" s="55">
        <v>22.683333333333334</v>
      </c>
      <c r="L27" t="s">
        <v>96</v>
      </c>
      <c r="M27" t="s">
        <v>92</v>
      </c>
      <c r="O27" s="145"/>
      <c r="P27" s="97" t="s">
        <v>110</v>
      </c>
      <c r="Q27" s="97" t="s">
        <v>95</v>
      </c>
      <c r="R27" s="146">
        <f>'IS reference'!E23/'BS reference'!B46</f>
        <v>0.14278080566377238</v>
      </c>
      <c r="S27" s="146">
        <f>'IS reference'!F23/'BS reference'!C46</f>
        <v>0.13329891150015491</v>
      </c>
      <c r="T27" s="146">
        <f>'IS reference'!G23/'BS reference'!D46</f>
        <v>0.13365797719061409</v>
      </c>
      <c r="U27" s="146">
        <f>'IS reference'!H23/'BS reference'!E46</f>
        <v>0.13617602433851778</v>
      </c>
      <c r="V27" s="146">
        <f>'IS reference'!I23/'BS reference'!F46</f>
        <v>0.13495622618594982</v>
      </c>
      <c r="W27" s="147"/>
      <c r="X27" s="147" t="s">
        <v>83</v>
      </c>
      <c r="Y27" s="148"/>
    </row>
    <row r="28" spans="3:25" x14ac:dyDescent="0.25">
      <c r="C28" s="8"/>
      <c r="D28" s="10"/>
      <c r="E28" s="10"/>
      <c r="F28" s="10"/>
      <c r="G28" s="10"/>
      <c r="H28" s="10"/>
      <c r="I28" s="10"/>
      <c r="J28" s="11"/>
      <c r="K28" s="55"/>
      <c r="T28" s="55"/>
      <c r="U28" s="41"/>
      <c r="V28" s="41"/>
      <c r="W28" s="41"/>
      <c r="X28" s="41"/>
      <c r="Y28" s="41"/>
    </row>
    <row r="29" spans="3:25" x14ac:dyDescent="0.25">
      <c r="C29" s="36" t="s">
        <v>111</v>
      </c>
      <c r="D29" s="37"/>
      <c r="E29" s="37"/>
      <c r="F29" s="37"/>
      <c r="G29" s="37"/>
      <c r="H29" s="37"/>
      <c r="I29" s="37"/>
      <c r="J29" s="38"/>
      <c r="K29" s="55"/>
      <c r="T29" s="55"/>
      <c r="U29" s="41"/>
      <c r="V29" s="41"/>
      <c r="W29" s="41"/>
      <c r="X29" s="41"/>
      <c r="Y29" s="41"/>
    </row>
    <row r="30" spans="3:25" ht="15" customHeight="1" x14ac:dyDescent="0.25">
      <c r="C30" s="8"/>
      <c r="D30" s="34" t="s">
        <v>112</v>
      </c>
      <c r="E30" s="34" t="s">
        <v>80</v>
      </c>
      <c r="F30" s="51">
        <f>F$33/F$25</f>
        <v>8.0871591754156391</v>
      </c>
      <c r="G30" s="51">
        <f t="shared" ref="G30:J30" si="0">G$33/G$25</f>
        <v>11.042051675713719</v>
      </c>
      <c r="H30" s="51">
        <f t="shared" si="0"/>
        <v>9.9507429882295053</v>
      </c>
      <c r="I30" s="51">
        <f t="shared" si="0"/>
        <v>10.840731699541664</v>
      </c>
      <c r="J30" s="51">
        <f t="shared" si="0"/>
        <v>8.524151746027675</v>
      </c>
      <c r="K30" s="55">
        <v>10.872922991671828</v>
      </c>
      <c r="L30" t="s">
        <v>96</v>
      </c>
      <c r="M30" t="s">
        <v>92</v>
      </c>
      <c r="R30" s="56"/>
      <c r="S30" s="57"/>
      <c r="T30" s="55"/>
      <c r="U30" s="41"/>
      <c r="V30" s="41"/>
      <c r="W30" s="41"/>
      <c r="X30" s="41"/>
      <c r="Y30" s="41"/>
    </row>
    <row r="31" spans="3:25" ht="15" customHeight="1" x14ac:dyDescent="0.25">
      <c r="C31" s="27"/>
      <c r="D31" s="18" t="s">
        <v>113</v>
      </c>
      <c r="E31" s="34" t="s">
        <v>80</v>
      </c>
      <c r="F31" s="139">
        <f>F$33/F$35</f>
        <v>2.5326086956521738</v>
      </c>
      <c r="G31" s="139">
        <f t="shared" ref="G31:J31" si="1">G$33/G$35</f>
        <v>2.1770823209252601</v>
      </c>
      <c r="H31" s="139">
        <f t="shared" si="1"/>
        <v>1.246742744181867</v>
      </c>
      <c r="I31" s="139">
        <f t="shared" si="1"/>
        <v>1.3483692462480088</v>
      </c>
      <c r="J31" s="139">
        <f t="shared" si="1"/>
        <v>1.2190453870791347</v>
      </c>
      <c r="K31" s="55">
        <v>2.4064952833081312</v>
      </c>
      <c r="L31" t="s">
        <v>96</v>
      </c>
      <c r="M31" t="s">
        <v>92</v>
      </c>
      <c r="R31" s="56"/>
      <c r="S31" s="57"/>
      <c r="T31" s="55"/>
      <c r="U31" s="41"/>
      <c r="V31" s="41"/>
      <c r="W31" s="41"/>
      <c r="X31" s="41"/>
      <c r="Y31" s="41"/>
    </row>
    <row r="32" spans="3:25" x14ac:dyDescent="0.25">
      <c r="K32" s="55"/>
      <c r="T32" s="55"/>
    </row>
    <row r="33" spans="4:20" x14ac:dyDescent="0.25">
      <c r="D33" t="s">
        <v>114</v>
      </c>
      <c r="F33">
        <v>233</v>
      </c>
      <c r="G33">
        <v>224</v>
      </c>
      <c r="H33">
        <v>138.75</v>
      </c>
      <c r="I33">
        <v>160.82</v>
      </c>
      <c r="J33">
        <v>156.05000000000001</v>
      </c>
      <c r="K33" s="55"/>
      <c r="T33" s="55"/>
    </row>
    <row r="34" spans="4:20" x14ac:dyDescent="0.25">
      <c r="K34" s="55"/>
      <c r="T34" s="55"/>
    </row>
    <row r="35" spans="4:20" x14ac:dyDescent="0.25">
      <c r="D35" t="s">
        <v>115</v>
      </c>
      <c r="F35">
        <v>92</v>
      </c>
      <c r="G35">
        <v>102.89</v>
      </c>
      <c r="H35">
        <v>111.29</v>
      </c>
      <c r="I35">
        <v>119.27</v>
      </c>
      <c r="J35">
        <v>128.01</v>
      </c>
      <c r="K35" s="55"/>
      <c r="T35" s="55"/>
    </row>
  </sheetData>
  <mergeCells count="4">
    <mergeCell ref="C4:J5"/>
    <mergeCell ref="O4:V5"/>
    <mergeCell ref="W4:Y5"/>
    <mergeCell ref="L4: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selection activeCell="N13" sqref="N13"/>
    </sheetView>
  </sheetViews>
  <sheetFormatPr defaultRowHeight="15" x14ac:dyDescent="0.25"/>
  <cols>
    <col min="5" max="9" width="12.140625" bestFit="1" customWidth="1"/>
  </cols>
  <sheetData>
    <row r="1" spans="1:9" x14ac:dyDescent="0.25">
      <c r="E1" s="50">
        <v>2019</v>
      </c>
      <c r="F1" s="50">
        <v>2020</v>
      </c>
      <c r="G1" s="50">
        <v>2021</v>
      </c>
      <c r="H1" s="50">
        <v>2022</v>
      </c>
      <c r="I1" s="50">
        <v>2023</v>
      </c>
    </row>
    <row r="2" spans="1:9" x14ac:dyDescent="0.25">
      <c r="A2" s="176" t="s">
        <v>49</v>
      </c>
      <c r="B2" s="177"/>
      <c r="C2" s="177"/>
      <c r="D2" s="178"/>
      <c r="E2" s="49">
        <v>190030063.19316524</v>
      </c>
      <c r="F2" s="49">
        <v>182503018.5200412</v>
      </c>
      <c r="G2">
        <v>186771466.9910658</v>
      </c>
      <c r="H2" s="49">
        <v>189771314.50022057</v>
      </c>
      <c r="I2">
        <v>185827799.96716908</v>
      </c>
    </row>
    <row r="3" spans="1:9" x14ac:dyDescent="0.25">
      <c r="A3" s="176" t="s">
        <v>51</v>
      </c>
      <c r="B3" s="177"/>
      <c r="C3" s="177"/>
      <c r="D3" s="177"/>
      <c r="E3" s="49">
        <v>21056721.933099389</v>
      </c>
      <c r="F3" s="49">
        <v>20046421.569979675</v>
      </c>
      <c r="G3" s="49">
        <v>20408629.415633019</v>
      </c>
      <c r="H3" s="49">
        <v>20670650.673369702</v>
      </c>
      <c r="I3" s="49">
        <v>20286597.944035217</v>
      </c>
    </row>
    <row r="4" spans="1:9" x14ac:dyDescent="0.25">
      <c r="A4" s="176" t="s">
        <v>53</v>
      </c>
      <c r="B4" s="177"/>
      <c r="C4" s="177"/>
      <c r="D4" s="177"/>
      <c r="E4" s="49">
        <v>53265358.784679882</v>
      </c>
      <c r="F4" s="49">
        <v>54451464.698043793</v>
      </c>
      <c r="G4" s="49">
        <v>57481895.96491386</v>
      </c>
      <c r="H4" s="49">
        <v>57272236.037910126</v>
      </c>
      <c r="I4" s="49">
        <v>55059509.448482372</v>
      </c>
    </row>
    <row r="5" spans="1:9" x14ac:dyDescent="0.25">
      <c r="A5" s="176" t="s">
        <v>54</v>
      </c>
      <c r="B5" s="177"/>
      <c r="C5" s="177"/>
      <c r="D5" s="177"/>
      <c r="E5" s="49">
        <v>1846517.1827776763</v>
      </c>
      <c r="F5" s="49">
        <v>1788879.4413300874</v>
      </c>
      <c r="G5" s="49">
        <v>1845731.7448544367</v>
      </c>
      <c r="H5" s="49">
        <v>1804878.055723828</v>
      </c>
      <c r="I5" s="49">
        <v>1748609.3928646876</v>
      </c>
    </row>
    <row r="6" spans="1:9" x14ac:dyDescent="0.25">
      <c r="A6" s="176" t="s">
        <v>56</v>
      </c>
      <c r="B6" s="177"/>
      <c r="C6" s="177"/>
      <c r="D6" s="177"/>
      <c r="E6" s="49">
        <v>76172536.155319884</v>
      </c>
      <c r="F6" s="49">
        <v>76291304.423090905</v>
      </c>
      <c r="G6" s="49">
        <v>79740777.531573519</v>
      </c>
      <c r="H6" s="49">
        <v>79753276.380325735</v>
      </c>
      <c r="I6" s="49">
        <v>77098390.227546871</v>
      </c>
    </row>
    <row r="7" spans="1:9" x14ac:dyDescent="0.25">
      <c r="A7" s="204" t="s">
        <v>57</v>
      </c>
      <c r="B7" s="205"/>
      <c r="C7" s="205"/>
      <c r="D7" s="206"/>
      <c r="E7" s="49">
        <v>113857526.85275263</v>
      </c>
      <c r="F7" s="49">
        <v>106211713.88363682</v>
      </c>
      <c r="G7" s="49">
        <v>107030689.19752923</v>
      </c>
      <c r="H7" s="49">
        <v>110018037.80049013</v>
      </c>
      <c r="I7" s="49">
        <v>108729409.36430135</v>
      </c>
    </row>
    <row r="8" spans="1:9" x14ac:dyDescent="0.25">
      <c r="A8" s="201"/>
      <c r="B8" s="202"/>
      <c r="C8" s="202"/>
      <c r="D8" s="203"/>
      <c r="E8" s="49"/>
      <c r="F8" s="49"/>
      <c r="G8" s="49"/>
      <c r="H8" s="49"/>
      <c r="I8" s="49"/>
    </row>
    <row r="9" spans="1:9" x14ac:dyDescent="0.25">
      <c r="A9" s="176" t="s">
        <v>58</v>
      </c>
      <c r="B9" s="177"/>
      <c r="C9" s="177"/>
      <c r="D9" s="178"/>
      <c r="E9" s="49">
        <v>12714491.147446565</v>
      </c>
      <c r="F9" s="49">
        <v>13414255.427384879</v>
      </c>
      <c r="G9" s="49">
        <v>14411453.188216964</v>
      </c>
      <c r="H9" s="49">
        <v>14181188.943005951</v>
      </c>
      <c r="I9" s="49">
        <v>13793893.226985758</v>
      </c>
    </row>
    <row r="10" spans="1:9" x14ac:dyDescent="0.25">
      <c r="A10" s="176" t="s">
        <v>59</v>
      </c>
      <c r="B10" s="177"/>
      <c r="C10" s="177"/>
      <c r="D10" s="178"/>
      <c r="E10" s="49">
        <v>3790112.2804321707</v>
      </c>
      <c r="F10" s="49">
        <v>3946911.0487102731</v>
      </c>
      <c r="G10" s="49">
        <v>4082999.1185699678</v>
      </c>
      <c r="H10" s="49">
        <v>4099595.863876998</v>
      </c>
      <c r="I10" s="49">
        <v>3900279.139279604</v>
      </c>
    </row>
    <row r="11" spans="1:9" x14ac:dyDescent="0.25">
      <c r="A11" s="92" t="s">
        <v>53</v>
      </c>
      <c r="B11" s="63"/>
      <c r="C11" s="63"/>
      <c r="D11" s="64"/>
      <c r="E11" s="49">
        <v>16504603.427878736</v>
      </c>
      <c r="F11" s="49">
        <v>17361166.476095151</v>
      </c>
      <c r="G11" s="49">
        <v>18494452.306786932</v>
      </c>
      <c r="H11" s="49">
        <v>18280784.806882944</v>
      </c>
      <c r="I11" s="49">
        <v>17694172.36626536</v>
      </c>
    </row>
    <row r="12" spans="1:9" x14ac:dyDescent="0.25">
      <c r="A12" s="93" t="s">
        <v>60</v>
      </c>
      <c r="B12" s="66"/>
      <c r="C12" s="66"/>
      <c r="D12" s="110"/>
      <c r="E12" s="49">
        <v>130362130.28063138</v>
      </c>
      <c r="F12" s="49">
        <v>123572880.35973196</v>
      </c>
      <c r="G12" s="49">
        <v>125525141.50431614</v>
      </c>
      <c r="H12" s="49">
        <v>128298822.60737307</v>
      </c>
      <c r="I12" s="49">
        <v>126423581.73056673</v>
      </c>
    </row>
    <row r="13" spans="1:9" x14ac:dyDescent="0.25">
      <c r="A13" s="92"/>
      <c r="B13" s="63"/>
      <c r="C13" s="63"/>
      <c r="D13" s="64"/>
      <c r="E13" s="49"/>
      <c r="F13" s="49"/>
      <c r="G13" s="49"/>
      <c r="H13" s="49"/>
      <c r="I13" s="49"/>
    </row>
    <row r="14" spans="1:9" x14ac:dyDescent="0.25">
      <c r="A14" s="176" t="s">
        <v>61</v>
      </c>
      <c r="B14" s="177"/>
      <c r="C14" s="177"/>
      <c r="D14" s="178"/>
      <c r="E14" s="49">
        <v>13399518.821766678</v>
      </c>
      <c r="F14" s="49">
        <v>15442510.824838968</v>
      </c>
      <c r="G14" s="49">
        <v>15561755.339909263</v>
      </c>
      <c r="H14" s="49">
        <v>15547676.809792403</v>
      </c>
      <c r="I14" s="49">
        <v>14804416.214069529</v>
      </c>
    </row>
    <row r="15" spans="1:9" x14ac:dyDescent="0.25">
      <c r="A15" s="176" t="s">
        <v>62</v>
      </c>
      <c r="B15" s="177"/>
      <c r="C15" s="177"/>
      <c r="D15" s="178"/>
      <c r="E15" s="49">
        <v>5671390.4226914514</v>
      </c>
      <c r="F15" s="49">
        <v>5247847.1802999154</v>
      </c>
      <c r="G15" s="49">
        <v>5259021.7260677479</v>
      </c>
      <c r="H15" s="49">
        <v>5424747.9644943466</v>
      </c>
      <c r="I15" s="49">
        <v>5359695.0950922249</v>
      </c>
    </row>
    <row r="16" spans="1:9" x14ac:dyDescent="0.25">
      <c r="A16" s="176" t="s">
        <v>63</v>
      </c>
      <c r="B16" s="177"/>
      <c r="C16" s="177"/>
      <c r="D16" s="178"/>
      <c r="E16" s="49">
        <v>1689268.6102796283</v>
      </c>
      <c r="F16" s="49">
        <v>1930651.117102037</v>
      </c>
      <c r="G16" s="49">
        <v>2185859.7864499423</v>
      </c>
      <c r="H16" s="49">
        <v>2155063.0022026221</v>
      </c>
      <c r="I16" s="49">
        <v>2137116.2798655652</v>
      </c>
    </row>
    <row r="17" spans="1:9" x14ac:dyDescent="0.25">
      <c r="A17" s="92" t="s">
        <v>64</v>
      </c>
      <c r="B17" s="63"/>
      <c r="C17" s="63"/>
      <c r="D17" s="64"/>
      <c r="E17" s="49">
        <v>151122308.13536912</v>
      </c>
      <c r="F17" s="49">
        <v>146193889.48197287</v>
      </c>
      <c r="G17" s="49">
        <v>148531778.3567431</v>
      </c>
      <c r="H17" s="49">
        <v>151426310.38386244</v>
      </c>
      <c r="I17" s="49">
        <v>148724809.319594</v>
      </c>
    </row>
    <row r="18" spans="1:9" x14ac:dyDescent="0.25">
      <c r="A18" s="176" t="s">
        <v>65</v>
      </c>
      <c r="B18" s="177"/>
      <c r="C18" s="177"/>
      <c r="D18" s="178"/>
      <c r="E18" s="49">
        <v>2544849.3693865058</v>
      </c>
      <c r="F18" s="49">
        <v>2619810.1730313469</v>
      </c>
      <c r="G18" s="49">
        <v>2765045.9508399437</v>
      </c>
      <c r="H18" s="49">
        <v>2971013.2780784923</v>
      </c>
      <c r="I18" s="49">
        <v>2476400.8331709285</v>
      </c>
    </row>
    <row r="19" spans="1:9" x14ac:dyDescent="0.25">
      <c r="A19" s="92"/>
      <c r="B19" s="63"/>
      <c r="C19" s="63"/>
      <c r="D19" s="64"/>
      <c r="E19" s="49"/>
      <c r="F19" s="49"/>
      <c r="G19" s="49"/>
      <c r="H19" s="49"/>
      <c r="I19" s="49"/>
    </row>
    <row r="20" spans="1:9" x14ac:dyDescent="0.25">
      <c r="A20" s="204" t="s">
        <v>66</v>
      </c>
      <c r="B20" s="205"/>
      <c r="C20" s="205"/>
      <c r="D20" s="206"/>
      <c r="E20" s="49">
        <v>107756419.5443864</v>
      </c>
      <c r="F20" s="49">
        <v>99709099.163794383</v>
      </c>
      <c r="G20" s="49">
        <v>99921415.625800401</v>
      </c>
      <c r="H20" s="49">
        <v>103070215.24264148</v>
      </c>
      <c r="I20" s="49">
        <v>101834209.89571486</v>
      </c>
    </row>
    <row r="21" spans="1:9" x14ac:dyDescent="0.25">
      <c r="A21" s="94"/>
      <c r="B21" s="70"/>
      <c r="C21" s="70"/>
      <c r="D21" s="111"/>
      <c r="E21" s="49"/>
      <c r="F21" s="49"/>
      <c r="G21" s="49"/>
      <c r="H21" s="49"/>
      <c r="I21" s="49"/>
    </row>
    <row r="22" spans="1:9" x14ac:dyDescent="0.25">
      <c r="A22" s="176" t="s">
        <v>67</v>
      </c>
      <c r="B22" s="177"/>
      <c r="C22" s="177"/>
      <c r="D22" s="178"/>
      <c r="E22" s="49">
        <v>31008535.640007373</v>
      </c>
      <c r="F22" s="49">
        <v>28857670.624225706</v>
      </c>
      <c r="G22" s="49">
        <v>28384783.631789684</v>
      </c>
      <c r="H22" s="49">
        <v>29823001.17541489</v>
      </c>
      <c r="I22" s="49">
        <v>29564332.1286707</v>
      </c>
    </row>
    <row r="23" spans="1:9" x14ac:dyDescent="0.25">
      <c r="A23" s="204" t="s">
        <v>68</v>
      </c>
      <c r="B23" s="205"/>
      <c r="C23" s="205"/>
      <c r="D23" s="206"/>
      <c r="E23" s="49">
        <v>76747883.904379025</v>
      </c>
      <c r="F23" s="49">
        <v>70851428.539568678</v>
      </c>
      <c r="G23" s="49">
        <v>71536631.994010732</v>
      </c>
      <c r="H23" s="49">
        <v>73247214.067226589</v>
      </c>
      <c r="I23" s="49">
        <v>72269877.767044172</v>
      </c>
    </row>
    <row r="24" spans="1:9" x14ac:dyDescent="0.25">
      <c r="A24" s="201"/>
      <c r="B24" s="202"/>
      <c r="C24" s="202"/>
      <c r="D24" s="203"/>
      <c r="E24" s="49"/>
      <c r="F24" s="49"/>
      <c r="G24" s="49"/>
      <c r="H24" s="49"/>
      <c r="I24" s="49"/>
    </row>
    <row r="25" spans="1:9" x14ac:dyDescent="0.25">
      <c r="A25" s="182" t="s">
        <v>69</v>
      </c>
      <c r="B25" s="183"/>
      <c r="C25" s="183"/>
      <c r="D25" s="184"/>
      <c r="E25" s="56">
        <v>17.84448570527282</v>
      </c>
      <c r="F25" s="56">
        <v>16.473513528369139</v>
      </c>
      <c r="G25" s="56">
        <v>16.632828712397256</v>
      </c>
      <c r="H25" s="56">
        <v>17.030552477540112</v>
      </c>
      <c r="I25" s="56">
        <v>16.803314112771929</v>
      </c>
    </row>
    <row r="27" spans="1:9" x14ac:dyDescent="0.25">
      <c r="B27" s="186" t="s">
        <v>70</v>
      </c>
      <c r="C27" s="186"/>
      <c r="D27" s="186"/>
      <c r="E27" s="186"/>
      <c r="F27" s="50">
        <v>4300930</v>
      </c>
    </row>
  </sheetData>
  <mergeCells count="19">
    <mergeCell ref="B27:E27"/>
    <mergeCell ref="A18:D18"/>
    <mergeCell ref="A20:D20"/>
    <mergeCell ref="A22:D22"/>
    <mergeCell ref="A23:D23"/>
    <mergeCell ref="A24:D24"/>
    <mergeCell ref="A25:D25"/>
    <mergeCell ref="A16:D16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4:D14"/>
    <mergeCell ref="A15:D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70" zoomScaleNormal="70" workbookViewId="0">
      <selection activeCell="B15" sqref="B15"/>
    </sheetView>
  </sheetViews>
  <sheetFormatPr defaultRowHeight="15" x14ac:dyDescent="0.25"/>
  <cols>
    <col min="1" max="1" width="45.5703125" bestFit="1" customWidth="1"/>
    <col min="2" max="3" width="11.28515625" bestFit="1" customWidth="1"/>
    <col min="4" max="4" width="12.140625" bestFit="1" customWidth="1"/>
    <col min="5" max="6" width="11.28515625" bestFit="1" customWidth="1"/>
  </cols>
  <sheetData>
    <row r="1" spans="1:6" x14ac:dyDescent="0.25"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s="121" t="s">
        <v>3</v>
      </c>
    </row>
    <row r="3" spans="1:6" x14ac:dyDescent="0.25">
      <c r="A3" s="119" t="s">
        <v>4</v>
      </c>
      <c r="B3" s="127">
        <v>124063611</v>
      </c>
      <c r="C3" s="13">
        <v>124063611</v>
      </c>
      <c r="D3" s="13">
        <v>124063611</v>
      </c>
      <c r="E3" s="13">
        <v>124063611</v>
      </c>
      <c r="F3" s="13">
        <v>124063611</v>
      </c>
    </row>
    <row r="4" spans="1:6" x14ac:dyDescent="0.25">
      <c r="A4" s="119" t="s">
        <v>5</v>
      </c>
      <c r="B4" s="127">
        <v>94403553</v>
      </c>
      <c r="C4" s="13">
        <v>94403553</v>
      </c>
      <c r="D4" s="13">
        <v>94403553</v>
      </c>
      <c r="E4" s="13">
        <v>94403553</v>
      </c>
      <c r="F4" s="13">
        <v>94403553</v>
      </c>
    </row>
    <row r="5" spans="1:6" x14ac:dyDescent="0.25">
      <c r="A5" s="119" t="s">
        <v>6</v>
      </c>
      <c r="B5" s="127">
        <v>6525579</v>
      </c>
      <c r="C5" s="13">
        <v>6525579</v>
      </c>
      <c r="D5" s="13">
        <v>6525579</v>
      </c>
      <c r="E5" s="13">
        <v>6525579</v>
      </c>
      <c r="F5" s="13">
        <v>6525579</v>
      </c>
    </row>
    <row r="6" spans="1:6" x14ac:dyDescent="0.25">
      <c r="A6" s="119"/>
      <c r="B6" s="128">
        <v>224992743</v>
      </c>
      <c r="C6" s="16">
        <v>224992743</v>
      </c>
      <c r="D6" s="16">
        <v>224992743</v>
      </c>
      <c r="E6" s="16">
        <v>224992743</v>
      </c>
      <c r="F6" s="16">
        <v>224992743</v>
      </c>
    </row>
    <row r="7" spans="1:6" x14ac:dyDescent="0.25">
      <c r="A7" s="119" t="s">
        <v>7</v>
      </c>
      <c r="B7" s="127">
        <v>27617446</v>
      </c>
      <c r="C7" s="13">
        <v>27617446</v>
      </c>
      <c r="D7" s="13">
        <v>27617446</v>
      </c>
      <c r="E7" s="13">
        <v>27617446</v>
      </c>
      <c r="F7" s="13">
        <v>27617446</v>
      </c>
    </row>
    <row r="8" spans="1:6" x14ac:dyDescent="0.25">
      <c r="A8" s="119" t="s">
        <v>8</v>
      </c>
      <c r="B8" s="127">
        <v>7344145</v>
      </c>
      <c r="C8" s="13">
        <v>7344145</v>
      </c>
      <c r="D8" s="13">
        <v>7344145</v>
      </c>
      <c r="E8" s="13">
        <v>7344145</v>
      </c>
      <c r="F8" s="13">
        <v>7344145</v>
      </c>
    </row>
    <row r="9" spans="1:6" x14ac:dyDescent="0.25">
      <c r="A9" s="119" t="s">
        <v>9</v>
      </c>
      <c r="B9" s="127">
        <v>664958</v>
      </c>
      <c r="C9" s="13">
        <v>664958</v>
      </c>
      <c r="D9" s="13">
        <v>664958</v>
      </c>
      <c r="E9" s="13">
        <v>664958</v>
      </c>
      <c r="F9" s="13">
        <v>664958</v>
      </c>
    </row>
    <row r="10" spans="1:6" x14ac:dyDescent="0.25">
      <c r="A10" s="119"/>
      <c r="B10" s="129">
        <v>260619292</v>
      </c>
      <c r="C10" s="21">
        <v>260619292</v>
      </c>
      <c r="D10" s="21">
        <v>260619292</v>
      </c>
      <c r="E10" s="21">
        <v>260619292</v>
      </c>
      <c r="F10" s="21">
        <v>260619292</v>
      </c>
    </row>
    <row r="11" spans="1:6" x14ac:dyDescent="0.25">
      <c r="A11" s="119"/>
      <c r="B11" s="119"/>
      <c r="C11" s="10"/>
      <c r="D11" s="10"/>
      <c r="E11" s="10"/>
      <c r="F11" s="10"/>
    </row>
    <row r="12" spans="1:6" x14ac:dyDescent="0.25">
      <c r="A12" s="121" t="s">
        <v>10</v>
      </c>
      <c r="B12" s="119"/>
      <c r="C12" s="10"/>
      <c r="D12" s="10"/>
      <c r="E12" s="10"/>
      <c r="F12" s="10"/>
    </row>
    <row r="13" spans="1:6" x14ac:dyDescent="0.25">
      <c r="A13" s="119" t="s">
        <v>11</v>
      </c>
      <c r="B13" s="130">
        <v>16644677.887499999</v>
      </c>
      <c r="C13" s="85">
        <v>15985548.643154999</v>
      </c>
      <c r="D13" s="85">
        <v>16359610.481404828</v>
      </c>
      <c r="E13" s="85">
        <v>16623000.210155446</v>
      </c>
      <c r="F13" s="85">
        <v>16277241.805784212</v>
      </c>
    </row>
    <row r="14" spans="1:6" x14ac:dyDescent="0.25">
      <c r="A14" s="119" t="s">
        <v>12</v>
      </c>
      <c r="B14" s="130">
        <v>320990.23950000003</v>
      </c>
      <c r="C14" s="85">
        <v>308279.02601580002</v>
      </c>
      <c r="D14" s="85">
        <v>315492.75522456976</v>
      </c>
      <c r="E14" s="85">
        <v>320572.18858368532</v>
      </c>
      <c r="F14" s="85">
        <v>313904.28706114466</v>
      </c>
    </row>
    <row r="15" spans="1:6" x14ac:dyDescent="0.25">
      <c r="A15" s="119" t="s">
        <v>13</v>
      </c>
      <c r="B15" s="130">
        <v>151496779.41</v>
      </c>
      <c r="C15" s="85">
        <v>145497506.945364</v>
      </c>
      <c r="D15" s="85">
        <v>148902148.60788554</v>
      </c>
      <c r="E15" s="85">
        <v>151299473.2004725</v>
      </c>
      <c r="F15" s="85">
        <v>148152444.15790266</v>
      </c>
    </row>
    <row r="16" spans="1:6" x14ac:dyDescent="0.25">
      <c r="A16" s="119" t="s">
        <v>14</v>
      </c>
      <c r="B16" s="127">
        <v>17300931</v>
      </c>
      <c r="C16" s="13">
        <v>17300931</v>
      </c>
      <c r="D16" s="13">
        <v>17300931</v>
      </c>
      <c r="E16" s="13">
        <v>17300931</v>
      </c>
      <c r="F16" s="13">
        <v>17300931</v>
      </c>
    </row>
    <row r="17" spans="1:6" x14ac:dyDescent="0.25">
      <c r="A17" s="119" t="s">
        <v>15</v>
      </c>
      <c r="B17" s="127">
        <v>1339343</v>
      </c>
      <c r="C17" s="13">
        <v>1339343</v>
      </c>
      <c r="D17" s="13">
        <v>1339343</v>
      </c>
      <c r="E17" s="13">
        <v>1339343</v>
      </c>
      <c r="F17" s="13">
        <v>1339343</v>
      </c>
    </row>
    <row r="18" spans="1:6" x14ac:dyDescent="0.25">
      <c r="A18" s="119" t="s">
        <v>16</v>
      </c>
      <c r="B18" s="130"/>
      <c r="C18" s="85"/>
      <c r="D18" s="85"/>
      <c r="E18" s="85"/>
      <c r="F18" s="85"/>
    </row>
    <row r="19" spans="1:6" x14ac:dyDescent="0.25">
      <c r="A19" s="119" t="s">
        <v>17</v>
      </c>
      <c r="B19" s="130">
        <v>419239.46850000002</v>
      </c>
      <c r="C19" s="85">
        <v>402637.58554740006</v>
      </c>
      <c r="D19" s="85">
        <v>412059.30504920927</v>
      </c>
      <c r="E19" s="85">
        <v>418693.45986050152</v>
      </c>
      <c r="F19" s="85">
        <v>409984.63589540304</v>
      </c>
    </row>
    <row r="20" spans="1:6" x14ac:dyDescent="0.25">
      <c r="A20" s="119" t="s">
        <v>18</v>
      </c>
      <c r="B20" s="127">
        <v>37278361</v>
      </c>
      <c r="C20" s="13">
        <v>37278361</v>
      </c>
      <c r="D20" s="13">
        <v>37278361</v>
      </c>
      <c r="E20" s="13">
        <v>37278361</v>
      </c>
      <c r="F20" s="13">
        <v>37278361</v>
      </c>
    </row>
    <row r="21" spans="1:6" x14ac:dyDescent="0.25">
      <c r="A21" s="119" t="s">
        <v>19</v>
      </c>
      <c r="B21" s="127">
        <v>95957967</v>
      </c>
      <c r="C21" s="13">
        <v>95957967</v>
      </c>
      <c r="D21" s="13">
        <v>95957967</v>
      </c>
      <c r="E21" s="13">
        <v>95957967</v>
      </c>
      <c r="F21" s="13">
        <v>95957967</v>
      </c>
    </row>
    <row r="22" spans="1:6" x14ac:dyDescent="0.25">
      <c r="A22" s="119" t="s">
        <v>20</v>
      </c>
      <c r="B22" s="130"/>
      <c r="C22" s="85"/>
      <c r="D22" s="85"/>
      <c r="E22" s="85"/>
      <c r="F22" s="85"/>
    </row>
    <row r="23" spans="1:6" x14ac:dyDescent="0.25">
      <c r="A23" s="119" t="s">
        <v>21</v>
      </c>
      <c r="B23" s="127">
        <v>67834662</v>
      </c>
      <c r="C23" s="13">
        <v>67834662</v>
      </c>
      <c r="D23" s="13">
        <v>67834662</v>
      </c>
      <c r="E23" s="13">
        <v>67834662</v>
      </c>
      <c r="F23" s="13">
        <v>67834662</v>
      </c>
    </row>
    <row r="24" spans="1:6" x14ac:dyDescent="0.25">
      <c r="A24" s="119" t="s">
        <v>22</v>
      </c>
      <c r="B24" s="127">
        <v>3670480</v>
      </c>
      <c r="C24" s="13">
        <v>3670480</v>
      </c>
      <c r="D24" s="13">
        <v>3670480</v>
      </c>
      <c r="E24" s="13">
        <v>3670480</v>
      </c>
      <c r="F24" s="13">
        <v>3670480</v>
      </c>
    </row>
    <row r="25" spans="1:6" x14ac:dyDescent="0.25">
      <c r="A25" s="119"/>
      <c r="B25" s="131">
        <v>392263431.00549996</v>
      </c>
      <c r="C25" s="117">
        <v>385575716.20008218</v>
      </c>
      <c r="D25" s="117">
        <v>389371055.14956415</v>
      </c>
      <c r="E25" s="117">
        <v>392043483.05907214</v>
      </c>
      <c r="F25" s="117">
        <v>388535318.88664341</v>
      </c>
    </row>
    <row r="26" spans="1:6" x14ac:dyDescent="0.25">
      <c r="A26" s="119"/>
      <c r="B26" s="119"/>
      <c r="C26" s="10"/>
      <c r="D26" s="10"/>
      <c r="E26" s="10"/>
      <c r="F26" s="10"/>
    </row>
    <row r="27" spans="1:6" x14ac:dyDescent="0.25">
      <c r="A27" s="121" t="s">
        <v>23</v>
      </c>
      <c r="B27" s="132">
        <v>652882723.00549996</v>
      </c>
      <c r="C27" s="118">
        <v>646195008.20008218</v>
      </c>
      <c r="D27" s="118">
        <v>649990347.14956415</v>
      </c>
      <c r="E27" s="118">
        <v>652662775.05907214</v>
      </c>
      <c r="F27" s="118">
        <v>649154610.88664341</v>
      </c>
    </row>
    <row r="31" spans="1:6" x14ac:dyDescent="0.25">
      <c r="A31" s="121" t="s">
        <v>26</v>
      </c>
      <c r="B31" s="127">
        <v>19980119</v>
      </c>
      <c r="C31" s="13">
        <v>19980119</v>
      </c>
      <c r="D31" s="13">
        <v>19980119</v>
      </c>
      <c r="E31" s="13">
        <v>19980119</v>
      </c>
      <c r="F31" s="13">
        <v>19980119</v>
      </c>
    </row>
    <row r="32" spans="1:6" x14ac:dyDescent="0.25">
      <c r="A32" s="119" t="s">
        <v>27</v>
      </c>
      <c r="B32" s="127">
        <v>21280694</v>
      </c>
      <c r="C32" s="13">
        <v>21280694</v>
      </c>
      <c r="D32" s="13">
        <v>21280694</v>
      </c>
      <c r="E32" s="13">
        <v>21280694</v>
      </c>
      <c r="F32" s="13">
        <v>21280694</v>
      </c>
    </row>
    <row r="33" spans="1:6" x14ac:dyDescent="0.25">
      <c r="A33" s="119" t="s">
        <v>28</v>
      </c>
      <c r="B33" s="127">
        <v>19465075</v>
      </c>
      <c r="C33" s="13">
        <v>19465075</v>
      </c>
      <c r="D33" s="13">
        <v>19465075</v>
      </c>
      <c r="E33" s="13">
        <v>19465075</v>
      </c>
      <c r="F33" s="13">
        <v>19465075</v>
      </c>
    </row>
    <row r="34" spans="1:6" x14ac:dyDescent="0.25">
      <c r="A34" s="119" t="s">
        <v>29</v>
      </c>
      <c r="B34" s="129">
        <v>60725888</v>
      </c>
      <c r="C34" s="21">
        <v>60725888</v>
      </c>
      <c r="D34" s="21">
        <v>60725888</v>
      </c>
      <c r="E34" s="21">
        <v>60725888</v>
      </c>
      <c r="F34" s="21">
        <v>60725888</v>
      </c>
    </row>
    <row r="35" spans="1:6" x14ac:dyDescent="0.25">
      <c r="A35" s="119"/>
      <c r="B35" s="119"/>
      <c r="C35" s="10"/>
      <c r="D35" s="10"/>
      <c r="E35" s="10"/>
      <c r="F35" s="10"/>
    </row>
    <row r="36" spans="1:6" x14ac:dyDescent="0.25">
      <c r="A36" s="121" t="s">
        <v>30</v>
      </c>
      <c r="B36" s="130">
        <v>36333188.385117345</v>
      </c>
      <c r="C36" s="85">
        <v>35875498.274341844</v>
      </c>
      <c r="D36" s="85">
        <v>35939810.11748898</v>
      </c>
      <c r="E36" s="85">
        <v>35944945.720067814</v>
      </c>
      <c r="F36" s="85">
        <v>35194826.880127989</v>
      </c>
    </row>
    <row r="37" spans="1:6" x14ac:dyDescent="0.25">
      <c r="A37" s="119" t="s">
        <v>31</v>
      </c>
      <c r="B37" s="130">
        <v>17984769.449699465</v>
      </c>
      <c r="C37" s="85">
        <v>17758214.845285047</v>
      </c>
      <c r="D37" s="85">
        <v>17790048.926556047</v>
      </c>
      <c r="E37" s="85">
        <v>17792591.027386468</v>
      </c>
      <c r="F37" s="85">
        <v>17421285.480149668</v>
      </c>
    </row>
    <row r="38" spans="1:6" x14ac:dyDescent="0.25">
      <c r="A38" s="119" t="s">
        <v>32</v>
      </c>
      <c r="B38" s="130">
        <v>316459.5853913984</v>
      </c>
      <c r="C38" s="85">
        <v>312473.13583573297</v>
      </c>
      <c r="D38" s="85">
        <v>313033.28759016684</v>
      </c>
      <c r="E38" s="85">
        <v>313078.01833731751</v>
      </c>
      <c r="F38" s="85">
        <v>306544.53455479129</v>
      </c>
    </row>
    <row r="39" spans="1:6" x14ac:dyDescent="0.25">
      <c r="A39" s="119" t="s">
        <v>33</v>
      </c>
      <c r="B39" s="133">
        <v>54634417.420208208</v>
      </c>
      <c r="C39" s="87">
        <v>53946186.255462624</v>
      </c>
      <c r="D39" s="87">
        <v>54042892.331635199</v>
      </c>
      <c r="E39" s="87">
        <v>54050614.765791602</v>
      </c>
      <c r="F39" s="87">
        <v>52922656.894832447</v>
      </c>
    </row>
    <row r="40" spans="1:6" x14ac:dyDescent="0.25">
      <c r="A40" s="119"/>
      <c r="B40" s="132">
        <v>115360305.42020822</v>
      </c>
      <c r="C40" s="118">
        <v>114672074.25546262</v>
      </c>
      <c r="D40" s="118">
        <v>114768780.33163521</v>
      </c>
      <c r="E40" s="118">
        <v>114776502.76579159</v>
      </c>
      <c r="F40" s="118">
        <v>113648544.89483245</v>
      </c>
    </row>
    <row r="41" spans="1:6" x14ac:dyDescent="0.25">
      <c r="A41" s="121" t="s">
        <v>34</v>
      </c>
    </row>
    <row r="43" spans="1:6" x14ac:dyDescent="0.25">
      <c r="A43" s="119" t="s">
        <v>36</v>
      </c>
      <c r="B43" s="127">
        <v>43009284</v>
      </c>
      <c r="C43" s="13">
        <v>43009284</v>
      </c>
      <c r="D43" s="13">
        <v>43009284</v>
      </c>
      <c r="E43" s="13">
        <v>43009284</v>
      </c>
      <c r="F43" s="13">
        <v>43009284</v>
      </c>
    </row>
    <row r="44" spans="1:6" x14ac:dyDescent="0.25">
      <c r="A44" s="119" t="s">
        <v>37</v>
      </c>
      <c r="B44" s="127">
        <v>13366622</v>
      </c>
      <c r="C44" s="13">
        <v>13366622</v>
      </c>
      <c r="D44" s="13">
        <v>13366622</v>
      </c>
      <c r="E44" s="13">
        <v>13366622</v>
      </c>
      <c r="F44" s="13">
        <v>13366622</v>
      </c>
    </row>
    <row r="45" spans="1:6" x14ac:dyDescent="0.25">
      <c r="A45" s="119" t="s">
        <v>38</v>
      </c>
      <c r="B45" s="12">
        <v>481146512</v>
      </c>
      <c r="C45" s="13">
        <v>475147028</v>
      </c>
      <c r="D45" s="13">
        <v>478845661</v>
      </c>
      <c r="E45" s="13">
        <v>481510366</v>
      </c>
      <c r="F45" s="13">
        <v>479130160</v>
      </c>
    </row>
    <row r="46" spans="1:6" x14ac:dyDescent="0.25">
      <c r="A46" s="121" t="s">
        <v>39</v>
      </c>
      <c r="B46" s="129">
        <v>537522418</v>
      </c>
      <c r="C46" s="21">
        <v>531522934</v>
      </c>
      <c r="D46" s="21">
        <v>535221567</v>
      </c>
      <c r="E46" s="21">
        <v>537886272</v>
      </c>
      <c r="F46" s="21">
        <v>535506066</v>
      </c>
    </row>
    <row r="47" spans="1:6" x14ac:dyDescent="0.25">
      <c r="A47" s="121" t="s">
        <v>40</v>
      </c>
      <c r="B47" s="134">
        <v>0.41470825672149658</v>
      </c>
      <c r="C47" s="12"/>
      <c r="D47" s="12"/>
      <c r="E47" s="12"/>
      <c r="F47" s="12"/>
    </row>
    <row r="48" spans="1:6" x14ac:dyDescent="0.25">
      <c r="A48" s="122" t="s">
        <v>41</v>
      </c>
      <c r="B48" s="135">
        <v>652882723.42020822</v>
      </c>
      <c r="C48" s="137">
        <v>646195008.25546265</v>
      </c>
      <c r="D48" s="137">
        <v>649990347.33163524</v>
      </c>
      <c r="E48" s="137">
        <v>652662774.76579165</v>
      </c>
      <c r="F48" s="137">
        <v>649154610.89483249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3"/>
  <sheetViews>
    <sheetView topLeftCell="H1" zoomScale="85" zoomScaleNormal="85" workbookViewId="0">
      <selection activeCell="T9" sqref="T9"/>
    </sheetView>
  </sheetViews>
  <sheetFormatPr defaultRowHeight="15" x14ac:dyDescent="0.25"/>
  <cols>
    <col min="7" max="7" width="11.28515625" bestFit="1" customWidth="1"/>
    <col min="8" max="8" width="12.85546875" bestFit="1" customWidth="1"/>
    <col min="9" max="9" width="11.28515625" bestFit="1" customWidth="1"/>
    <col min="10" max="10" width="10.42578125" customWidth="1"/>
    <col min="11" max="11" width="11.28515625" bestFit="1" customWidth="1"/>
    <col min="12" max="12" width="11.28515625" customWidth="1"/>
    <col min="13" max="13" width="11.28515625" bestFit="1" customWidth="1"/>
    <col min="14" max="14" width="9.85546875" bestFit="1" customWidth="1"/>
    <col min="15" max="15" width="11.28515625" bestFit="1" customWidth="1"/>
    <col min="16" max="17" width="11.28515625" customWidth="1"/>
    <col min="18" max="18" width="15.85546875" bestFit="1" customWidth="1"/>
    <col min="19" max="19" width="12.140625" customWidth="1"/>
    <col min="20" max="20" width="12.7109375" bestFit="1" customWidth="1"/>
    <col min="21" max="21" width="9.85546875" bestFit="1" customWidth="1"/>
    <col min="22" max="22" width="11.28515625" bestFit="1" customWidth="1"/>
    <col min="24" max="24" width="12.7109375" bestFit="1" customWidth="1"/>
    <col min="25" max="25" width="14.42578125" bestFit="1" customWidth="1"/>
    <col min="26" max="26" width="11.28515625" bestFit="1" customWidth="1"/>
    <col min="27" max="27" width="12.28515625" bestFit="1" customWidth="1"/>
    <col min="29" max="29" width="12" bestFit="1" customWidth="1"/>
    <col min="30" max="30" width="17.140625" bestFit="1" customWidth="1"/>
    <col min="32" max="32" width="11" bestFit="1" customWidth="1"/>
  </cols>
  <sheetData>
    <row r="1" spans="2:32" ht="15.75" customHeight="1" x14ac:dyDescent="0.25">
      <c r="C1" s="2"/>
      <c r="D1" s="2"/>
      <c r="E1" s="2"/>
      <c r="F1" s="2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"/>
      <c r="Y1" s="3"/>
    </row>
    <row r="2" spans="2:32" ht="15" customHeight="1" x14ac:dyDescent="0.4">
      <c r="C2" s="207" t="s">
        <v>116</v>
      </c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9"/>
      <c r="P2" s="61"/>
      <c r="Q2" s="61"/>
      <c r="R2" s="224" t="s">
        <v>43</v>
      </c>
      <c r="S2" s="224"/>
      <c r="T2" s="224"/>
      <c r="U2" s="224"/>
      <c r="V2" s="224"/>
      <c r="W2" s="224"/>
      <c r="X2" s="224"/>
      <c r="Y2" s="224"/>
      <c r="Z2" s="224"/>
      <c r="AA2" s="224"/>
    </row>
    <row r="3" spans="2:32" ht="26.25" x14ac:dyDescent="0.4">
      <c r="C3" s="22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227"/>
      <c r="P3" s="61"/>
      <c r="Q3" s="61"/>
      <c r="R3" s="225"/>
      <c r="S3" s="225"/>
      <c r="T3" s="225"/>
      <c r="U3" s="225"/>
      <c r="V3" s="225"/>
      <c r="W3" s="225"/>
      <c r="X3" s="225"/>
      <c r="Y3" s="225"/>
      <c r="Z3" s="225"/>
      <c r="AA3" s="225"/>
    </row>
    <row r="4" spans="2:32" x14ac:dyDescent="0.25">
      <c r="C4" s="228"/>
      <c r="D4" s="180"/>
      <c r="E4" s="180"/>
      <c r="F4" s="180"/>
      <c r="G4" s="6">
        <v>2014</v>
      </c>
      <c r="H4" s="77" t="s">
        <v>45</v>
      </c>
      <c r="I4" s="7">
        <v>2015</v>
      </c>
      <c r="J4" s="77" t="s">
        <v>45</v>
      </c>
      <c r="K4" s="7">
        <v>2016</v>
      </c>
      <c r="L4" s="77" t="s">
        <v>45</v>
      </c>
      <c r="M4" s="7">
        <v>2017</v>
      </c>
      <c r="N4" s="78" t="s">
        <v>45</v>
      </c>
      <c r="O4" s="6">
        <v>2018</v>
      </c>
      <c r="P4" s="77" t="s">
        <v>45</v>
      </c>
      <c r="Q4" s="78"/>
      <c r="R4" s="7">
        <v>2019</v>
      </c>
      <c r="S4" s="77" t="s">
        <v>45</v>
      </c>
      <c r="T4" s="7">
        <v>2020</v>
      </c>
      <c r="U4" s="77" t="s">
        <v>45</v>
      </c>
      <c r="V4" s="7">
        <v>2021</v>
      </c>
      <c r="W4" s="76" t="s">
        <v>45</v>
      </c>
      <c r="X4" s="7">
        <v>2022</v>
      </c>
      <c r="Y4" s="67" t="s">
        <v>45</v>
      </c>
      <c r="Z4" s="6">
        <v>2023</v>
      </c>
      <c r="AA4" s="76" t="s">
        <v>45</v>
      </c>
      <c r="AC4" t="s">
        <v>46</v>
      </c>
      <c r="AD4" t="s">
        <v>47</v>
      </c>
      <c r="AE4" t="s">
        <v>48</v>
      </c>
    </row>
    <row r="5" spans="2:32" x14ac:dyDescent="0.25">
      <c r="C5" s="220" t="s">
        <v>49</v>
      </c>
      <c r="D5" s="177"/>
      <c r="E5" s="177"/>
      <c r="F5" s="177"/>
      <c r="G5" s="13">
        <v>257014254</v>
      </c>
      <c r="H5" s="48">
        <f>$G5/$G$5</f>
        <v>1</v>
      </c>
      <c r="I5" s="12">
        <v>210624908</v>
      </c>
      <c r="J5" s="48">
        <f>$I5/$I$5</f>
        <v>1</v>
      </c>
      <c r="K5" s="12">
        <v>162866578</v>
      </c>
      <c r="L5" s="48">
        <f>$K5/$K$5</f>
        <v>1</v>
      </c>
      <c r="M5" s="12">
        <v>171829364</v>
      </c>
      <c r="N5" s="48">
        <f>$M5/$M$5</f>
        <v>1</v>
      </c>
      <c r="O5" s="12">
        <f>1+ABS(205335000)</f>
        <v>205335001</v>
      </c>
      <c r="P5" s="48">
        <f>$O5/$O$5</f>
        <v>1</v>
      </c>
      <c r="Q5" s="48"/>
      <c r="R5" s="49">
        <f>O5*(1+AE9)</f>
        <v>190030063.19316524</v>
      </c>
      <c r="S5" s="45">
        <f>$R5/$R$5</f>
        <v>1</v>
      </c>
      <c r="T5" s="49">
        <f>R5*(1+AE10)</f>
        <v>182503018.5200412</v>
      </c>
      <c r="U5" s="45">
        <f>$T5/$T$5</f>
        <v>1</v>
      </c>
      <c r="V5" s="1">
        <f>AC12</f>
        <v>186771466.9910658</v>
      </c>
      <c r="W5" s="45">
        <f>$V5/$V$5</f>
        <v>1</v>
      </c>
      <c r="X5" s="1">
        <f>AC13</f>
        <v>189771314.50022057</v>
      </c>
      <c r="Y5" s="45">
        <f>$X5/$X$5</f>
        <v>1</v>
      </c>
      <c r="Z5" s="1">
        <f>AC14</f>
        <v>185827799.96716908</v>
      </c>
      <c r="AA5" s="45">
        <f>$Z5/$Z$5</f>
        <v>1</v>
      </c>
      <c r="AC5" s="1">
        <f>G5</f>
        <v>257014254</v>
      </c>
      <c r="AD5" s="44"/>
      <c r="AF5" s="1"/>
    </row>
    <row r="6" spans="2:32" x14ac:dyDescent="0.25">
      <c r="B6" t="s">
        <v>50</v>
      </c>
      <c r="C6" s="220" t="s">
        <v>51</v>
      </c>
      <c r="D6" s="177"/>
      <c r="E6" s="177"/>
      <c r="F6" s="177"/>
      <c r="G6" s="4">
        <v>29720093</v>
      </c>
      <c r="H6" s="48">
        <f t="shared" ref="H6:H26" si="0">$G6/$G$5</f>
        <v>0.11563597169206032</v>
      </c>
      <c r="I6" s="24">
        <v>23736702</v>
      </c>
      <c r="J6" s="48">
        <f t="shared" ref="J6:J7" si="1">$I6/$I$5</f>
        <v>0.11269655723719058</v>
      </c>
      <c r="K6" s="24">
        <v>18078772</v>
      </c>
      <c r="L6" s="48">
        <f t="shared" ref="L6:L26" si="2">$K6/$K$5</f>
        <v>0.11100357250706158</v>
      </c>
      <c r="M6" s="26" t="s">
        <v>52</v>
      </c>
      <c r="N6" s="48">
        <f>0.1077</f>
        <v>0.1077</v>
      </c>
      <c r="O6" s="24">
        <v>21970947</v>
      </c>
      <c r="P6" s="48">
        <f>$O6/$O$5</f>
        <v>0.10700049622811261</v>
      </c>
      <c r="Q6" s="48"/>
      <c r="R6" s="49">
        <f>AVERAGE($H6,$J6,$L6,$N6,$P6)*$R$5</f>
        <v>21056721.933099389</v>
      </c>
      <c r="S6" s="45">
        <f t="shared" ref="S6:S26" si="3">$R6/$R$5</f>
        <v>0.110807319532885</v>
      </c>
      <c r="T6" s="49">
        <f>$T$5*AVERAGE($J6,$L6,$N6,$P6,$S6)</f>
        <v>20046421.569979675</v>
      </c>
      <c r="U6" s="45">
        <f t="shared" ref="U6:U26" si="4">$T6/$T$5</f>
        <v>0.10984158910104995</v>
      </c>
      <c r="V6" s="49">
        <f>$V$5*AVERAGE($L6,$N6,$P6,$S6,$U6)</f>
        <v>20408629.415633019</v>
      </c>
      <c r="W6" s="45">
        <f t="shared" ref="W6:W26" si="5">$V6/$V$5</f>
        <v>0.10927059547382184</v>
      </c>
      <c r="X6" s="49">
        <f>$X$5*AVERAGE($N6,$P6,$S6,$U6,$W6)</f>
        <v>20670650.673369702</v>
      </c>
      <c r="Y6" s="45">
        <f t="shared" ref="Y6:Y26" si="6">$X6/$X$5</f>
        <v>0.10892400006717388</v>
      </c>
      <c r="Z6" s="49">
        <f>$Z$5*AVERAGE($P6,$S6,$U6,$W6,$Y6)</f>
        <v>20286597.944035217</v>
      </c>
      <c r="AA6" s="45">
        <f t="shared" ref="AA6:AA26" si="7">$Z6/$Z$5</f>
        <v>0.10916880008060866</v>
      </c>
      <c r="AC6" s="1">
        <f>I5</f>
        <v>210624908</v>
      </c>
      <c r="AD6" s="45">
        <f>(AC6-AC5)/AC6</f>
        <v>-0.22024624931824302</v>
      </c>
      <c r="AF6" s="1"/>
    </row>
    <row r="7" spans="2:32" x14ac:dyDescent="0.25">
      <c r="B7" t="s">
        <v>50</v>
      </c>
      <c r="C7" s="220" t="s">
        <v>53</v>
      </c>
      <c r="D7" s="177"/>
      <c r="E7" s="177"/>
      <c r="F7" s="178"/>
      <c r="G7" s="5">
        <v>48833114</v>
      </c>
      <c r="H7" s="48">
        <f t="shared" si="0"/>
        <v>0.19000157866730613</v>
      </c>
      <c r="I7" s="25">
        <v>52935481</v>
      </c>
      <c r="J7" s="48">
        <f t="shared" si="1"/>
        <v>0.25132583559395549</v>
      </c>
      <c r="K7" s="25">
        <v>54986250</v>
      </c>
      <c r="L7" s="48">
        <f t="shared" si="2"/>
        <v>0.33761530864853068</v>
      </c>
      <c r="M7" s="25">
        <v>56585214</v>
      </c>
      <c r="N7" s="48">
        <f t="shared" ref="N7:N26" si="8">$M7/$M$5</f>
        <v>0.32931050131804013</v>
      </c>
      <c r="O7" s="25">
        <v>60213460</v>
      </c>
      <c r="P7" s="48">
        <f>$O7/$O$5</f>
        <v>0.29324498846643293</v>
      </c>
      <c r="Q7" s="48"/>
      <c r="R7" s="49">
        <f>AVERAGE($H7,$J7,$L7,$N7,$P7)*$R$5</f>
        <v>53265358.784679882</v>
      </c>
      <c r="S7" s="45">
        <f t="shared" si="3"/>
        <v>0.28029964253885309</v>
      </c>
      <c r="T7" s="49">
        <f>$T$5*AVERAGE($J7,$L7,$N7,$P7,$S7)</f>
        <v>54451464.698043793</v>
      </c>
      <c r="U7" s="45">
        <f t="shared" si="4"/>
        <v>0.29835925531316249</v>
      </c>
      <c r="V7" s="49">
        <f>$V$5*AVERAGE($L7,$N7,$P7,$S7,$U7)</f>
        <v>57481895.96491386</v>
      </c>
      <c r="W7" s="45">
        <f t="shared" si="5"/>
        <v>0.30776593925700385</v>
      </c>
      <c r="X7" s="49">
        <f>$X$5*AVERAGE($N7,$P7,$S7,$U7,$W7)</f>
        <v>57272236.037910126</v>
      </c>
      <c r="Y7" s="45">
        <f t="shared" si="6"/>
        <v>0.30179606537869852</v>
      </c>
      <c r="Z7" s="49">
        <f t="shared" ref="Z7:Z26" si="9">$Z$5*AVERAGE($P7,$S7,$U7,$W7,$Y7)</f>
        <v>55059509.448482372</v>
      </c>
      <c r="AA7" s="45">
        <f t="shared" si="7"/>
        <v>0.29629317819083018</v>
      </c>
      <c r="AC7" s="1">
        <f>K5</f>
        <v>162866578</v>
      </c>
      <c r="AD7" s="45">
        <f t="shared" ref="AD7:AD9" si="10">(AC7-AC6)/AC7</f>
        <v>-0.29323591486032202</v>
      </c>
      <c r="AF7" s="1"/>
    </row>
    <row r="8" spans="2:32" x14ac:dyDescent="0.25">
      <c r="B8" t="s">
        <v>50</v>
      </c>
      <c r="C8" s="220" t="s">
        <v>54</v>
      </c>
      <c r="D8" s="177"/>
      <c r="E8" s="177"/>
      <c r="F8" s="177"/>
      <c r="G8" s="5">
        <v>2388243</v>
      </c>
      <c r="H8" s="48">
        <f t="shared" si="0"/>
        <v>9.2922589421830272E-3</v>
      </c>
      <c r="I8" s="8" t="s">
        <v>55</v>
      </c>
      <c r="J8" s="48">
        <f>0.0094</f>
        <v>9.4000000000000004E-3</v>
      </c>
      <c r="K8" s="25">
        <v>1912017</v>
      </c>
      <c r="L8" s="48">
        <f t="shared" si="2"/>
        <v>1.1739775118256614E-2</v>
      </c>
      <c r="M8" s="25">
        <v>1720982</v>
      </c>
      <c r="N8" s="48">
        <f t="shared" si="8"/>
        <v>1.0015645521448825E-2</v>
      </c>
      <c r="O8" s="25">
        <v>1670850</v>
      </c>
      <c r="P8" s="48">
        <f t="shared" ref="P8:P26" si="11">$O8/$O$5</f>
        <v>8.1371904052539006E-3</v>
      </c>
      <c r="Q8" s="48"/>
      <c r="R8" s="49">
        <f>AVERAGE($H8,$J8,$L8,$N8,$P8)*$R$5</f>
        <v>1846517.1827776763</v>
      </c>
      <c r="S8" s="45">
        <f t="shared" si="3"/>
        <v>9.7169739974284734E-3</v>
      </c>
      <c r="T8" s="49">
        <f>$T$5*AVERAGE($J8,$L8,$N8,$P8,$S8)</f>
        <v>1788879.4413300874</v>
      </c>
      <c r="U8" s="45">
        <f t="shared" si="4"/>
        <v>9.8019170084775627E-3</v>
      </c>
      <c r="V8" s="49">
        <f>$V$5*AVERAGE($L8,$N8,$P8,$S8,$U8)</f>
        <v>1845731.7448544367</v>
      </c>
      <c r="W8" s="45">
        <f t="shared" si="5"/>
        <v>9.8823004101730762E-3</v>
      </c>
      <c r="X8" s="49">
        <f>$X$5*AVERAGE($N8,$P8,$S8,$U8,$W8)</f>
        <v>1804878.055723828</v>
      </c>
      <c r="Y8" s="45">
        <f t="shared" si="6"/>
        <v>9.510805468556368E-3</v>
      </c>
      <c r="Z8" s="49">
        <f t="shared" si="9"/>
        <v>1748609.3928646876</v>
      </c>
      <c r="AA8" s="45">
        <f t="shared" si="7"/>
        <v>9.4098374579778769E-3</v>
      </c>
      <c r="AC8" s="1">
        <f>M5</f>
        <v>171829364</v>
      </c>
      <c r="AD8" s="45">
        <f t="shared" si="10"/>
        <v>5.2160968249873756E-2</v>
      </c>
      <c r="AF8" s="1"/>
    </row>
    <row r="9" spans="2:32" x14ac:dyDescent="0.25">
      <c r="B9" t="s">
        <v>50</v>
      </c>
      <c r="C9" s="220" t="s">
        <v>56</v>
      </c>
      <c r="D9" s="177"/>
      <c r="E9" s="177"/>
      <c r="F9" s="177"/>
      <c r="G9" s="29">
        <v>80941450</v>
      </c>
      <c r="H9" s="48">
        <f t="shared" si="0"/>
        <v>0.31492980930154946</v>
      </c>
      <c r="I9" s="23">
        <v>78657997</v>
      </c>
      <c r="J9" s="48">
        <f t="shared" ref="J9:J26" si="12">$I9/$I$5</f>
        <v>0.37345059398198049</v>
      </c>
      <c r="K9" s="28">
        <v>74977039</v>
      </c>
      <c r="L9" s="48">
        <f t="shared" si="2"/>
        <v>0.46035865627384887</v>
      </c>
      <c r="M9" s="28">
        <v>76825178</v>
      </c>
      <c r="N9" s="48">
        <f t="shared" si="8"/>
        <v>0.44710156757607505</v>
      </c>
      <c r="O9" s="28">
        <v>83855257</v>
      </c>
      <c r="P9" s="48">
        <f t="shared" si="11"/>
        <v>0.40838267509979947</v>
      </c>
      <c r="Q9" s="48"/>
      <c r="R9" s="80">
        <f>AVERAGE($H9,$J9,$L9,$N9,$P9)*$R$5</f>
        <v>76172536.155319884</v>
      </c>
      <c r="S9" s="45">
        <f t="shared" si="3"/>
        <v>0.40084466044665062</v>
      </c>
      <c r="T9" s="80">
        <f>$T$5*AVERAGE($J9,$L9,$N9,$P9,$S9)</f>
        <v>76291304.423090905</v>
      </c>
      <c r="U9" s="45">
        <f t="shared" si="4"/>
        <v>0.41802763067567089</v>
      </c>
      <c r="V9" s="80">
        <f>$V$5*AVERAGE($L9,$N9,$P9,$S9,$U9)</f>
        <v>79740777.531573519</v>
      </c>
      <c r="W9" s="45">
        <f t="shared" si="5"/>
        <v>0.42694303801440886</v>
      </c>
      <c r="X9" s="80">
        <f>$X$5*AVERAGE($N9,$P9,$S9,$U9,$W9)</f>
        <v>79753276.380325735</v>
      </c>
      <c r="Y9" s="45">
        <f t="shared" si="6"/>
        <v>0.42025991436252097</v>
      </c>
      <c r="Z9" s="80">
        <f t="shared" si="9"/>
        <v>77098390.227546871</v>
      </c>
      <c r="AA9" s="45">
        <f t="shared" si="7"/>
        <v>0.41489158371981022</v>
      </c>
      <c r="AC9" s="1">
        <f>O5</f>
        <v>205335001</v>
      </c>
      <c r="AD9" s="45">
        <f t="shared" si="10"/>
        <v>0.16317547830045789</v>
      </c>
      <c r="AE9" s="45">
        <f>AVERAGE(AD6:AD9)</f>
        <v>-7.4536429407058347E-2</v>
      </c>
      <c r="AF9" s="1"/>
    </row>
    <row r="10" spans="2:32" x14ac:dyDescent="0.25">
      <c r="C10" s="221" t="s">
        <v>57</v>
      </c>
      <c r="D10" s="205"/>
      <c r="E10" s="205"/>
      <c r="F10" s="205"/>
      <c r="G10" s="33">
        <v>176072804</v>
      </c>
      <c r="H10" s="48">
        <f t="shared" si="0"/>
        <v>0.68507019069845054</v>
      </c>
      <c r="I10" s="32">
        <v>131966911</v>
      </c>
      <c r="J10" s="48">
        <f t="shared" si="12"/>
        <v>0.62654940601801945</v>
      </c>
      <c r="K10" s="32">
        <v>87889539</v>
      </c>
      <c r="L10" s="48">
        <f t="shared" si="2"/>
        <v>0.53964134372615113</v>
      </c>
      <c r="M10" s="32">
        <v>95004186</v>
      </c>
      <c r="N10" s="48">
        <f t="shared" si="8"/>
        <v>0.55289843242392489</v>
      </c>
      <c r="O10" s="32">
        <v>121479743</v>
      </c>
      <c r="P10" s="48">
        <f t="shared" si="11"/>
        <v>0.59161732003011025</v>
      </c>
      <c r="Q10" s="48"/>
      <c r="R10" s="81">
        <f>AVERAGE($H10,$J10,$L10,$N10,$P10)*$R$5</f>
        <v>113857526.85275263</v>
      </c>
      <c r="S10" s="45">
        <f t="shared" si="3"/>
        <v>0.59915533857933123</v>
      </c>
      <c r="T10" s="82">
        <f>$T$5*AVERAGE($J10,$L10,$N10,$P10,$S10)</f>
        <v>106211713.88363682</v>
      </c>
      <c r="U10" s="45">
        <f t="shared" si="4"/>
        <v>0.58197236815550746</v>
      </c>
      <c r="V10" s="82">
        <f>$V$5*AVERAGE($L10,$N10,$P10,$S10,$U10)</f>
        <v>107030689.19752923</v>
      </c>
      <c r="W10" s="45">
        <f t="shared" si="5"/>
        <v>0.57305696058300504</v>
      </c>
      <c r="X10" s="82">
        <f>$X$5*AVERAGE($N10,$P10,$S10,$U10,$W10)</f>
        <v>110018037.80049013</v>
      </c>
      <c r="Y10" s="45">
        <f t="shared" si="6"/>
        <v>0.57974008395437582</v>
      </c>
      <c r="Z10" s="82">
        <f t="shared" si="9"/>
        <v>108729409.36430135</v>
      </c>
      <c r="AA10" s="45">
        <f t="shared" si="7"/>
        <v>0.58510841426046589</v>
      </c>
      <c r="AC10" s="1">
        <f>R5</f>
        <v>190030063.19316524</v>
      </c>
      <c r="AD10" s="45">
        <f>(AC10-AC9)/AC10</f>
        <v>-8.0539560686654688E-2</v>
      </c>
      <c r="AE10" s="45">
        <f>AVERAGE(AD7:AD10)</f>
        <v>-3.9609757249161263E-2</v>
      </c>
    </row>
    <row r="11" spans="2:32" x14ac:dyDescent="0.25">
      <c r="C11" s="229"/>
      <c r="D11" s="202"/>
      <c r="E11" s="202"/>
      <c r="F11" s="202"/>
      <c r="G11" s="46"/>
      <c r="H11" s="48"/>
      <c r="I11" s="47"/>
      <c r="J11" s="48"/>
      <c r="K11" s="47"/>
      <c r="L11" s="48"/>
      <c r="M11" s="47"/>
      <c r="N11" s="48"/>
      <c r="O11" s="47"/>
      <c r="P11" s="48"/>
      <c r="Q11" s="48"/>
      <c r="R11" s="49"/>
      <c r="S11" s="45"/>
      <c r="T11" s="49"/>
      <c r="U11" s="45"/>
      <c r="V11" s="49"/>
      <c r="W11" s="45"/>
      <c r="X11" s="49"/>
      <c r="Y11" s="45"/>
      <c r="Z11" s="49"/>
      <c r="AA11" s="45"/>
      <c r="AC11" s="1">
        <f>T5</f>
        <v>182503018.5200412</v>
      </c>
      <c r="AD11" s="45">
        <f>($AC11-$AC10)/$AC11</f>
        <v>-4.1243398241643206E-2</v>
      </c>
      <c r="AE11" s="45">
        <f>AVERAGE(AD8:AD11)</f>
        <v>2.3388371905508441E-2</v>
      </c>
    </row>
    <row r="12" spans="2:32" x14ac:dyDescent="0.25">
      <c r="B12" t="s">
        <v>50</v>
      </c>
      <c r="C12" s="220" t="s">
        <v>58</v>
      </c>
      <c r="D12" s="177"/>
      <c r="E12" s="177"/>
      <c r="F12" s="177"/>
      <c r="G12" s="13">
        <v>8722796</v>
      </c>
      <c r="H12" s="48">
        <f t="shared" si="0"/>
        <v>3.3938958109303932E-2</v>
      </c>
      <c r="I12" s="12">
        <v>11627518</v>
      </c>
      <c r="J12" s="48">
        <f t="shared" si="12"/>
        <v>5.5204857347640954E-2</v>
      </c>
      <c r="K12" s="12">
        <v>14548295</v>
      </c>
      <c r="L12" s="48">
        <f t="shared" si="2"/>
        <v>8.932646082856853E-2</v>
      </c>
      <c r="M12" s="12">
        <v>13268575</v>
      </c>
      <c r="N12" s="48">
        <f t="shared" si="8"/>
        <v>7.7219485023526019E-2</v>
      </c>
      <c r="O12" s="12">
        <v>16190496</v>
      </c>
      <c r="P12" s="48">
        <f t="shared" si="11"/>
        <v>7.884917778825247E-2</v>
      </c>
      <c r="Q12" s="48"/>
      <c r="R12" s="49">
        <f>AVERAGE($H12,$J12,$L12,$N12,$P12)*$R$5</f>
        <v>12714491.147446565</v>
      </c>
      <c r="S12" s="45">
        <f t="shared" si="3"/>
        <v>6.6907787819458373E-2</v>
      </c>
      <c r="T12" s="49">
        <f>$T$5*AVERAGE($J12,$L12,$N12,$P12,$S12)</f>
        <v>13414255.427384879</v>
      </c>
      <c r="U12" s="45">
        <f>$T12/$T$5</f>
        <v>7.3501553761489272E-2</v>
      </c>
      <c r="V12" s="49">
        <f>$V$5*AVERAGE($L12,$N12,$P12,$S12,$U12)</f>
        <v>14411453.188216964</v>
      </c>
      <c r="W12" s="45">
        <f t="shared" si="5"/>
        <v>7.7160893044258924E-2</v>
      </c>
      <c r="X12" s="49">
        <f>$X$5*AVERAGE($N12,$P12,$S12,$U12,$W12)</f>
        <v>14181188.943005951</v>
      </c>
      <c r="Y12" s="45">
        <f t="shared" si="6"/>
        <v>7.472777948739702E-2</v>
      </c>
      <c r="Z12" s="49">
        <f t="shared" si="9"/>
        <v>13793893.226985758</v>
      </c>
      <c r="AA12" s="45">
        <f t="shared" si="7"/>
        <v>7.4229438380171209E-2</v>
      </c>
      <c r="AC12" s="1">
        <f>(1+$AE11)*$AC11</f>
        <v>186771466.9910658</v>
      </c>
      <c r="AD12" s="45">
        <f t="shared" ref="AD12:AD13" si="13">($AC12-$AC11)/$AC12</f>
        <v>2.2853857389409399E-2</v>
      </c>
      <c r="AE12" s="45">
        <f t="shared" ref="AE12:AE14" si="14">AVERAGE(AD9:AD12)</f>
        <v>1.606159419039235E-2</v>
      </c>
    </row>
    <row r="13" spans="2:32" x14ac:dyDescent="0.25">
      <c r="B13" t="s">
        <v>50</v>
      </c>
      <c r="C13" s="220" t="s">
        <v>59</v>
      </c>
      <c r="D13" s="177"/>
      <c r="E13" s="177"/>
      <c r="F13" s="177"/>
      <c r="G13" s="13">
        <v>2964932</v>
      </c>
      <c r="H13" s="48">
        <f t="shared" si="0"/>
        <v>1.1536060564174002E-2</v>
      </c>
      <c r="I13" s="12">
        <v>4308255</v>
      </c>
      <c r="J13" s="48">
        <f t="shared" si="12"/>
        <v>2.0454632079886771E-2</v>
      </c>
      <c r="K13" s="12">
        <v>3770607</v>
      </c>
      <c r="L13" s="48">
        <f t="shared" si="2"/>
        <v>2.3151508715311745E-2</v>
      </c>
      <c r="M13" s="12">
        <v>4239642</v>
      </c>
      <c r="N13" s="48">
        <f t="shared" si="8"/>
        <v>2.4673559287573223E-2</v>
      </c>
      <c r="O13" s="12">
        <v>4087862</v>
      </c>
      <c r="P13" s="48">
        <f t="shared" si="11"/>
        <v>1.9908257141216756E-2</v>
      </c>
      <c r="Q13" s="48"/>
      <c r="R13" s="49">
        <f>AVERAGE($H13,$J13,$L13,$N13,$P13)*$R$5</f>
        <v>3790112.2804321707</v>
      </c>
      <c r="S13" s="45">
        <f t="shared" si="3"/>
        <v>1.99448035576325E-2</v>
      </c>
      <c r="T13" s="49">
        <f>$T$5*AVERAGE($J13,$L13,$N13,$P13,$S13)</f>
        <v>3946911.0487102731</v>
      </c>
      <c r="U13" s="45">
        <f t="shared" si="4"/>
        <v>2.1626552156324204E-2</v>
      </c>
      <c r="V13" s="49">
        <f>$V$5*AVERAGE($L13,$N13,$P13,$S13,$U13)</f>
        <v>4082999.1185699678</v>
      </c>
      <c r="W13" s="45">
        <f t="shared" si="5"/>
        <v>2.1860936171611684E-2</v>
      </c>
      <c r="X13" s="49">
        <f>$X$5*AVERAGE($N13,$P13,$S13,$U13,$W13)</f>
        <v>4099595.863876998</v>
      </c>
      <c r="Y13" s="45">
        <f t="shared" si="6"/>
        <v>2.1602821662871672E-2</v>
      </c>
      <c r="Z13" s="49">
        <f t="shared" si="9"/>
        <v>3900279.139279604</v>
      </c>
      <c r="AA13" s="45">
        <f t="shared" si="7"/>
        <v>2.0988674137931363E-2</v>
      </c>
      <c r="AC13" s="1">
        <f t="shared" ref="AC13" si="15">(1+$AE12)*$AC12</f>
        <v>189771314.50022057</v>
      </c>
      <c r="AD13" s="45">
        <f t="shared" si="13"/>
        <v>1.5807697370148532E-2</v>
      </c>
      <c r="AE13" s="45">
        <f t="shared" si="14"/>
        <v>-2.0780351042184991E-2</v>
      </c>
    </row>
    <row r="14" spans="2:32" x14ac:dyDescent="0.25">
      <c r="B14" t="s">
        <v>50</v>
      </c>
      <c r="C14" s="62" t="s">
        <v>53</v>
      </c>
      <c r="D14" s="63"/>
      <c r="E14" s="63"/>
      <c r="F14" s="63"/>
      <c r="G14" s="13">
        <f>G12+G13</f>
        <v>11687728</v>
      </c>
      <c r="H14" s="48">
        <f t="shared" si="0"/>
        <v>4.5475018673477932E-2</v>
      </c>
      <c r="I14" s="13">
        <f t="shared" ref="I14:K14" si="16">I12+I13</f>
        <v>15935773</v>
      </c>
      <c r="J14" s="48">
        <f t="shared" si="12"/>
        <v>7.5659489427527732E-2</v>
      </c>
      <c r="K14" s="13">
        <f t="shared" si="16"/>
        <v>18318902</v>
      </c>
      <c r="L14" s="48">
        <f t="shared" si="2"/>
        <v>0.11247796954388027</v>
      </c>
      <c r="M14" s="13">
        <f>M12+M13</f>
        <v>17508217</v>
      </c>
      <c r="N14" s="48">
        <f t="shared" si="8"/>
        <v>0.10189304431109923</v>
      </c>
      <c r="O14" s="13">
        <f>O12+O13</f>
        <v>20278358</v>
      </c>
      <c r="P14" s="48">
        <f t="shared" si="11"/>
        <v>9.8757434929469229E-2</v>
      </c>
      <c r="Q14" s="48"/>
      <c r="R14" s="49">
        <f>AVERAGE($H14,$J14,$L14,$N14,$P14)*$R$5</f>
        <v>16504603.427878736</v>
      </c>
      <c r="S14" s="45">
        <f t="shared" si="3"/>
        <v>8.6852591377090865E-2</v>
      </c>
      <c r="T14" s="49">
        <f>$T$5*AVERAGE($J14,$L14,$N14,$P14,$S14)</f>
        <v>17361166.476095151</v>
      </c>
      <c r="U14" s="45">
        <f t="shared" si="4"/>
        <v>9.5128105917813469E-2</v>
      </c>
      <c r="V14" s="49">
        <f>$V$5*AVERAGE($L14,$N14,$P14,$S14,$U14)</f>
        <v>18494452.306786932</v>
      </c>
      <c r="W14" s="45">
        <f t="shared" si="5"/>
        <v>9.9021829215870605E-2</v>
      </c>
      <c r="X14" s="49">
        <f>$X$5*AVERAGE($N14,$P14,$S14,$U14,$W14)</f>
        <v>18280784.806882944</v>
      </c>
      <c r="Y14" s="45">
        <f t="shared" si="6"/>
        <v>9.633060115026866E-2</v>
      </c>
      <c r="Z14" s="49">
        <f t="shared" si="9"/>
        <v>17694172.36626536</v>
      </c>
      <c r="AA14" s="45">
        <f t="shared" si="7"/>
        <v>9.5218112518102554E-2</v>
      </c>
      <c r="AC14" s="1">
        <f>(1+$AE13)*$AC13</f>
        <v>185827799.96716908</v>
      </c>
      <c r="AD14" s="45">
        <f>($AC14-$AC13)/$AC14</f>
        <v>-2.12213378931904E-2</v>
      </c>
      <c r="AE14" s="45">
        <f t="shared" si="14"/>
        <v>-5.9507953438189187E-3</v>
      </c>
    </row>
    <row r="15" spans="2:32" x14ac:dyDescent="0.25">
      <c r="C15" s="65" t="s">
        <v>60</v>
      </c>
      <c r="D15" s="66"/>
      <c r="E15" s="66"/>
      <c r="F15" s="66"/>
      <c r="G15" s="43">
        <f>G10+G14</f>
        <v>187760532</v>
      </c>
      <c r="H15" s="48">
        <f t="shared" si="0"/>
        <v>0.73054520937192846</v>
      </c>
      <c r="I15" s="43">
        <f t="shared" ref="I15:O15" si="17">I10+I14</f>
        <v>147902684</v>
      </c>
      <c r="J15" s="48">
        <f t="shared" si="12"/>
        <v>0.70220889544554721</v>
      </c>
      <c r="K15" s="43">
        <f t="shared" si="17"/>
        <v>106208441</v>
      </c>
      <c r="L15" s="48">
        <f t="shared" si="2"/>
        <v>0.65211931327003136</v>
      </c>
      <c r="M15" s="43">
        <f t="shared" si="17"/>
        <v>112512403</v>
      </c>
      <c r="N15" s="48">
        <f t="shared" si="8"/>
        <v>0.65479147673502414</v>
      </c>
      <c r="O15" s="43">
        <f t="shared" si="17"/>
        <v>141758101</v>
      </c>
      <c r="P15" s="48">
        <f t="shared" si="11"/>
        <v>0.69037475495957945</v>
      </c>
      <c r="Q15" s="48"/>
      <c r="R15" s="82">
        <f>AVERAGE($H15,$J15,$L15,$N15,$P15)*$R$5</f>
        <v>130362130.28063138</v>
      </c>
      <c r="S15" s="45">
        <f>$R15/$R$5</f>
        <v>0.68600792995642212</v>
      </c>
      <c r="T15" s="82">
        <f>$T$5*AVERAGE($J15,$L15,$N15,$P15,$S15)</f>
        <v>123572880.35973196</v>
      </c>
      <c r="U15" s="45">
        <f t="shared" si="4"/>
        <v>0.67710047407332086</v>
      </c>
      <c r="V15" s="82">
        <f>$V$5*AVERAGE($L15,$N15,$P15,$S15,$U15)</f>
        <v>125525141.50431614</v>
      </c>
      <c r="W15" s="45">
        <f t="shared" si="5"/>
        <v>0.67207878979887559</v>
      </c>
      <c r="X15" s="82">
        <f>$X$5*AVERAGE($N15,$P15,$S15,$U15,$W15)</f>
        <v>128298822.60737307</v>
      </c>
      <c r="Y15" s="45">
        <f t="shared" si="6"/>
        <v>0.67607068510464452</v>
      </c>
      <c r="Z15" s="82">
        <f t="shared" si="9"/>
        <v>126423581.73056673</v>
      </c>
      <c r="AA15" s="45">
        <f t="shared" si="7"/>
        <v>0.68032652677856853</v>
      </c>
      <c r="AC15" s="1"/>
      <c r="AD15" s="45"/>
    </row>
    <row r="16" spans="2:32" x14ac:dyDescent="0.25">
      <c r="C16" s="62"/>
      <c r="D16" s="63"/>
      <c r="E16" s="63"/>
      <c r="F16" s="63"/>
      <c r="G16" s="13"/>
      <c r="H16" s="48"/>
      <c r="I16" s="12"/>
      <c r="J16" s="48"/>
      <c r="K16" s="12"/>
      <c r="L16" s="48"/>
      <c r="M16" s="12"/>
      <c r="N16" s="48"/>
      <c r="O16" s="12"/>
      <c r="P16" s="48"/>
      <c r="Q16" s="48"/>
      <c r="R16" s="49"/>
      <c r="S16" s="45"/>
      <c r="T16" s="49"/>
      <c r="U16" s="45"/>
      <c r="V16" s="49"/>
      <c r="W16" s="45"/>
      <c r="X16" s="49"/>
      <c r="Y16" s="45"/>
      <c r="Z16" s="49"/>
      <c r="AA16" s="45"/>
    </row>
    <row r="17" spans="2:31" x14ac:dyDescent="0.25">
      <c r="C17" s="220" t="s">
        <v>61</v>
      </c>
      <c r="D17" s="177"/>
      <c r="E17" s="177"/>
      <c r="F17" s="177"/>
      <c r="G17" s="13">
        <v>19126253</v>
      </c>
      <c r="H17" s="48">
        <f t="shared" si="0"/>
        <v>7.4417090501136179E-2</v>
      </c>
      <c r="I17" s="12">
        <v>19186191</v>
      </c>
      <c r="J17" s="48">
        <f t="shared" si="12"/>
        <v>9.1091747800312386E-2</v>
      </c>
      <c r="K17" s="12">
        <v>14702971</v>
      </c>
      <c r="L17" s="48">
        <f t="shared" si="2"/>
        <v>9.0276170719323395E-2</v>
      </c>
      <c r="M17" s="12">
        <v>16020333</v>
      </c>
      <c r="N17" s="48">
        <f t="shared" si="8"/>
        <v>9.3233965528732324E-2</v>
      </c>
      <c r="O17" s="12">
        <v>16008118</v>
      </c>
      <c r="P17" s="48">
        <f t="shared" si="11"/>
        <v>7.796098045651749E-2</v>
      </c>
      <c r="Q17" s="48"/>
      <c r="R17" s="49">
        <f>AVERAGE($H17,$J17,$L17,$N17,$P17)*$R$5</f>
        <v>16227805.566401832</v>
      </c>
      <c r="S17" s="45">
        <f t="shared" si="3"/>
        <v>8.5395991001204347E-2</v>
      </c>
      <c r="T17" s="49">
        <f>$T$5*AVERAGE($J17,$L17,$N17,$P17,$S17)</f>
        <v>15985762.623488797</v>
      </c>
      <c r="U17" s="45">
        <f t="shared" si="4"/>
        <v>8.7591771101217991E-2</v>
      </c>
      <c r="V17" s="49">
        <f>$V$5*AVERAGE($L17,$N17,$P17,$S17,$U17)</f>
        <v>16228904.428415244</v>
      </c>
      <c r="W17" s="45">
        <f t="shared" si="5"/>
        <v>8.6891775761399101E-2</v>
      </c>
      <c r="X17" s="49">
        <f>$X$5*AVERAGE($N17,$P17,$S17,$U17,$W17)</f>
        <v>16361114.289508471</v>
      </c>
      <c r="Y17" s="45">
        <f t="shared" si="6"/>
        <v>8.6214896769814253E-2</v>
      </c>
      <c r="Z17" s="49">
        <f t="shared" si="9"/>
        <v>15760256.970073568</v>
      </c>
      <c r="AA17" s="45">
        <f t="shared" si="7"/>
        <v>8.4811083018030642E-2</v>
      </c>
    </row>
    <row r="18" spans="2:31" x14ac:dyDescent="0.25">
      <c r="B18" t="s">
        <v>50</v>
      </c>
      <c r="C18" s="220" t="s">
        <v>62</v>
      </c>
      <c r="D18" s="177"/>
      <c r="E18" s="177"/>
      <c r="F18" s="177"/>
      <c r="G18" s="13">
        <v>9071048</v>
      </c>
      <c r="H18" s="48">
        <f t="shared" si="0"/>
        <v>3.5293949105250792E-2</v>
      </c>
      <c r="I18" s="12">
        <v>6685550</v>
      </c>
      <c r="J18" s="48">
        <f t="shared" si="12"/>
        <v>3.1741497544060651E-2</v>
      </c>
      <c r="K18" s="12">
        <v>4237231</v>
      </c>
      <c r="L18" s="48">
        <f t="shared" si="2"/>
        <v>2.601657781500143E-2</v>
      </c>
      <c r="M18" s="12">
        <v>4691445</v>
      </c>
      <c r="N18" s="48">
        <f t="shared" si="8"/>
        <v>2.7302929434109995E-2</v>
      </c>
      <c r="O18" s="12">
        <v>5927724</v>
      </c>
      <c r="P18" s="48">
        <f t="shared" si="11"/>
        <v>2.8868551251035861E-2</v>
      </c>
      <c r="Q18" s="48"/>
      <c r="R18" s="49">
        <f>AVERAGE($H18,$J18,$L18,$N18,$P18)*$R$5</f>
        <v>5671390.4226914514</v>
      </c>
      <c r="S18" s="45">
        <f t="shared" si="3"/>
        <v>2.984470102989174E-2</v>
      </c>
      <c r="T18" s="49">
        <f>$T$5*AVERAGE($J18,$L18,$N18,$P18,$S18)</f>
        <v>5247847.1802999154</v>
      </c>
      <c r="U18" s="45">
        <f t="shared" si="4"/>
        <v>2.8754851414819933E-2</v>
      </c>
      <c r="V18" s="49">
        <f>$V$5*AVERAGE($L18,$N18,$P18,$S18,$U18)</f>
        <v>5259021.7260677479</v>
      </c>
      <c r="W18" s="45">
        <f t="shared" si="5"/>
        <v>2.8157522188971794E-2</v>
      </c>
      <c r="X18" s="49">
        <f>$X$5*AVERAGE($N18,$P18,$S18,$U18,$W18)</f>
        <v>5424747.9644943466</v>
      </c>
      <c r="Y18" s="45">
        <f t="shared" si="6"/>
        <v>2.8585711063765864E-2</v>
      </c>
      <c r="Z18" s="49">
        <f t="shared" si="9"/>
        <v>5359695.0950922249</v>
      </c>
      <c r="AA18" s="45">
        <f t="shared" si="7"/>
        <v>2.8842267389697036E-2</v>
      </c>
      <c r="AC18" s="29">
        <v>80941450</v>
      </c>
    </row>
    <row r="19" spans="2:31" x14ac:dyDescent="0.25">
      <c r="C19" s="220" t="s">
        <v>63</v>
      </c>
      <c r="D19" s="177"/>
      <c r="E19" s="177"/>
      <c r="F19" s="177"/>
      <c r="G19" s="13">
        <v>113911</v>
      </c>
      <c r="H19" s="48">
        <f t="shared" si="0"/>
        <v>4.4320888132531357E-4</v>
      </c>
      <c r="I19" s="12">
        <v>1043741</v>
      </c>
      <c r="J19" s="48">
        <f t="shared" si="12"/>
        <v>4.9554490487896145E-3</v>
      </c>
      <c r="K19" s="12">
        <v>2188899</v>
      </c>
      <c r="L19" s="48">
        <f t="shared" si="2"/>
        <v>1.3439829257049903E-2</v>
      </c>
      <c r="M19" s="12">
        <v>1827239</v>
      </c>
      <c r="N19" s="48">
        <f t="shared" si="8"/>
        <v>1.0634032260050733E-2</v>
      </c>
      <c r="O19" s="12">
        <v>3074868</v>
      </c>
      <c r="P19" s="48">
        <f t="shared" si="11"/>
        <v>1.497488487118667E-2</v>
      </c>
      <c r="Q19" s="48"/>
      <c r="R19" s="49">
        <f>AVERAGE($H19,$J19,$L19,$N19,$P19)*$R$5</f>
        <v>1689268.6102796283</v>
      </c>
      <c r="S19" s="45">
        <f t="shared" si="3"/>
        <v>8.8894808636804466E-3</v>
      </c>
      <c r="T19" s="49">
        <f>$T$5*AVERAGE($J19,$L19,$N19,$P19,$S19)</f>
        <v>1930651.117102037</v>
      </c>
      <c r="U19" s="45">
        <f t="shared" si="4"/>
        <v>1.0578735260151472E-2</v>
      </c>
      <c r="V19" s="49">
        <f>$V$5*AVERAGE($L19,$N19,$P19,$S19,$U19)</f>
        <v>2185859.7864499423</v>
      </c>
      <c r="W19" s="45">
        <f t="shared" si="5"/>
        <v>1.1703392502423846E-2</v>
      </c>
      <c r="X19" s="49">
        <f>$X$5*AVERAGE($N19,$P19,$S19,$U19,$W19)</f>
        <v>2155063.0022026221</v>
      </c>
      <c r="Y19" s="45">
        <f t="shared" si="6"/>
        <v>1.1356105151498633E-2</v>
      </c>
      <c r="Z19" s="49">
        <f t="shared" si="9"/>
        <v>2137116.2798655652</v>
      </c>
      <c r="AA19" s="45">
        <f t="shared" si="7"/>
        <v>1.1500519729788211E-2</v>
      </c>
      <c r="AC19" s="23">
        <v>78657997</v>
      </c>
      <c r="AD19" s="45">
        <f>(AC19-AC18)/AC19</f>
        <v>-2.9030144258567887E-2</v>
      </c>
    </row>
    <row r="20" spans="2:31" x14ac:dyDescent="0.25">
      <c r="C20" s="62" t="s">
        <v>64</v>
      </c>
      <c r="D20" s="63"/>
      <c r="E20" s="63"/>
      <c r="F20" s="63"/>
      <c r="G20" s="13">
        <f>SUM(G15,G17,G18,G19)</f>
        <v>216071744</v>
      </c>
      <c r="H20" s="48">
        <f t="shared" si="0"/>
        <v>0.84069945785964073</v>
      </c>
      <c r="I20" s="12">
        <f>SUM(I15,I17,I18,I19)</f>
        <v>174818166</v>
      </c>
      <c r="J20" s="48">
        <f t="shared" si="12"/>
        <v>0.82999758983870986</v>
      </c>
      <c r="K20" s="12">
        <f>SUM(K15,K17,K18,K19)</f>
        <v>127337542</v>
      </c>
      <c r="L20" s="48">
        <f t="shared" si="2"/>
        <v>0.78185189106140607</v>
      </c>
      <c r="M20" s="12">
        <f>SUM(M15,M17,M18,M19)</f>
        <v>135051420</v>
      </c>
      <c r="N20" s="48">
        <f t="shared" si="8"/>
        <v>0.78596240395791728</v>
      </c>
      <c r="O20" s="12">
        <f>O15+O17+O18+O19</f>
        <v>166768811</v>
      </c>
      <c r="P20" s="48">
        <f t="shared" si="11"/>
        <v>0.81217917153831942</v>
      </c>
      <c r="Q20" s="48"/>
      <c r="R20" s="49">
        <f>AVERAGE($H20,$J20,$L20,$N20,$P20)*$R$5</f>
        <v>153950594.88000429</v>
      </c>
      <c r="S20" s="45">
        <f t="shared" si="3"/>
        <v>0.81013810285119869</v>
      </c>
      <c r="T20" s="49">
        <f>$T$5*AVERAGE($J20,$L20,$N20,$P20,$S20)</f>
        <v>146737141.28062272</v>
      </c>
      <c r="U20" s="45">
        <f t="shared" si="4"/>
        <v>0.80402583184951038</v>
      </c>
      <c r="V20" s="49">
        <f>$V$5*AVERAGE($L20,$N20,$P20,$S20,$U20)</f>
        <v>149198927.44524911</v>
      </c>
      <c r="W20" s="45">
        <f t="shared" si="5"/>
        <v>0.7988314802516705</v>
      </c>
      <c r="X20" s="49">
        <f>$X$5*AVERAGE($N20,$P20,$S20,$U20,$W20)</f>
        <v>152239747.8635785</v>
      </c>
      <c r="Y20" s="45">
        <f t="shared" si="6"/>
        <v>0.80222739808972321</v>
      </c>
      <c r="Z20" s="49">
        <f t="shared" si="9"/>
        <v>149680650.07559809</v>
      </c>
      <c r="AA20" s="45">
        <f t="shared" si="7"/>
        <v>0.80548039691608442</v>
      </c>
      <c r="AC20" s="28">
        <v>74977039</v>
      </c>
      <c r="AD20" s="45">
        <f t="shared" ref="AD20:AD28" si="18">(AC20-AC19)/AC20</f>
        <v>-4.9094470108375449E-2</v>
      </c>
      <c r="AE20" s="45">
        <f>AVERAGE(AD19:AD23)</f>
        <v>-1.0154374983896489E-2</v>
      </c>
    </row>
    <row r="21" spans="2:31" x14ac:dyDescent="0.25">
      <c r="B21" t="s">
        <v>50</v>
      </c>
      <c r="C21" s="220" t="s">
        <v>65</v>
      </c>
      <c r="D21" s="177"/>
      <c r="E21" s="177"/>
      <c r="F21" s="177"/>
      <c r="G21" s="13">
        <v>2204287</v>
      </c>
      <c r="H21" s="48">
        <f t="shared" si="0"/>
        <v>8.5765165382617262E-3</v>
      </c>
      <c r="I21" s="12">
        <v>2550067</v>
      </c>
      <c r="J21" s="48">
        <f t="shared" si="12"/>
        <v>1.2107148315051133E-2</v>
      </c>
      <c r="K21" s="12">
        <v>1717889</v>
      </c>
      <c r="L21" s="48">
        <f t="shared" si="2"/>
        <v>1.0547830138605847E-2</v>
      </c>
      <c r="M21" s="31">
        <v>4691445</v>
      </c>
      <c r="N21" s="48">
        <f t="shared" si="8"/>
        <v>2.7302929434109995E-2</v>
      </c>
      <c r="O21" s="12">
        <v>1729886</v>
      </c>
      <c r="P21" s="48">
        <f t="shared" si="11"/>
        <v>8.4247010571763172E-3</v>
      </c>
      <c r="Q21" s="48"/>
      <c r="R21" s="49">
        <f>AVERAGE($H21,$J21,$L21,$N21,$P21)*$R$5</f>
        <v>2544849.3693865058</v>
      </c>
      <c r="S21" s="45">
        <f t="shared" si="3"/>
        <v>1.3391825096641002E-2</v>
      </c>
      <c r="T21" s="49">
        <f>$T$5*AVERAGE($J21,$L21,$N21,$P21,$S21)</f>
        <v>2619810.1730313469</v>
      </c>
      <c r="U21" s="45">
        <f t="shared" si="4"/>
        <v>1.4354886808316859E-2</v>
      </c>
      <c r="V21" s="49">
        <f>$V$5*AVERAGE($L21,$N21,$P21,$S21,$U21)</f>
        <v>2765045.9508399437</v>
      </c>
      <c r="W21" s="45">
        <f t="shared" si="5"/>
        <v>1.4804434506970004E-2</v>
      </c>
      <c r="X21" s="49">
        <f>$X$5*AVERAGE($N21,$P21,$S21,$U21,$W21)</f>
        <v>2971013.2780784923</v>
      </c>
      <c r="Y21" s="45">
        <f t="shared" si="6"/>
        <v>1.5655755380642837E-2</v>
      </c>
      <c r="Z21" s="49">
        <f t="shared" si="9"/>
        <v>2476400.8331709285</v>
      </c>
      <c r="AA21" s="45">
        <f t="shared" si="7"/>
        <v>1.3326320569949405E-2</v>
      </c>
      <c r="AC21" s="28">
        <v>76825178</v>
      </c>
      <c r="AD21" s="45">
        <f t="shared" si="18"/>
        <v>2.4056423273109761E-2</v>
      </c>
      <c r="AE21" s="45">
        <f>AVERAGE(AD20:AD25)</f>
        <v>-1.2597025780511523E-2</v>
      </c>
    </row>
    <row r="22" spans="2:31" x14ac:dyDescent="0.25">
      <c r="C22" s="62"/>
      <c r="D22" s="63"/>
      <c r="E22" s="63"/>
      <c r="F22" s="63"/>
      <c r="G22" s="13"/>
      <c r="H22" s="48"/>
      <c r="I22" s="12"/>
      <c r="J22" s="48"/>
      <c r="K22" s="12"/>
      <c r="L22" s="48"/>
      <c r="M22" s="31"/>
      <c r="N22" s="48"/>
      <c r="O22" s="12"/>
      <c r="P22" s="48"/>
      <c r="Q22" s="48"/>
      <c r="R22" s="49"/>
      <c r="S22" s="45"/>
      <c r="T22" s="49"/>
      <c r="U22" s="45"/>
      <c r="V22" s="49"/>
      <c r="W22" s="45"/>
      <c r="X22" s="49"/>
      <c r="Y22" s="45"/>
      <c r="Z22" s="49"/>
      <c r="AA22" s="45"/>
      <c r="AC22" s="28">
        <v>83855257</v>
      </c>
      <c r="AD22" s="45">
        <f t="shared" si="18"/>
        <v>8.3835876861005867E-2</v>
      </c>
      <c r="AE22" s="45">
        <f>AVERAGE(AD21:AD26)</f>
        <v>1.792639719045426E-3</v>
      </c>
    </row>
    <row r="23" spans="2:31" x14ac:dyDescent="0.25">
      <c r="C23" s="221" t="s">
        <v>66</v>
      </c>
      <c r="D23" s="205"/>
      <c r="E23" s="205"/>
      <c r="F23" s="205"/>
      <c r="G23" s="33">
        <v>172349905</v>
      </c>
      <c r="H23" s="48">
        <f t="shared" si="0"/>
        <v>0.67058500576392155</v>
      </c>
      <c r="I23" s="32">
        <v>127025453</v>
      </c>
      <c r="J23" s="48">
        <f t="shared" si="12"/>
        <v>0.60308846758048196</v>
      </c>
      <c r="K23" s="32">
        <v>80507387</v>
      </c>
      <c r="L23" s="48">
        <f t="shared" si="2"/>
        <v>0.49431496620503684</v>
      </c>
      <c r="M23" s="32">
        <v>89137462</v>
      </c>
      <c r="N23" s="48">
        <f t="shared" si="8"/>
        <v>0.51875569998617932</v>
      </c>
      <c r="O23" s="32">
        <v>112626761</v>
      </c>
      <c r="P23" s="48">
        <f t="shared" si="11"/>
        <v>0.54850249812013296</v>
      </c>
      <c r="Q23" s="48"/>
      <c r="R23" s="82">
        <f>AVERAGE($H23,$J23,$L23,$N23,$P23)*$R$5</f>
        <v>107756419.5443864</v>
      </c>
      <c r="S23" s="45">
        <f t="shared" si="3"/>
        <v>0.56704932753115056</v>
      </c>
      <c r="T23" s="82">
        <f>$T$5*AVERAGE($J23,$L23,$N23,$P23,$S23)</f>
        <v>99709099.163794383</v>
      </c>
      <c r="U23" s="45">
        <f t="shared" si="4"/>
        <v>0.54634219188459632</v>
      </c>
      <c r="V23" s="82">
        <f>$V$5*AVERAGE($L23,$N23,$P23,$S23,$U23)</f>
        <v>99921415.625800401</v>
      </c>
      <c r="W23" s="45">
        <f t="shared" si="5"/>
        <v>0.53499293674541915</v>
      </c>
      <c r="X23" s="82">
        <f>$X$5*AVERAGE($N23,$P23,$S23,$U23,$W23)</f>
        <v>103070215.24264148</v>
      </c>
      <c r="Y23" s="45">
        <f t="shared" si="6"/>
        <v>0.54312853085349566</v>
      </c>
      <c r="Z23" s="82">
        <f t="shared" si="9"/>
        <v>101834209.89571486</v>
      </c>
      <c r="AA23" s="45">
        <f t="shared" si="7"/>
        <v>0.54800309702695893</v>
      </c>
      <c r="AC23" s="49">
        <v>77604985.55620876</v>
      </c>
      <c r="AD23" s="45">
        <f t="shared" si="18"/>
        <v>-8.0539560686654743E-2</v>
      </c>
      <c r="AE23" s="45">
        <f>AVERAGE(AD22:AD27)</f>
        <v>1.4289453845316714E-4</v>
      </c>
    </row>
    <row r="24" spans="2:31" s="68" customFormat="1" x14ac:dyDescent="0.25">
      <c r="C24" s="69"/>
      <c r="D24" s="70"/>
      <c r="E24" s="70"/>
      <c r="F24" s="70"/>
      <c r="G24" s="71"/>
      <c r="H24" s="72"/>
      <c r="I24" s="73"/>
      <c r="J24" s="72"/>
      <c r="K24" s="73"/>
      <c r="L24" s="72"/>
      <c r="M24" s="73"/>
      <c r="N24" s="72"/>
      <c r="O24" s="73"/>
      <c r="P24" s="72"/>
      <c r="Q24" s="72"/>
      <c r="R24" s="49"/>
      <c r="S24" s="74"/>
      <c r="T24" s="49"/>
      <c r="U24" s="74"/>
      <c r="V24" s="49"/>
      <c r="W24" s="74"/>
      <c r="X24" s="49"/>
      <c r="Y24" s="74"/>
      <c r="Z24" s="49"/>
      <c r="AA24" s="74"/>
      <c r="AC24" s="75"/>
      <c r="AD24" s="74"/>
      <c r="AE24" s="74"/>
    </row>
    <row r="25" spans="2:31" x14ac:dyDescent="0.25">
      <c r="B25" t="s">
        <v>50</v>
      </c>
      <c r="C25" s="220" t="s">
        <v>67</v>
      </c>
      <c r="D25" s="177"/>
      <c r="E25" s="177"/>
      <c r="F25" s="177"/>
      <c r="G25" s="13">
        <v>48435355</v>
      </c>
      <c r="H25" s="48">
        <f t="shared" si="0"/>
        <v>0.18845396411360127</v>
      </c>
      <c r="I25" s="12">
        <v>39776421</v>
      </c>
      <c r="J25" s="48">
        <f t="shared" si="12"/>
        <v>0.18884955904645429</v>
      </c>
      <c r="K25" s="31">
        <v>20536585</v>
      </c>
      <c r="L25" s="48">
        <f t="shared" si="2"/>
        <v>0.12609453242150148</v>
      </c>
      <c r="M25" s="12">
        <v>25334060</v>
      </c>
      <c r="N25" s="48">
        <f t="shared" si="8"/>
        <v>0.14743731461404933</v>
      </c>
      <c r="O25" s="12">
        <v>33890466</v>
      </c>
      <c r="P25" s="48">
        <f t="shared" si="11"/>
        <v>0.16504963028685013</v>
      </c>
      <c r="Q25" s="48"/>
      <c r="R25" s="49">
        <f>AVERAGE($H25,$J25,$L25,$N25,$P25)*$R$5</f>
        <v>31008535.640007373</v>
      </c>
      <c r="S25" s="45">
        <f t="shared" si="3"/>
        <v>0.1631770000964913</v>
      </c>
      <c r="T25" s="49">
        <f>$T$5*AVERAGE($J25,$L25,$N25,$P25,$S25)</f>
        <v>28857670.624225706</v>
      </c>
      <c r="U25" s="45">
        <f t="shared" si="4"/>
        <v>0.15812160729306929</v>
      </c>
      <c r="V25" s="49">
        <f>$V$5*AVERAGE($L25,$N25,$P25,$S25,$U25)</f>
        <v>28384783.631789684</v>
      </c>
      <c r="W25" s="45">
        <f t="shared" si="5"/>
        <v>0.15197601694239232</v>
      </c>
      <c r="X25" s="49">
        <f>$X$5*AVERAGE($N25,$P25,$S25,$U25,$W25)</f>
        <v>29823001.17541489</v>
      </c>
      <c r="Y25" s="45">
        <f t="shared" si="6"/>
        <v>0.15715231384657047</v>
      </c>
      <c r="Z25" s="49">
        <f t="shared" si="9"/>
        <v>29564332.1286707</v>
      </c>
      <c r="AA25" s="45">
        <f t="shared" si="7"/>
        <v>0.1590953136930747</v>
      </c>
      <c r="AC25" s="49">
        <v>74531070.917002678</v>
      </c>
      <c r="AD25" s="45">
        <f>(AC25-AC23)/AC25</f>
        <v>-4.1243398241643046E-2</v>
      </c>
      <c r="AE25" s="45">
        <f>AVERAGE(AD23:AD28)</f>
        <v>-2.0868548412386053E-2</v>
      </c>
    </row>
    <row r="26" spans="2:31" x14ac:dyDescent="0.25">
      <c r="C26" s="221" t="s">
        <v>68</v>
      </c>
      <c r="D26" s="205"/>
      <c r="E26" s="205"/>
      <c r="F26" s="205"/>
      <c r="G26" s="40">
        <v>123914550</v>
      </c>
      <c r="H26" s="48">
        <f t="shared" si="0"/>
        <v>0.48213104165032028</v>
      </c>
      <c r="I26" s="39">
        <v>87249032</v>
      </c>
      <c r="J26" s="48">
        <f t="shared" si="12"/>
        <v>0.41423890853402773</v>
      </c>
      <c r="K26" s="39">
        <v>59970802</v>
      </c>
      <c r="L26" s="48">
        <f t="shared" si="2"/>
        <v>0.36822043378353536</v>
      </c>
      <c r="M26" s="39">
        <v>63803402</v>
      </c>
      <c r="N26" s="48">
        <f t="shared" si="8"/>
        <v>0.37131838537212997</v>
      </c>
      <c r="O26" s="39">
        <v>78736295</v>
      </c>
      <c r="P26" s="48">
        <f t="shared" si="11"/>
        <v>0.38345286783328286</v>
      </c>
      <c r="Q26" s="48"/>
      <c r="R26" s="82">
        <f>AVERAGE($H26,$J26,$L26,$N26,$P26)*$R$5</f>
        <v>76747883.904379025</v>
      </c>
      <c r="S26" s="45">
        <f t="shared" si="3"/>
        <v>0.40387232743465928</v>
      </c>
      <c r="T26" s="82">
        <f>$T$5*AVERAGE($J26,$L26,$N26,$P26,$S26)</f>
        <v>70851428.539568678</v>
      </c>
      <c r="U26" s="45">
        <f t="shared" si="4"/>
        <v>0.38822058459152703</v>
      </c>
      <c r="V26" s="82">
        <f>$V$5*AVERAGE($L26,$N26,$P26,$S26,$U26)</f>
        <v>71536631.994010732</v>
      </c>
      <c r="W26" s="45">
        <f t="shared" si="5"/>
        <v>0.38301691980302688</v>
      </c>
      <c r="X26" s="82">
        <f>$X$5*AVERAGE($N26,$P26,$S26,$U26,$W26)</f>
        <v>73247214.067226589</v>
      </c>
      <c r="Y26" s="45">
        <f t="shared" si="6"/>
        <v>0.38597621700692525</v>
      </c>
      <c r="Z26" s="82">
        <f t="shared" si="9"/>
        <v>72269877.767044172</v>
      </c>
      <c r="AA26" s="45">
        <f t="shared" si="7"/>
        <v>0.38890778333388426</v>
      </c>
      <c r="AC26" s="49">
        <v>76274231.322125345</v>
      </c>
      <c r="AD26" s="45">
        <f t="shared" si="18"/>
        <v>2.2853857389409288E-2</v>
      </c>
      <c r="AE26" s="45">
        <f t="shared" ref="AE26" si="19">AVERAGE(AD25:AD29)</f>
        <v>-5.9507953438188814E-3</v>
      </c>
    </row>
    <row r="27" spans="2:31" x14ac:dyDescent="0.25">
      <c r="C27" s="229"/>
      <c r="D27" s="202"/>
      <c r="E27" s="202"/>
      <c r="F27" s="202"/>
      <c r="G27" s="13"/>
      <c r="H27" s="12"/>
      <c r="I27" s="12"/>
      <c r="J27" s="12"/>
      <c r="K27" s="12"/>
      <c r="L27" s="12"/>
      <c r="M27" s="12"/>
      <c r="N27" s="12"/>
      <c r="O27" s="12"/>
      <c r="P27" s="12"/>
      <c r="Q27" s="12"/>
      <c r="Y27" s="45"/>
      <c r="AA27" s="45"/>
      <c r="AC27" s="49">
        <v>77499317.072805434</v>
      </c>
      <c r="AD27" s="45">
        <f t="shared" si="18"/>
        <v>1.580769737014847E-2</v>
      </c>
      <c r="AE27" s="45"/>
    </row>
    <row r="28" spans="2:31" x14ac:dyDescent="0.25">
      <c r="C28" s="222" t="s">
        <v>69</v>
      </c>
      <c r="D28" s="223"/>
      <c r="E28" s="223"/>
      <c r="F28" s="223"/>
      <c r="G28" s="19">
        <v>28.81</v>
      </c>
      <c r="H28" s="18"/>
      <c r="I28" s="18">
        <v>20.29</v>
      </c>
      <c r="J28" s="18"/>
      <c r="K28" s="18">
        <v>13.94</v>
      </c>
      <c r="L28" s="18"/>
      <c r="M28" s="18">
        <v>14.83</v>
      </c>
      <c r="N28" s="18"/>
      <c r="O28" s="18">
        <v>18.309999999999999</v>
      </c>
      <c r="P28" s="34"/>
      <c r="Q28" s="34"/>
      <c r="Y28" s="45"/>
      <c r="AA28" s="45"/>
      <c r="AC28" s="49">
        <v>75888854.058502942</v>
      </c>
      <c r="AD28" s="45">
        <f t="shared" si="18"/>
        <v>-2.1221337893190237E-2</v>
      </c>
      <c r="AE28" s="45"/>
    </row>
    <row r="29" spans="2:31" x14ac:dyDescent="0.25">
      <c r="C29" s="185"/>
      <c r="D29" s="185"/>
      <c r="E29" s="185"/>
      <c r="F29" s="185"/>
      <c r="AD29" s="45"/>
    </row>
    <row r="30" spans="2:31" x14ac:dyDescent="0.25">
      <c r="C30" s="185"/>
      <c r="D30" s="185"/>
      <c r="E30" s="185"/>
      <c r="F30" s="185"/>
    </row>
    <row r="31" spans="2:31" x14ac:dyDescent="0.25">
      <c r="L31" s="50" t="s">
        <v>70</v>
      </c>
      <c r="M31" s="50"/>
      <c r="N31" s="79">
        <v>4300.93</v>
      </c>
    </row>
    <row r="32" spans="2:31" x14ac:dyDescent="0.25">
      <c r="C32" s="185"/>
      <c r="D32" s="185"/>
      <c r="E32" s="185"/>
      <c r="F32" s="185"/>
    </row>
    <row r="33" spans="3:6" x14ac:dyDescent="0.25">
      <c r="C33" s="185"/>
      <c r="D33" s="185"/>
      <c r="E33" s="185"/>
      <c r="F33" s="185"/>
    </row>
  </sheetData>
  <mergeCells count="25">
    <mergeCell ref="R2:AA3"/>
    <mergeCell ref="C2:O3"/>
    <mergeCell ref="C4:F4"/>
    <mergeCell ref="C11:F11"/>
    <mergeCell ref="C27:F27"/>
    <mergeCell ref="C13:F13"/>
    <mergeCell ref="C5:F5"/>
    <mergeCell ref="C6:F6"/>
    <mergeCell ref="C7:F7"/>
    <mergeCell ref="C8:F8"/>
    <mergeCell ref="C9:F9"/>
    <mergeCell ref="C10:F10"/>
    <mergeCell ref="C17:F17"/>
    <mergeCell ref="C12:F12"/>
    <mergeCell ref="C33:F33"/>
    <mergeCell ref="C21:F21"/>
    <mergeCell ref="C18:F18"/>
    <mergeCell ref="C19:F19"/>
    <mergeCell ref="C23:F23"/>
    <mergeCell ref="C25:F25"/>
    <mergeCell ref="C26:F26"/>
    <mergeCell ref="C28:F28"/>
    <mergeCell ref="C29:F29"/>
    <mergeCell ref="C30:F30"/>
    <mergeCell ref="C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 </vt:lpstr>
      <vt:lpstr>IS..</vt:lpstr>
      <vt:lpstr>RATIOS</vt:lpstr>
      <vt:lpstr>IS reference</vt:lpstr>
      <vt:lpstr>BS reference</vt:lpstr>
      <vt:lpstr>IS 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Umar Razzaq</dc:creator>
  <cp:keywords/>
  <dc:description/>
  <cp:lastModifiedBy>Umar Razzaq</cp:lastModifiedBy>
  <cp:revision/>
  <dcterms:created xsi:type="dcterms:W3CDTF">2019-02-20T13:24:12Z</dcterms:created>
  <dcterms:modified xsi:type="dcterms:W3CDTF">2019-02-28T13:55:36Z</dcterms:modified>
  <cp:category/>
  <cp:contentStatus/>
</cp:coreProperties>
</file>