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təs\"/>
    </mc:Choice>
  </mc:AlternateContent>
  <xr:revisionPtr revIDLastSave="0" documentId="13_ncr:1_{D31F444D-09F6-4479-BEFC-73328013191F}" xr6:coauthVersionLast="40" xr6:coauthVersionMax="47" xr10:uidLastSave="{00000000-0000-0000-0000-000000000000}"/>
  <bookViews>
    <workbookView xWindow="0" yWindow="0" windowWidth="20490" windowHeight="7545" tabRatio="564" activeTab="2" xr2:uid="{00000000-000D-0000-FFFF-FFFF00000000}"/>
  </bookViews>
  <sheets>
    <sheet name="ANBAR" sheetId="8" r:id="rId1"/>
    <sheet name="MuhYazilis" sheetId="5" r:id="rId2"/>
    <sheet name="HesablarBalans" sheetId="9" r:id="rId3"/>
    <sheet name="Sheet5" sheetId="6" r:id="rId4"/>
  </sheets>
  <definedNames>
    <definedName name="_xlnm._FilterDatabase" localSheetId="2" hidden="1">HesablarBalans!$A$3:$M$49</definedName>
    <definedName name="_xlnm._FilterDatabase" localSheetId="1" hidden="1">MuhYazilis!$A$2:$K$43</definedName>
    <definedName name="Hesablar">HesablarBalans!$A$4:$A$49</definedName>
    <definedName name="HesablarA">HesablarBalans!$B$4:$B$49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9" l="1"/>
  <c r="G34" i="9"/>
  <c r="F34" i="9"/>
  <c r="M27" i="8"/>
  <c r="N27" i="8" s="1"/>
  <c r="M26" i="8"/>
  <c r="N26" i="8" s="1"/>
  <c r="AI35" i="8"/>
  <c r="AJ36" i="8" s="1"/>
  <c r="AB29" i="8"/>
  <c r="AB28" i="8"/>
  <c r="V29" i="8"/>
  <c r="V30" i="8"/>
  <c r="S30" i="8"/>
  <c r="M30" i="8"/>
  <c r="N30" i="8" s="1"/>
  <c r="P30" i="8"/>
  <c r="M22" i="8"/>
  <c r="M24" i="8"/>
  <c r="M23" i="8"/>
  <c r="P25" i="8"/>
  <c r="M20" i="8"/>
  <c r="P7" i="8"/>
  <c r="M7" i="8"/>
  <c r="M6" i="8"/>
  <c r="H34" i="9" l="1"/>
  <c r="I34" i="9"/>
  <c r="H29" i="8" l="1"/>
  <c r="I29" i="8" s="1"/>
  <c r="H28" i="8"/>
  <c r="I28" i="8" s="1"/>
  <c r="AC29" i="8"/>
  <c r="AC28" i="8"/>
  <c r="Z36" i="8"/>
  <c r="T28" i="8"/>
  <c r="W29" i="8"/>
  <c r="W30" i="8"/>
  <c r="T30" i="8"/>
  <c r="Q30" i="8"/>
  <c r="I31" i="8"/>
  <c r="F30" i="8"/>
  <c r="P29" i="8"/>
  <c r="O29" i="8"/>
  <c r="O28" i="8"/>
  <c r="Q28" i="8" s="1"/>
  <c r="AF29" i="8"/>
  <c r="P10" i="8"/>
  <c r="P15" i="8"/>
  <c r="Q15" i="8" s="1"/>
  <c r="P18" i="8"/>
  <c r="P19" i="8"/>
  <c r="Q19" i="8" s="1"/>
  <c r="P17" i="8"/>
  <c r="N20" i="8"/>
  <c r="Q25" i="8"/>
  <c r="P32" i="8"/>
  <c r="Q32" i="8" s="1"/>
  <c r="M32" i="8"/>
  <c r="N32" i="8" s="1"/>
  <c r="I27" i="8"/>
  <c r="I32" i="8"/>
  <c r="I33" i="8"/>
  <c r="I34" i="8"/>
  <c r="I35" i="8"/>
  <c r="I36" i="8"/>
  <c r="I37" i="8"/>
  <c r="I26" i="8"/>
  <c r="I25" i="8"/>
  <c r="H20" i="8"/>
  <c r="I20" i="8" s="1"/>
  <c r="H19" i="8"/>
  <c r="I19" i="8" s="1"/>
  <c r="O18" i="8"/>
  <c r="O17" i="8"/>
  <c r="H15" i="8"/>
  <c r="I15" i="8" s="1"/>
  <c r="O10" i="8"/>
  <c r="H10" i="8"/>
  <c r="I10" i="8" s="1"/>
  <c r="L7" i="8"/>
  <c r="N7" i="8" s="1"/>
  <c r="O7" i="8"/>
  <c r="Q7" i="8" s="1"/>
  <c r="H7" i="8"/>
  <c r="I8" i="8"/>
  <c r="I9" i="8"/>
  <c r="I11" i="8"/>
  <c r="I12" i="8"/>
  <c r="I13" i="8"/>
  <c r="I14" i="8"/>
  <c r="I16" i="8"/>
  <c r="I17" i="8"/>
  <c r="I18" i="8"/>
  <c r="I21" i="8"/>
  <c r="I22" i="8"/>
  <c r="I23" i="8"/>
  <c r="I24" i="8"/>
  <c r="I4" i="8"/>
  <c r="I5" i="8"/>
  <c r="H6" i="8"/>
  <c r="I6" i="8" s="1"/>
  <c r="M38" i="8"/>
  <c r="N38" i="8" s="1"/>
  <c r="G41" i="8"/>
  <c r="I39" i="8"/>
  <c r="I40" i="8"/>
  <c r="I44" i="8"/>
  <c r="I45" i="8"/>
  <c r="I46" i="8"/>
  <c r="I47" i="8"/>
  <c r="I48" i="8"/>
  <c r="I49" i="8"/>
  <c r="N44" i="8"/>
  <c r="N45" i="8"/>
  <c r="N47" i="8"/>
  <c r="N48" i="8"/>
  <c r="N49" i="8"/>
  <c r="N43" i="8"/>
  <c r="Q38" i="8"/>
  <c r="P41" i="8"/>
  <c r="Q41" i="8" s="1"/>
  <c r="P40" i="8"/>
  <c r="Q40" i="8" s="1"/>
  <c r="P39" i="8"/>
  <c r="Q39" i="8" s="1"/>
  <c r="M40" i="8"/>
  <c r="N40" i="8" s="1"/>
  <c r="M39" i="8"/>
  <c r="N39" i="8" s="1"/>
  <c r="F41" i="8"/>
  <c r="Q18" i="8" l="1"/>
  <c r="Q10" i="8"/>
  <c r="Q29" i="8"/>
  <c r="Q17" i="8"/>
  <c r="I7" i="8"/>
  <c r="N6" i="8"/>
  <c r="I30" i="8"/>
  <c r="I41" i="8"/>
  <c r="J35" i="8" l="1"/>
  <c r="K35" i="8"/>
  <c r="J36" i="8"/>
  <c r="K36" i="8"/>
  <c r="J37" i="8"/>
  <c r="K37" i="8"/>
  <c r="K34" i="8"/>
  <c r="J34" i="8"/>
  <c r="G43" i="8"/>
  <c r="F43" i="8"/>
  <c r="G42" i="8"/>
  <c r="F42" i="8"/>
  <c r="G38" i="8"/>
  <c r="F38" i="8"/>
  <c r="I38" i="8" l="1"/>
  <c r="I42" i="8"/>
  <c r="I43" i="8"/>
  <c r="G50" i="8" l="1"/>
  <c r="J44" i="8"/>
  <c r="J45" i="8"/>
  <c r="J49" i="8"/>
  <c r="J43" i="8"/>
  <c r="E50" i="8"/>
  <c r="F50" i="8"/>
  <c r="I50" i="8"/>
  <c r="D50" i="8"/>
  <c r="J26" i="8"/>
  <c r="K26" i="8"/>
  <c r="J27" i="8"/>
  <c r="K27" i="8"/>
  <c r="J28" i="8"/>
  <c r="K28" i="8"/>
  <c r="J29" i="8"/>
  <c r="K29" i="8"/>
  <c r="J30" i="8"/>
  <c r="K30" i="8"/>
  <c r="J31" i="8"/>
  <c r="K31" i="8"/>
  <c r="J32" i="8"/>
  <c r="K32" i="8"/>
  <c r="J33" i="8"/>
  <c r="K33" i="8"/>
  <c r="J38" i="8"/>
  <c r="K38" i="8"/>
  <c r="J39" i="8"/>
  <c r="K39" i="8"/>
  <c r="J40" i="8"/>
  <c r="K40" i="8"/>
  <c r="J41" i="8"/>
  <c r="K41" i="8"/>
  <c r="J42" i="8"/>
  <c r="K42" i="8"/>
  <c r="K43" i="8"/>
  <c r="K44" i="8"/>
  <c r="K45" i="8"/>
  <c r="J46" i="8"/>
  <c r="K46" i="8"/>
  <c r="J47" i="8"/>
  <c r="K47" i="8"/>
  <c r="J48" i="8"/>
  <c r="K48" i="8"/>
  <c r="K49" i="8"/>
  <c r="H50" i="8" l="1"/>
  <c r="K5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4" i="8"/>
  <c r="J50" i="8" l="1"/>
  <c r="K11" i="8"/>
  <c r="K21" i="8"/>
  <c r="K13" i="8"/>
  <c r="K12" i="8"/>
  <c r="K19" i="8"/>
  <c r="K25" i="8"/>
  <c r="K18" i="8"/>
  <c r="K10" i="8"/>
  <c r="K22" i="8"/>
  <c r="K6" i="8"/>
  <c r="K24" i="8"/>
  <c r="K16" i="8"/>
  <c r="K8" i="8"/>
  <c r="K14" i="8"/>
  <c r="K20" i="8"/>
  <c r="K17" i="8"/>
  <c r="K9" i="8"/>
  <c r="K23" i="8"/>
  <c r="K15" i="8"/>
  <c r="K7" i="8"/>
  <c r="K4" i="8"/>
  <c r="F23" i="9"/>
  <c r="F37" i="9"/>
  <c r="D37" i="9"/>
  <c r="E37" i="9"/>
  <c r="G37" i="9"/>
  <c r="G44" i="9"/>
  <c r="F44" i="9"/>
  <c r="E44" i="9"/>
  <c r="D44" i="9"/>
  <c r="D16" i="9"/>
  <c r="E16" i="9"/>
  <c r="F16" i="9"/>
  <c r="G16" i="9"/>
  <c r="K50" i="8" l="1"/>
  <c r="H37" i="9"/>
  <c r="I37" i="9"/>
  <c r="I44" i="9"/>
  <c r="H44" i="9"/>
  <c r="H16" i="9"/>
  <c r="I16" i="9"/>
  <c r="F268" i="8" l="1"/>
  <c r="G22" i="9" l="1"/>
  <c r="F38" i="9"/>
  <c r="D38" i="9"/>
  <c r="E38" i="9"/>
  <c r="G38" i="9"/>
  <c r="F22" i="9" l="1"/>
  <c r="I22" i="9" s="1"/>
  <c r="H38" i="9"/>
  <c r="I38" i="9"/>
  <c r="H22" i="9" l="1"/>
  <c r="D48" i="9" l="1"/>
  <c r="E48" i="9"/>
  <c r="F48" i="9"/>
  <c r="G48" i="9"/>
  <c r="D39" i="9"/>
  <c r="E39" i="9"/>
  <c r="F39" i="9"/>
  <c r="G39" i="9"/>
  <c r="D45" i="9"/>
  <c r="E45" i="9"/>
  <c r="F45" i="9"/>
  <c r="G45" i="9"/>
  <c r="D13" i="9"/>
  <c r="E13" i="9"/>
  <c r="F13" i="9"/>
  <c r="G13" i="9"/>
  <c r="F25" i="9"/>
  <c r="G25" i="9"/>
  <c r="G26" i="9"/>
  <c r="F26" i="9" l="1"/>
  <c r="I48" i="9"/>
  <c r="H48" i="9"/>
  <c r="H39" i="9"/>
  <c r="I39" i="9"/>
  <c r="I45" i="9"/>
  <c r="H45" i="9"/>
  <c r="H13" i="9"/>
  <c r="I13" i="9"/>
  <c r="I25" i="9"/>
  <c r="H25" i="9"/>
  <c r="G33" i="9"/>
  <c r="G23" i="9"/>
  <c r="G21" i="9"/>
  <c r="G12" i="9"/>
  <c r="F32" i="9"/>
  <c r="F21" i="9"/>
  <c r="F33" i="9"/>
  <c r="F11" i="9"/>
  <c r="G11" i="9"/>
  <c r="F10" i="9"/>
  <c r="G10" i="9"/>
  <c r="F9" i="9"/>
  <c r="G9" i="9"/>
  <c r="F8" i="9"/>
  <c r="G8" i="9"/>
  <c r="F36" i="9"/>
  <c r="F27" i="9"/>
  <c r="G27" i="9"/>
  <c r="G36" i="9"/>
  <c r="D7" i="9"/>
  <c r="E7" i="9"/>
  <c r="F7" i="9"/>
  <c r="G7" i="9"/>
  <c r="D6" i="9"/>
  <c r="E6" i="9"/>
  <c r="F6" i="9"/>
  <c r="G6" i="9"/>
  <c r="D5" i="9"/>
  <c r="E5" i="9"/>
  <c r="F5" i="9"/>
  <c r="G5" i="9"/>
  <c r="I26" i="9" l="1"/>
  <c r="G32" i="9"/>
  <c r="D12" i="9"/>
  <c r="H26" i="9"/>
  <c r="E12" i="9"/>
  <c r="F29" i="9"/>
  <c r="G29" i="9"/>
  <c r="F12" i="9"/>
  <c r="I11" i="9"/>
  <c r="H11" i="9"/>
  <c r="I10" i="9"/>
  <c r="H10" i="9"/>
  <c r="I9" i="9"/>
  <c r="H9" i="9"/>
  <c r="H8" i="9"/>
  <c r="I8" i="9"/>
  <c r="I27" i="9"/>
  <c r="H27" i="9"/>
  <c r="I7" i="9"/>
  <c r="H7" i="9"/>
  <c r="H6" i="9"/>
  <c r="I6" i="9"/>
  <c r="H5" i="9"/>
  <c r="I5" i="9"/>
  <c r="G43" i="9"/>
  <c r="F43" i="9"/>
  <c r="D47" i="9"/>
  <c r="E47" i="9"/>
  <c r="F47" i="9"/>
  <c r="G47" i="9"/>
  <c r="G20" i="9"/>
  <c r="F20" i="9"/>
  <c r="F42" i="9"/>
  <c r="G30" i="9"/>
  <c r="G4" i="9"/>
  <c r="G28" i="9"/>
  <c r="G31" i="9"/>
  <c r="G18" i="9"/>
  <c r="G35" i="9"/>
  <c r="G19" i="9"/>
  <c r="G14" i="9"/>
  <c r="G15" i="9"/>
  <c r="G41" i="9"/>
  <c r="G46" i="9"/>
  <c r="G49" i="9"/>
  <c r="G42" i="9"/>
  <c r="F24" i="9"/>
  <c r="F4" i="9"/>
  <c r="F28" i="9"/>
  <c r="F31" i="9"/>
  <c r="F18" i="9"/>
  <c r="F19" i="9"/>
  <c r="F14" i="9"/>
  <c r="F15" i="9"/>
  <c r="F46" i="9"/>
  <c r="F49" i="9"/>
  <c r="F30" i="9"/>
  <c r="E14" i="9"/>
  <c r="E15" i="9"/>
  <c r="E17" i="9"/>
  <c r="E46" i="9"/>
  <c r="E49" i="9"/>
  <c r="D14" i="9"/>
  <c r="D15" i="9"/>
  <c r="D17" i="9"/>
  <c r="D46" i="9"/>
  <c r="D49" i="9"/>
  <c r="I30" i="9" l="1"/>
  <c r="F41" i="9"/>
  <c r="I32" i="9"/>
  <c r="I21" i="9"/>
  <c r="E42" i="9"/>
  <c r="D42" i="9"/>
  <c r="E40" i="9"/>
  <c r="I23" i="9"/>
  <c r="H32" i="9"/>
  <c r="H23" i="9"/>
  <c r="H36" i="9"/>
  <c r="D40" i="9"/>
  <c r="D43" i="9"/>
  <c r="H33" i="9"/>
  <c r="H21" i="9"/>
  <c r="I36" i="9"/>
  <c r="E20" i="9"/>
  <c r="H12" i="9"/>
  <c r="E29" i="9"/>
  <c r="I33" i="9"/>
  <c r="D41" i="9"/>
  <c r="E41" i="9"/>
  <c r="D20" i="9"/>
  <c r="E43" i="9"/>
  <c r="D29" i="9"/>
  <c r="G40" i="9"/>
  <c r="I12" i="9"/>
  <c r="F35" i="9"/>
  <c r="H14" i="9"/>
  <c r="H47" i="9"/>
  <c r="I47" i="9"/>
  <c r="H46" i="9"/>
  <c r="H15" i="9"/>
  <c r="H18" i="9"/>
  <c r="H24" i="9"/>
  <c r="I15" i="9"/>
  <c r="I18" i="9"/>
  <c r="I24" i="9"/>
  <c r="H4" i="9"/>
  <c r="H31" i="9"/>
  <c r="H49" i="9"/>
  <c r="H19" i="9"/>
  <c r="H28" i="9"/>
  <c r="I28" i="9"/>
  <c r="I46" i="9"/>
  <c r="I14" i="9"/>
  <c r="I31" i="9"/>
  <c r="I4" i="9"/>
  <c r="H30" i="9"/>
  <c r="I49" i="9"/>
  <c r="I19" i="9"/>
  <c r="I42" i="9" l="1"/>
  <c r="H42" i="9"/>
  <c r="H43" i="9"/>
  <c r="H29" i="9"/>
  <c r="I41" i="9"/>
  <c r="H20" i="9"/>
  <c r="I20" i="9"/>
  <c r="H41" i="9"/>
  <c r="I43" i="9"/>
  <c r="I29" i="9"/>
  <c r="I35" i="9"/>
  <c r="H35" i="9"/>
  <c r="E1" i="9" l="1"/>
  <c r="D1" i="9"/>
  <c r="F40" i="9"/>
  <c r="F17" i="9"/>
  <c r="G17" i="9"/>
  <c r="L1" i="9" l="1"/>
  <c r="H40" i="9"/>
  <c r="I17" i="9"/>
  <c r="F1" i="9"/>
  <c r="H17" i="9"/>
  <c r="I40" i="9"/>
  <c r="H1" i="9" l="1"/>
  <c r="I1" i="9"/>
  <c r="G1" i="9"/>
  <c r="M1" i="9" s="1"/>
  <c r="N1" i="9" l="1"/>
</calcChain>
</file>

<file path=xl/sharedStrings.xml><?xml version="1.0" encoding="utf-8"?>
<sst xmlns="http://schemas.openxmlformats.org/spreadsheetml/2006/main" count="416" uniqueCount="176">
  <si>
    <t>Dt</t>
  </si>
  <si>
    <t>Kt</t>
  </si>
  <si>
    <t>Məbləğ</t>
  </si>
  <si>
    <t>Əvvələ qalıq</t>
  </si>
  <si>
    <t>Sona qalıq</t>
  </si>
  <si>
    <t>Debet</t>
  </si>
  <si>
    <t>Kredit</t>
  </si>
  <si>
    <t>Dövriyyə</t>
  </si>
  <si>
    <t>Tarix</t>
  </si>
  <si>
    <t>Başlanğıc Tarix</t>
  </si>
  <si>
    <t>601.2</t>
  </si>
  <si>
    <t>521.3</t>
  </si>
  <si>
    <t>701.2</t>
  </si>
  <si>
    <t>801.2</t>
  </si>
  <si>
    <t>Malın adı</t>
  </si>
  <si>
    <t>Mirqar</t>
  </si>
  <si>
    <t>Mədaxil</t>
  </si>
  <si>
    <t>Məxaric</t>
  </si>
  <si>
    <t>521.4</t>
  </si>
  <si>
    <t>Sintetik h</t>
  </si>
  <si>
    <t>Analitik h</t>
  </si>
  <si>
    <t>001</t>
  </si>
  <si>
    <t>003</t>
  </si>
  <si>
    <t>002</t>
  </si>
  <si>
    <t>004</t>
  </si>
  <si>
    <t>223</t>
  </si>
  <si>
    <t>224</t>
  </si>
  <si>
    <t>Hesab adı</t>
  </si>
  <si>
    <t>Açıqlama</t>
  </si>
  <si>
    <t>531</t>
  </si>
  <si>
    <t>701</t>
  </si>
  <si>
    <t>01 01</t>
  </si>
  <si>
    <t>601</t>
  </si>
  <si>
    <t>211</t>
  </si>
  <si>
    <t>205</t>
  </si>
  <si>
    <t>243</t>
  </si>
  <si>
    <t>721</t>
  </si>
  <si>
    <t>217</t>
  </si>
  <si>
    <t>343</t>
  </si>
  <si>
    <t>15 ədəd notebook anbara mədaxil olunur</t>
  </si>
  <si>
    <t>15 eded notebook EDV-si</t>
  </si>
  <si>
    <t>15 ədəd Printeranbara mədaxil olunur</t>
  </si>
  <si>
    <t>15 eded Printer EDV-si</t>
  </si>
  <si>
    <t>15 ədəd kalkulator anbara mədaxil olunur</t>
  </si>
  <si>
    <t>15 eded kalkulatorEDV-si</t>
  </si>
  <si>
    <t>15 ədəd səs gücləndirici anbara mədaxil olunur</t>
  </si>
  <si>
    <t>15 eded səs gücləndirici EDV-si</t>
  </si>
  <si>
    <t>15 ədəd Telefon anbara mədaxil olunur</t>
  </si>
  <si>
    <t>15 eded Telefon EDV-si</t>
  </si>
  <si>
    <t>731</t>
  </si>
  <si>
    <t>801</t>
  </si>
  <si>
    <t>534</t>
  </si>
  <si>
    <t>Malsatan verilmiş avans</t>
  </si>
  <si>
    <t>Təsisçidən Borc alışı (Saradan Nəqliyyata)</t>
  </si>
  <si>
    <t>Nema Zero</t>
  </si>
  <si>
    <t>Quantum</t>
  </si>
  <si>
    <t>Potamax</t>
  </si>
  <si>
    <t>Fulvik toz</t>
  </si>
  <si>
    <t>Deep Root</t>
  </si>
  <si>
    <t>Aminofast</t>
  </si>
  <si>
    <t>Xtracal</t>
  </si>
  <si>
    <t>Xtra K</t>
  </si>
  <si>
    <t>Fulvilon 47</t>
  </si>
  <si>
    <t>Fulvisil</t>
  </si>
  <si>
    <t>Fito Root</t>
  </si>
  <si>
    <t>Root 45 (Sunrice)</t>
  </si>
  <si>
    <t xml:space="preserve">Calbor </t>
  </si>
  <si>
    <t>Max Humix</t>
  </si>
  <si>
    <t>Humixx</t>
  </si>
  <si>
    <t>Full Humix</t>
  </si>
  <si>
    <t xml:space="preserve"> Blacstar</t>
  </si>
  <si>
    <t>Nano Pzn</t>
  </si>
  <si>
    <t>Free Plant</t>
  </si>
  <si>
    <t>Happy Plant</t>
  </si>
  <si>
    <t xml:space="preserve">Happy Free </t>
  </si>
  <si>
    <t>K humate</t>
  </si>
  <si>
    <t>Gübrə anbarı</t>
  </si>
  <si>
    <t>Kreditor (Eurofarm)</t>
  </si>
  <si>
    <t>Zeynal Məcidoğlu</t>
  </si>
  <si>
    <t>Aqrovita, Nicat</t>
  </si>
  <si>
    <t>Zülfüqar</t>
  </si>
  <si>
    <t xml:space="preserve">İlya </t>
  </si>
  <si>
    <t>Gübrə satışı</t>
  </si>
  <si>
    <t>Satışın maya dəyəri</t>
  </si>
  <si>
    <t>Kapital bank</t>
  </si>
  <si>
    <t>233</t>
  </si>
  <si>
    <t>Zağaroğlu vergi borcu ( dsmf- Mustafayev Fuad)</t>
  </si>
  <si>
    <t>İşçilərin borcu</t>
  </si>
  <si>
    <t>Bank xərci</t>
  </si>
  <si>
    <t>Zağaroğlu vergi borcu ( İcbari tibbi sığorta- Mustafayev Fuad)</t>
  </si>
  <si>
    <t>Zağaroğlu vergi borcu ( Maliyyə sanksiyaları- Mustafayev Fuad)</t>
  </si>
  <si>
    <t>Kapital usd</t>
  </si>
  <si>
    <t>Yusuf bəy nəqliyyat ödenişi üçün</t>
  </si>
  <si>
    <t>Sair avans</t>
  </si>
  <si>
    <t>Məzənnə xərci</t>
  </si>
  <si>
    <t>May satışın maya dəyəri</t>
  </si>
  <si>
    <t>344</t>
  </si>
  <si>
    <t>ELAN EDILMIŞ DIVIDENDLƏR</t>
  </si>
  <si>
    <t>Bölüşdürülməmiş mənfəət / ödənilməmiş zərər (-)</t>
  </si>
  <si>
    <t>335</t>
  </si>
  <si>
    <t>Digər kapital ehtiyatları</t>
  </si>
  <si>
    <t>Təsiçidən borc</t>
  </si>
  <si>
    <t>Sara qrupda olan mallar</t>
  </si>
  <si>
    <t>NPK 18-18-18</t>
  </si>
  <si>
    <t>NPK 20-20-20</t>
  </si>
  <si>
    <t>NPK 13-46</t>
  </si>
  <si>
    <t>SOP</t>
  </si>
  <si>
    <t>İyun</t>
  </si>
  <si>
    <t>Haifa Magnezyum Sulfat</t>
  </si>
  <si>
    <t xml:space="preserve">NPK </t>
  </si>
  <si>
    <t>13.0.46</t>
  </si>
  <si>
    <t xml:space="preserve">Yara Tera Calcinit </t>
  </si>
  <si>
    <t>Yara Krista K</t>
  </si>
  <si>
    <t>Dəniz yosunu</t>
  </si>
  <si>
    <t>EGO 7025</t>
  </si>
  <si>
    <t>NS 20.40</t>
  </si>
  <si>
    <t>Malın Qrupu</t>
  </si>
  <si>
    <t>Gübrə</t>
  </si>
  <si>
    <t>Randomil</t>
  </si>
  <si>
    <t>Fherus</t>
  </si>
  <si>
    <t>FRS Deham</t>
  </si>
  <si>
    <t>SURRENDER</t>
  </si>
  <si>
    <t>Pestisid</t>
  </si>
  <si>
    <t>Taban  gübrəsi</t>
  </si>
  <si>
    <t>Taban</t>
  </si>
  <si>
    <t>Digər</t>
  </si>
  <si>
    <t>Damlama borusu</t>
  </si>
  <si>
    <t>PN zebra Nitril Eldiven</t>
  </si>
  <si>
    <t>Kauçuk plastik kırmızı enldive</t>
  </si>
  <si>
    <t xml:space="preserve">Streç film </t>
  </si>
  <si>
    <t>Çiləmə aparatı 16 L (manuel)</t>
  </si>
  <si>
    <t>Çiləmə aparatı 5 L (manuel)</t>
  </si>
  <si>
    <t>Çiləmə aparatı 2, 5 L (manuel)</t>
  </si>
  <si>
    <t>Yekun:</t>
  </si>
  <si>
    <t>Smart</t>
  </si>
  <si>
    <t>Dağ agro</t>
  </si>
  <si>
    <t>Arif m</t>
  </si>
  <si>
    <t xml:space="preserve"> binə aqro</t>
  </si>
  <si>
    <t>Baqırlı</t>
  </si>
  <si>
    <t>arico</t>
  </si>
  <si>
    <t>Zeynal</t>
  </si>
  <si>
    <t>005</t>
  </si>
  <si>
    <t>007</t>
  </si>
  <si>
    <t>Dağ aqro</t>
  </si>
  <si>
    <t>Bio gold Tarım</t>
  </si>
  <si>
    <t>Binə aqro</t>
  </si>
  <si>
    <t>008</t>
  </si>
  <si>
    <t>Bagırlı</t>
  </si>
  <si>
    <t>Agico</t>
  </si>
  <si>
    <t>009</t>
  </si>
  <si>
    <t>006</t>
  </si>
  <si>
    <t>010</t>
  </si>
  <si>
    <t>Smart (Pestisid)</t>
  </si>
  <si>
    <t>Dağ aqro (Pestisid)</t>
  </si>
  <si>
    <t>Smart (digər)</t>
  </si>
  <si>
    <t>Gübrə xərc</t>
  </si>
  <si>
    <t>Pestisid xərc</t>
  </si>
  <si>
    <t>Digər xərc</t>
  </si>
  <si>
    <t>Smart (gübrə)</t>
  </si>
  <si>
    <t>Dağ aqro (gübrə)</t>
  </si>
  <si>
    <t>Bio gold Tarım (gübrə)</t>
  </si>
  <si>
    <t>Binə aqro (gübrə)</t>
  </si>
  <si>
    <t>Bagırlı (gübrə)</t>
  </si>
  <si>
    <t>Agico (gübrə)</t>
  </si>
  <si>
    <t>Zeynal Məcidoğlu (gübrə)</t>
  </si>
  <si>
    <t>BAGIRLI COMPANY MMC</t>
  </si>
  <si>
    <t>DAĞ AQRO MMC</t>
  </si>
  <si>
    <t>BINE AQRO QSC</t>
  </si>
  <si>
    <t>Yusuf bəy gömrük ödenişi üçün</t>
  </si>
  <si>
    <t>221</t>
  </si>
  <si>
    <t>Kassa</t>
  </si>
  <si>
    <t>Mənfəət iyun</t>
  </si>
  <si>
    <t>Əmək haqqı xərci</t>
  </si>
  <si>
    <t>Əmək haqqı</t>
  </si>
  <si>
    <t>533</t>
  </si>
  <si>
    <t xml:space="preserve">Smart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</si>
</sst>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sz val="10"/>
      <name val="Palatino Linotype"/>
      <family val="1"/>
      <charset val="204"/>
    </font>
    <font>
      <sz val="11"/>
      <color rgb="FFFF0000"/>
      <name val="Calibri"/>
      <family val="2"/>
      <scheme val="minor"/>
    </font>
    <font>
      <sz val="10"/>
      <color theme="1"/>
      <name val="Palatino Linotype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ashed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4" borderId="0">
      <alignment horizontal="right" vertical="top"/>
    </xf>
  </cellStyleXfs>
  <cellXfs count="7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0" xfId="0" applyNumberFormat="1"/>
    <xf numFmtId="0" fontId="0" fillId="0" borderId="0" xfId="0" applyAlignment="1">
      <alignment horizontal="center" vertical="center"/>
    </xf>
    <xf numFmtId="4" fontId="0" fillId="0" borderId="0" xfId="0" applyNumberFormat="1"/>
    <xf numFmtId="0" fontId="0" fillId="2" borderId="1" xfId="0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4" fontId="0" fillId="0" borderId="1" xfId="0" applyNumberFormat="1" applyBorder="1"/>
    <xf numFmtId="4" fontId="1" fillId="0" borderId="1" xfId="0" applyNumberFormat="1" applyFont="1" applyBorder="1"/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/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/>
    <xf numFmtId="4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1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left"/>
    </xf>
    <xf numFmtId="49" fontId="0" fillId="0" borderId="6" xfId="0" applyNumberFormat="1" applyFill="1" applyBorder="1" applyAlignment="1">
      <alignment horizontal="center"/>
    </xf>
    <xf numFmtId="0" fontId="0" fillId="0" borderId="1" xfId="0" applyNumberFormat="1" applyBorder="1"/>
    <xf numFmtId="4" fontId="0" fillId="0" borderId="1" xfId="0" applyNumberFormat="1" applyFill="1" applyBorder="1"/>
    <xf numFmtId="0" fontId="4" fillId="0" borderId="1" xfId="0" applyFont="1" applyBorder="1"/>
    <xf numFmtId="14" fontId="0" fillId="0" borderId="3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" fontId="0" fillId="0" borderId="3" xfId="0" applyNumberFormat="1" applyBorder="1"/>
    <xf numFmtId="0" fontId="0" fillId="0" borderId="3" xfId="0" applyBorder="1"/>
    <xf numFmtId="0" fontId="0" fillId="0" borderId="7" xfId="0" applyBorder="1"/>
    <xf numFmtId="0" fontId="0" fillId="0" borderId="0" xfId="0" applyBorder="1"/>
    <xf numFmtId="14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" fontId="0" fillId="0" borderId="2" xfId="0" applyNumberFormat="1" applyBorder="1"/>
    <xf numFmtId="0" fontId="0" fillId="0" borderId="2" xfId="0" applyBorder="1"/>
    <xf numFmtId="0" fontId="0" fillId="0" borderId="0" xfId="0" applyAlignment="1">
      <alignment horizontal="center"/>
    </xf>
    <xf numFmtId="4" fontId="0" fillId="0" borderId="1" xfId="0" applyNumberFormat="1" applyBorder="1" applyAlignment="1">
      <alignment horizontal="right"/>
    </xf>
    <xf numFmtId="49" fontId="0" fillId="0" borderId="0" xfId="0" applyNumberFormat="1" applyBorder="1"/>
    <xf numFmtId="0" fontId="6" fillId="0" borderId="1" xfId="0" applyFont="1" applyBorder="1"/>
    <xf numFmtId="14" fontId="7" fillId="0" borderId="8" xfId="0" applyNumberFormat="1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left" vertical="center"/>
    </xf>
    <xf numFmtId="2" fontId="8" fillId="3" borderId="0" xfId="0" applyNumberFormat="1" applyFont="1" applyFill="1"/>
    <xf numFmtId="2" fontId="0" fillId="0" borderId="0" xfId="0" applyNumberFormat="1" applyFill="1" applyBorder="1"/>
    <xf numFmtId="0" fontId="0" fillId="5" borderId="0" xfId="0" applyFill="1"/>
    <xf numFmtId="0" fontId="0" fillId="0" borderId="1" xfId="0" applyFill="1" applyBorder="1"/>
    <xf numFmtId="0" fontId="6" fillId="0" borderId="4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3" fillId="0" borderId="1" xfId="0" applyFont="1" applyFill="1" applyBorder="1"/>
    <xf numFmtId="0" fontId="0" fillId="0" borderId="2" xfId="0" applyFill="1" applyBorder="1"/>
    <xf numFmtId="4" fontId="0" fillId="0" borderId="0" xfId="0" applyNumberFormat="1" applyFill="1"/>
    <xf numFmtId="49" fontId="0" fillId="0" borderId="0" xfId="0" applyNumberFormat="1" applyFill="1"/>
    <xf numFmtId="0" fontId="9" fillId="0" borderId="9" xfId="0" applyFont="1" applyFill="1" applyBorder="1" applyAlignment="1">
      <alignment horizontal="left" vertical="center"/>
    </xf>
    <xf numFmtId="14" fontId="9" fillId="0" borderId="8" xfId="0" applyNumberFormat="1" applyFont="1" applyFill="1" applyBorder="1" applyAlignment="1">
      <alignment horizontal="center" vertical="center"/>
    </xf>
    <xf numFmtId="49" fontId="0" fillId="0" borderId="2" xfId="0" applyNumberFormat="1" applyBorder="1"/>
    <xf numFmtId="49" fontId="0" fillId="0" borderId="0" xfId="0" applyNumberFormat="1" applyBorder="1" applyAlignment="1">
      <alignment horizontal="center"/>
    </xf>
    <xf numFmtId="4" fontId="0" fillId="3" borderId="1" xfId="0" applyNumberFormat="1" applyFill="1" applyBorder="1"/>
    <xf numFmtId="4" fontId="0" fillId="6" borderId="1" xfId="0" applyNumberFormat="1" applyFill="1" applyBorder="1"/>
    <xf numFmtId="0" fontId="0" fillId="0" borderId="7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/>
    </xf>
    <xf numFmtId="4" fontId="0" fillId="0" borderId="0" xfId="0" applyNumberFormat="1" applyFill="1" applyAlignment="1">
      <alignment horizontal="center"/>
    </xf>
  </cellXfs>
  <cellStyles count="2">
    <cellStyle name="Normal" xfId="0" builtinId="0"/>
    <cellStyle name="S8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AO269"/>
  <sheetViews>
    <sheetView topLeftCell="A16" zoomScale="85" zoomScaleNormal="85" workbookViewId="0">
      <selection activeCell="H12" sqref="H11:H12"/>
    </sheetView>
  </sheetViews>
  <sheetFormatPr defaultRowHeight="15" x14ac:dyDescent="0.25"/>
  <cols>
    <col min="2" max="2" width="7.7109375" customWidth="1"/>
    <col min="3" max="3" width="27.28515625" bestFit="1" customWidth="1"/>
    <col min="4" max="4" width="14.85546875" customWidth="1"/>
    <col min="5" max="5" width="11.42578125" style="5" customWidth="1"/>
    <col min="6" max="6" width="13.5703125" customWidth="1"/>
    <col min="7" max="7" width="19.140625" style="5" customWidth="1"/>
    <col min="8" max="8" width="13.5703125" customWidth="1"/>
    <col min="9" max="9" width="15" style="5" bestFit="1" customWidth="1"/>
    <col min="10" max="10" width="11.42578125" bestFit="1" customWidth="1"/>
    <col min="11" max="11" width="13.85546875" style="5" customWidth="1"/>
    <col min="12" max="12" width="9" style="3" hidden="1" customWidth="1"/>
    <col min="13" max="13" width="6.7109375" style="3" hidden="1" customWidth="1"/>
    <col min="14" max="14" width="10.28515625" style="3" hidden="1" customWidth="1"/>
    <col min="15" max="15" width="9" style="3" hidden="1" customWidth="1"/>
    <col min="16" max="16" width="5.5703125" style="3" hidden="1" customWidth="1"/>
    <col min="17" max="17" width="10" style="3" hidden="1" customWidth="1"/>
    <col min="18" max="18" width="9" style="3" hidden="1" customWidth="1"/>
    <col min="19" max="19" width="8.7109375" style="3" hidden="1" customWidth="1"/>
    <col min="20" max="21" width="9" style="3" hidden="1" customWidth="1"/>
    <col min="22" max="22" width="4.5703125" style="3" hidden="1" customWidth="1"/>
    <col min="23" max="23" width="9" style="3" hidden="1" customWidth="1"/>
    <col min="24" max="24" width="8" style="3" hidden="1" customWidth="1"/>
    <col min="25" max="25" width="4.5703125" style="3" hidden="1" customWidth="1"/>
    <col min="26" max="26" width="9" style="3" hidden="1" customWidth="1"/>
    <col min="27" max="27" width="9" hidden="1" customWidth="1"/>
    <col min="28" max="28" width="5" hidden="1" customWidth="1"/>
    <col min="29" max="30" width="9" hidden="1" customWidth="1"/>
    <col min="31" max="31" width="5" hidden="1" customWidth="1"/>
    <col min="32" max="32" width="9" hidden="1" customWidth="1"/>
    <col min="33" max="34" width="9.140625" hidden="1" customWidth="1"/>
    <col min="35" max="35" width="10.28515625" hidden="1" customWidth="1"/>
    <col min="36" max="36" width="9.140625" hidden="1" customWidth="1"/>
    <col min="37" max="37" width="9.140625" customWidth="1"/>
    <col min="41" max="41" width="10.85546875" bestFit="1" customWidth="1"/>
  </cols>
  <sheetData>
    <row r="1" spans="2:41" x14ac:dyDescent="0.25">
      <c r="B1" s="59" t="s">
        <v>107</v>
      </c>
      <c r="C1" s="59"/>
      <c r="D1" s="59"/>
      <c r="E1" s="59"/>
      <c r="F1" s="59"/>
      <c r="G1" s="59"/>
      <c r="H1" s="59"/>
      <c r="I1" s="59"/>
      <c r="J1" s="59"/>
      <c r="K1" s="59"/>
      <c r="L1" s="71" t="s">
        <v>134</v>
      </c>
      <c r="M1" s="71"/>
      <c r="N1" s="71"/>
      <c r="O1" s="71" t="s">
        <v>135</v>
      </c>
      <c r="P1" s="71"/>
      <c r="Q1" s="71"/>
      <c r="R1" s="71" t="s">
        <v>136</v>
      </c>
      <c r="S1" s="71"/>
      <c r="T1" s="71"/>
      <c r="U1" s="72" t="s">
        <v>137</v>
      </c>
      <c r="V1" s="72"/>
      <c r="W1" s="72"/>
      <c r="X1" s="71" t="s">
        <v>138</v>
      </c>
      <c r="Y1" s="71"/>
      <c r="Z1" s="71"/>
      <c r="AA1" s="70" t="s">
        <v>139</v>
      </c>
      <c r="AB1" s="70"/>
      <c r="AC1" s="70"/>
      <c r="AD1" s="70" t="s">
        <v>140</v>
      </c>
      <c r="AE1" s="70"/>
      <c r="AF1" s="70"/>
    </row>
    <row r="2" spans="2:41" x14ac:dyDescent="0.25">
      <c r="B2" s="66" t="s">
        <v>116</v>
      </c>
      <c r="C2" s="61" t="s">
        <v>14</v>
      </c>
      <c r="D2" s="60" t="s">
        <v>3</v>
      </c>
      <c r="E2" s="60"/>
      <c r="F2" s="63" t="s">
        <v>16</v>
      </c>
      <c r="G2" s="64"/>
      <c r="H2" s="60" t="s">
        <v>17</v>
      </c>
      <c r="I2" s="60"/>
      <c r="J2" s="60" t="s">
        <v>4</v>
      </c>
      <c r="K2" s="60"/>
    </row>
    <row r="3" spans="2:41" x14ac:dyDescent="0.25">
      <c r="B3" s="67"/>
      <c r="C3" s="62"/>
      <c r="D3" s="13" t="s">
        <v>15</v>
      </c>
      <c r="E3" s="15" t="s">
        <v>2</v>
      </c>
      <c r="F3" s="13" t="s">
        <v>15</v>
      </c>
      <c r="G3" s="15" t="s">
        <v>2</v>
      </c>
      <c r="H3" s="13" t="s">
        <v>15</v>
      </c>
      <c r="I3" s="15" t="s">
        <v>2</v>
      </c>
      <c r="J3" s="13" t="s">
        <v>15</v>
      </c>
      <c r="K3" s="15" t="s">
        <v>2</v>
      </c>
    </row>
    <row r="4" spans="2:41" x14ac:dyDescent="0.25">
      <c r="B4" s="65" t="s">
        <v>117</v>
      </c>
      <c r="C4" s="2" t="s">
        <v>54</v>
      </c>
      <c r="D4" s="8">
        <v>8640</v>
      </c>
      <c r="E4" s="8">
        <v>161568</v>
      </c>
      <c r="F4" s="8"/>
      <c r="G4" s="8"/>
      <c r="H4" s="8"/>
      <c r="I4" s="8">
        <f t="shared" ref="I4:I25" si="0">E4/D4*H4</f>
        <v>0</v>
      </c>
      <c r="J4" s="8">
        <f>D4+F4-H4</f>
        <v>8640</v>
      </c>
      <c r="K4" s="8">
        <f>E4+G4-I4</f>
        <v>161568</v>
      </c>
      <c r="AO4" s="5"/>
    </row>
    <row r="5" spans="2:41" x14ac:dyDescent="0.25">
      <c r="B5" s="65"/>
      <c r="C5" s="2" t="s">
        <v>55</v>
      </c>
      <c r="D5" s="8">
        <v>10590</v>
      </c>
      <c r="E5" s="8">
        <v>72012</v>
      </c>
      <c r="F5" s="8"/>
      <c r="G5" s="8"/>
      <c r="H5" s="8"/>
      <c r="I5" s="8">
        <f t="shared" si="0"/>
        <v>0</v>
      </c>
      <c r="J5" s="8">
        <f t="shared" ref="J5:J25" si="1">D5+F5-H5</f>
        <v>10590</v>
      </c>
      <c r="K5" s="8">
        <f t="shared" ref="K5:K25" si="2">E5+G5-I5</f>
        <v>72012</v>
      </c>
      <c r="AO5" s="5"/>
    </row>
    <row r="6" spans="2:41" x14ac:dyDescent="0.25">
      <c r="B6" s="65"/>
      <c r="C6" s="2" t="s">
        <v>56</v>
      </c>
      <c r="D6" s="8">
        <v>9360</v>
      </c>
      <c r="E6" s="8">
        <v>43758</v>
      </c>
      <c r="F6" s="8"/>
      <c r="G6" s="8"/>
      <c r="H6" s="8">
        <f>615*15</f>
        <v>9225</v>
      </c>
      <c r="I6" s="8">
        <f>E6/D6*H6</f>
        <v>43126.875</v>
      </c>
      <c r="J6" s="8">
        <f t="shared" si="1"/>
        <v>135</v>
      </c>
      <c r="K6" s="8">
        <f t="shared" si="2"/>
        <v>631.125</v>
      </c>
      <c r="L6" s="3">
        <v>9225</v>
      </c>
      <c r="M6" s="3">
        <f>55/15*1.7</f>
        <v>6.2333333333333325</v>
      </c>
      <c r="N6" s="3">
        <f>L6*M6</f>
        <v>57502.499999999993</v>
      </c>
      <c r="AO6" s="5"/>
    </row>
    <row r="7" spans="2:41" x14ac:dyDescent="0.25">
      <c r="B7" s="65"/>
      <c r="C7" s="2" t="s">
        <v>57</v>
      </c>
      <c r="D7" s="8">
        <v>2160</v>
      </c>
      <c r="E7" s="8">
        <v>14688</v>
      </c>
      <c r="F7" s="8"/>
      <c r="G7" s="8"/>
      <c r="H7" s="8">
        <f>1080*2</f>
        <v>2160</v>
      </c>
      <c r="I7" s="8">
        <f t="shared" si="0"/>
        <v>14688</v>
      </c>
      <c r="J7" s="8">
        <f t="shared" si="1"/>
        <v>0</v>
      </c>
      <c r="K7" s="8">
        <f t="shared" si="2"/>
        <v>0</v>
      </c>
      <c r="L7" s="3">
        <f>474*2</f>
        <v>948</v>
      </c>
      <c r="M7" s="3">
        <f>6*1.7</f>
        <v>10.199999999999999</v>
      </c>
      <c r="N7" s="3">
        <f>L7*M7</f>
        <v>9669.5999999999985</v>
      </c>
      <c r="O7" s="3">
        <f>606*2</f>
        <v>1212</v>
      </c>
      <c r="P7" s="3">
        <f>6*1.7</f>
        <v>10.199999999999999</v>
      </c>
      <c r="Q7" s="3">
        <f>O7*P7</f>
        <v>12362.4</v>
      </c>
      <c r="AO7" s="5"/>
    </row>
    <row r="8" spans="2:41" x14ac:dyDescent="0.25">
      <c r="B8" s="65"/>
      <c r="C8" s="2" t="s">
        <v>58</v>
      </c>
      <c r="D8" s="8">
        <v>4760</v>
      </c>
      <c r="E8" s="8">
        <v>18207</v>
      </c>
      <c r="F8" s="8"/>
      <c r="G8" s="8"/>
      <c r="H8" s="8"/>
      <c r="I8" s="8">
        <f t="shared" si="0"/>
        <v>0</v>
      </c>
      <c r="J8" s="8">
        <f t="shared" si="1"/>
        <v>4760</v>
      </c>
      <c r="K8" s="8">
        <f t="shared" si="2"/>
        <v>18207</v>
      </c>
      <c r="AO8" s="5"/>
    </row>
    <row r="9" spans="2:41" x14ac:dyDescent="0.25">
      <c r="B9" s="65"/>
      <c r="C9" s="2" t="s">
        <v>59</v>
      </c>
      <c r="D9" s="8">
        <v>1800</v>
      </c>
      <c r="E9" s="8">
        <v>6120</v>
      </c>
      <c r="F9" s="8"/>
      <c r="G9" s="8"/>
      <c r="H9" s="8"/>
      <c r="I9" s="8">
        <f t="shared" si="0"/>
        <v>0</v>
      </c>
      <c r="J9" s="8">
        <f t="shared" si="1"/>
        <v>1800</v>
      </c>
      <c r="K9" s="8">
        <f t="shared" si="2"/>
        <v>6120</v>
      </c>
      <c r="AO9" s="5"/>
    </row>
    <row r="10" spans="2:41" x14ac:dyDescent="0.25">
      <c r="B10" s="65"/>
      <c r="C10" s="2" t="s">
        <v>60</v>
      </c>
      <c r="D10" s="8">
        <v>1160</v>
      </c>
      <c r="E10" s="8">
        <v>3549.6</v>
      </c>
      <c r="F10" s="8"/>
      <c r="G10" s="8"/>
      <c r="H10" s="8">
        <f>50*20</f>
        <v>1000</v>
      </c>
      <c r="I10" s="8">
        <f t="shared" si="0"/>
        <v>3060</v>
      </c>
      <c r="J10" s="8">
        <f t="shared" si="1"/>
        <v>160</v>
      </c>
      <c r="K10" s="8">
        <f t="shared" si="2"/>
        <v>489.59999999999991</v>
      </c>
      <c r="O10" s="3">
        <f>50*20</f>
        <v>1000</v>
      </c>
      <c r="P10" s="3">
        <f>60/20*1.7</f>
        <v>5.0999999999999996</v>
      </c>
      <c r="Q10" s="3">
        <f>O10*P10</f>
        <v>5100</v>
      </c>
      <c r="AO10" s="5"/>
    </row>
    <row r="11" spans="2:41" x14ac:dyDescent="0.25">
      <c r="B11" s="65"/>
      <c r="C11" s="2" t="s">
        <v>61</v>
      </c>
      <c r="D11" s="8">
        <v>1160</v>
      </c>
      <c r="E11" s="8">
        <v>4338.3999999999996</v>
      </c>
      <c r="F11" s="8"/>
      <c r="G11" s="8"/>
      <c r="H11" s="8"/>
      <c r="I11" s="8">
        <f t="shared" si="0"/>
        <v>0</v>
      </c>
      <c r="J11" s="8">
        <f t="shared" si="1"/>
        <v>1160</v>
      </c>
      <c r="K11" s="8">
        <f t="shared" si="2"/>
        <v>4338.3999999999996</v>
      </c>
      <c r="AO11" s="5"/>
    </row>
    <row r="12" spans="2:41" x14ac:dyDescent="0.25">
      <c r="B12" s="65"/>
      <c r="C12" s="2" t="s">
        <v>62</v>
      </c>
      <c r="D12" s="8">
        <v>560</v>
      </c>
      <c r="E12" s="8">
        <v>2094.3999999999996</v>
      </c>
      <c r="F12" s="8"/>
      <c r="G12" s="8"/>
      <c r="H12" s="8"/>
      <c r="I12" s="8">
        <f t="shared" si="0"/>
        <v>0</v>
      </c>
      <c r="J12" s="8">
        <f t="shared" si="1"/>
        <v>560</v>
      </c>
      <c r="K12" s="8">
        <f t="shared" si="2"/>
        <v>2094.3999999999996</v>
      </c>
      <c r="AO12" s="5"/>
    </row>
    <row r="13" spans="2:41" x14ac:dyDescent="0.25">
      <c r="B13" s="65"/>
      <c r="C13" s="2" t="s">
        <v>63</v>
      </c>
      <c r="D13" s="8">
        <v>756</v>
      </c>
      <c r="E13" s="8">
        <v>5140.7999999999993</v>
      </c>
      <c r="F13" s="8"/>
      <c r="G13" s="8"/>
      <c r="H13" s="8"/>
      <c r="I13" s="8">
        <f t="shared" si="0"/>
        <v>0</v>
      </c>
      <c r="J13" s="8">
        <f t="shared" si="1"/>
        <v>756</v>
      </c>
      <c r="K13" s="8">
        <f t="shared" si="2"/>
        <v>5140.7999999999993</v>
      </c>
      <c r="AO13" s="5"/>
    </row>
    <row r="14" spans="2:41" x14ac:dyDescent="0.25">
      <c r="B14" s="65"/>
      <c r="C14" s="2" t="s">
        <v>64</v>
      </c>
      <c r="D14" s="8">
        <v>3600</v>
      </c>
      <c r="E14" s="8">
        <v>13770</v>
      </c>
      <c r="F14" s="8"/>
      <c r="G14" s="8"/>
      <c r="H14" s="8"/>
      <c r="I14" s="8">
        <f t="shared" si="0"/>
        <v>0</v>
      </c>
      <c r="J14" s="8">
        <f t="shared" si="1"/>
        <v>3600</v>
      </c>
      <c r="K14" s="8">
        <f t="shared" si="2"/>
        <v>13770</v>
      </c>
      <c r="AO14" s="5"/>
    </row>
    <row r="15" spans="2:41" x14ac:dyDescent="0.25">
      <c r="B15" s="65"/>
      <c r="C15" s="2" t="s">
        <v>65</v>
      </c>
      <c r="D15" s="8">
        <v>3040</v>
      </c>
      <c r="E15" s="8">
        <v>6201.6</v>
      </c>
      <c r="F15" s="8"/>
      <c r="G15" s="8"/>
      <c r="H15" s="8">
        <f>152*20</f>
        <v>3040</v>
      </c>
      <c r="I15" s="8">
        <f t="shared" si="0"/>
        <v>6201.6</v>
      </c>
      <c r="J15" s="8">
        <f t="shared" si="1"/>
        <v>0</v>
      </c>
      <c r="K15" s="8">
        <f t="shared" si="2"/>
        <v>0</v>
      </c>
      <c r="O15" s="3">
        <v>3040</v>
      </c>
      <c r="P15" s="3">
        <f>35/20*1.7</f>
        <v>2.9750000000000001</v>
      </c>
      <c r="Q15" s="3">
        <f>O15*P15</f>
        <v>9044</v>
      </c>
      <c r="AO15" s="5"/>
    </row>
    <row r="16" spans="2:41" x14ac:dyDescent="0.25">
      <c r="B16" s="65"/>
      <c r="C16" s="2" t="s">
        <v>66</v>
      </c>
      <c r="D16" s="8">
        <v>1880</v>
      </c>
      <c r="E16" s="8">
        <v>7031.1999999999989</v>
      </c>
      <c r="F16" s="8"/>
      <c r="G16" s="8"/>
      <c r="H16" s="8"/>
      <c r="I16" s="8">
        <f t="shared" si="0"/>
        <v>0</v>
      </c>
      <c r="J16" s="8">
        <f t="shared" si="1"/>
        <v>1880</v>
      </c>
      <c r="K16" s="8">
        <f t="shared" si="2"/>
        <v>7031.1999999999989</v>
      </c>
      <c r="AO16" s="5"/>
    </row>
    <row r="17" spans="2:41" x14ac:dyDescent="0.25">
      <c r="B17" s="65"/>
      <c r="C17" s="2" t="s">
        <v>67</v>
      </c>
      <c r="D17" s="8">
        <v>3600</v>
      </c>
      <c r="E17" s="8">
        <v>7344</v>
      </c>
      <c r="F17" s="8"/>
      <c r="G17" s="8"/>
      <c r="H17" s="8">
        <v>3600</v>
      </c>
      <c r="I17" s="8">
        <f t="shared" si="0"/>
        <v>7344</v>
      </c>
      <c r="J17" s="8">
        <f t="shared" si="1"/>
        <v>0</v>
      </c>
      <c r="K17" s="8">
        <f t="shared" si="2"/>
        <v>0</v>
      </c>
      <c r="O17" s="3">
        <f>180*20</f>
        <v>3600</v>
      </c>
      <c r="P17" s="3">
        <f>35/20*1.7</f>
        <v>2.9750000000000001</v>
      </c>
      <c r="Q17" s="3">
        <f>O17*P17</f>
        <v>10710</v>
      </c>
      <c r="AO17" s="5"/>
    </row>
    <row r="18" spans="2:41" x14ac:dyDescent="0.25">
      <c r="B18" s="65"/>
      <c r="C18" s="2" t="s">
        <v>68</v>
      </c>
      <c r="D18" s="8">
        <v>3600</v>
      </c>
      <c r="E18" s="8">
        <v>5875.2</v>
      </c>
      <c r="F18" s="8"/>
      <c r="G18" s="8"/>
      <c r="H18" s="8">
        <v>3600</v>
      </c>
      <c r="I18" s="8">
        <f t="shared" si="0"/>
        <v>5875.2</v>
      </c>
      <c r="J18" s="8">
        <f t="shared" si="1"/>
        <v>0</v>
      </c>
      <c r="K18" s="8">
        <f t="shared" si="2"/>
        <v>0</v>
      </c>
      <c r="O18" s="3">
        <f>180*20</f>
        <v>3600</v>
      </c>
      <c r="P18" s="3">
        <f t="shared" ref="P18:P19" si="3">35/20*1.7</f>
        <v>2.9750000000000001</v>
      </c>
      <c r="Q18" s="3">
        <f t="shared" ref="Q18:Q19" si="4">O18*P18</f>
        <v>10710</v>
      </c>
      <c r="AO18" s="5"/>
    </row>
    <row r="19" spans="2:41" x14ac:dyDescent="0.25">
      <c r="B19" s="65"/>
      <c r="C19" s="2" t="s">
        <v>69</v>
      </c>
      <c r="D19" s="8">
        <v>2880</v>
      </c>
      <c r="E19" s="8">
        <v>5875.2</v>
      </c>
      <c r="F19" s="8"/>
      <c r="G19" s="8"/>
      <c r="H19" s="8">
        <f>140*20</f>
        <v>2800</v>
      </c>
      <c r="I19" s="8">
        <f t="shared" si="0"/>
        <v>5712</v>
      </c>
      <c r="J19" s="8">
        <f t="shared" si="1"/>
        <v>80</v>
      </c>
      <c r="K19" s="8">
        <f t="shared" si="2"/>
        <v>163.19999999999982</v>
      </c>
      <c r="O19" s="3">
        <v>2800</v>
      </c>
      <c r="P19" s="3">
        <f t="shared" si="3"/>
        <v>2.9750000000000001</v>
      </c>
      <c r="Q19" s="3">
        <f t="shared" si="4"/>
        <v>8330</v>
      </c>
      <c r="AO19" s="5"/>
    </row>
    <row r="20" spans="2:41" x14ac:dyDescent="0.25">
      <c r="B20" s="65"/>
      <c r="C20" s="2" t="s">
        <v>70</v>
      </c>
      <c r="D20" s="8">
        <v>656</v>
      </c>
      <c r="E20" s="8">
        <v>4460.7999999999993</v>
      </c>
      <c r="F20" s="8"/>
      <c r="G20" s="8"/>
      <c r="H20" s="8">
        <f>312*2</f>
        <v>624</v>
      </c>
      <c r="I20" s="8">
        <f t="shared" si="0"/>
        <v>4243.1999999999989</v>
      </c>
      <c r="J20" s="8">
        <f t="shared" si="1"/>
        <v>32</v>
      </c>
      <c r="K20" s="8">
        <f t="shared" si="2"/>
        <v>217.60000000000036</v>
      </c>
      <c r="L20" s="3">
        <v>624</v>
      </c>
      <c r="M20" s="3">
        <f>6*1.7</f>
        <v>10.199999999999999</v>
      </c>
      <c r="N20" s="3">
        <f>L20*M20</f>
        <v>6364.7999999999993</v>
      </c>
      <c r="AO20" s="5"/>
    </row>
    <row r="21" spans="2:41" x14ac:dyDescent="0.25">
      <c r="B21" s="65"/>
      <c r="C21" s="2" t="s">
        <v>71</v>
      </c>
      <c r="D21" s="8">
        <v>6380</v>
      </c>
      <c r="E21" s="8">
        <v>28741.9</v>
      </c>
      <c r="F21" s="8"/>
      <c r="G21" s="8"/>
      <c r="H21" s="8"/>
      <c r="I21" s="8">
        <f t="shared" si="0"/>
        <v>0</v>
      </c>
      <c r="J21" s="8">
        <f t="shared" si="1"/>
        <v>6380</v>
      </c>
      <c r="K21" s="8">
        <f t="shared" si="2"/>
        <v>28741.9</v>
      </c>
      <c r="AO21" s="5"/>
    </row>
    <row r="22" spans="2:41" x14ac:dyDescent="0.25">
      <c r="B22" s="65"/>
      <c r="C22" s="2" t="s">
        <v>72</v>
      </c>
      <c r="D22" s="8">
        <v>1504</v>
      </c>
      <c r="E22" s="8">
        <v>19176</v>
      </c>
      <c r="F22" s="8"/>
      <c r="G22" s="8"/>
      <c r="H22" s="8">
        <v>1368</v>
      </c>
      <c r="I22" s="8">
        <f t="shared" si="0"/>
        <v>17442</v>
      </c>
      <c r="J22" s="8">
        <f t="shared" si="1"/>
        <v>136</v>
      </c>
      <c r="K22" s="8">
        <f t="shared" si="2"/>
        <v>1734</v>
      </c>
      <c r="L22" s="3">
        <v>1368</v>
      </c>
      <c r="M22" s="3">
        <f>N22/L22</f>
        <v>19.125</v>
      </c>
      <c r="N22" s="3">
        <v>26163</v>
      </c>
      <c r="AO22" s="5"/>
    </row>
    <row r="23" spans="2:41" x14ac:dyDescent="0.25">
      <c r="B23" s="65"/>
      <c r="C23" s="2" t="s">
        <v>73</v>
      </c>
      <c r="D23" s="8">
        <v>480</v>
      </c>
      <c r="E23" s="8">
        <v>6120</v>
      </c>
      <c r="F23" s="8"/>
      <c r="G23" s="8"/>
      <c r="H23" s="8">
        <v>480</v>
      </c>
      <c r="I23" s="8">
        <f t="shared" si="0"/>
        <v>6120</v>
      </c>
      <c r="J23" s="8">
        <f t="shared" si="1"/>
        <v>0</v>
      </c>
      <c r="K23" s="8">
        <f t="shared" si="2"/>
        <v>0</v>
      </c>
      <c r="L23" s="8">
        <v>480</v>
      </c>
      <c r="M23" s="3">
        <f t="shared" ref="M23:M24" si="5">N23/L23</f>
        <v>19.125</v>
      </c>
      <c r="N23" s="3">
        <v>9180</v>
      </c>
      <c r="AO23" s="5"/>
    </row>
    <row r="24" spans="2:41" x14ac:dyDescent="0.25">
      <c r="B24" s="65"/>
      <c r="C24" s="2" t="s">
        <v>74</v>
      </c>
      <c r="D24" s="8">
        <v>120</v>
      </c>
      <c r="E24" s="8">
        <v>1530</v>
      </c>
      <c r="F24" s="8"/>
      <c r="G24" s="8"/>
      <c r="H24" s="8">
        <v>120</v>
      </c>
      <c r="I24" s="8">
        <f t="shared" si="0"/>
        <v>1530</v>
      </c>
      <c r="J24" s="8">
        <f t="shared" si="1"/>
        <v>0</v>
      </c>
      <c r="K24" s="8">
        <f t="shared" si="2"/>
        <v>0</v>
      </c>
      <c r="L24" s="8">
        <v>120</v>
      </c>
      <c r="M24" s="3">
        <f t="shared" si="5"/>
        <v>19.125</v>
      </c>
      <c r="N24" s="3">
        <v>2295</v>
      </c>
      <c r="AO24" s="5"/>
    </row>
    <row r="25" spans="2:41" x14ac:dyDescent="0.25">
      <c r="B25" s="65"/>
      <c r="C25" s="2" t="s">
        <v>75</v>
      </c>
      <c r="D25" s="8">
        <v>2100</v>
      </c>
      <c r="E25" s="8">
        <v>8925</v>
      </c>
      <c r="F25" s="8">
        <v>3100</v>
      </c>
      <c r="G25" s="8">
        <v>13175</v>
      </c>
      <c r="H25" s="8">
        <v>5200</v>
      </c>
      <c r="I25" s="8">
        <f t="shared" si="0"/>
        <v>22100</v>
      </c>
      <c r="J25" s="8">
        <f t="shared" si="1"/>
        <v>0</v>
      </c>
      <c r="K25" s="8">
        <f t="shared" si="2"/>
        <v>0</v>
      </c>
      <c r="O25" s="3">
        <v>5200</v>
      </c>
      <c r="P25" s="3">
        <f>3*1.7</f>
        <v>5.0999999999999996</v>
      </c>
      <c r="Q25" s="3">
        <f>O25*P25</f>
        <v>26519.999999999996</v>
      </c>
      <c r="AO25" s="5"/>
    </row>
    <row r="26" spans="2:41" x14ac:dyDescent="0.25">
      <c r="B26" s="65"/>
      <c r="C26" s="2" t="s">
        <v>108</v>
      </c>
      <c r="D26" s="8"/>
      <c r="E26" s="8"/>
      <c r="F26" s="8">
        <v>24000</v>
      </c>
      <c r="G26" s="8">
        <v>29212.799999999999</v>
      </c>
      <c r="H26" s="8">
        <v>24000</v>
      </c>
      <c r="I26" s="8">
        <f>G26/F26*H26</f>
        <v>29212.800000000003</v>
      </c>
      <c r="J26" s="8">
        <f t="shared" ref="J26:J48" si="6">D26+F26-H26</f>
        <v>0</v>
      </c>
      <c r="K26" s="8">
        <f t="shared" ref="K26:K48" si="7">E26+G26-I26</f>
        <v>0</v>
      </c>
      <c r="L26" s="3">
        <v>24000</v>
      </c>
      <c r="M26" s="3">
        <f>1.7*1.7</f>
        <v>2.8899999999999997</v>
      </c>
      <c r="N26" s="3">
        <f>L26*M26</f>
        <v>69359.999999999985</v>
      </c>
      <c r="AO26" s="5"/>
    </row>
    <row r="27" spans="2:41" x14ac:dyDescent="0.25">
      <c r="B27" s="65"/>
      <c r="C27" s="2" t="s">
        <v>109</v>
      </c>
      <c r="D27" s="8"/>
      <c r="E27" s="8"/>
      <c r="F27" s="8">
        <v>48000</v>
      </c>
      <c r="G27" s="8">
        <v>58425.599999999999</v>
      </c>
      <c r="H27" s="8">
        <v>48000</v>
      </c>
      <c r="I27" s="8">
        <f t="shared" ref="I27:I37" si="8">G27/F27*H27</f>
        <v>58425.600000000006</v>
      </c>
      <c r="J27" s="8">
        <f t="shared" si="6"/>
        <v>0</v>
      </c>
      <c r="K27" s="8">
        <f t="shared" si="7"/>
        <v>0</v>
      </c>
      <c r="L27" s="3">
        <v>48000</v>
      </c>
      <c r="M27" s="3">
        <f>1.7*1.7</f>
        <v>2.8899999999999997</v>
      </c>
      <c r="N27" s="3">
        <f>L27*M27</f>
        <v>138719.99999999997</v>
      </c>
      <c r="AO27" s="5"/>
    </row>
    <row r="28" spans="2:41" x14ac:dyDescent="0.25">
      <c r="B28" s="65"/>
      <c r="C28" s="2" t="s">
        <v>106</v>
      </c>
      <c r="D28" s="8"/>
      <c r="E28" s="8"/>
      <c r="F28" s="8">
        <v>9500</v>
      </c>
      <c r="G28" s="8">
        <v>20995</v>
      </c>
      <c r="H28" s="8">
        <f>1200+8000</f>
        <v>9200</v>
      </c>
      <c r="I28" s="8">
        <f t="shared" si="8"/>
        <v>20332</v>
      </c>
      <c r="J28" s="8">
        <f t="shared" si="6"/>
        <v>300</v>
      </c>
      <c r="K28" s="8">
        <f t="shared" si="7"/>
        <v>663</v>
      </c>
      <c r="O28" s="3">
        <f>48*25</f>
        <v>1200</v>
      </c>
      <c r="P28" s="3">
        <v>2.48</v>
      </c>
      <c r="Q28" s="3">
        <f>O28*P28</f>
        <v>2976</v>
      </c>
      <c r="R28" s="3">
        <v>2000</v>
      </c>
      <c r="S28" s="3">
        <v>1.5</v>
      </c>
      <c r="T28" s="3">
        <f>R28*S28</f>
        <v>3000</v>
      </c>
      <c r="AA28">
        <v>6000</v>
      </c>
      <c r="AB28">
        <f>1.7*1.7</f>
        <v>2.8899999999999997</v>
      </c>
      <c r="AC28">
        <f>AA28*AB28</f>
        <v>17339.999999999996</v>
      </c>
      <c r="AO28" s="5"/>
    </row>
    <row r="29" spans="2:41" x14ac:dyDescent="0.25">
      <c r="B29" s="65"/>
      <c r="C29" s="2" t="s">
        <v>110</v>
      </c>
      <c r="D29" s="8"/>
      <c r="E29" s="8"/>
      <c r="F29" s="8">
        <v>54000</v>
      </c>
      <c r="G29" s="8">
        <v>119340</v>
      </c>
      <c r="H29" s="8">
        <f>20000+3600+7675+4000</f>
        <v>35275</v>
      </c>
      <c r="I29" s="8">
        <f t="shared" si="8"/>
        <v>77957.75</v>
      </c>
      <c r="J29" s="8">
        <f t="shared" si="6"/>
        <v>18725</v>
      </c>
      <c r="K29" s="8">
        <f t="shared" si="7"/>
        <v>41382.25</v>
      </c>
      <c r="O29" s="3">
        <f>48*3*25</f>
        <v>3600</v>
      </c>
      <c r="P29" s="3">
        <f>68/25</f>
        <v>2.72</v>
      </c>
      <c r="Q29" s="3">
        <f>O29*P29</f>
        <v>9792</v>
      </c>
      <c r="U29" s="3">
        <v>7675</v>
      </c>
      <c r="V29" s="3">
        <f>2*1.7</f>
        <v>3.4</v>
      </c>
      <c r="W29" s="3">
        <f>U29*V29</f>
        <v>26095</v>
      </c>
      <c r="AA29">
        <v>4000</v>
      </c>
      <c r="AB29">
        <f>2.15*1.7</f>
        <v>3.6549999999999998</v>
      </c>
      <c r="AC29">
        <f>AA29*AB29</f>
        <v>14620</v>
      </c>
      <c r="AD29">
        <v>20000</v>
      </c>
      <c r="AE29" s="45">
        <v>2.76</v>
      </c>
      <c r="AF29">
        <f>AD29*AE29</f>
        <v>55199.999999999993</v>
      </c>
      <c r="AO29" s="5"/>
    </row>
    <row r="30" spans="2:41" x14ac:dyDescent="0.25">
      <c r="B30" s="65"/>
      <c r="C30" s="2" t="s">
        <v>111</v>
      </c>
      <c r="D30" s="8"/>
      <c r="E30" s="8"/>
      <c r="F30" s="8">
        <f>24000*4</f>
        <v>96000</v>
      </c>
      <c r="G30" s="8">
        <v>159936</v>
      </c>
      <c r="H30" s="8">
        <v>96000</v>
      </c>
      <c r="I30" s="8">
        <f t="shared" si="8"/>
        <v>159936</v>
      </c>
      <c r="J30" s="8">
        <f t="shared" si="6"/>
        <v>0</v>
      </c>
      <c r="K30" s="8">
        <f t="shared" si="7"/>
        <v>0</v>
      </c>
      <c r="L30" s="3">
        <v>24000</v>
      </c>
      <c r="M30" s="3">
        <f>1.1*1.7</f>
        <v>1.87</v>
      </c>
      <c r="N30" s="3">
        <f>L30*M30</f>
        <v>44880</v>
      </c>
      <c r="O30" s="3">
        <v>24000</v>
      </c>
      <c r="P30" s="3">
        <f>1.1*1.7</f>
        <v>1.87</v>
      </c>
      <c r="Q30" s="3">
        <f>O30*P30</f>
        <v>44880</v>
      </c>
      <c r="R30" s="3">
        <v>24000</v>
      </c>
      <c r="S30" s="3">
        <f>1.07*1.7</f>
        <v>1.819</v>
      </c>
      <c r="T30" s="3">
        <f>R30*S30</f>
        <v>43656</v>
      </c>
      <c r="U30" s="3">
        <v>24000</v>
      </c>
      <c r="V30" s="3">
        <f>1.1*1.7</f>
        <v>1.87</v>
      </c>
      <c r="W30" s="3">
        <f>U30*V30</f>
        <v>44880</v>
      </c>
      <c r="AO30" s="5"/>
    </row>
    <row r="31" spans="2:41" x14ac:dyDescent="0.25">
      <c r="B31" s="65"/>
      <c r="C31" s="2" t="s">
        <v>112</v>
      </c>
      <c r="D31" s="8"/>
      <c r="E31" s="8"/>
      <c r="F31" s="8">
        <v>50000</v>
      </c>
      <c r="G31" s="8">
        <v>163200</v>
      </c>
      <c r="H31" s="8"/>
      <c r="I31" s="8">
        <f t="shared" si="8"/>
        <v>0</v>
      </c>
      <c r="J31" s="8">
        <f t="shared" si="6"/>
        <v>50000</v>
      </c>
      <c r="K31" s="8">
        <f t="shared" si="7"/>
        <v>163200</v>
      </c>
      <c r="AO31" s="5"/>
    </row>
    <row r="32" spans="2:41" x14ac:dyDescent="0.25">
      <c r="B32" s="65"/>
      <c r="C32" s="2" t="s">
        <v>113</v>
      </c>
      <c r="D32" s="8"/>
      <c r="E32" s="8"/>
      <c r="F32" s="8">
        <v>3024</v>
      </c>
      <c r="G32" s="8">
        <v>18506.879999999997</v>
      </c>
      <c r="H32" s="8">
        <v>3024</v>
      </c>
      <c r="I32" s="8">
        <f t="shared" si="8"/>
        <v>18506.879999999997</v>
      </c>
      <c r="J32" s="8">
        <f t="shared" si="6"/>
        <v>0</v>
      </c>
      <c r="K32" s="8">
        <f t="shared" si="7"/>
        <v>0</v>
      </c>
      <c r="L32" s="3">
        <v>144</v>
      </c>
      <c r="M32" s="3">
        <f>5*1.7</f>
        <v>8.5</v>
      </c>
      <c r="N32" s="3">
        <f>L32*M32</f>
        <v>1224</v>
      </c>
      <c r="O32" s="3">
        <v>2880</v>
      </c>
      <c r="P32" s="3">
        <f>5*1.7</f>
        <v>8.5</v>
      </c>
      <c r="Q32" s="3">
        <f>O32*P32</f>
        <v>24480</v>
      </c>
      <c r="AO32" s="5"/>
    </row>
    <row r="33" spans="2:41" x14ac:dyDescent="0.25">
      <c r="B33" s="65"/>
      <c r="C33" s="2" t="s">
        <v>114</v>
      </c>
      <c r="D33" s="8"/>
      <c r="E33" s="8"/>
      <c r="F33" s="8">
        <v>6912</v>
      </c>
      <c r="G33" s="8">
        <v>26111.997388799999</v>
      </c>
      <c r="H33" s="8"/>
      <c r="I33" s="8">
        <f t="shared" si="8"/>
        <v>0</v>
      </c>
      <c r="J33" s="8">
        <f t="shared" si="6"/>
        <v>6912</v>
      </c>
      <c r="K33" s="8">
        <f t="shared" si="7"/>
        <v>26111.997388799999</v>
      </c>
      <c r="AO33" s="5"/>
    </row>
    <row r="34" spans="2:41" x14ac:dyDescent="0.25">
      <c r="B34" s="65"/>
      <c r="C34" s="2" t="s">
        <v>115</v>
      </c>
      <c r="D34" s="8"/>
      <c r="E34" s="8"/>
      <c r="F34" s="8">
        <v>7920</v>
      </c>
      <c r="G34" s="25">
        <v>26928</v>
      </c>
      <c r="H34" s="8"/>
      <c r="I34" s="8">
        <f t="shared" si="8"/>
        <v>0</v>
      </c>
      <c r="J34" s="8">
        <f t="shared" ref="J34" si="9">D34+F34-H34</f>
        <v>7920</v>
      </c>
      <c r="K34" s="8">
        <f t="shared" ref="K34" si="10">E34+G34-I34</f>
        <v>26928</v>
      </c>
      <c r="AO34" s="5"/>
    </row>
    <row r="35" spans="2:41" x14ac:dyDescent="0.25">
      <c r="B35" s="65"/>
      <c r="C35" s="2" t="s">
        <v>103</v>
      </c>
      <c r="D35" s="8"/>
      <c r="E35" s="8"/>
      <c r="F35" s="8">
        <v>12050</v>
      </c>
      <c r="G35" s="25">
        <v>29088.7</v>
      </c>
      <c r="H35" s="8"/>
      <c r="I35" s="8">
        <f t="shared" si="8"/>
        <v>0</v>
      </c>
      <c r="J35" s="8">
        <f t="shared" ref="J35:J37" si="11">D35+F35-H35</f>
        <v>12050</v>
      </c>
      <c r="K35" s="8">
        <f t="shared" ref="K35:K37" si="12">E35+G35-I35</f>
        <v>29088.7</v>
      </c>
      <c r="AI35">
        <f>372972.75*1.7</f>
        <v>634053.67499999993</v>
      </c>
      <c r="AO35" s="5"/>
    </row>
    <row r="36" spans="2:41" x14ac:dyDescent="0.25">
      <c r="B36" s="65"/>
      <c r="C36" s="2" t="s">
        <v>104</v>
      </c>
      <c r="D36" s="8"/>
      <c r="E36" s="8"/>
      <c r="F36" s="8">
        <v>9450</v>
      </c>
      <c r="G36" s="25">
        <v>23294.25</v>
      </c>
      <c r="H36" s="8">
        <v>3600</v>
      </c>
      <c r="I36" s="8">
        <f t="shared" si="8"/>
        <v>8874</v>
      </c>
      <c r="J36" s="8">
        <f t="shared" si="11"/>
        <v>5850</v>
      </c>
      <c r="K36" s="8">
        <f t="shared" si="12"/>
        <v>14420.25</v>
      </c>
      <c r="X36" s="3">
        <v>3600</v>
      </c>
      <c r="Y36" s="3">
        <v>3.2</v>
      </c>
      <c r="Z36" s="3">
        <f>X36*Y36</f>
        <v>11520</v>
      </c>
      <c r="AI36">
        <v>721692.07</v>
      </c>
      <c r="AJ36">
        <f>AI36-AI35</f>
        <v>87638.395000000019</v>
      </c>
      <c r="AO36" s="5"/>
    </row>
    <row r="37" spans="2:41" x14ac:dyDescent="0.25">
      <c r="B37" s="65"/>
      <c r="C37" s="2" t="s">
        <v>105</v>
      </c>
      <c r="D37" s="8"/>
      <c r="E37" s="8"/>
      <c r="F37" s="8">
        <v>4525</v>
      </c>
      <c r="G37" s="25">
        <v>10000.25</v>
      </c>
      <c r="H37" s="8"/>
      <c r="I37" s="8">
        <f t="shared" si="8"/>
        <v>0</v>
      </c>
      <c r="J37" s="8">
        <f t="shared" si="11"/>
        <v>4525</v>
      </c>
      <c r="K37" s="8">
        <f t="shared" si="12"/>
        <v>10000.25</v>
      </c>
      <c r="AO37" s="5"/>
    </row>
    <row r="38" spans="2:41" x14ac:dyDescent="0.25">
      <c r="B38" s="68" t="s">
        <v>122</v>
      </c>
      <c r="C38" s="46" t="s">
        <v>118</v>
      </c>
      <c r="D38" s="47"/>
      <c r="E38" s="25"/>
      <c r="F38" s="47">
        <f>8136+6720</f>
        <v>14856</v>
      </c>
      <c r="G38" s="25">
        <f>76071.6+62832</f>
        <v>138903.6</v>
      </c>
      <c r="H38" s="25">
        <v>8136</v>
      </c>
      <c r="I38" s="25">
        <f>G38/F38*H38</f>
        <v>76071.599999999991</v>
      </c>
      <c r="J38" s="25">
        <f t="shared" si="6"/>
        <v>6720</v>
      </c>
      <c r="K38" s="25">
        <f t="shared" si="7"/>
        <v>62832.000000000015</v>
      </c>
      <c r="L38" s="3">
        <v>8136</v>
      </c>
      <c r="M38" s="44">
        <f>7*1.7</f>
        <v>11.9</v>
      </c>
      <c r="N38" s="3">
        <f>L38*M38</f>
        <v>96818.400000000009</v>
      </c>
      <c r="Q38" s="3">
        <f t="shared" ref="Q38:Q41" si="13">O38*P38</f>
        <v>0</v>
      </c>
      <c r="AO38" s="5"/>
    </row>
    <row r="39" spans="2:41" x14ac:dyDescent="0.25">
      <c r="B39" s="68"/>
      <c r="C39" s="46" t="s">
        <v>119</v>
      </c>
      <c r="D39" s="47"/>
      <c r="E39" s="25"/>
      <c r="F39" s="47">
        <v>15456</v>
      </c>
      <c r="G39" s="25">
        <v>144513.60000000001</v>
      </c>
      <c r="H39" s="25">
        <v>15456</v>
      </c>
      <c r="I39" s="25">
        <f t="shared" ref="I39:I49" si="14">G39/F39*H39</f>
        <v>144513.60000000001</v>
      </c>
      <c r="J39" s="25">
        <f t="shared" si="6"/>
        <v>0</v>
      </c>
      <c r="K39" s="25">
        <f t="shared" si="7"/>
        <v>0</v>
      </c>
      <c r="L39" s="3">
        <v>11232</v>
      </c>
      <c r="M39" s="44">
        <f>6.75*1.7</f>
        <v>11.475</v>
      </c>
      <c r="N39" s="3">
        <f t="shared" ref="N39:N40" si="15">L39*M39</f>
        <v>128887.2</v>
      </c>
      <c r="O39" s="3">
        <v>4224</v>
      </c>
      <c r="P39" s="3">
        <f>7*1.7</f>
        <v>11.9</v>
      </c>
      <c r="Q39" s="3">
        <f t="shared" si="13"/>
        <v>50265.599999999999</v>
      </c>
    </row>
    <row r="40" spans="2:41" x14ac:dyDescent="0.25">
      <c r="B40" s="68"/>
      <c r="C40" s="46" t="s">
        <v>120</v>
      </c>
      <c r="D40" s="47"/>
      <c r="E40" s="25"/>
      <c r="F40" s="47">
        <v>14688</v>
      </c>
      <c r="G40" s="25">
        <v>99878.399999999994</v>
      </c>
      <c r="H40" s="25">
        <v>14688</v>
      </c>
      <c r="I40" s="25">
        <f t="shared" si="14"/>
        <v>99878.399999999994</v>
      </c>
      <c r="J40" s="25">
        <f t="shared" si="6"/>
        <v>0</v>
      </c>
      <c r="K40" s="25">
        <f t="shared" si="7"/>
        <v>0</v>
      </c>
      <c r="L40" s="3">
        <v>9528</v>
      </c>
      <c r="M40" s="44">
        <f>5.5*1.7</f>
        <v>9.35</v>
      </c>
      <c r="N40" s="3">
        <f t="shared" si="15"/>
        <v>89086.8</v>
      </c>
      <c r="O40" s="3">
        <v>5160</v>
      </c>
      <c r="P40" s="3">
        <f>5*1.7</f>
        <v>8.5</v>
      </c>
      <c r="Q40" s="3">
        <f t="shared" si="13"/>
        <v>43860</v>
      </c>
    </row>
    <row r="41" spans="2:41" x14ac:dyDescent="0.25">
      <c r="B41" s="68"/>
      <c r="C41" s="46" t="s">
        <v>121</v>
      </c>
      <c r="D41" s="48"/>
      <c r="E41" s="25"/>
      <c r="F41" s="48">
        <f>3990+3168</f>
        <v>7158</v>
      </c>
      <c r="G41" s="25">
        <f>28556.43+22673.38</f>
        <v>51229.81</v>
      </c>
      <c r="H41" s="25">
        <v>3990</v>
      </c>
      <c r="I41" s="25">
        <f t="shared" si="14"/>
        <v>28556.432229673093</v>
      </c>
      <c r="J41" s="25">
        <f t="shared" si="6"/>
        <v>3168</v>
      </c>
      <c r="K41" s="25">
        <f t="shared" si="7"/>
        <v>22673.377770326904</v>
      </c>
      <c r="M41" s="44"/>
      <c r="O41" s="3">
        <v>3990</v>
      </c>
      <c r="P41" s="3">
        <f>5.88*1.7</f>
        <v>9.9960000000000004</v>
      </c>
      <c r="Q41" s="3">
        <f t="shared" si="13"/>
        <v>39884.04</v>
      </c>
    </row>
    <row r="42" spans="2:41" x14ac:dyDescent="0.25">
      <c r="B42" s="46" t="s">
        <v>124</v>
      </c>
      <c r="C42" s="49" t="s">
        <v>123</v>
      </c>
      <c r="D42" s="25"/>
      <c r="E42" s="25"/>
      <c r="F42" s="25">
        <f>181930+45000</f>
        <v>226930</v>
      </c>
      <c r="G42" s="25">
        <f>181852.23+44982</f>
        <v>226834.23</v>
      </c>
      <c r="H42" s="25"/>
      <c r="I42" s="25">
        <f t="shared" si="14"/>
        <v>0</v>
      </c>
      <c r="J42" s="25">
        <f t="shared" si="6"/>
        <v>226930</v>
      </c>
      <c r="K42" s="25">
        <f t="shared" si="7"/>
        <v>226834.23</v>
      </c>
    </row>
    <row r="43" spans="2:41" x14ac:dyDescent="0.25">
      <c r="B43" s="68" t="s">
        <v>125</v>
      </c>
      <c r="C43" s="46" t="s">
        <v>126</v>
      </c>
      <c r="D43" s="25"/>
      <c r="E43" s="25"/>
      <c r="F43" s="46">
        <f>500+100</f>
        <v>600</v>
      </c>
      <c r="G43" s="25">
        <f>19125+3825</f>
        <v>22950</v>
      </c>
      <c r="H43" s="25">
        <v>500</v>
      </c>
      <c r="I43" s="25">
        <f t="shared" si="14"/>
        <v>19125</v>
      </c>
      <c r="J43" s="25">
        <f t="shared" si="6"/>
        <v>100</v>
      </c>
      <c r="K43" s="25">
        <f t="shared" si="7"/>
        <v>3825</v>
      </c>
      <c r="L43" s="3">
        <v>500</v>
      </c>
      <c r="M43" s="3">
        <v>41.65</v>
      </c>
      <c r="N43" s="3">
        <f>L43*M43</f>
        <v>20825</v>
      </c>
    </row>
    <row r="44" spans="2:41" x14ac:dyDescent="0.25">
      <c r="B44" s="68"/>
      <c r="C44" s="46" t="s">
        <v>127</v>
      </c>
      <c r="D44" s="25"/>
      <c r="E44" s="25"/>
      <c r="F44" s="46">
        <v>3000</v>
      </c>
      <c r="G44" s="25">
        <v>3060</v>
      </c>
      <c r="H44" s="25">
        <v>3000</v>
      </c>
      <c r="I44" s="25">
        <f t="shared" si="14"/>
        <v>3060</v>
      </c>
      <c r="J44" s="25">
        <f t="shared" si="6"/>
        <v>0</v>
      </c>
      <c r="K44" s="25">
        <f t="shared" si="7"/>
        <v>0</v>
      </c>
      <c r="L44" s="3">
        <v>3000</v>
      </c>
      <c r="M44" s="3">
        <v>1.36</v>
      </c>
      <c r="N44" s="3">
        <f t="shared" ref="N44:N49" si="16">L44*M44</f>
        <v>4080.0000000000005</v>
      </c>
    </row>
    <row r="45" spans="2:41" x14ac:dyDescent="0.25">
      <c r="B45" s="68"/>
      <c r="C45" s="46" t="s">
        <v>128</v>
      </c>
      <c r="D45" s="25"/>
      <c r="E45" s="25"/>
      <c r="F45" s="46">
        <v>432</v>
      </c>
      <c r="G45" s="25">
        <v>918</v>
      </c>
      <c r="H45" s="25">
        <v>432</v>
      </c>
      <c r="I45" s="25">
        <f t="shared" si="14"/>
        <v>918</v>
      </c>
      <c r="J45" s="25">
        <f t="shared" si="6"/>
        <v>0</v>
      </c>
      <c r="K45" s="25">
        <f t="shared" si="7"/>
        <v>0</v>
      </c>
      <c r="L45" s="3">
        <v>432</v>
      </c>
      <c r="M45" s="3">
        <v>2.72</v>
      </c>
      <c r="N45" s="3">
        <f t="shared" si="16"/>
        <v>1175.0400000000002</v>
      </c>
    </row>
    <row r="46" spans="2:41" x14ac:dyDescent="0.25">
      <c r="B46" s="68"/>
      <c r="C46" s="46" t="s">
        <v>129</v>
      </c>
      <c r="D46" s="25"/>
      <c r="E46" s="25"/>
      <c r="F46" s="46">
        <v>480</v>
      </c>
      <c r="G46" s="25">
        <v>4320</v>
      </c>
      <c r="H46" s="25"/>
      <c r="I46" s="25">
        <f t="shared" si="14"/>
        <v>0</v>
      </c>
      <c r="J46" s="25">
        <f t="shared" si="6"/>
        <v>480</v>
      </c>
      <c r="K46" s="25">
        <f t="shared" si="7"/>
        <v>4320</v>
      </c>
    </row>
    <row r="47" spans="2:41" x14ac:dyDescent="0.25">
      <c r="B47" s="68"/>
      <c r="C47" s="46" t="s">
        <v>130</v>
      </c>
      <c r="D47" s="25"/>
      <c r="E47" s="25"/>
      <c r="F47" s="46">
        <v>698</v>
      </c>
      <c r="G47" s="25">
        <v>14239.199999999999</v>
      </c>
      <c r="H47" s="25">
        <v>698</v>
      </c>
      <c r="I47" s="25">
        <f t="shared" si="14"/>
        <v>14239.199999999999</v>
      </c>
      <c r="J47" s="25">
        <f t="shared" si="6"/>
        <v>0</v>
      </c>
      <c r="K47" s="25">
        <f t="shared" si="7"/>
        <v>0</v>
      </c>
      <c r="L47" s="3">
        <v>698</v>
      </c>
      <c r="M47" s="3">
        <v>25.5</v>
      </c>
      <c r="N47" s="3">
        <f t="shared" si="16"/>
        <v>17799</v>
      </c>
    </row>
    <row r="48" spans="2:41" x14ac:dyDescent="0.25">
      <c r="B48" s="68"/>
      <c r="C48" s="46" t="s">
        <v>131</v>
      </c>
      <c r="D48" s="25"/>
      <c r="E48" s="25"/>
      <c r="F48" s="46">
        <v>99</v>
      </c>
      <c r="G48" s="25">
        <v>841.5</v>
      </c>
      <c r="H48" s="25">
        <v>99</v>
      </c>
      <c r="I48" s="25">
        <f t="shared" si="14"/>
        <v>841.5</v>
      </c>
      <c r="J48" s="25">
        <f t="shared" si="6"/>
        <v>0</v>
      </c>
      <c r="K48" s="25">
        <f t="shared" si="7"/>
        <v>0</v>
      </c>
      <c r="L48" s="3">
        <v>99</v>
      </c>
      <c r="M48" s="3">
        <v>10.625</v>
      </c>
      <c r="N48" s="3">
        <f t="shared" si="16"/>
        <v>1051.875</v>
      </c>
    </row>
    <row r="49" spans="2:14" x14ac:dyDescent="0.25">
      <c r="B49" s="68"/>
      <c r="C49" s="50" t="s">
        <v>132</v>
      </c>
      <c r="D49" s="25"/>
      <c r="E49" s="25"/>
      <c r="F49" s="46">
        <v>192</v>
      </c>
      <c r="G49" s="25">
        <v>979.19999999999993</v>
      </c>
      <c r="H49" s="25">
        <v>192</v>
      </c>
      <c r="I49" s="25">
        <f t="shared" si="14"/>
        <v>979.19999999999993</v>
      </c>
      <c r="J49" s="25">
        <f t="shared" ref="J49" si="17">D49+F49-H49</f>
        <v>0</v>
      </c>
      <c r="K49" s="25">
        <f t="shared" ref="K49" si="18">E49+G49-I49</f>
        <v>0</v>
      </c>
      <c r="L49" s="3">
        <v>192</v>
      </c>
      <c r="M49" s="3">
        <v>6.375</v>
      </c>
      <c r="N49" s="3">
        <f t="shared" si="16"/>
        <v>1224</v>
      </c>
    </row>
    <row r="50" spans="2:14" x14ac:dyDescent="0.25">
      <c r="B50" s="69" t="s">
        <v>133</v>
      </c>
      <c r="C50" s="69"/>
      <c r="D50" s="14">
        <f t="shared" ref="D50:K50" si="19">SUM(D4:D49)</f>
        <v>70786</v>
      </c>
      <c r="E50" s="14">
        <f t="shared" si="19"/>
        <v>446527.10000000003</v>
      </c>
      <c r="F50" s="14">
        <f t="shared" si="19"/>
        <v>613070</v>
      </c>
      <c r="G50" s="14">
        <f t="shared" si="19"/>
        <v>1406882.0173887999</v>
      </c>
      <c r="H50" s="14">
        <f t="shared" si="19"/>
        <v>299507</v>
      </c>
      <c r="I50" s="14">
        <f t="shared" si="19"/>
        <v>898870.83722967305</v>
      </c>
      <c r="J50" s="14">
        <f t="shared" si="19"/>
        <v>384349</v>
      </c>
      <c r="K50" s="14">
        <f t="shared" si="19"/>
        <v>954538.28015912697</v>
      </c>
    </row>
    <row r="54" spans="2:14" x14ac:dyDescent="0.25">
      <c r="C54" s="5"/>
    </row>
    <row r="259" spans="3:7" x14ac:dyDescent="0.25">
      <c r="G259" s="5" t="s">
        <v>39</v>
      </c>
    </row>
    <row r="260" spans="3:7" x14ac:dyDescent="0.25">
      <c r="G260" s="5" t="s">
        <v>40</v>
      </c>
    </row>
    <row r="261" spans="3:7" x14ac:dyDescent="0.25">
      <c r="G261" s="5" t="s">
        <v>41</v>
      </c>
    </row>
    <row r="262" spans="3:7" x14ac:dyDescent="0.25">
      <c r="G262" s="5" t="s">
        <v>42</v>
      </c>
    </row>
    <row r="263" spans="3:7" x14ac:dyDescent="0.25">
      <c r="G263" s="5" t="s">
        <v>43</v>
      </c>
    </row>
    <row r="264" spans="3:7" x14ac:dyDescent="0.25">
      <c r="G264" s="5" t="s">
        <v>44</v>
      </c>
    </row>
    <row r="265" spans="3:7" x14ac:dyDescent="0.25">
      <c r="G265" s="5" t="s">
        <v>45</v>
      </c>
    </row>
    <row r="266" spans="3:7" x14ac:dyDescent="0.25">
      <c r="G266" s="5" t="s">
        <v>46</v>
      </c>
    </row>
    <row r="267" spans="3:7" x14ac:dyDescent="0.25">
      <c r="G267" s="5" t="s">
        <v>47</v>
      </c>
    </row>
    <row r="268" spans="3:7" x14ac:dyDescent="0.25">
      <c r="F268">
        <f>F267*18%</f>
        <v>0</v>
      </c>
      <c r="G268" s="5" t="s">
        <v>48</v>
      </c>
    </row>
    <row r="269" spans="3:7" x14ac:dyDescent="0.25">
      <c r="C269" s="5"/>
    </row>
  </sheetData>
  <mergeCells count="18">
    <mergeCell ref="AA1:AC1"/>
    <mergeCell ref="AD1:AF1"/>
    <mergeCell ref="L1:N1"/>
    <mergeCell ref="O1:Q1"/>
    <mergeCell ref="R1:T1"/>
    <mergeCell ref="U1:W1"/>
    <mergeCell ref="X1:Z1"/>
    <mergeCell ref="B4:B37"/>
    <mergeCell ref="B2:B3"/>
    <mergeCell ref="B38:B41"/>
    <mergeCell ref="B43:B49"/>
    <mergeCell ref="B50:C50"/>
    <mergeCell ref="B1:K1"/>
    <mergeCell ref="D2:E2"/>
    <mergeCell ref="H2:I2"/>
    <mergeCell ref="J2:K2"/>
    <mergeCell ref="C2:C3"/>
    <mergeCell ref="F2:G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J394"/>
  <sheetViews>
    <sheetView zoomScale="115" zoomScaleNormal="115" workbookViewId="0">
      <pane xSplit="7" ySplit="2" topLeftCell="H3" activePane="bottomRight" state="frozen"/>
      <selection activeCell="D292" sqref="D292:E292"/>
      <selection pane="topRight" activeCell="D292" sqref="D292:E292"/>
      <selection pane="bottomLeft" activeCell="D292" sqref="D292:E292"/>
      <selection pane="bottomRight" activeCell="E37" sqref="E37"/>
    </sheetView>
  </sheetViews>
  <sheetFormatPr defaultRowHeight="15" x14ac:dyDescent="0.25"/>
  <cols>
    <col min="1" max="1" width="11" style="1" bestFit="1" customWidth="1"/>
    <col min="2" max="5" width="9.140625" style="19"/>
    <col min="6" max="6" width="13.140625" style="8" bestFit="1" customWidth="1"/>
    <col min="7" max="7" width="55" style="2" bestFit="1" customWidth="1"/>
    <col min="8" max="8" width="3.85546875" customWidth="1"/>
    <col min="10" max="10" width="11.140625" bestFit="1" customWidth="1"/>
  </cols>
  <sheetData>
    <row r="1" spans="1:7" x14ac:dyDescent="0.25">
      <c r="A1" s="74" t="s">
        <v>8</v>
      </c>
      <c r="B1" s="75" t="s">
        <v>5</v>
      </c>
      <c r="C1" s="75"/>
      <c r="D1" s="75" t="s">
        <v>6</v>
      </c>
      <c r="E1" s="75"/>
      <c r="F1" s="74" t="s">
        <v>2</v>
      </c>
      <c r="G1" s="73" t="s">
        <v>28</v>
      </c>
    </row>
    <row r="2" spans="1:7" s="4" customFormat="1" x14ac:dyDescent="0.25">
      <c r="A2" s="74"/>
      <c r="B2" s="17" t="s">
        <v>19</v>
      </c>
      <c r="C2" s="17" t="s">
        <v>20</v>
      </c>
      <c r="D2" s="17" t="s">
        <v>19</v>
      </c>
      <c r="E2" s="17" t="s">
        <v>20</v>
      </c>
      <c r="F2" s="74"/>
      <c r="G2" s="73"/>
    </row>
    <row r="3" spans="1:7" hidden="1" x14ac:dyDescent="0.25">
      <c r="A3" s="21">
        <v>44713</v>
      </c>
      <c r="B3" s="19" t="s">
        <v>34</v>
      </c>
      <c r="C3" s="19" t="s">
        <v>21</v>
      </c>
      <c r="D3" s="19" t="s">
        <v>35</v>
      </c>
      <c r="E3" s="19" t="s">
        <v>21</v>
      </c>
      <c r="F3" s="25">
        <v>635831.28</v>
      </c>
      <c r="G3" s="22" t="s">
        <v>117</v>
      </c>
    </row>
    <row r="4" spans="1:7" hidden="1" x14ac:dyDescent="0.25">
      <c r="A4" s="21">
        <v>44713</v>
      </c>
      <c r="B4" s="19" t="s">
        <v>34</v>
      </c>
      <c r="C4" s="19" t="s">
        <v>23</v>
      </c>
      <c r="D4" s="19" t="s">
        <v>35</v>
      </c>
      <c r="E4" s="19" t="s">
        <v>21</v>
      </c>
      <c r="F4" s="25">
        <v>349020.02999999997</v>
      </c>
      <c r="G4" s="22" t="s">
        <v>122</v>
      </c>
    </row>
    <row r="5" spans="1:7" hidden="1" x14ac:dyDescent="0.25">
      <c r="A5" s="21">
        <v>44713</v>
      </c>
      <c r="B5" s="19" t="s">
        <v>34</v>
      </c>
      <c r="C5" s="19" t="s">
        <v>22</v>
      </c>
      <c r="D5" s="19" t="s">
        <v>35</v>
      </c>
      <c r="E5" s="19" t="s">
        <v>21</v>
      </c>
      <c r="F5" s="25">
        <v>181852.23</v>
      </c>
      <c r="G5" s="22" t="s">
        <v>124</v>
      </c>
    </row>
    <row r="6" spans="1:7" hidden="1" x14ac:dyDescent="0.25">
      <c r="A6" s="21">
        <v>44713</v>
      </c>
      <c r="B6" s="19" t="s">
        <v>34</v>
      </c>
      <c r="C6" s="19" t="s">
        <v>24</v>
      </c>
      <c r="D6" s="19" t="s">
        <v>35</v>
      </c>
      <c r="E6" s="19" t="s">
        <v>21</v>
      </c>
      <c r="F6" s="25">
        <v>43482.9</v>
      </c>
      <c r="G6" s="22" t="s">
        <v>125</v>
      </c>
    </row>
    <row r="7" spans="1:7" hidden="1" x14ac:dyDescent="0.25">
      <c r="A7" s="21">
        <v>44737</v>
      </c>
      <c r="B7" s="19" t="s">
        <v>34</v>
      </c>
      <c r="C7" s="19" t="s">
        <v>23</v>
      </c>
      <c r="D7" s="19" t="s">
        <v>35</v>
      </c>
      <c r="E7" s="19" t="s">
        <v>21</v>
      </c>
      <c r="F7" s="25">
        <v>85505.38</v>
      </c>
      <c r="G7" s="22" t="s">
        <v>122</v>
      </c>
    </row>
    <row r="8" spans="1:7" hidden="1" x14ac:dyDescent="0.25">
      <c r="A8" s="21">
        <v>44713</v>
      </c>
      <c r="B8" s="19" t="s">
        <v>34</v>
      </c>
      <c r="C8" s="19" t="s">
        <v>22</v>
      </c>
      <c r="D8" s="19" t="s">
        <v>35</v>
      </c>
      <c r="E8" s="19" t="s">
        <v>21</v>
      </c>
      <c r="F8" s="25">
        <v>44982</v>
      </c>
      <c r="G8" s="22" t="s">
        <v>124</v>
      </c>
    </row>
    <row r="9" spans="1:7" hidden="1" x14ac:dyDescent="0.25">
      <c r="A9" s="21">
        <v>44713</v>
      </c>
      <c r="B9" s="19" t="s">
        <v>34</v>
      </c>
      <c r="C9" s="19" t="s">
        <v>24</v>
      </c>
      <c r="D9" s="19" t="s">
        <v>35</v>
      </c>
      <c r="E9" s="19" t="s">
        <v>21</v>
      </c>
      <c r="F9" s="25">
        <v>3825</v>
      </c>
      <c r="G9" s="22" t="s">
        <v>125</v>
      </c>
    </row>
    <row r="10" spans="1:7" hidden="1" x14ac:dyDescent="0.25">
      <c r="A10" s="21">
        <v>44713</v>
      </c>
      <c r="B10" s="19" t="s">
        <v>34</v>
      </c>
      <c r="C10" s="19" t="s">
        <v>22</v>
      </c>
      <c r="D10" s="19" t="s">
        <v>37</v>
      </c>
      <c r="E10" s="19" t="s">
        <v>23</v>
      </c>
      <c r="F10" s="25">
        <v>62383.199999999997</v>
      </c>
      <c r="G10" s="22" t="s">
        <v>117</v>
      </c>
    </row>
    <row r="11" spans="1:7" hidden="1" x14ac:dyDescent="0.25">
      <c r="A11" s="21">
        <v>44732</v>
      </c>
      <c r="B11" s="19" t="s">
        <v>30</v>
      </c>
      <c r="C11" s="19" t="s">
        <v>21</v>
      </c>
      <c r="D11" s="19" t="s">
        <v>34</v>
      </c>
      <c r="E11" s="19" t="s">
        <v>23</v>
      </c>
      <c r="F11" s="8">
        <v>349020.03222967306</v>
      </c>
      <c r="G11" s="22" t="s">
        <v>156</v>
      </c>
    </row>
    <row r="12" spans="1:7" hidden="1" x14ac:dyDescent="0.25">
      <c r="A12" s="21">
        <v>44732</v>
      </c>
      <c r="B12" s="19" t="s">
        <v>33</v>
      </c>
      <c r="C12" s="19" t="s">
        <v>141</v>
      </c>
      <c r="D12" s="19" t="s">
        <v>32</v>
      </c>
      <c r="E12" s="19" t="s">
        <v>21</v>
      </c>
      <c r="F12" s="8">
        <v>314792.40000000002</v>
      </c>
      <c r="G12" s="20" t="s">
        <v>152</v>
      </c>
    </row>
    <row r="13" spans="1:7" hidden="1" x14ac:dyDescent="0.25">
      <c r="A13" s="21">
        <v>44732</v>
      </c>
      <c r="B13" s="19" t="s">
        <v>33</v>
      </c>
      <c r="C13" s="19" t="s">
        <v>150</v>
      </c>
      <c r="D13" s="19" t="s">
        <v>32</v>
      </c>
      <c r="E13" s="19" t="s">
        <v>21</v>
      </c>
      <c r="F13" s="8">
        <v>134009.64000000001</v>
      </c>
      <c r="G13" s="20" t="s">
        <v>153</v>
      </c>
    </row>
    <row r="14" spans="1:7" hidden="1" x14ac:dyDescent="0.25">
      <c r="A14" s="21">
        <v>44732</v>
      </c>
      <c r="B14" s="19" t="s">
        <v>30</v>
      </c>
      <c r="C14" s="19" t="s">
        <v>21</v>
      </c>
      <c r="D14" s="19" t="s">
        <v>34</v>
      </c>
      <c r="E14" s="19" t="s">
        <v>24</v>
      </c>
      <c r="F14" s="8">
        <v>39162.899999999994</v>
      </c>
      <c r="G14" s="22" t="s">
        <v>157</v>
      </c>
    </row>
    <row r="15" spans="1:7" hidden="1" x14ac:dyDescent="0.25">
      <c r="A15" s="21">
        <v>44732</v>
      </c>
      <c r="B15" s="19" t="s">
        <v>33</v>
      </c>
      <c r="C15" s="19" t="s">
        <v>141</v>
      </c>
      <c r="D15" s="19" t="s">
        <v>32</v>
      </c>
      <c r="E15" s="19" t="s">
        <v>21</v>
      </c>
      <c r="F15" s="8">
        <v>46154.92</v>
      </c>
      <c r="G15" s="20" t="s">
        <v>154</v>
      </c>
    </row>
    <row r="16" spans="1:7" hidden="1" x14ac:dyDescent="0.25">
      <c r="A16" s="21">
        <v>44732</v>
      </c>
      <c r="B16" s="19" t="s">
        <v>30</v>
      </c>
      <c r="C16" s="19" t="s">
        <v>21</v>
      </c>
      <c r="D16" s="19" t="s">
        <v>34</v>
      </c>
      <c r="E16" s="19" t="s">
        <v>21</v>
      </c>
      <c r="F16" s="8">
        <v>510687.9</v>
      </c>
      <c r="G16" s="22" t="s">
        <v>155</v>
      </c>
    </row>
    <row r="17" spans="1:10" hidden="1" x14ac:dyDescent="0.25">
      <c r="A17" s="21">
        <v>44732</v>
      </c>
      <c r="B17" s="19" t="s">
        <v>33</v>
      </c>
      <c r="C17" s="19" t="s">
        <v>141</v>
      </c>
      <c r="D17" s="19" t="s">
        <v>32</v>
      </c>
      <c r="E17" s="19" t="s">
        <v>21</v>
      </c>
      <c r="F17" s="8">
        <v>365358.91</v>
      </c>
      <c r="G17" s="20" t="s">
        <v>158</v>
      </c>
    </row>
    <row r="18" spans="1:10" hidden="1" x14ac:dyDescent="0.25">
      <c r="A18" s="21">
        <v>44732</v>
      </c>
      <c r="B18" s="19" t="s">
        <v>33</v>
      </c>
      <c r="C18" s="19" t="s">
        <v>150</v>
      </c>
      <c r="D18" s="19" t="s">
        <v>32</v>
      </c>
      <c r="E18" s="19" t="s">
        <v>21</v>
      </c>
      <c r="F18" s="8">
        <v>164904.4</v>
      </c>
      <c r="G18" s="20" t="s">
        <v>159</v>
      </c>
      <c r="J18" s="5"/>
    </row>
    <row r="19" spans="1:10" hidden="1" x14ac:dyDescent="0.25">
      <c r="A19" s="21">
        <v>44732</v>
      </c>
      <c r="B19" s="19" t="s">
        <v>33</v>
      </c>
      <c r="C19" s="19" t="s">
        <v>142</v>
      </c>
      <c r="D19" s="19" t="s">
        <v>32</v>
      </c>
      <c r="E19" s="19" t="s">
        <v>21</v>
      </c>
      <c r="F19" s="8">
        <v>46656</v>
      </c>
      <c r="G19" s="20" t="s">
        <v>160</v>
      </c>
    </row>
    <row r="20" spans="1:10" hidden="1" x14ac:dyDescent="0.25">
      <c r="A20" s="21">
        <v>44732</v>
      </c>
      <c r="B20" s="19" t="s">
        <v>33</v>
      </c>
      <c r="C20" s="19" t="s">
        <v>146</v>
      </c>
      <c r="D20" s="19" t="s">
        <v>32</v>
      </c>
      <c r="E20" s="19" t="s">
        <v>21</v>
      </c>
      <c r="F20" s="8">
        <v>70975</v>
      </c>
      <c r="G20" s="20" t="s">
        <v>161</v>
      </c>
    </row>
    <row r="21" spans="1:10" hidden="1" x14ac:dyDescent="0.25">
      <c r="A21" s="21">
        <v>44732</v>
      </c>
      <c r="B21" s="19" t="s">
        <v>33</v>
      </c>
      <c r="C21" s="19" t="s">
        <v>149</v>
      </c>
      <c r="D21" s="19" t="s">
        <v>32</v>
      </c>
      <c r="E21" s="19" t="s">
        <v>21</v>
      </c>
      <c r="F21" s="8">
        <v>11520</v>
      </c>
      <c r="G21" s="20" t="s">
        <v>162</v>
      </c>
    </row>
    <row r="22" spans="1:10" hidden="1" x14ac:dyDescent="0.25">
      <c r="A22" s="21">
        <v>44732</v>
      </c>
      <c r="B22" s="19" t="s">
        <v>33</v>
      </c>
      <c r="C22" s="19" t="s">
        <v>151</v>
      </c>
      <c r="D22" s="19" t="s">
        <v>32</v>
      </c>
      <c r="E22" s="19" t="s">
        <v>21</v>
      </c>
      <c r="F22" s="8">
        <v>31959.999999999996</v>
      </c>
      <c r="G22" s="20" t="s">
        <v>163</v>
      </c>
    </row>
    <row r="23" spans="1:10" hidden="1" x14ac:dyDescent="0.25">
      <c r="A23" s="21">
        <v>44732</v>
      </c>
      <c r="B23" s="19" t="s">
        <v>33</v>
      </c>
      <c r="C23" s="19" t="s">
        <v>150</v>
      </c>
      <c r="D23" s="19" t="s">
        <v>32</v>
      </c>
      <c r="E23" s="19" t="s">
        <v>21</v>
      </c>
      <c r="F23" s="8">
        <v>55199.999999999993</v>
      </c>
      <c r="G23" s="20" t="s">
        <v>164</v>
      </c>
    </row>
    <row r="24" spans="1:10" hidden="1" x14ac:dyDescent="0.25">
      <c r="A24" s="54">
        <v>44730</v>
      </c>
      <c r="B24" s="19" t="s">
        <v>25</v>
      </c>
      <c r="C24" s="19" t="s">
        <v>21</v>
      </c>
      <c r="D24" s="19" t="s">
        <v>33</v>
      </c>
      <c r="E24" s="19" t="s">
        <v>150</v>
      </c>
      <c r="F24" s="8">
        <v>31600.240000000002</v>
      </c>
      <c r="G24" s="20" t="s">
        <v>164</v>
      </c>
    </row>
    <row r="25" spans="1:10" hidden="1" x14ac:dyDescent="0.25">
      <c r="A25" s="54">
        <v>44731</v>
      </c>
      <c r="B25" s="19" t="s">
        <v>25</v>
      </c>
      <c r="C25" s="19" t="s">
        <v>21</v>
      </c>
      <c r="D25" s="19" t="s">
        <v>33</v>
      </c>
      <c r="E25" s="19" t="s">
        <v>149</v>
      </c>
      <c r="F25" s="8">
        <v>11520.86</v>
      </c>
      <c r="G25" s="53" t="s">
        <v>165</v>
      </c>
      <c r="I25" s="42"/>
    </row>
    <row r="26" spans="1:10" hidden="1" x14ac:dyDescent="0.25">
      <c r="A26" s="54">
        <v>44731</v>
      </c>
      <c r="B26" s="19" t="s">
        <v>25</v>
      </c>
      <c r="C26" s="19" t="s">
        <v>21</v>
      </c>
      <c r="D26" s="19" t="s">
        <v>33</v>
      </c>
      <c r="E26" s="19" t="s">
        <v>150</v>
      </c>
      <c r="F26" s="8">
        <v>7000</v>
      </c>
      <c r="G26" s="53" t="s">
        <v>166</v>
      </c>
      <c r="I26" s="42"/>
    </row>
    <row r="27" spans="1:10" hidden="1" x14ac:dyDescent="0.25">
      <c r="A27" s="54">
        <v>44737</v>
      </c>
      <c r="B27" s="19" t="s">
        <v>25</v>
      </c>
      <c r="C27" s="19" t="s">
        <v>21</v>
      </c>
      <c r="D27" s="19" t="s">
        <v>33</v>
      </c>
      <c r="E27" s="19" t="s">
        <v>146</v>
      </c>
      <c r="F27" s="8">
        <v>26400</v>
      </c>
      <c r="G27" s="53" t="s">
        <v>167</v>
      </c>
    </row>
    <row r="28" spans="1:10" hidden="1" x14ac:dyDescent="0.25">
      <c r="A28" s="54">
        <v>44737</v>
      </c>
      <c r="B28" s="19" t="s">
        <v>36</v>
      </c>
      <c r="C28" s="19" t="s">
        <v>21</v>
      </c>
      <c r="D28" s="19" t="s">
        <v>25</v>
      </c>
      <c r="E28" s="19" t="s">
        <v>21</v>
      </c>
      <c r="F28" s="8">
        <v>310</v>
      </c>
      <c r="G28" s="2" t="s">
        <v>88</v>
      </c>
    </row>
    <row r="29" spans="1:10" hidden="1" x14ac:dyDescent="0.25">
      <c r="A29" s="41">
        <v>44731</v>
      </c>
      <c r="B29" s="19" t="s">
        <v>85</v>
      </c>
      <c r="C29" s="19" t="s">
        <v>21</v>
      </c>
      <c r="D29" s="19" t="s">
        <v>25</v>
      </c>
      <c r="E29" s="19" t="s">
        <v>21</v>
      </c>
      <c r="F29" s="8">
        <v>310.21000000000004</v>
      </c>
      <c r="G29" s="2" t="s">
        <v>86</v>
      </c>
    </row>
    <row r="30" spans="1:10" hidden="1" x14ac:dyDescent="0.25">
      <c r="A30" s="21">
        <v>44731</v>
      </c>
      <c r="B30" s="19" t="s">
        <v>85</v>
      </c>
      <c r="C30" s="19" t="s">
        <v>21</v>
      </c>
      <c r="D30" s="19" t="s">
        <v>25</v>
      </c>
      <c r="E30" s="19" t="s">
        <v>21</v>
      </c>
      <c r="F30" s="8">
        <v>466.52</v>
      </c>
      <c r="G30" s="22" t="s">
        <v>90</v>
      </c>
    </row>
    <row r="31" spans="1:10" hidden="1" x14ac:dyDescent="0.25">
      <c r="A31" s="21">
        <v>44731</v>
      </c>
      <c r="B31" s="19" t="s">
        <v>85</v>
      </c>
      <c r="C31" s="19" t="s">
        <v>21</v>
      </c>
      <c r="D31" s="19" t="s">
        <v>25</v>
      </c>
      <c r="E31" s="19" t="s">
        <v>21</v>
      </c>
      <c r="F31" s="8">
        <v>46.64</v>
      </c>
      <c r="G31" s="22" t="s">
        <v>89</v>
      </c>
    </row>
    <row r="32" spans="1:10" hidden="1" x14ac:dyDescent="0.25">
      <c r="A32" s="21">
        <v>44732</v>
      </c>
      <c r="B32" s="19" t="s">
        <v>35</v>
      </c>
      <c r="C32" s="19" t="s">
        <v>21</v>
      </c>
      <c r="D32" s="19" t="s">
        <v>25</v>
      </c>
      <c r="E32" s="19" t="s">
        <v>21</v>
      </c>
      <c r="F32" s="8">
        <v>20000</v>
      </c>
      <c r="G32" s="2" t="s">
        <v>92</v>
      </c>
    </row>
    <row r="33" spans="1:7" hidden="1" x14ac:dyDescent="0.25">
      <c r="A33" s="21">
        <v>44732</v>
      </c>
      <c r="B33" s="19" t="s">
        <v>35</v>
      </c>
      <c r="C33" s="19" t="s">
        <v>21</v>
      </c>
      <c r="D33" s="19" t="s">
        <v>25</v>
      </c>
      <c r="E33" s="19" t="s">
        <v>21</v>
      </c>
      <c r="F33" s="8">
        <v>1280.23</v>
      </c>
      <c r="G33" s="2" t="s">
        <v>168</v>
      </c>
    </row>
    <row r="34" spans="1:7" hidden="1" x14ac:dyDescent="0.25">
      <c r="A34" s="54">
        <v>44730</v>
      </c>
      <c r="B34" s="19" t="s">
        <v>169</v>
      </c>
      <c r="C34" s="19" t="s">
        <v>21</v>
      </c>
      <c r="D34" s="19" t="s">
        <v>33</v>
      </c>
      <c r="E34" s="19" t="s">
        <v>150</v>
      </c>
      <c r="F34" s="8">
        <v>20000</v>
      </c>
      <c r="G34" s="20" t="s">
        <v>164</v>
      </c>
    </row>
    <row r="35" spans="1:7" hidden="1" x14ac:dyDescent="0.25">
      <c r="A35" s="41">
        <v>44739</v>
      </c>
      <c r="B35" s="19" t="s">
        <v>35</v>
      </c>
      <c r="C35" s="19" t="s">
        <v>21</v>
      </c>
      <c r="D35" s="19" t="s">
        <v>51</v>
      </c>
      <c r="E35" s="19" t="s">
        <v>21</v>
      </c>
      <c r="F35" s="8">
        <v>32964.800000000003</v>
      </c>
      <c r="G35" s="40" t="s">
        <v>53</v>
      </c>
    </row>
    <row r="36" spans="1:7" hidden="1" x14ac:dyDescent="0.25">
      <c r="A36" s="21">
        <v>44739</v>
      </c>
      <c r="B36" s="19" t="s">
        <v>32</v>
      </c>
      <c r="C36" s="19" t="s">
        <v>21</v>
      </c>
      <c r="D36" s="19" t="s">
        <v>50</v>
      </c>
      <c r="E36" s="19" t="s">
        <v>21</v>
      </c>
      <c r="F36" s="8">
        <v>1241531.27</v>
      </c>
      <c r="G36" s="2" t="s">
        <v>95</v>
      </c>
    </row>
    <row r="37" spans="1:7" x14ac:dyDescent="0.25">
      <c r="A37" s="21">
        <v>44739</v>
      </c>
      <c r="B37" s="19" t="s">
        <v>50</v>
      </c>
      <c r="C37" s="19" t="s">
        <v>21</v>
      </c>
      <c r="D37" s="19" t="s">
        <v>30</v>
      </c>
      <c r="E37" s="19" t="s">
        <v>21</v>
      </c>
      <c r="F37" s="8">
        <v>898870.83222967305</v>
      </c>
      <c r="G37" s="2" t="s">
        <v>95</v>
      </c>
    </row>
    <row r="38" spans="1:7" x14ac:dyDescent="0.25">
      <c r="A38" s="21">
        <v>44739</v>
      </c>
      <c r="B38" s="19" t="s">
        <v>50</v>
      </c>
      <c r="C38" s="19" t="s">
        <v>21</v>
      </c>
      <c r="D38" s="19" t="s">
        <v>36</v>
      </c>
      <c r="E38" s="19" t="s">
        <v>23</v>
      </c>
      <c r="F38" s="8">
        <v>1200</v>
      </c>
      <c r="G38" s="22" t="s">
        <v>172</v>
      </c>
    </row>
    <row r="39" spans="1:7" x14ac:dyDescent="0.25">
      <c r="A39" s="21">
        <v>44739</v>
      </c>
      <c r="B39" s="19" t="s">
        <v>50</v>
      </c>
      <c r="C39" s="19" t="s">
        <v>21</v>
      </c>
      <c r="D39" s="19" t="s">
        <v>36</v>
      </c>
      <c r="E39" s="19" t="s">
        <v>21</v>
      </c>
      <c r="F39" s="8">
        <v>310</v>
      </c>
      <c r="G39" s="22" t="s">
        <v>88</v>
      </c>
    </row>
    <row r="40" spans="1:7" hidden="1" x14ac:dyDescent="0.25">
      <c r="A40" s="21">
        <v>44739</v>
      </c>
      <c r="B40" s="19" t="s">
        <v>50</v>
      </c>
      <c r="C40" s="19" t="s">
        <v>21</v>
      </c>
      <c r="D40" s="19" t="s">
        <v>96</v>
      </c>
      <c r="E40" s="19" t="s">
        <v>21</v>
      </c>
      <c r="F40" s="8">
        <v>341150.44</v>
      </c>
      <c r="G40" s="20" t="s">
        <v>97</v>
      </c>
    </row>
    <row r="41" spans="1:7" hidden="1" x14ac:dyDescent="0.25">
      <c r="A41" s="21">
        <v>44739</v>
      </c>
      <c r="B41" s="19" t="s">
        <v>96</v>
      </c>
      <c r="C41" s="19" t="s">
        <v>21</v>
      </c>
      <c r="D41" s="19" t="s">
        <v>38</v>
      </c>
      <c r="E41" s="19" t="s">
        <v>21</v>
      </c>
      <c r="F41" s="8">
        <v>341150.44</v>
      </c>
      <c r="G41" s="20" t="s">
        <v>98</v>
      </c>
    </row>
    <row r="42" spans="1:7" hidden="1" x14ac:dyDescent="0.25">
      <c r="A42" s="21">
        <v>44739</v>
      </c>
      <c r="B42" s="19" t="s">
        <v>36</v>
      </c>
      <c r="C42" s="19" t="s">
        <v>23</v>
      </c>
      <c r="D42" s="19" t="s">
        <v>174</v>
      </c>
      <c r="E42" s="19" t="s">
        <v>21</v>
      </c>
      <c r="F42" s="8">
        <v>1200</v>
      </c>
      <c r="G42" s="2" t="s">
        <v>173</v>
      </c>
    </row>
    <row r="43" spans="1:7" hidden="1" x14ac:dyDescent="0.25">
      <c r="A43" s="21">
        <v>44739</v>
      </c>
      <c r="B43" s="19" t="s">
        <v>35</v>
      </c>
      <c r="C43" s="19" t="s">
        <v>21</v>
      </c>
      <c r="D43" s="19" t="s">
        <v>33</v>
      </c>
      <c r="E43" s="19" t="s">
        <v>141</v>
      </c>
      <c r="F43" s="8">
        <v>85000</v>
      </c>
      <c r="G43" s="22" t="s">
        <v>175</v>
      </c>
    </row>
    <row r="44" spans="1:7" x14ac:dyDescent="0.25">
      <c r="A44" s="21"/>
    </row>
    <row r="45" spans="1:7" x14ac:dyDescent="0.25">
      <c r="A45" s="21"/>
      <c r="G45" s="22"/>
    </row>
    <row r="46" spans="1:7" x14ac:dyDescent="0.25">
      <c r="A46" s="21"/>
    </row>
    <row r="47" spans="1:7" x14ac:dyDescent="0.25">
      <c r="A47" s="21"/>
    </row>
    <row r="48" spans="1:7" x14ac:dyDescent="0.25">
      <c r="A48" s="21"/>
    </row>
    <row r="49" spans="1:7" x14ac:dyDescent="0.25">
      <c r="A49" s="21"/>
      <c r="G49" s="22"/>
    </row>
    <row r="50" spans="1:7" x14ac:dyDescent="0.25">
      <c r="A50" s="21"/>
    </row>
    <row r="51" spans="1:7" x14ac:dyDescent="0.25">
      <c r="A51" s="21"/>
    </row>
    <row r="52" spans="1:7" x14ac:dyDescent="0.25">
      <c r="A52" s="21"/>
      <c r="G52" s="22"/>
    </row>
    <row r="53" spans="1:7" x14ac:dyDescent="0.25">
      <c r="A53" s="21"/>
      <c r="G53" s="22"/>
    </row>
    <row r="54" spans="1:7" x14ac:dyDescent="0.25">
      <c r="A54" s="21"/>
      <c r="G54" s="20"/>
    </row>
    <row r="55" spans="1:7" x14ac:dyDescent="0.25">
      <c r="A55" s="21"/>
      <c r="G55" s="20"/>
    </row>
    <row r="56" spans="1:7" x14ac:dyDescent="0.25">
      <c r="A56" s="21"/>
    </row>
    <row r="57" spans="1:7" x14ac:dyDescent="0.25">
      <c r="A57" s="21"/>
    </row>
    <row r="58" spans="1:7" x14ac:dyDescent="0.25">
      <c r="A58" s="21"/>
    </row>
    <row r="59" spans="1:7" x14ac:dyDescent="0.25">
      <c r="A59" s="21"/>
    </row>
    <row r="60" spans="1:7" x14ac:dyDescent="0.25">
      <c r="A60" s="21"/>
    </row>
    <row r="61" spans="1:7" x14ac:dyDescent="0.25">
      <c r="A61" s="21"/>
    </row>
    <row r="62" spans="1:7" x14ac:dyDescent="0.25">
      <c r="A62" s="21"/>
    </row>
    <row r="63" spans="1:7" x14ac:dyDescent="0.25">
      <c r="A63" s="21"/>
    </row>
    <row r="64" spans="1:7" x14ac:dyDescent="0.25">
      <c r="A64" s="21"/>
    </row>
    <row r="65" spans="1:8" x14ac:dyDescent="0.25">
      <c r="A65" s="21"/>
    </row>
    <row r="66" spans="1:8" x14ac:dyDescent="0.25">
      <c r="A66" s="21"/>
    </row>
    <row r="67" spans="1:8" x14ac:dyDescent="0.25">
      <c r="A67" s="21"/>
    </row>
    <row r="68" spans="1:8" x14ac:dyDescent="0.25">
      <c r="A68" s="21"/>
    </row>
    <row r="69" spans="1:8" x14ac:dyDescent="0.25">
      <c r="A69" s="21"/>
    </row>
    <row r="70" spans="1:8" x14ac:dyDescent="0.25">
      <c r="A70" s="21"/>
      <c r="H70" s="23"/>
    </row>
    <row r="71" spans="1:8" x14ac:dyDescent="0.25">
      <c r="A71" s="21"/>
    </row>
    <row r="72" spans="1:8" x14ac:dyDescent="0.25">
      <c r="A72" s="21"/>
    </row>
    <row r="73" spans="1:8" x14ac:dyDescent="0.25">
      <c r="A73" s="21"/>
    </row>
    <row r="74" spans="1:8" x14ac:dyDescent="0.25">
      <c r="A74" s="21"/>
    </row>
    <row r="75" spans="1:8" x14ac:dyDescent="0.25">
      <c r="A75" s="21"/>
    </row>
    <row r="76" spans="1:8" x14ac:dyDescent="0.25">
      <c r="A76" s="21"/>
    </row>
    <row r="77" spans="1:8" x14ac:dyDescent="0.25">
      <c r="A77" s="21"/>
    </row>
    <row r="78" spans="1:8" x14ac:dyDescent="0.25">
      <c r="A78" s="21"/>
    </row>
    <row r="79" spans="1:8" x14ac:dyDescent="0.25">
      <c r="A79" s="21"/>
    </row>
    <row r="80" spans="1:8" x14ac:dyDescent="0.25">
      <c r="A80" s="21"/>
    </row>
    <row r="81" spans="1:1" x14ac:dyDescent="0.25">
      <c r="A81" s="21"/>
    </row>
    <row r="82" spans="1:1" x14ac:dyDescent="0.25">
      <c r="A82" s="21"/>
    </row>
    <row r="83" spans="1:1" x14ac:dyDescent="0.25">
      <c r="A83" s="21"/>
    </row>
    <row r="84" spans="1:1" x14ac:dyDescent="0.25">
      <c r="A84" s="21"/>
    </row>
    <row r="85" spans="1:1" x14ac:dyDescent="0.25">
      <c r="A85" s="21"/>
    </row>
    <row r="86" spans="1:1" x14ac:dyDescent="0.25">
      <c r="A86" s="21"/>
    </row>
    <row r="87" spans="1:1" x14ac:dyDescent="0.25">
      <c r="A87" s="21"/>
    </row>
    <row r="88" spans="1:1" x14ac:dyDescent="0.25">
      <c r="A88" s="21"/>
    </row>
    <row r="89" spans="1:1" x14ac:dyDescent="0.25">
      <c r="A89" s="21"/>
    </row>
    <row r="90" spans="1:1" x14ac:dyDescent="0.25">
      <c r="A90" s="21"/>
    </row>
    <row r="91" spans="1:1" x14ac:dyDescent="0.25">
      <c r="A91" s="21"/>
    </row>
    <row r="92" spans="1:1" x14ac:dyDescent="0.25">
      <c r="A92" s="21"/>
    </row>
    <row r="93" spans="1:1" x14ac:dyDescent="0.25">
      <c r="A93" s="21"/>
    </row>
    <row r="94" spans="1:1" x14ac:dyDescent="0.25">
      <c r="A94" s="21"/>
    </row>
    <row r="95" spans="1:1" x14ac:dyDescent="0.25">
      <c r="A95" s="21"/>
    </row>
    <row r="96" spans="1:1" x14ac:dyDescent="0.25">
      <c r="A96" s="21"/>
    </row>
    <row r="97" spans="1:1" x14ac:dyDescent="0.25">
      <c r="A97" s="21"/>
    </row>
    <row r="98" spans="1:1" x14ac:dyDescent="0.25">
      <c r="A98" s="21"/>
    </row>
    <row r="99" spans="1:1" x14ac:dyDescent="0.25">
      <c r="A99" s="21"/>
    </row>
    <row r="100" spans="1:1" x14ac:dyDescent="0.25">
      <c r="A100" s="21"/>
    </row>
    <row r="101" spans="1:1" x14ac:dyDescent="0.25">
      <c r="A101" s="21"/>
    </row>
    <row r="102" spans="1:1" x14ac:dyDescent="0.25">
      <c r="A102" s="21"/>
    </row>
    <row r="103" spans="1:1" x14ac:dyDescent="0.25">
      <c r="A103" s="21"/>
    </row>
    <row r="104" spans="1:1" x14ac:dyDescent="0.25">
      <c r="A104" s="21"/>
    </row>
    <row r="105" spans="1:1" x14ac:dyDescent="0.25">
      <c r="A105" s="21"/>
    </row>
    <row r="106" spans="1:1" x14ac:dyDescent="0.25">
      <c r="A106" s="21"/>
    </row>
    <row r="107" spans="1:1" x14ac:dyDescent="0.25">
      <c r="A107" s="21"/>
    </row>
    <row r="108" spans="1:1" x14ac:dyDescent="0.25">
      <c r="A108" s="21"/>
    </row>
    <row r="109" spans="1:1" x14ac:dyDescent="0.25">
      <c r="A109" s="21"/>
    </row>
    <row r="110" spans="1:1" x14ac:dyDescent="0.25">
      <c r="A110" s="21"/>
    </row>
    <row r="111" spans="1:1" x14ac:dyDescent="0.25">
      <c r="A111" s="21"/>
    </row>
    <row r="112" spans="1:1" x14ac:dyDescent="0.25">
      <c r="A112" s="21"/>
    </row>
    <row r="113" spans="1:1" x14ac:dyDescent="0.25">
      <c r="A113" s="21"/>
    </row>
    <row r="114" spans="1:1" x14ac:dyDescent="0.25">
      <c r="A114" s="21"/>
    </row>
    <row r="115" spans="1:1" x14ac:dyDescent="0.25">
      <c r="A115" s="21"/>
    </row>
    <row r="116" spans="1:1" x14ac:dyDescent="0.25">
      <c r="A116" s="21"/>
    </row>
    <row r="117" spans="1:1" x14ac:dyDescent="0.25">
      <c r="A117" s="21"/>
    </row>
    <row r="118" spans="1:1" x14ac:dyDescent="0.25">
      <c r="A118" s="21"/>
    </row>
    <row r="119" spans="1:1" x14ac:dyDescent="0.25">
      <c r="A119" s="21"/>
    </row>
    <row r="120" spans="1:1" x14ac:dyDescent="0.25">
      <c r="A120" s="21"/>
    </row>
    <row r="121" spans="1:1" x14ac:dyDescent="0.25">
      <c r="A121" s="21"/>
    </row>
    <row r="122" spans="1:1" x14ac:dyDescent="0.25">
      <c r="A122" s="21"/>
    </row>
    <row r="123" spans="1:1" x14ac:dyDescent="0.25">
      <c r="A123" s="21"/>
    </row>
    <row r="124" spans="1:1" x14ac:dyDescent="0.25">
      <c r="A124" s="21"/>
    </row>
    <row r="125" spans="1:1" x14ac:dyDescent="0.25">
      <c r="A125" s="21"/>
    </row>
    <row r="126" spans="1:1" x14ac:dyDescent="0.25">
      <c r="A126" s="21"/>
    </row>
    <row r="127" spans="1:1" x14ac:dyDescent="0.25">
      <c r="A127" s="21"/>
    </row>
    <row r="128" spans="1:1" x14ac:dyDescent="0.25">
      <c r="A128" s="21"/>
    </row>
    <row r="129" spans="1:1" x14ac:dyDescent="0.25">
      <c r="A129" s="21"/>
    </row>
    <row r="130" spans="1:1" x14ac:dyDescent="0.25">
      <c r="A130" s="21"/>
    </row>
    <row r="131" spans="1:1" x14ac:dyDescent="0.25">
      <c r="A131" s="21"/>
    </row>
    <row r="132" spans="1:1" x14ac:dyDescent="0.25">
      <c r="A132" s="21"/>
    </row>
    <row r="133" spans="1:1" x14ac:dyDescent="0.25">
      <c r="A133" s="21"/>
    </row>
    <row r="134" spans="1:1" x14ac:dyDescent="0.25">
      <c r="A134" s="21"/>
    </row>
    <row r="135" spans="1:1" x14ac:dyDescent="0.25">
      <c r="A135" s="21"/>
    </row>
    <row r="136" spans="1:1" x14ac:dyDescent="0.25">
      <c r="A136" s="21"/>
    </row>
    <row r="137" spans="1:1" x14ac:dyDescent="0.25">
      <c r="A137" s="21"/>
    </row>
    <row r="138" spans="1:1" x14ac:dyDescent="0.25">
      <c r="A138" s="21"/>
    </row>
    <row r="139" spans="1:1" x14ac:dyDescent="0.25">
      <c r="A139" s="21"/>
    </row>
    <row r="140" spans="1:1" x14ac:dyDescent="0.25">
      <c r="A140" s="21"/>
    </row>
    <row r="141" spans="1:1" x14ac:dyDescent="0.25">
      <c r="A141" s="21"/>
    </row>
    <row r="142" spans="1:1" x14ac:dyDescent="0.25">
      <c r="A142" s="21"/>
    </row>
    <row r="143" spans="1:1" x14ac:dyDescent="0.25">
      <c r="A143" s="21"/>
    </row>
    <row r="144" spans="1:1" x14ac:dyDescent="0.25">
      <c r="A144" s="21"/>
    </row>
    <row r="145" spans="1:1" x14ac:dyDescent="0.25">
      <c r="A145" s="21"/>
    </row>
    <row r="146" spans="1:1" x14ac:dyDescent="0.25">
      <c r="A146" s="21"/>
    </row>
    <row r="147" spans="1:1" x14ac:dyDescent="0.25">
      <c r="A147" s="21"/>
    </row>
    <row r="148" spans="1:1" x14ac:dyDescent="0.25">
      <c r="A148" s="21"/>
    </row>
    <row r="149" spans="1:1" x14ac:dyDescent="0.25">
      <c r="A149" s="21"/>
    </row>
    <row r="150" spans="1:1" x14ac:dyDescent="0.25">
      <c r="A150" s="21"/>
    </row>
    <row r="151" spans="1:1" x14ac:dyDescent="0.25">
      <c r="A151" s="21"/>
    </row>
    <row r="152" spans="1:1" x14ac:dyDescent="0.25">
      <c r="A152" s="21"/>
    </row>
    <row r="153" spans="1:1" x14ac:dyDescent="0.25">
      <c r="A153" s="21"/>
    </row>
    <row r="154" spans="1:1" x14ac:dyDescent="0.25">
      <c r="A154" s="21"/>
    </row>
    <row r="155" spans="1:1" x14ac:dyDescent="0.25">
      <c r="A155" s="21"/>
    </row>
    <row r="156" spans="1:1" x14ac:dyDescent="0.25">
      <c r="A156" s="21"/>
    </row>
    <row r="157" spans="1:1" x14ac:dyDescent="0.25">
      <c r="A157" s="21"/>
    </row>
    <row r="158" spans="1:1" x14ac:dyDescent="0.25">
      <c r="A158" s="21"/>
    </row>
    <row r="159" spans="1:1" x14ac:dyDescent="0.25">
      <c r="A159" s="21"/>
    </row>
    <row r="160" spans="1:1" x14ac:dyDescent="0.25">
      <c r="A160" s="21"/>
    </row>
    <row r="161" spans="1:1" x14ac:dyDescent="0.25">
      <c r="A161" s="21"/>
    </row>
    <row r="162" spans="1:1" x14ac:dyDescent="0.25">
      <c r="A162" s="21"/>
    </row>
    <row r="163" spans="1:1" x14ac:dyDescent="0.25">
      <c r="A163" s="21"/>
    </row>
    <row r="164" spans="1:1" x14ac:dyDescent="0.25">
      <c r="A164" s="21"/>
    </row>
    <row r="165" spans="1:1" x14ac:dyDescent="0.25">
      <c r="A165" s="21"/>
    </row>
    <row r="166" spans="1:1" x14ac:dyDescent="0.25">
      <c r="A166" s="21"/>
    </row>
    <row r="167" spans="1:1" x14ac:dyDescent="0.25">
      <c r="A167" s="21"/>
    </row>
    <row r="168" spans="1:1" x14ac:dyDescent="0.25">
      <c r="A168" s="21"/>
    </row>
    <row r="169" spans="1:1" x14ac:dyDescent="0.25">
      <c r="A169" s="21"/>
    </row>
    <row r="170" spans="1:1" x14ac:dyDescent="0.25">
      <c r="A170" s="21"/>
    </row>
    <row r="171" spans="1:1" x14ac:dyDescent="0.25">
      <c r="A171" s="21"/>
    </row>
    <row r="172" spans="1:1" x14ac:dyDescent="0.25">
      <c r="A172" s="21"/>
    </row>
    <row r="173" spans="1:1" x14ac:dyDescent="0.25">
      <c r="A173" s="21"/>
    </row>
    <row r="174" spans="1:1" x14ac:dyDescent="0.25">
      <c r="A174" s="21"/>
    </row>
    <row r="175" spans="1:1" x14ac:dyDescent="0.25">
      <c r="A175" s="21"/>
    </row>
    <row r="176" spans="1:1" x14ac:dyDescent="0.25">
      <c r="A176" s="21"/>
    </row>
    <row r="177" spans="1:1" x14ac:dyDescent="0.25">
      <c r="A177" s="21"/>
    </row>
    <row r="178" spans="1:1" x14ac:dyDescent="0.25">
      <c r="A178" s="21"/>
    </row>
    <row r="179" spans="1:1" x14ac:dyDescent="0.25">
      <c r="A179" s="21"/>
    </row>
    <row r="180" spans="1:1" x14ac:dyDescent="0.25">
      <c r="A180" s="21"/>
    </row>
    <row r="181" spans="1:1" x14ac:dyDescent="0.25">
      <c r="A181" s="21"/>
    </row>
    <row r="182" spans="1:1" x14ac:dyDescent="0.25">
      <c r="A182" s="21"/>
    </row>
    <row r="183" spans="1:1" x14ac:dyDescent="0.25">
      <c r="A183" s="21"/>
    </row>
    <row r="184" spans="1:1" x14ac:dyDescent="0.25">
      <c r="A184" s="21"/>
    </row>
    <row r="185" spans="1:1" x14ac:dyDescent="0.25">
      <c r="A185" s="21"/>
    </row>
    <row r="186" spans="1:1" x14ac:dyDescent="0.25">
      <c r="A186" s="21"/>
    </row>
    <row r="187" spans="1:1" x14ac:dyDescent="0.25">
      <c r="A187" s="21"/>
    </row>
    <row r="188" spans="1:1" x14ac:dyDescent="0.25">
      <c r="A188" s="21"/>
    </row>
    <row r="189" spans="1:1" x14ac:dyDescent="0.25">
      <c r="A189" s="21"/>
    </row>
    <row r="190" spans="1:1" x14ac:dyDescent="0.25">
      <c r="A190" s="21"/>
    </row>
    <row r="191" spans="1:1" x14ac:dyDescent="0.25">
      <c r="A191" s="21"/>
    </row>
    <row r="192" spans="1:1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7" x14ac:dyDescent="0.25">
      <c r="A209" s="21"/>
    </row>
    <row r="210" spans="1:7" x14ac:dyDescent="0.25">
      <c r="A210" s="21"/>
    </row>
    <row r="211" spans="1:7" x14ac:dyDescent="0.25">
      <c r="A211" s="21"/>
    </row>
    <row r="212" spans="1:7" x14ac:dyDescent="0.25">
      <c r="A212" s="21"/>
    </row>
    <row r="213" spans="1:7" x14ac:dyDescent="0.25">
      <c r="A213" s="21"/>
    </row>
    <row r="214" spans="1:7" x14ac:dyDescent="0.25">
      <c r="A214" s="21"/>
    </row>
    <row r="215" spans="1:7" x14ac:dyDescent="0.25">
      <c r="A215" s="21"/>
    </row>
    <row r="216" spans="1:7" x14ac:dyDescent="0.25">
      <c r="A216" s="21"/>
    </row>
    <row r="217" spans="1:7" x14ac:dyDescent="0.25">
      <c r="A217" s="21"/>
    </row>
    <row r="218" spans="1:7" x14ac:dyDescent="0.25">
      <c r="A218" s="21"/>
      <c r="G218" s="26"/>
    </row>
    <row r="219" spans="1:7" x14ac:dyDescent="0.25">
      <c r="A219" s="21"/>
    </row>
    <row r="220" spans="1:7" x14ac:dyDescent="0.25">
      <c r="A220" s="21"/>
    </row>
    <row r="221" spans="1:7" x14ac:dyDescent="0.25">
      <c r="A221" s="21"/>
    </row>
    <row r="222" spans="1:7" x14ac:dyDescent="0.25">
      <c r="A222" s="21"/>
    </row>
    <row r="223" spans="1:7" x14ac:dyDescent="0.25">
      <c r="A223" s="21"/>
    </row>
    <row r="224" spans="1:7" x14ac:dyDescent="0.25">
      <c r="A224" s="21"/>
    </row>
    <row r="225" spans="1:7" x14ac:dyDescent="0.25">
      <c r="A225" s="21"/>
    </row>
    <row r="226" spans="1:7" x14ac:dyDescent="0.25">
      <c r="A226" s="21"/>
    </row>
    <row r="227" spans="1:7" x14ac:dyDescent="0.25">
      <c r="A227" s="21"/>
    </row>
    <row r="228" spans="1:7" x14ac:dyDescent="0.25">
      <c r="A228" s="21"/>
    </row>
    <row r="229" spans="1:7" x14ac:dyDescent="0.25">
      <c r="A229" s="21"/>
    </row>
    <row r="230" spans="1:7" x14ac:dyDescent="0.25">
      <c r="A230" s="21"/>
    </row>
    <row r="231" spans="1:7" x14ac:dyDescent="0.25">
      <c r="A231" s="21"/>
    </row>
    <row r="232" spans="1:7" x14ac:dyDescent="0.25">
      <c r="A232" s="21"/>
    </row>
    <row r="233" spans="1:7" x14ac:dyDescent="0.25">
      <c r="A233" s="21"/>
    </row>
    <row r="234" spans="1:7" x14ac:dyDescent="0.25">
      <c r="A234" s="21"/>
    </row>
    <row r="235" spans="1:7" x14ac:dyDescent="0.25">
      <c r="A235" s="21"/>
    </row>
    <row r="236" spans="1:7" x14ac:dyDescent="0.25">
      <c r="A236" s="21"/>
    </row>
    <row r="237" spans="1:7" s="31" customFormat="1" x14ac:dyDescent="0.25">
      <c r="A237" s="21"/>
      <c r="B237" s="19"/>
      <c r="C237" s="19"/>
      <c r="D237" s="19"/>
      <c r="E237" s="19"/>
      <c r="F237" s="8"/>
      <c r="G237" s="2"/>
    </row>
    <row r="238" spans="1:7" x14ac:dyDescent="0.25">
      <c r="A238" s="27"/>
      <c r="B238" s="28"/>
      <c r="C238" s="28"/>
      <c r="D238" s="28"/>
      <c r="E238" s="28"/>
      <c r="F238" s="29"/>
      <c r="G238" s="30"/>
    </row>
    <row r="239" spans="1:7" x14ac:dyDescent="0.25">
      <c r="A239" s="21"/>
    </row>
    <row r="240" spans="1:7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7" x14ac:dyDescent="0.25">
      <c r="A257" s="21"/>
    </row>
    <row r="258" spans="1:7" x14ac:dyDescent="0.25">
      <c r="A258" s="21"/>
    </row>
    <row r="259" spans="1:7" x14ac:dyDescent="0.25">
      <c r="A259" s="21"/>
    </row>
    <row r="260" spans="1:7" x14ac:dyDescent="0.25">
      <c r="A260" s="21"/>
    </row>
    <row r="261" spans="1:7" x14ac:dyDescent="0.25">
      <c r="A261" s="33"/>
      <c r="B261" s="34"/>
      <c r="C261" s="34"/>
      <c r="D261" s="34"/>
      <c r="E261" s="34"/>
      <c r="F261" s="35"/>
      <c r="G261" s="36"/>
    </row>
    <row r="262" spans="1:7" s="32" customFormat="1" x14ac:dyDescent="0.25">
      <c r="A262" s="21"/>
      <c r="B262" s="19"/>
      <c r="C262" s="19"/>
      <c r="D262" s="19"/>
      <c r="E262" s="19"/>
      <c r="F262" s="8"/>
      <c r="G262" s="2"/>
    </row>
    <row r="263" spans="1:7" s="31" customFormat="1" x14ac:dyDescent="0.25">
      <c r="A263" s="27"/>
      <c r="B263" s="28"/>
      <c r="C263" s="28"/>
      <c r="D263" s="28"/>
      <c r="E263" s="28"/>
      <c r="F263" s="29"/>
      <c r="G263" s="30"/>
    </row>
    <row r="264" spans="1:7" x14ac:dyDescent="0.25">
      <c r="A264" s="27"/>
      <c r="B264" s="28"/>
      <c r="D264" s="28"/>
      <c r="F264" s="29"/>
      <c r="G264" s="30"/>
    </row>
    <row r="265" spans="1:7" x14ac:dyDescent="0.25">
      <c r="A265" s="21"/>
      <c r="B265" s="28"/>
      <c r="D265" s="28"/>
      <c r="F265" s="29"/>
    </row>
    <row r="266" spans="1:7" x14ac:dyDescent="0.25">
      <c r="A266" s="21"/>
      <c r="B266" s="28"/>
      <c r="D266" s="28"/>
      <c r="F266" s="29"/>
    </row>
    <row r="267" spans="1:7" x14ac:dyDescent="0.25">
      <c r="A267" s="21"/>
      <c r="B267" s="28"/>
      <c r="D267" s="28"/>
      <c r="F267" s="29"/>
    </row>
    <row r="268" spans="1:7" x14ac:dyDescent="0.25">
      <c r="A268" s="21"/>
      <c r="B268" s="28"/>
      <c r="D268" s="28"/>
      <c r="F268" s="29"/>
    </row>
    <row r="269" spans="1:7" x14ac:dyDescent="0.25">
      <c r="A269" s="21"/>
      <c r="B269" s="28"/>
      <c r="D269" s="28"/>
      <c r="F269" s="29"/>
    </row>
    <row r="270" spans="1:7" x14ac:dyDescent="0.25">
      <c r="A270" s="21"/>
      <c r="D270" s="28"/>
    </row>
    <row r="271" spans="1:7" x14ac:dyDescent="0.25">
      <c r="A271" s="21"/>
      <c r="D271" s="28"/>
    </row>
    <row r="272" spans="1:7" x14ac:dyDescent="0.25">
      <c r="A272" s="21"/>
      <c r="D272" s="28"/>
    </row>
    <row r="273" spans="1:10" x14ac:dyDescent="0.25">
      <c r="A273" s="21"/>
      <c r="D273" s="28"/>
    </row>
    <row r="274" spans="1:10" x14ac:dyDescent="0.25">
      <c r="A274" s="21"/>
      <c r="D274" s="28"/>
    </row>
    <row r="275" spans="1:10" x14ac:dyDescent="0.25">
      <c r="A275" s="21"/>
      <c r="D275" s="28"/>
    </row>
    <row r="276" spans="1:10" x14ac:dyDescent="0.25">
      <c r="A276" s="21"/>
      <c r="D276" s="28"/>
    </row>
    <row r="277" spans="1:10" x14ac:dyDescent="0.25">
      <c r="A277" s="21"/>
      <c r="D277" s="28"/>
    </row>
    <row r="278" spans="1:10" x14ac:dyDescent="0.25">
      <c r="A278" s="21"/>
      <c r="D278" s="28"/>
    </row>
    <row r="279" spans="1:10" x14ac:dyDescent="0.25">
      <c r="A279" s="21"/>
      <c r="D279" s="28"/>
    </row>
    <row r="280" spans="1:10" x14ac:dyDescent="0.25">
      <c r="A280" s="21"/>
      <c r="D280" s="28"/>
    </row>
    <row r="281" spans="1:10" x14ac:dyDescent="0.25">
      <c r="A281" s="21"/>
      <c r="D281" s="28"/>
    </row>
    <row r="282" spans="1:10" s="31" customFormat="1" x14ac:dyDescent="0.25">
      <c r="A282" s="21"/>
      <c r="B282" s="19"/>
      <c r="C282" s="19"/>
      <c r="D282" s="19"/>
      <c r="E282" s="19"/>
      <c r="F282" s="8"/>
      <c r="G282" s="2"/>
    </row>
    <row r="283" spans="1:10" x14ac:dyDescent="0.25">
      <c r="A283" s="27"/>
      <c r="B283" s="28"/>
      <c r="C283" s="28"/>
      <c r="D283" s="28"/>
      <c r="F283" s="29"/>
      <c r="G283" s="30"/>
    </row>
    <row r="284" spans="1:10" x14ac:dyDescent="0.25">
      <c r="A284" s="21"/>
    </row>
    <row r="285" spans="1:10" x14ac:dyDescent="0.25">
      <c r="A285" s="21"/>
    </row>
    <row r="286" spans="1:10" s="31" customFormat="1" x14ac:dyDescent="0.25">
      <c r="A286" s="21"/>
      <c r="B286" s="19"/>
      <c r="C286" s="19"/>
      <c r="D286" s="19"/>
      <c r="E286" s="19"/>
      <c r="F286" s="8"/>
      <c r="G286" s="2"/>
    </row>
    <row r="287" spans="1:10" s="31" customFormat="1" x14ac:dyDescent="0.25">
      <c r="A287" s="21"/>
      <c r="B287" s="19"/>
      <c r="C287" s="19"/>
      <c r="D287" s="19"/>
      <c r="E287" s="19"/>
      <c r="F287" s="8"/>
      <c r="G287" s="2"/>
    </row>
    <row r="288" spans="1:10" x14ac:dyDescent="0.25">
      <c r="A288" s="21"/>
      <c r="B288" s="28"/>
      <c r="D288" s="28"/>
      <c r="E288" s="28"/>
      <c r="F288" s="29"/>
      <c r="G288" s="30"/>
      <c r="J288" s="30"/>
    </row>
    <row r="289" spans="1:10" x14ac:dyDescent="0.25">
      <c r="A289" s="21"/>
      <c r="G289" s="30"/>
      <c r="J289" s="32"/>
    </row>
    <row r="290" spans="1:10" x14ac:dyDescent="0.25">
      <c r="A290" s="21"/>
      <c r="G290" s="30"/>
    </row>
    <row r="291" spans="1:10" x14ac:dyDescent="0.25">
      <c r="A291" s="21"/>
      <c r="G291" s="30"/>
    </row>
    <row r="292" spans="1:10" x14ac:dyDescent="0.25">
      <c r="A292" s="21"/>
      <c r="G292" s="30"/>
    </row>
    <row r="293" spans="1:10" x14ac:dyDescent="0.25">
      <c r="A293" s="21"/>
      <c r="F293" s="29"/>
      <c r="G293" s="30"/>
    </row>
    <row r="294" spans="1:10" x14ac:dyDescent="0.25">
      <c r="A294" s="21"/>
      <c r="G294" s="30"/>
    </row>
    <row r="295" spans="1:10" s="31" customFormat="1" x14ac:dyDescent="0.25">
      <c r="A295" s="21"/>
      <c r="B295" s="28"/>
      <c r="C295" s="28"/>
      <c r="D295" s="19"/>
      <c r="E295" s="19"/>
      <c r="F295" s="8"/>
      <c r="G295" s="30"/>
    </row>
    <row r="296" spans="1:10" x14ac:dyDescent="0.25">
      <c r="A296" s="27"/>
    </row>
    <row r="297" spans="1:10" x14ac:dyDescent="0.25">
      <c r="A297" s="21"/>
    </row>
    <row r="298" spans="1:10" x14ac:dyDescent="0.25">
      <c r="A298" s="21"/>
    </row>
    <row r="299" spans="1:10" x14ac:dyDescent="0.25">
      <c r="A299" s="21"/>
    </row>
    <row r="300" spans="1:10" x14ac:dyDescent="0.25">
      <c r="A300" s="21"/>
    </row>
    <row r="301" spans="1:10" x14ac:dyDescent="0.25">
      <c r="A301" s="21"/>
    </row>
    <row r="302" spans="1:10" x14ac:dyDescent="0.25">
      <c r="A302" s="21"/>
    </row>
    <row r="303" spans="1:10" x14ac:dyDescent="0.25">
      <c r="A303" s="21"/>
    </row>
    <row r="304" spans="1:10" x14ac:dyDescent="0.25">
      <c r="A304" s="21"/>
    </row>
    <row r="305" spans="1:6" x14ac:dyDescent="0.25">
      <c r="A305" s="21"/>
    </row>
    <row r="306" spans="1:6" x14ac:dyDescent="0.25">
      <c r="A306" s="21"/>
    </row>
    <row r="307" spans="1:6" x14ac:dyDescent="0.25">
      <c r="A307" s="21"/>
    </row>
    <row r="308" spans="1:6" x14ac:dyDescent="0.25">
      <c r="A308" s="21"/>
      <c r="F308" s="38"/>
    </row>
    <row r="309" spans="1:6" x14ac:dyDescent="0.25">
      <c r="A309" s="21"/>
    </row>
    <row r="310" spans="1:6" x14ac:dyDescent="0.25">
      <c r="A310" s="21"/>
    </row>
    <row r="311" spans="1:6" x14ac:dyDescent="0.25">
      <c r="A311" s="21"/>
    </row>
    <row r="312" spans="1:6" x14ac:dyDescent="0.25">
      <c r="A312" s="21"/>
    </row>
    <row r="313" spans="1:6" x14ac:dyDescent="0.25">
      <c r="A313" s="21"/>
    </row>
    <row r="314" spans="1:6" x14ac:dyDescent="0.25">
      <c r="A314" s="21"/>
    </row>
    <row r="315" spans="1:6" x14ac:dyDescent="0.25">
      <c r="A315" s="21"/>
    </row>
    <row r="316" spans="1:6" x14ac:dyDescent="0.25">
      <c r="A316" s="21"/>
    </row>
    <row r="317" spans="1:6" x14ac:dyDescent="0.25">
      <c r="A317" s="21"/>
    </row>
    <row r="318" spans="1:6" x14ac:dyDescent="0.25">
      <c r="A318" s="21"/>
    </row>
    <row r="319" spans="1:6" x14ac:dyDescent="0.25">
      <c r="A319" s="21"/>
    </row>
    <row r="320" spans="1:6" x14ac:dyDescent="0.25">
      <c r="A320" s="21"/>
    </row>
    <row r="321" spans="1:1" x14ac:dyDescent="0.25">
      <c r="A321" s="21"/>
    </row>
    <row r="322" spans="1:1" x14ac:dyDescent="0.25">
      <c r="A322" s="21"/>
    </row>
    <row r="323" spans="1:1" x14ac:dyDescent="0.25">
      <c r="A323" s="21"/>
    </row>
    <row r="324" spans="1:1" x14ac:dyDescent="0.25">
      <c r="A324" s="21"/>
    </row>
    <row r="325" spans="1:1" x14ac:dyDescent="0.25">
      <c r="A325" s="21"/>
    </row>
    <row r="326" spans="1:1" x14ac:dyDescent="0.25">
      <c r="A326" s="21"/>
    </row>
    <row r="327" spans="1:1" x14ac:dyDescent="0.25">
      <c r="A327" s="21"/>
    </row>
    <row r="328" spans="1:1" x14ac:dyDescent="0.25">
      <c r="A328" s="21"/>
    </row>
    <row r="329" spans="1:1" x14ac:dyDescent="0.25">
      <c r="A329" s="21"/>
    </row>
    <row r="330" spans="1:1" x14ac:dyDescent="0.25">
      <c r="A330" s="21"/>
    </row>
    <row r="331" spans="1:1" x14ac:dyDescent="0.25">
      <c r="A331" s="21"/>
    </row>
    <row r="332" spans="1:1" x14ac:dyDescent="0.25">
      <c r="A332" s="21"/>
    </row>
    <row r="333" spans="1:1" x14ac:dyDescent="0.25">
      <c r="A333" s="21"/>
    </row>
    <row r="334" spans="1:1" x14ac:dyDescent="0.25">
      <c r="A334" s="21"/>
    </row>
    <row r="335" spans="1:1" x14ac:dyDescent="0.25">
      <c r="A335" s="21"/>
    </row>
    <row r="336" spans="1:1" x14ac:dyDescent="0.25">
      <c r="A336" s="21"/>
    </row>
    <row r="337" spans="1:1" x14ac:dyDescent="0.25">
      <c r="A337" s="21"/>
    </row>
    <row r="338" spans="1:1" x14ac:dyDescent="0.25">
      <c r="A338" s="21"/>
    </row>
    <row r="339" spans="1:1" x14ac:dyDescent="0.25">
      <c r="A339" s="21"/>
    </row>
    <row r="340" spans="1:1" x14ac:dyDescent="0.25">
      <c r="A340" s="21"/>
    </row>
    <row r="341" spans="1:1" x14ac:dyDescent="0.25">
      <c r="A341" s="21"/>
    </row>
    <row r="342" spans="1:1" x14ac:dyDescent="0.25">
      <c r="A342" s="21"/>
    </row>
    <row r="343" spans="1:1" x14ac:dyDescent="0.25">
      <c r="A343" s="21"/>
    </row>
    <row r="344" spans="1:1" x14ac:dyDescent="0.25">
      <c r="A344" s="21"/>
    </row>
    <row r="345" spans="1:1" x14ac:dyDescent="0.25">
      <c r="A345" s="21"/>
    </row>
    <row r="346" spans="1:1" x14ac:dyDescent="0.25">
      <c r="A346" s="21"/>
    </row>
    <row r="347" spans="1:1" x14ac:dyDescent="0.25">
      <c r="A347" s="21"/>
    </row>
    <row r="348" spans="1:1" x14ac:dyDescent="0.25">
      <c r="A348" s="21"/>
    </row>
    <row r="349" spans="1:1" x14ac:dyDescent="0.25">
      <c r="A349" s="21"/>
    </row>
    <row r="350" spans="1:1" x14ac:dyDescent="0.25">
      <c r="A350" s="21"/>
    </row>
    <row r="351" spans="1:1" x14ac:dyDescent="0.25">
      <c r="A351" s="21"/>
    </row>
    <row r="352" spans="1:1" x14ac:dyDescent="0.25">
      <c r="A352" s="21"/>
    </row>
    <row r="353" spans="1:1" x14ac:dyDescent="0.25">
      <c r="A353" s="21"/>
    </row>
    <row r="354" spans="1:1" x14ac:dyDescent="0.25">
      <c r="A354" s="21"/>
    </row>
    <row r="355" spans="1:1" x14ac:dyDescent="0.25">
      <c r="A355" s="21"/>
    </row>
    <row r="356" spans="1:1" x14ac:dyDescent="0.25">
      <c r="A356" s="21"/>
    </row>
    <row r="357" spans="1:1" x14ac:dyDescent="0.25">
      <c r="A357" s="21"/>
    </row>
    <row r="358" spans="1:1" x14ac:dyDescent="0.25">
      <c r="A358" s="21"/>
    </row>
    <row r="359" spans="1:1" x14ac:dyDescent="0.25">
      <c r="A359" s="21"/>
    </row>
    <row r="360" spans="1:1" x14ac:dyDescent="0.25">
      <c r="A360" s="21"/>
    </row>
    <row r="361" spans="1:1" x14ac:dyDescent="0.25">
      <c r="A361" s="21"/>
    </row>
    <row r="362" spans="1:1" x14ac:dyDescent="0.25">
      <c r="A362" s="21"/>
    </row>
    <row r="363" spans="1:1" x14ac:dyDescent="0.25">
      <c r="A363" s="21"/>
    </row>
    <row r="364" spans="1:1" x14ac:dyDescent="0.25">
      <c r="A364" s="21"/>
    </row>
    <row r="365" spans="1:1" x14ac:dyDescent="0.25">
      <c r="A365" s="21"/>
    </row>
    <row r="366" spans="1:1" x14ac:dyDescent="0.25">
      <c r="A366" s="21"/>
    </row>
    <row r="367" spans="1:1" x14ac:dyDescent="0.25">
      <c r="A367" s="21"/>
    </row>
    <row r="368" spans="1:1" x14ac:dyDescent="0.25">
      <c r="A368" s="21"/>
    </row>
    <row r="369" spans="1:1" x14ac:dyDescent="0.25">
      <c r="A369" s="21"/>
    </row>
    <row r="370" spans="1:1" x14ac:dyDescent="0.25">
      <c r="A370" s="21"/>
    </row>
    <row r="371" spans="1:1" x14ac:dyDescent="0.25">
      <c r="A371" s="21"/>
    </row>
    <row r="372" spans="1:1" x14ac:dyDescent="0.25">
      <c r="A372" s="21"/>
    </row>
    <row r="373" spans="1:1" x14ac:dyDescent="0.25">
      <c r="A373" s="21"/>
    </row>
    <row r="374" spans="1:1" x14ac:dyDescent="0.25">
      <c r="A374" s="21"/>
    </row>
    <row r="375" spans="1:1" x14ac:dyDescent="0.25">
      <c r="A375" s="21"/>
    </row>
    <row r="376" spans="1:1" x14ac:dyDescent="0.25">
      <c r="A376" s="21"/>
    </row>
    <row r="377" spans="1:1" x14ac:dyDescent="0.25">
      <c r="A377" s="21"/>
    </row>
    <row r="378" spans="1:1" x14ac:dyDescent="0.25">
      <c r="A378" s="21"/>
    </row>
    <row r="379" spans="1:1" x14ac:dyDescent="0.25">
      <c r="A379" s="21"/>
    </row>
    <row r="380" spans="1:1" x14ac:dyDescent="0.25">
      <c r="A380" s="21"/>
    </row>
    <row r="381" spans="1:1" x14ac:dyDescent="0.25">
      <c r="A381" s="21"/>
    </row>
    <row r="382" spans="1:1" x14ac:dyDescent="0.25">
      <c r="A382" s="21"/>
    </row>
    <row r="383" spans="1:1" x14ac:dyDescent="0.25">
      <c r="A383" s="21"/>
    </row>
    <row r="384" spans="1:1" x14ac:dyDescent="0.25">
      <c r="A384" s="21"/>
    </row>
    <row r="385" spans="1:3" x14ac:dyDescent="0.25">
      <c r="A385" s="21"/>
    </row>
    <row r="386" spans="1:3" x14ac:dyDescent="0.25">
      <c r="A386" s="21"/>
    </row>
    <row r="387" spans="1:3" x14ac:dyDescent="0.25">
      <c r="A387" s="21"/>
    </row>
    <row r="388" spans="1:3" x14ac:dyDescent="0.25">
      <c r="A388" s="21"/>
    </row>
    <row r="389" spans="1:3" x14ac:dyDescent="0.25">
      <c r="A389" s="21"/>
    </row>
    <row r="390" spans="1:3" x14ac:dyDescent="0.25">
      <c r="A390" s="21"/>
    </row>
    <row r="391" spans="1:3" x14ac:dyDescent="0.25">
      <c r="A391" s="21"/>
    </row>
    <row r="392" spans="1:3" x14ac:dyDescent="0.25">
      <c r="A392" s="21"/>
    </row>
    <row r="393" spans="1:3" x14ac:dyDescent="0.25">
      <c r="A393" s="21"/>
    </row>
    <row r="394" spans="1:3" x14ac:dyDescent="0.25">
      <c r="B394" s="19">
        <v>343</v>
      </c>
      <c r="C394" s="19" t="s">
        <v>31</v>
      </c>
    </row>
  </sheetData>
  <autoFilter ref="A2:K43" xr:uid="{7B160949-FC12-41D7-8C32-033713C93EF2}">
    <filterColumn colId="3">
      <filters>
        <filter val="701"/>
        <filter val="721"/>
      </filters>
    </filterColumn>
  </autoFilter>
  <mergeCells count="5">
    <mergeCell ref="G1:G2"/>
    <mergeCell ref="A1:A2"/>
    <mergeCell ref="B1:C1"/>
    <mergeCell ref="D1:E1"/>
    <mergeCell ref="F1:F2"/>
  </mergeCells>
  <dataValidations count="3">
    <dataValidation type="list" allowBlank="1" showInputMessage="1" showErrorMessage="1" sqref="B332:B1048576 B112:B125 D143:D148 D131:D136 B129:B137 D154 D151:D152 B153 B141:B149 D157 D171 D183 D197:D205 D215 B155:B194 D218:D219 D225 D221:D222 D232 B196:B220 B223:B226 D317 D270:D281 D234:D261 D263 B290:B318 D319 B288 C290:C291 D292:D295 B230:B262 B264:B285 D308:D311 D285:D288 B320:B328 D329 D331 D52:D56 B47:B49 B55:B110 B1:B2 D12:D13 D15 B11:B23 D38:D49 B30:B33 D17:D35 B35 B41:B42 B44:B45" xr:uid="{00000000-0002-0000-0100-000000000000}">
      <formula1>Hesablar</formula1>
    </dataValidation>
    <dataValidation type="list" allowBlank="1" showInputMessage="1" showErrorMessage="1" sqref="C332:C1048576 C112:C125 E143:E148 C129:C130 E131:E136 C134:C137 C141:C142 E154 E151:E152 C146:C149 C153 D149:D150 B150:B152 E157 E171 E183 E197:E205 E215 C155:C194 E218:E219 E225 E221:E222 C230:C231 E232 C196:C220 C223:C226 E263 E317 E270:E281 E234:E261 D289:D291 C264:C288 E319 B289 E308:E311 C235:C262 E292:E295 C292:C318 E285:E288 C320:C328 E329 E331 E52:E56 C47:C49 C54:C110 C1:C2 E12:E13 E15 C11:C23 E38:E49 C30:C33 E17:E35 C35 C40:C42 C44:C45" xr:uid="{00000000-0002-0000-0100-000001000000}">
      <formula1>HesablarA</formula1>
    </dataValidation>
    <dataValidation type="list" allowBlank="1" showInputMessage="1" showErrorMessage="1" sqref="I18:I26" xr:uid="{C0ADBCB7-7685-45F2-879C-9A59AD71E5D2}">
      <formula1>$XFB$6:$XFB$115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9"/>
  <sheetViews>
    <sheetView tabSelected="1" zoomScale="93" zoomScaleNormal="93" workbookViewId="0">
      <pane xSplit="3" ySplit="3" topLeftCell="D4" activePane="bottomRight" state="frozen"/>
      <selection activeCell="D292" sqref="D292:E292"/>
      <selection pane="topRight" activeCell="D292" sqref="D292:E292"/>
      <selection pane="bottomLeft" activeCell="D292" sqref="D292:E292"/>
      <selection pane="bottomRight" activeCell="J1" sqref="J1:J1048576"/>
    </sheetView>
  </sheetViews>
  <sheetFormatPr defaultRowHeight="15" x14ac:dyDescent="0.25"/>
  <cols>
    <col min="1" max="1" width="9.42578125" style="39" bestFit="1" customWidth="1"/>
    <col min="2" max="2" width="11.85546875" style="56" customWidth="1"/>
    <col min="3" max="3" width="45.85546875" style="39" customWidth="1"/>
    <col min="4" max="5" width="13.140625" style="39" bestFit="1" customWidth="1"/>
    <col min="6" max="7" width="14" style="39" bestFit="1" customWidth="1"/>
    <col min="8" max="9" width="12.85546875" style="39" bestFit="1" customWidth="1"/>
    <col min="10" max="10" width="10.7109375" style="39" bestFit="1" customWidth="1"/>
    <col min="11" max="11" width="9.140625" style="39"/>
    <col min="12" max="12" width="10.140625" style="39" bestFit="1" customWidth="1"/>
    <col min="13" max="13" width="12" style="39" bestFit="1" customWidth="1"/>
    <col min="14" max="16384" width="9.140625" style="39"/>
  </cols>
  <sheetData>
    <row r="1" spans="1:14" s="18" customFormat="1" x14ac:dyDescent="0.25">
      <c r="A1" s="20"/>
      <c r="B1" s="4" t="s">
        <v>9</v>
      </c>
      <c r="C1" s="11">
        <v>44713</v>
      </c>
      <c r="D1" s="9">
        <f t="shared" ref="D1:I1" si="0">SUM(D4:D49)</f>
        <v>2261899.6100000003</v>
      </c>
      <c r="E1" s="9">
        <f t="shared" si="0"/>
        <v>2261899.61</v>
      </c>
      <c r="F1" s="9">
        <f t="shared" si="0"/>
        <v>6609596.6044593463</v>
      </c>
      <c r="G1" s="9">
        <f t="shared" si="0"/>
        <v>6609596.6044593453</v>
      </c>
      <c r="H1" s="9">
        <f t="shared" si="0"/>
        <v>2715158.2</v>
      </c>
      <c r="I1" s="9">
        <f t="shared" si="0"/>
        <v>2715158.1999999993</v>
      </c>
      <c r="L1" s="43">
        <f>D1-E1</f>
        <v>0</v>
      </c>
      <c r="M1" s="43">
        <f>F1-G1</f>
        <v>0</v>
      </c>
      <c r="N1" s="43">
        <f>H1-I1</f>
        <v>0</v>
      </c>
    </row>
    <row r="2" spans="1:14" s="18" customFormat="1" x14ac:dyDescent="0.25">
      <c r="A2" s="20"/>
      <c r="B2" s="16" t="s">
        <v>19</v>
      </c>
      <c r="C2" s="7">
        <v>44742</v>
      </c>
      <c r="D2" s="73" t="s">
        <v>3</v>
      </c>
      <c r="E2" s="73"/>
      <c r="F2" s="73" t="s">
        <v>7</v>
      </c>
      <c r="G2" s="73"/>
      <c r="H2" s="73" t="s">
        <v>4</v>
      </c>
      <c r="I2" s="73"/>
    </row>
    <row r="3" spans="1:14" s="18" customFormat="1" x14ac:dyDescent="0.25">
      <c r="A3" s="17" t="s">
        <v>19</v>
      </c>
      <c r="B3" s="17" t="s">
        <v>20</v>
      </c>
      <c r="C3" s="17" t="s">
        <v>27</v>
      </c>
      <c r="D3" s="6" t="s">
        <v>0</v>
      </c>
      <c r="E3" s="6" t="s">
        <v>1</v>
      </c>
      <c r="F3" s="6" t="s">
        <v>0</v>
      </c>
      <c r="G3" s="6" t="s">
        <v>1</v>
      </c>
      <c r="H3" s="6" t="s">
        <v>0</v>
      </c>
      <c r="I3" s="6" t="s">
        <v>1</v>
      </c>
    </row>
    <row r="4" spans="1:14" s="18" customFormat="1" x14ac:dyDescent="0.25">
      <c r="A4" s="19" t="s">
        <v>34</v>
      </c>
      <c r="B4" s="19" t="s">
        <v>21</v>
      </c>
      <c r="C4" s="20" t="s">
        <v>76</v>
      </c>
      <c r="D4" s="8">
        <v>446527.1</v>
      </c>
      <c r="E4" s="8">
        <v>0</v>
      </c>
      <c r="F4" s="8">
        <f>SUMIFS(MuhYazilis!$F$3:$F$5984,MuhYazilis!$B$3:$B$5984,A4,MuhYazilis!$C$3:$C$5984,B4,MuhYazilis!$A$3:$A$5984,"&gt;="&amp;$C$1,MuhYazilis!$A$3:$A$5984,"&lt;="&amp;$C$2)</f>
        <v>635831.28</v>
      </c>
      <c r="G4" s="8">
        <f>SUMIFS(MuhYazilis!$F$3:$F$5984,MuhYazilis!$D$3:$D$5984,A4,MuhYazilis!$E$3:$E$5984,B4,MuhYazilis!$A$3:$A$5984,"&gt;="&amp;$C$1,MuhYazilis!$A$3:$A$5984,"&lt;="&amp;$C$2)</f>
        <v>510687.9</v>
      </c>
      <c r="H4" s="25">
        <f t="shared" ref="H4:H49" si="1">IF(((D4-E4)+(F4-G4))&lt;0,0,(D4-E4)+(F4-G4))</f>
        <v>571670.48</v>
      </c>
      <c r="I4" s="8">
        <f t="shared" ref="I4:I49" si="2">IF((((D4-E4)+(F4-G4)))&lt;0,-((D4-E4)+(F4-G4)),0)</f>
        <v>0</v>
      </c>
    </row>
    <row r="5" spans="1:14" s="18" customFormat="1" x14ac:dyDescent="0.25">
      <c r="A5" s="19" t="s">
        <v>34</v>
      </c>
      <c r="B5" s="19" t="s">
        <v>23</v>
      </c>
      <c r="C5" s="20" t="s">
        <v>122</v>
      </c>
      <c r="D5" s="8">
        <f>IF(SUMIFS(MuhYazilis!$F$3:$F$5984,MuhYazilis!$B$3:$B$5984,A5,MuhYazilis!$C$3:$C$5984,B5,MuhYazilis!$A$3:$A$5984,"&lt;"&amp;$C$1)-SUMIFS(MuhYazilis!$F$3:$F$5984,MuhYazilis!$D$3:$D$5984,A5,MuhYazilis!$E$3:$E$5984,B5,MuhYazilis!$A$3:$A$5984,"&lt;"&amp;$C$1)&lt;0,0,SUMIFS(MuhYazilis!$F$3:$F$5984,MuhYazilis!$B$3:$B$5984,A5,MuhYazilis!$C$3:$C$5984,B5,MuhYazilis!$A$3:$A$5984,"&lt;"&amp;$C$1)-SUMIFS(MuhYazilis!$F$3:$F$5984,MuhYazilis!$D$3:$D$5984,A5,MuhYazilis!$E$3:$E$5984,B5,MuhYazilis!$A$3:$A$5984,"&lt;"&amp;$C$1))</f>
        <v>0</v>
      </c>
      <c r="E5" s="8">
        <f>IF(SUMIFS(MuhYazilis!$F$3:$F$5984,MuhYazilis!$B$3:$B$5984,A5,MuhYazilis!$C$3:$C$5984,B5,MuhYazilis!$A$3:$A$5984,"&lt;"&amp;$C$1)-SUMIFS(MuhYazilis!$F$3:$F$5984,MuhYazilis!$D$3:$D$5984,A5,MuhYazilis!$E$3:$E$5984,B5,MuhYazilis!$A$3:$A$5984,"&lt;"&amp;$C$1)&lt;0,-(SUMIFS(MuhYazilis!$F$3:$F$5984,MuhYazilis!$B$3:$B$5984,A5,MuhYazilis!$C$3:$C$5984,B5,MuhYazilis!$A$3:$A$5984,"&lt;"&amp;$C$1)-SUMIFS(MuhYazilis!$F$3:$F$5984,MuhYazilis!$D$3:$D$5984,A5,MuhYazilis!$E$3:$E$5984,B5,MuhYazilis!$A$3:$A$5984,"&lt;"&amp;$C$1)),0)</f>
        <v>0</v>
      </c>
      <c r="F5" s="25">
        <f>SUMIFS(MuhYazilis!$F$3:$F$5984,MuhYazilis!$B$3:$B$5984,A5,MuhYazilis!$C$3:$C$5984,B5,MuhYazilis!$A$3:$A$5984,"&gt;="&amp;$C$1,MuhYazilis!$A$3:$A$5984,"&lt;="&amp;$C$2)</f>
        <v>434525.41</v>
      </c>
      <c r="G5" s="25">
        <f>SUMIFS(MuhYazilis!$F$3:$F$5984,MuhYazilis!$D$3:$D$5984,A5,MuhYazilis!$E$3:$E$5984,B5,MuhYazilis!$A$3:$A$5984,"&gt;="&amp;$C$1,MuhYazilis!$A$3:$A$5984,"&lt;="&amp;$C$2)</f>
        <v>349020.03222967306</v>
      </c>
      <c r="H5" s="8">
        <f t="shared" ref="H5" si="3">IF(((D5-E5)+(F5-G5))&lt;0,0,(D5-E5)+(F5-G5))</f>
        <v>85505.377770326915</v>
      </c>
      <c r="I5" s="8">
        <f t="shared" ref="I5" si="4">IF((((D5-E5)+(F5-G5)))&lt;0,-((D5-E5)+(F5-G5)),0)</f>
        <v>0</v>
      </c>
    </row>
    <row r="6" spans="1:14" s="18" customFormat="1" x14ac:dyDescent="0.25">
      <c r="A6" s="19" t="s">
        <v>34</v>
      </c>
      <c r="B6" s="19" t="s">
        <v>22</v>
      </c>
      <c r="C6" s="20" t="s">
        <v>124</v>
      </c>
      <c r="D6" s="8">
        <f>IF(SUMIFS(MuhYazilis!$F$3:$F$5984,MuhYazilis!$B$3:$B$5984,A6,MuhYazilis!$C$3:$C$5984,B6,MuhYazilis!$A$3:$A$5984,"&lt;"&amp;$C$1)-SUMIFS(MuhYazilis!$F$3:$F$5984,MuhYazilis!$D$3:$D$5984,A6,MuhYazilis!$E$3:$E$5984,B6,MuhYazilis!$A$3:$A$5984,"&lt;"&amp;$C$1)&lt;0,0,SUMIFS(MuhYazilis!$F$3:$F$5984,MuhYazilis!$B$3:$B$5984,A6,MuhYazilis!$C$3:$C$5984,B6,MuhYazilis!$A$3:$A$5984,"&lt;"&amp;$C$1)-SUMIFS(MuhYazilis!$F$3:$F$5984,MuhYazilis!$D$3:$D$5984,A6,MuhYazilis!$E$3:$E$5984,B6,MuhYazilis!$A$3:$A$5984,"&lt;"&amp;$C$1))</f>
        <v>0</v>
      </c>
      <c r="E6" s="8">
        <f>IF(SUMIFS(MuhYazilis!$F$3:$F$5984,MuhYazilis!$B$3:$B$5984,A6,MuhYazilis!$C$3:$C$5984,B6,MuhYazilis!$A$3:$A$5984,"&lt;"&amp;$C$1)-SUMIFS(MuhYazilis!$F$3:$F$5984,MuhYazilis!$D$3:$D$5984,A6,MuhYazilis!$E$3:$E$5984,B6,MuhYazilis!$A$3:$A$5984,"&lt;"&amp;$C$1)&lt;0,-(SUMIFS(MuhYazilis!$F$3:$F$5984,MuhYazilis!$B$3:$B$5984,A6,MuhYazilis!$C$3:$C$5984,B6,MuhYazilis!$A$3:$A$5984,"&lt;"&amp;$C$1)-SUMIFS(MuhYazilis!$F$3:$F$5984,MuhYazilis!$D$3:$D$5984,A6,MuhYazilis!$E$3:$E$5984,B6,MuhYazilis!$A$3:$A$5984,"&lt;"&amp;$C$1)),0)</f>
        <v>0</v>
      </c>
      <c r="F6" s="25">
        <f>SUMIFS(MuhYazilis!$F$3:$F$5984,MuhYazilis!$B$3:$B$5984,A6,MuhYazilis!$C$3:$C$5984,B6,MuhYazilis!$A$3:$A$5984,"&gt;="&amp;$C$1,MuhYazilis!$A$3:$A$5984,"&lt;="&amp;$C$2)</f>
        <v>289217.43</v>
      </c>
      <c r="G6" s="25">
        <f>SUMIFS(MuhYazilis!$F$3:$F$5984,MuhYazilis!$D$3:$D$5984,A6,MuhYazilis!$E$3:$E$5984,B6,MuhYazilis!$A$3:$A$5984,"&gt;="&amp;$C$1,MuhYazilis!$A$3:$A$5984,"&lt;="&amp;$C$2)</f>
        <v>0</v>
      </c>
      <c r="H6" s="8">
        <f t="shared" ref="H6" si="5">IF(((D6-E6)+(F6-G6))&lt;0,0,(D6-E6)+(F6-G6))</f>
        <v>289217.43</v>
      </c>
      <c r="I6" s="8">
        <f t="shared" ref="I6" si="6">IF((((D6-E6)+(F6-G6)))&lt;0,-((D6-E6)+(F6-G6)),0)</f>
        <v>0</v>
      </c>
    </row>
    <row r="7" spans="1:14" s="18" customFormat="1" x14ac:dyDescent="0.25">
      <c r="A7" s="19" t="s">
        <v>34</v>
      </c>
      <c r="B7" s="19" t="s">
        <v>24</v>
      </c>
      <c r="C7" s="20" t="s">
        <v>125</v>
      </c>
      <c r="D7" s="8">
        <f>IF(SUMIFS(MuhYazilis!$F$3:$F$5984,MuhYazilis!$B$3:$B$5984,A7,MuhYazilis!$C$3:$C$5984,B7,MuhYazilis!$A$3:$A$5984,"&lt;"&amp;$C$1)-SUMIFS(MuhYazilis!$F$3:$F$5984,MuhYazilis!$D$3:$D$5984,A7,MuhYazilis!$E$3:$E$5984,B7,MuhYazilis!$A$3:$A$5984,"&lt;"&amp;$C$1)&lt;0,0,SUMIFS(MuhYazilis!$F$3:$F$5984,MuhYazilis!$B$3:$B$5984,A7,MuhYazilis!$C$3:$C$5984,B7,MuhYazilis!$A$3:$A$5984,"&lt;"&amp;$C$1)-SUMIFS(MuhYazilis!$F$3:$F$5984,MuhYazilis!$D$3:$D$5984,A7,MuhYazilis!$E$3:$E$5984,B7,MuhYazilis!$A$3:$A$5984,"&lt;"&amp;$C$1))</f>
        <v>0</v>
      </c>
      <c r="E7" s="8">
        <f>IF(SUMIFS(MuhYazilis!$F$3:$F$5984,MuhYazilis!$B$3:$B$5984,A7,MuhYazilis!$C$3:$C$5984,B7,MuhYazilis!$A$3:$A$5984,"&lt;"&amp;$C$1)-SUMIFS(MuhYazilis!$F$3:$F$5984,MuhYazilis!$D$3:$D$5984,A7,MuhYazilis!$E$3:$E$5984,B7,MuhYazilis!$A$3:$A$5984,"&lt;"&amp;$C$1)&lt;0,-(SUMIFS(MuhYazilis!$F$3:$F$5984,MuhYazilis!$B$3:$B$5984,A7,MuhYazilis!$C$3:$C$5984,B7,MuhYazilis!$A$3:$A$5984,"&lt;"&amp;$C$1)-SUMIFS(MuhYazilis!$F$3:$F$5984,MuhYazilis!$D$3:$D$5984,A7,MuhYazilis!$E$3:$E$5984,B7,MuhYazilis!$A$3:$A$5984,"&lt;"&amp;$C$1)),0)</f>
        <v>0</v>
      </c>
      <c r="F7" s="25">
        <f>SUMIFS(MuhYazilis!$F$3:$F$5984,MuhYazilis!$B$3:$B$5984,A7,MuhYazilis!$C$3:$C$5984,B7,MuhYazilis!$A$3:$A$5984,"&gt;="&amp;$C$1,MuhYazilis!$A$3:$A$5984,"&lt;="&amp;$C$2)</f>
        <v>47307.9</v>
      </c>
      <c r="G7" s="25">
        <f>SUMIFS(MuhYazilis!$F$3:$F$5984,MuhYazilis!$D$3:$D$5984,A7,MuhYazilis!$E$3:$E$5984,B7,MuhYazilis!$A$3:$A$5984,"&gt;="&amp;$C$1,MuhYazilis!$A$3:$A$5984,"&lt;="&amp;$C$2)</f>
        <v>39162.899999999994</v>
      </c>
      <c r="H7" s="8">
        <f t="shared" ref="H7" si="7">IF(((D7-E7)+(F7-G7))&lt;0,0,(D7-E7)+(F7-G7))</f>
        <v>8145.0000000000073</v>
      </c>
      <c r="I7" s="8">
        <f t="shared" ref="I7" si="8">IF((((D7-E7)+(F7-G7)))&lt;0,-((D7-E7)+(F7-G7)),0)</f>
        <v>0</v>
      </c>
    </row>
    <row r="8" spans="1:14" s="18" customFormat="1" x14ac:dyDescent="0.25">
      <c r="A8" s="19" t="s">
        <v>33</v>
      </c>
      <c r="B8" s="19" t="s">
        <v>21</v>
      </c>
      <c r="C8" s="22" t="s">
        <v>78</v>
      </c>
      <c r="D8" s="8">
        <v>139332</v>
      </c>
      <c r="E8" s="8">
        <v>0</v>
      </c>
      <c r="F8" s="8">
        <f>SUMIFS(MuhYazilis!$F$3:$F$5984,MuhYazilis!$B$3:$B$5984,A8,MuhYazilis!$C$3:$C$5984,B8,MuhYazilis!$A$3:$A$5984,"&gt;="&amp;$C$1,MuhYazilis!$A$3:$A$5984,"&lt;="&amp;$C$2)</f>
        <v>0</v>
      </c>
      <c r="G8" s="8">
        <f>SUMIFS(MuhYazilis!$F$3:$F$5984,MuhYazilis!$D$3:$D$5984,A8,MuhYazilis!$E$3:$E$5984,B8,MuhYazilis!$A$3:$A$5984,"&gt;="&amp;$C$1,MuhYazilis!$A$3:$A$5984,"&lt;="&amp;$C$2)</f>
        <v>0</v>
      </c>
      <c r="H8" s="57">
        <f t="shared" ref="H8" si="9">IF(((D8-E8)+(F8-G8))&lt;0,0,(D8-E8)+(F8-G8))</f>
        <v>139332</v>
      </c>
      <c r="I8" s="8">
        <f t="shared" ref="I8" si="10">IF((((D8-E8)+(F8-G8)))&lt;0,-((D8-E8)+(F8-G8)),0)</f>
        <v>0</v>
      </c>
      <c r="J8" s="51"/>
      <c r="K8" s="52"/>
      <c r="L8" s="52"/>
      <c r="M8" s="51"/>
    </row>
    <row r="9" spans="1:14" s="18" customFormat="1" x14ac:dyDescent="0.25">
      <c r="A9" s="19" t="s">
        <v>33</v>
      </c>
      <c r="B9" s="19" t="s">
        <v>23</v>
      </c>
      <c r="C9" s="22" t="s">
        <v>79</v>
      </c>
      <c r="D9" s="8">
        <v>20718</v>
      </c>
      <c r="E9" s="8">
        <v>0</v>
      </c>
      <c r="F9" s="8">
        <f>SUMIFS(MuhYazilis!$F$3:$F$5984,MuhYazilis!$B$3:$B$5984,A9,MuhYazilis!$C$3:$C$5984,B9,MuhYazilis!$A$3:$A$5984,"&gt;="&amp;$C$1,MuhYazilis!$A$3:$A$5984,"&lt;="&amp;$C$2)</f>
        <v>0</v>
      </c>
      <c r="G9" s="8">
        <f>SUMIFS(MuhYazilis!$F$3:$F$5984,MuhYazilis!$D$3:$D$5984,A9,MuhYazilis!$E$3:$E$5984,B9,MuhYazilis!$A$3:$A$5984,"&gt;="&amp;$C$1,MuhYazilis!$A$3:$A$5984,"&lt;="&amp;$C$2)</f>
        <v>0</v>
      </c>
      <c r="H9" s="57">
        <f t="shared" ref="H9" si="11">IF(((D9-E9)+(F9-G9))&lt;0,0,(D9-E9)+(F9-G9))</f>
        <v>20718</v>
      </c>
      <c r="I9" s="8">
        <f t="shared" ref="I9" si="12">IF((((D9-E9)+(F9-G9)))&lt;0,-((D9-E9)+(F9-G9)),0)</f>
        <v>0</v>
      </c>
      <c r="J9" s="51"/>
      <c r="K9" s="51"/>
      <c r="L9" s="51"/>
      <c r="M9" s="51"/>
    </row>
    <row r="10" spans="1:14" s="18" customFormat="1" x14ac:dyDescent="0.25">
      <c r="A10" s="19" t="s">
        <v>33</v>
      </c>
      <c r="B10" s="19" t="s">
        <v>22</v>
      </c>
      <c r="C10" s="22" t="s">
        <v>80</v>
      </c>
      <c r="D10" s="8">
        <v>30413</v>
      </c>
      <c r="E10" s="8">
        <v>0</v>
      </c>
      <c r="F10" s="8">
        <f>SUMIFS(MuhYazilis!$F$3:$F$5984,MuhYazilis!$B$3:$B$5984,A10,MuhYazilis!$C$3:$C$5984,B10,MuhYazilis!$A$3:$A$5984,"&gt;="&amp;$C$1,MuhYazilis!$A$3:$A$5984,"&lt;="&amp;$C$2)</f>
        <v>0</v>
      </c>
      <c r="G10" s="8">
        <f>SUMIFS(MuhYazilis!$F$3:$F$5984,MuhYazilis!$D$3:$D$5984,A10,MuhYazilis!$E$3:$E$5984,B10,MuhYazilis!$A$3:$A$5984,"&gt;="&amp;$C$1,MuhYazilis!$A$3:$A$5984,"&lt;="&amp;$C$2)</f>
        <v>0</v>
      </c>
      <c r="H10" s="57">
        <f t="shared" ref="H10" si="13">IF(((D10-E10)+(F10-G10))&lt;0,0,(D10-E10)+(F10-G10))</f>
        <v>30413</v>
      </c>
      <c r="I10" s="8">
        <f t="shared" ref="I10" si="14">IF((((D10-E10)+(F10-G10)))&lt;0,-((D10-E10)+(F10-G10)),0)</f>
        <v>0</v>
      </c>
      <c r="J10" s="51"/>
      <c r="K10" s="51"/>
      <c r="L10" s="76"/>
      <c r="M10" s="76"/>
    </row>
    <row r="11" spans="1:14" s="18" customFormat="1" x14ac:dyDescent="0.25">
      <c r="A11" s="19" t="s">
        <v>33</v>
      </c>
      <c r="B11" s="19" t="s">
        <v>24</v>
      </c>
      <c r="C11" s="22" t="s">
        <v>81</v>
      </c>
      <c r="D11" s="8">
        <v>13382.4</v>
      </c>
      <c r="E11" s="8">
        <v>0</v>
      </c>
      <c r="F11" s="8">
        <f>SUMIFS(MuhYazilis!$F$3:$F$5984,MuhYazilis!$B$3:$B$5984,A11,MuhYazilis!$C$3:$C$5984,B11,MuhYazilis!$A$3:$A$5984,"&gt;="&amp;$C$1,MuhYazilis!$A$3:$A$5984,"&lt;="&amp;$C$2)</f>
        <v>0</v>
      </c>
      <c r="G11" s="8">
        <f>SUMIFS(MuhYazilis!$F$3:$F$5984,MuhYazilis!$D$3:$D$5984,A11,MuhYazilis!$E$3:$E$5984,B11,MuhYazilis!$A$3:$A$5984,"&gt;="&amp;$C$1,MuhYazilis!$A$3:$A$5984,"&lt;="&amp;$C$2)</f>
        <v>0</v>
      </c>
      <c r="H11" s="57">
        <f t="shared" ref="H11" si="15">IF(((D11-E11)+(F11-G11))&lt;0,0,(D11-E11)+(F11-G11))</f>
        <v>13382.4</v>
      </c>
      <c r="I11" s="8">
        <f t="shared" ref="I11" si="16">IF((((D11-E11)+(F11-G11)))&lt;0,-((D11-E11)+(F11-G11)),0)</f>
        <v>0</v>
      </c>
      <c r="J11" s="51"/>
      <c r="K11" s="51"/>
      <c r="L11" s="51"/>
      <c r="M11" s="51"/>
    </row>
    <row r="12" spans="1:14" s="18" customFormat="1" x14ac:dyDescent="0.25">
      <c r="A12" s="19" t="s">
        <v>33</v>
      </c>
      <c r="B12" s="19" t="s">
        <v>141</v>
      </c>
      <c r="C12" s="20" t="s">
        <v>134</v>
      </c>
      <c r="D12" s="8">
        <f>IF(SUMIFS(MuhYazilis!$F$3:$F$5984,MuhYazilis!$B$3:$B$5984,A12,MuhYazilis!$C$3:$C$5984,B12,MuhYazilis!$A$3:$A$5984,"&lt;"&amp;$C$1)-SUMIFS(MuhYazilis!$F$3:$F$5984,MuhYazilis!$D$3:$D$5984,A12,MuhYazilis!$E$3:$E$5984,B12,MuhYazilis!$A$3:$A$5984,"&lt;"&amp;$C$1)&lt;0,0,SUMIFS(MuhYazilis!$F$3:$F$5984,MuhYazilis!$B$3:$B$5984,A12,MuhYazilis!$C$3:$C$5984,B12,MuhYazilis!$A$3:$A$5984,"&lt;"&amp;$C$1)-SUMIFS(MuhYazilis!$F$3:$F$5984,MuhYazilis!$D$3:$D$5984,A12,MuhYazilis!$E$3:$E$5984,B12,MuhYazilis!$A$3:$A$5984,"&lt;"&amp;$C$1))</f>
        <v>0</v>
      </c>
      <c r="E12" s="8">
        <f>IF(SUMIFS(MuhYazilis!$F$3:$F$5984,MuhYazilis!$B$3:$B$5984,A12,MuhYazilis!$C$3:$C$5984,B12,MuhYazilis!$A$3:$A$5984,"&lt;"&amp;$C$1)-SUMIFS(MuhYazilis!$F$3:$F$5984,MuhYazilis!$D$3:$D$5984,A12,MuhYazilis!$E$3:$E$5984,B12,MuhYazilis!$A$3:$A$5984,"&lt;"&amp;$C$1)&lt;0,-(SUMIFS(MuhYazilis!$F$3:$F$5984,MuhYazilis!$B$3:$B$5984,A12,MuhYazilis!$C$3:$C$5984,B12,MuhYazilis!$A$3:$A$5984,"&lt;"&amp;$C$1)-SUMIFS(MuhYazilis!$F$3:$F$5984,MuhYazilis!$D$3:$D$5984,A12,MuhYazilis!$E$3:$E$5984,B12,MuhYazilis!$A$3:$A$5984,"&lt;"&amp;$C$1)),0)</f>
        <v>0</v>
      </c>
      <c r="F12" s="25">
        <f>SUMIFS(MuhYazilis!$F$3:$F$5984,MuhYazilis!$B$3:$B$5984,A12,MuhYazilis!$C$3:$C$5984,B12,MuhYazilis!$A$3:$A$5984,"&gt;="&amp;$C$1,MuhYazilis!$A$3:$A$5984,"&lt;="&amp;$C$2)</f>
        <v>726306.23</v>
      </c>
      <c r="G12" s="25">
        <f>SUMIFS(MuhYazilis!$F$3:$F$5984,MuhYazilis!$D$3:$D$5984,A12,MuhYazilis!$E$3:$E$5984,B12,MuhYazilis!$A$3:$A$5984,"&gt;="&amp;$C$1,MuhYazilis!$A$3:$A$5984,"&lt;="&amp;$C$2)</f>
        <v>85000</v>
      </c>
      <c r="H12" s="57">
        <f t="shared" ref="H12" si="17">IF(((D12-E12)+(F12-G12))&lt;0,0,(D12-E12)+(F12-G12))</f>
        <v>641306.23</v>
      </c>
      <c r="I12" s="8">
        <f t="shared" ref="I12" si="18">IF((((D12-E12)+(F12-G12)))&lt;0,-((D12-E12)+(F12-G12)),0)</f>
        <v>0</v>
      </c>
      <c r="J12" s="52"/>
      <c r="K12" s="52"/>
      <c r="L12" s="52"/>
      <c r="M12" s="52"/>
    </row>
    <row r="13" spans="1:14" s="18" customFormat="1" x14ac:dyDescent="0.25">
      <c r="A13" s="19" t="s">
        <v>33</v>
      </c>
      <c r="B13" s="19" t="s">
        <v>150</v>
      </c>
      <c r="C13" s="20" t="s">
        <v>143</v>
      </c>
      <c r="D13" s="8">
        <f>IF(SUMIFS(MuhYazilis!$F$3:$F$5984,MuhYazilis!$B$3:$B$5984,A13,MuhYazilis!$C$3:$C$5984,B13,MuhYazilis!$A$3:$A$5984,"&lt;"&amp;$C$1)-SUMIFS(MuhYazilis!$F$3:$F$5984,MuhYazilis!$D$3:$D$5984,A13,MuhYazilis!$E$3:$E$5984,B13,MuhYazilis!$A$3:$A$5984,"&lt;"&amp;$C$1)&lt;0,0,SUMIFS(MuhYazilis!$F$3:$F$5984,MuhYazilis!$B$3:$B$5984,A13,MuhYazilis!$C$3:$C$5984,B13,MuhYazilis!$A$3:$A$5984,"&lt;"&amp;$C$1)-SUMIFS(MuhYazilis!$F$3:$F$5984,MuhYazilis!$D$3:$D$5984,A13,MuhYazilis!$E$3:$E$5984,B13,MuhYazilis!$A$3:$A$5984,"&lt;"&amp;$C$1))</f>
        <v>0</v>
      </c>
      <c r="E13" s="8">
        <f>IF(SUMIFS(MuhYazilis!$F$3:$F$5984,MuhYazilis!$B$3:$B$5984,A13,MuhYazilis!$C$3:$C$5984,B13,MuhYazilis!$A$3:$A$5984,"&lt;"&amp;$C$1)-SUMIFS(MuhYazilis!$F$3:$F$5984,MuhYazilis!$D$3:$D$5984,A13,MuhYazilis!$E$3:$E$5984,B13,MuhYazilis!$A$3:$A$5984,"&lt;"&amp;$C$1)&lt;0,-(SUMIFS(MuhYazilis!$F$3:$F$5984,MuhYazilis!$B$3:$B$5984,A13,MuhYazilis!$C$3:$C$5984,B13,MuhYazilis!$A$3:$A$5984,"&lt;"&amp;$C$1)-SUMIFS(MuhYazilis!$F$3:$F$5984,MuhYazilis!$D$3:$D$5984,A13,MuhYazilis!$E$3:$E$5984,B13,MuhYazilis!$A$3:$A$5984,"&lt;"&amp;$C$1)),0)</f>
        <v>0</v>
      </c>
      <c r="F13" s="25">
        <f>SUMIFS(MuhYazilis!$F$3:$F$5984,MuhYazilis!$B$3:$B$5984,A13,MuhYazilis!$C$3:$C$5984,B13,MuhYazilis!$A$3:$A$5984,"&gt;="&amp;$C$1,MuhYazilis!$A$3:$A$5984,"&lt;="&amp;$C$2)</f>
        <v>354114.04000000004</v>
      </c>
      <c r="G13" s="25">
        <f>SUMIFS(MuhYazilis!$F$3:$F$5984,MuhYazilis!$D$3:$D$5984,A13,MuhYazilis!$E$3:$E$5984,B13,MuhYazilis!$A$3:$A$5984,"&gt;="&amp;$C$1,MuhYazilis!$A$3:$A$5984,"&lt;="&amp;$C$2)</f>
        <v>58600.240000000005</v>
      </c>
      <c r="H13" s="58">
        <f t="shared" ref="H13" si="19">IF(((D13-E13)+(F13-G13))&lt;0,0,(D13-E13)+(F13-G13))</f>
        <v>295513.80000000005</v>
      </c>
      <c r="I13" s="8">
        <f t="shared" ref="I13" si="20">IF((((D13-E13)+(F13-G13)))&lt;0,-((D13-E13)+(F13-G13)),0)</f>
        <v>0</v>
      </c>
      <c r="J13" s="52"/>
      <c r="K13" s="52"/>
      <c r="L13" s="52"/>
      <c r="M13" s="52"/>
    </row>
    <row r="14" spans="1:14" s="18" customFormat="1" x14ac:dyDescent="0.25">
      <c r="A14" s="19" t="s">
        <v>33</v>
      </c>
      <c r="B14" s="19" t="s">
        <v>142</v>
      </c>
      <c r="C14" s="20" t="s">
        <v>144</v>
      </c>
      <c r="D14" s="8">
        <f>IF(SUMIFS(MuhYazilis!$F$3:$F$5984,MuhYazilis!$B$3:$B$5984,A14,MuhYazilis!$C$3:$C$5984,B14,MuhYazilis!$A$3:$A$5984,"&lt;"&amp;$C$1)-SUMIFS(MuhYazilis!$F$3:$F$5984,MuhYazilis!$D$3:$D$5984,A14,MuhYazilis!$E$3:$E$5984,B14,MuhYazilis!$A$3:$A$5984,"&lt;"&amp;$C$1)&lt;0,0,SUMIFS(MuhYazilis!$F$3:$F$5984,MuhYazilis!$B$3:$B$5984,A14,MuhYazilis!$C$3:$C$5984,B14,MuhYazilis!$A$3:$A$5984,"&lt;"&amp;$C$1)-SUMIFS(MuhYazilis!$F$3:$F$5984,MuhYazilis!$D$3:$D$5984,A14,MuhYazilis!$E$3:$E$5984,B14,MuhYazilis!$A$3:$A$5984,"&lt;"&amp;$C$1))</f>
        <v>0</v>
      </c>
      <c r="E14" s="8">
        <f>IF(SUMIFS(MuhYazilis!$F$3:$F$5984,MuhYazilis!$B$3:$B$5984,A14,MuhYazilis!$C$3:$C$5984,B14,MuhYazilis!$A$3:$A$5984,"&lt;"&amp;$C$1)-SUMIFS(MuhYazilis!$F$3:$F$5984,MuhYazilis!$D$3:$D$5984,A14,MuhYazilis!$E$3:$E$5984,B14,MuhYazilis!$A$3:$A$5984,"&lt;"&amp;$C$1)&lt;0,-(SUMIFS(MuhYazilis!$F$3:$F$5984,MuhYazilis!$B$3:$B$5984,A14,MuhYazilis!$C$3:$C$5984,B14,MuhYazilis!$A$3:$A$5984,"&lt;"&amp;$C$1)-SUMIFS(MuhYazilis!$F$3:$F$5984,MuhYazilis!$D$3:$D$5984,A14,MuhYazilis!$E$3:$E$5984,B14,MuhYazilis!$A$3:$A$5984,"&lt;"&amp;$C$1)),0)</f>
        <v>0</v>
      </c>
      <c r="F14" s="25">
        <f>SUMIFS(MuhYazilis!$F$3:$F$5984,MuhYazilis!$B$3:$B$5984,A14,MuhYazilis!$C$3:$C$5984,B14,MuhYazilis!$A$3:$A$5984,"&gt;="&amp;$C$1,MuhYazilis!$A$3:$A$5984,"&lt;="&amp;$C$2)</f>
        <v>46656</v>
      </c>
      <c r="G14" s="25">
        <f>SUMIFS(MuhYazilis!$F$3:$F$5984,MuhYazilis!$D$3:$D$5984,A14,MuhYazilis!$E$3:$E$5984,B14,MuhYazilis!$A$3:$A$5984,"&gt;="&amp;$C$1,MuhYazilis!$A$3:$A$5984,"&lt;="&amp;$C$2)</f>
        <v>0</v>
      </c>
      <c r="H14" s="58">
        <f>IF(((D14-E14)+(F14-G14))&lt;0,0,(D14-E14)+(F14-G14))</f>
        <v>46656</v>
      </c>
      <c r="I14" s="8">
        <f>IF((((D14-E14)+(F14-G14)))&lt;0,-((D14-E14)+(F14-G14)),0)</f>
        <v>0</v>
      </c>
      <c r="J14" s="52"/>
      <c r="K14" s="52"/>
      <c r="L14" s="52"/>
      <c r="M14" s="52"/>
    </row>
    <row r="15" spans="1:14" s="18" customFormat="1" x14ac:dyDescent="0.25">
      <c r="A15" s="19" t="s">
        <v>33</v>
      </c>
      <c r="B15" s="19" t="s">
        <v>146</v>
      </c>
      <c r="C15" s="20" t="s">
        <v>145</v>
      </c>
      <c r="D15" s="8">
        <f>IF(SUMIFS(MuhYazilis!$F$3:$F$5984,MuhYazilis!$B$3:$B$5984,A15,MuhYazilis!$C$3:$C$5984,B15,MuhYazilis!$A$3:$A$5984,"&lt;"&amp;$C$1)-SUMIFS(MuhYazilis!$F$3:$F$5984,MuhYazilis!$D$3:$D$5984,A15,MuhYazilis!$E$3:$E$5984,B15,MuhYazilis!$A$3:$A$5984,"&lt;"&amp;$C$1)&lt;0,0,SUMIFS(MuhYazilis!$F$3:$F$5984,MuhYazilis!$B$3:$B$5984,A15,MuhYazilis!$C$3:$C$5984,B15,MuhYazilis!$A$3:$A$5984,"&lt;"&amp;$C$1)-SUMIFS(MuhYazilis!$F$3:$F$5984,MuhYazilis!$D$3:$D$5984,A15,MuhYazilis!$E$3:$E$5984,B15,MuhYazilis!$A$3:$A$5984,"&lt;"&amp;$C$1))</f>
        <v>0</v>
      </c>
      <c r="E15" s="8">
        <f>IF(SUMIFS(MuhYazilis!$F$3:$F$5984,MuhYazilis!$B$3:$B$5984,A15,MuhYazilis!$C$3:$C$5984,B15,MuhYazilis!$A$3:$A$5984,"&lt;"&amp;$C$1)-SUMIFS(MuhYazilis!$F$3:$F$5984,MuhYazilis!$D$3:$D$5984,A15,MuhYazilis!$E$3:$E$5984,B15,MuhYazilis!$A$3:$A$5984,"&lt;"&amp;$C$1)&lt;0,-(SUMIFS(MuhYazilis!$F$3:$F$5984,MuhYazilis!$B$3:$B$5984,A15,MuhYazilis!$C$3:$C$5984,B15,MuhYazilis!$A$3:$A$5984,"&lt;"&amp;$C$1)-SUMIFS(MuhYazilis!$F$3:$F$5984,MuhYazilis!$D$3:$D$5984,A15,MuhYazilis!$E$3:$E$5984,B15,MuhYazilis!$A$3:$A$5984,"&lt;"&amp;$C$1)),0)</f>
        <v>0</v>
      </c>
      <c r="F15" s="8">
        <f>SUMIFS(MuhYazilis!$F$3:$F$5984,MuhYazilis!$B$3:$B$5984,A15,MuhYazilis!$C$3:$C$5984,B15,MuhYazilis!$A$3:$A$5984,"&gt;="&amp;$C$1,MuhYazilis!$A$3:$A$5984,"&lt;="&amp;$C$2)</f>
        <v>70975</v>
      </c>
      <c r="G15" s="8">
        <f>SUMIFS(MuhYazilis!$F$3:$F$5984,MuhYazilis!$D$3:$D$5984,A15,MuhYazilis!$E$3:$E$5984,B15,MuhYazilis!$A$3:$A$5984,"&gt;="&amp;$C$1,MuhYazilis!$A$3:$A$5984,"&lt;="&amp;$C$2)</f>
        <v>26400</v>
      </c>
      <c r="H15" s="58">
        <f>IF(((D15-E15)+(F15-G15))&lt;0,0,(D15-E15)+(F15-G15))</f>
        <v>44575</v>
      </c>
      <c r="I15" s="8">
        <f>IF((((D15-E15)+(F15-G15)))&lt;0,-((D15-E15)+(F15-G15)),0)</f>
        <v>0</v>
      </c>
      <c r="J15" s="52"/>
      <c r="K15" s="52"/>
      <c r="L15" s="52"/>
      <c r="M15" s="52"/>
    </row>
    <row r="16" spans="1:14" s="18" customFormat="1" x14ac:dyDescent="0.25">
      <c r="A16" s="19" t="s">
        <v>33</v>
      </c>
      <c r="B16" s="19" t="s">
        <v>149</v>
      </c>
      <c r="C16" s="20" t="s">
        <v>147</v>
      </c>
      <c r="D16" s="8">
        <f>IF(SUMIFS(MuhYazilis!$F$3:$F$5984,MuhYazilis!$B$3:$B$5984,A16,MuhYazilis!$C$3:$C$5984,B16,MuhYazilis!$A$3:$A$5984,"&lt;"&amp;$C$1)-SUMIFS(MuhYazilis!$F$3:$F$5984,MuhYazilis!$D$3:$D$5984,A16,MuhYazilis!$E$3:$E$5984,B16,MuhYazilis!$A$3:$A$5984,"&lt;"&amp;$C$1)&lt;0,0,SUMIFS(MuhYazilis!$F$3:$F$5984,MuhYazilis!$B$3:$B$5984,A16,MuhYazilis!$C$3:$C$5984,B16,MuhYazilis!$A$3:$A$5984,"&lt;"&amp;$C$1)-SUMIFS(MuhYazilis!$F$3:$F$5984,MuhYazilis!$D$3:$D$5984,A16,MuhYazilis!$E$3:$E$5984,B16,MuhYazilis!$A$3:$A$5984,"&lt;"&amp;$C$1))</f>
        <v>0</v>
      </c>
      <c r="E16" s="8">
        <f>IF(SUMIFS(MuhYazilis!$F$3:$F$5984,MuhYazilis!$B$3:$B$5984,A16,MuhYazilis!$C$3:$C$5984,B16,MuhYazilis!$A$3:$A$5984,"&lt;"&amp;$C$1)-SUMIFS(MuhYazilis!$F$3:$F$5984,MuhYazilis!$D$3:$D$5984,A16,MuhYazilis!$E$3:$E$5984,B16,MuhYazilis!$A$3:$A$5984,"&lt;"&amp;$C$1)&lt;0,-(SUMIFS(MuhYazilis!$F$3:$F$5984,MuhYazilis!$B$3:$B$5984,A16,MuhYazilis!$C$3:$C$5984,B16,MuhYazilis!$A$3:$A$5984,"&lt;"&amp;$C$1)-SUMIFS(MuhYazilis!$F$3:$F$5984,MuhYazilis!$D$3:$D$5984,A16,MuhYazilis!$E$3:$E$5984,B16,MuhYazilis!$A$3:$A$5984,"&lt;"&amp;$C$1)),0)</f>
        <v>0</v>
      </c>
      <c r="F16" s="8">
        <f>SUMIFS(MuhYazilis!$F$3:$F$5984,MuhYazilis!$B$3:$B$5984,A16,MuhYazilis!$C$3:$C$5984,B16,MuhYazilis!$A$3:$A$5984,"&gt;="&amp;$C$1,MuhYazilis!$A$3:$A$5984,"&lt;="&amp;$C$2)</f>
        <v>11520</v>
      </c>
      <c r="G16" s="8">
        <f>SUMIFS(MuhYazilis!$F$3:$F$5984,MuhYazilis!$D$3:$D$5984,A16,MuhYazilis!$E$3:$E$5984,B16,MuhYazilis!$A$3:$A$5984,"&gt;="&amp;$C$1,MuhYazilis!$A$3:$A$5984,"&lt;="&amp;$C$2)</f>
        <v>11520.86</v>
      </c>
      <c r="H16" s="58">
        <f t="shared" ref="H16" si="21">IF(((D16-E16)+(F16-G16))&lt;0,0,(D16-E16)+(F16-G16))</f>
        <v>0</v>
      </c>
      <c r="I16" s="8">
        <f t="shared" ref="I16" si="22">IF((((D16-E16)+(F16-G16)))&lt;0,-((D16-E16)+(F16-G16)),0)</f>
        <v>0.86000000000058208</v>
      </c>
      <c r="J16" s="52"/>
      <c r="K16" s="52"/>
      <c r="L16" s="52"/>
      <c r="M16" s="52"/>
    </row>
    <row r="17" spans="1:13" s="18" customFormat="1" x14ac:dyDescent="0.25">
      <c r="A17" s="19" t="s">
        <v>33</v>
      </c>
      <c r="B17" s="19" t="s">
        <v>151</v>
      </c>
      <c r="C17" s="20" t="s">
        <v>148</v>
      </c>
      <c r="D17" s="8">
        <f>IF(SUMIFS(MuhYazilis!$F$3:$F$5984,MuhYazilis!$B$3:$B$5984,A17,MuhYazilis!$C$3:$C$5984,B17,MuhYazilis!$A$3:$A$5984,"&lt;"&amp;$C$1)-SUMIFS(MuhYazilis!$F$3:$F$5984,MuhYazilis!$D$3:$D$5984,A17,MuhYazilis!$E$3:$E$5984,B17,MuhYazilis!$A$3:$A$5984,"&lt;"&amp;$C$1)&lt;0,0,SUMIFS(MuhYazilis!$F$3:$F$5984,MuhYazilis!$B$3:$B$5984,A17,MuhYazilis!$C$3:$C$5984,B17,MuhYazilis!$A$3:$A$5984,"&lt;"&amp;$C$1)-SUMIFS(MuhYazilis!$F$3:$F$5984,MuhYazilis!$D$3:$D$5984,A17,MuhYazilis!$E$3:$E$5984,B17,MuhYazilis!$A$3:$A$5984,"&lt;"&amp;$C$1))</f>
        <v>0</v>
      </c>
      <c r="E17" s="8">
        <f>IF(SUMIFS(MuhYazilis!$F$3:$F$5984,MuhYazilis!$B$3:$B$5984,A17,MuhYazilis!$C$3:$C$5984,B17,MuhYazilis!$A$3:$A$5984,"&lt;"&amp;$C$1)-SUMIFS(MuhYazilis!$F$3:$F$5984,MuhYazilis!$D$3:$D$5984,A17,MuhYazilis!$E$3:$E$5984,B17,MuhYazilis!$A$3:$A$5984,"&lt;"&amp;$C$1)&lt;0,-(SUMIFS(MuhYazilis!$F$3:$F$5984,MuhYazilis!$B$3:$B$5984,A17,MuhYazilis!$C$3:$C$5984,B17,MuhYazilis!$A$3:$A$5984,"&lt;"&amp;$C$1)-SUMIFS(MuhYazilis!$F$3:$F$5984,MuhYazilis!$D$3:$D$5984,A17,MuhYazilis!$E$3:$E$5984,B17,MuhYazilis!$A$3:$A$5984,"&lt;"&amp;$C$1)),0)</f>
        <v>0</v>
      </c>
      <c r="F17" s="8">
        <f>SUMIFS(MuhYazilis!$F$3:$F$5984,MuhYazilis!$B$3:$B$5984,A17,MuhYazilis!$C$3:$C$5984,B17,MuhYazilis!$A$3:$A$5984,"&gt;="&amp;$C$1,MuhYazilis!$A$3:$A$5984,"&lt;="&amp;$C$2)</f>
        <v>31959.999999999996</v>
      </c>
      <c r="G17" s="8">
        <f>SUMIFS(MuhYazilis!$F$3:$F$5984,MuhYazilis!$D$3:$D$5984,A17,MuhYazilis!$E$3:$E$5984,B17,MuhYazilis!$A$3:$A$5984,"&gt;="&amp;$C$1,MuhYazilis!$A$3:$A$5984,"&lt;="&amp;$C$2)</f>
        <v>0</v>
      </c>
      <c r="H17" s="58">
        <f>IF(((D17-E17)+(F17-G17))&lt;0,0,(D17-E17)+(F17-G17))</f>
        <v>31959.999999999996</v>
      </c>
      <c r="I17" s="8">
        <f>IF((((D17-E17)+(F17-G17)))&lt;0,-((D17-E17)+(F17-G17)),0)</f>
        <v>0</v>
      </c>
      <c r="J17" s="52"/>
      <c r="K17" s="52"/>
      <c r="L17" s="52"/>
      <c r="M17" s="52"/>
    </row>
    <row r="18" spans="1:13" s="18" customFormat="1" x14ac:dyDescent="0.25">
      <c r="A18" s="19" t="s">
        <v>37</v>
      </c>
      <c r="B18" s="19" t="s">
        <v>21</v>
      </c>
      <c r="C18" s="20" t="s">
        <v>93</v>
      </c>
      <c r="D18" s="8">
        <v>0</v>
      </c>
      <c r="E18" s="8">
        <v>0</v>
      </c>
      <c r="F18" s="8">
        <f>SUMIFS(MuhYazilis!$F$3:$F$5984,MuhYazilis!$B$3:$B$5984,A18,MuhYazilis!$C$3:$C$5984,B18,MuhYazilis!$A$3:$A$5984,"&gt;="&amp;$C$1,MuhYazilis!$A$3:$A$5984,"&lt;="&amp;$C$2)</f>
        <v>0</v>
      </c>
      <c r="G18" s="8">
        <f>SUMIFS(MuhYazilis!$F$3:$F$5984,MuhYazilis!$D$3:$D$5984,A18,MuhYazilis!$E$3:$E$5984,B18,MuhYazilis!$A$3:$A$5984,"&gt;="&amp;$C$1,MuhYazilis!$A$3:$A$5984,"&lt;="&amp;$C$2)</f>
        <v>0</v>
      </c>
      <c r="H18" s="58">
        <f>IF(((D18-E18)+(F18-G18))&lt;0,0,(D18-E18)+(F18-G18))</f>
        <v>0</v>
      </c>
      <c r="I18" s="8">
        <f>IF((((D18-E18)+(F18-G18)))&lt;0,-((D18-E18)+(F18-G18)),0)</f>
        <v>0</v>
      </c>
      <c r="J18" s="52"/>
      <c r="K18" s="52"/>
      <c r="L18" s="52"/>
      <c r="M18" s="52"/>
    </row>
    <row r="19" spans="1:13" s="18" customFormat="1" x14ac:dyDescent="0.25">
      <c r="A19" s="19" t="s">
        <v>37</v>
      </c>
      <c r="B19" s="19" t="s">
        <v>23</v>
      </c>
      <c r="C19" s="20" t="s">
        <v>102</v>
      </c>
      <c r="D19" s="8">
        <v>376096.1</v>
      </c>
      <c r="E19" s="8">
        <v>0</v>
      </c>
      <c r="F19" s="25">
        <f>SUMIFS(MuhYazilis!$F$3:$F$5984,MuhYazilis!$B$3:$B$5984,A19,MuhYazilis!$C$3:$C$5984,B19,MuhYazilis!$A$3:$A$5984,"&gt;="&amp;$C$1,MuhYazilis!$A$3:$A$5984,"&lt;="&amp;$C$2)</f>
        <v>0</v>
      </c>
      <c r="G19" s="25">
        <f>SUMIFS(MuhYazilis!$F$3:$F$5984,MuhYazilis!$D$3:$D$5984,A19,MuhYazilis!$E$3:$E$5984,B19,MuhYazilis!$A$3:$A$5984,"&gt;="&amp;$C$1,MuhYazilis!$A$3:$A$5984,"&lt;="&amp;$C$2)</f>
        <v>62383.199999999997</v>
      </c>
      <c r="H19" s="58">
        <f>IF(((D19-E19)+(F19-G19))&lt;0,0,(D19-E19)+(F19-G19))</f>
        <v>313712.89999999997</v>
      </c>
      <c r="I19" s="8">
        <f>IF((((D19-E19)+(F19-G19)))&lt;0,-((D19-E19)+(F19-G19)),0)</f>
        <v>0</v>
      </c>
      <c r="J19" s="52"/>
      <c r="K19" s="52"/>
      <c r="L19" s="52"/>
      <c r="M19" s="52"/>
    </row>
    <row r="20" spans="1:13" s="18" customFormat="1" x14ac:dyDescent="0.25">
      <c r="A20" s="19" t="s">
        <v>169</v>
      </c>
      <c r="B20" s="19" t="s">
        <v>21</v>
      </c>
      <c r="C20" s="20" t="s">
        <v>170</v>
      </c>
      <c r="D20" s="8">
        <f>IF(SUMIFS(MuhYazilis!$F$3:$F$5984,MuhYazilis!$B$3:$B$5984,A20,MuhYazilis!$C$3:$C$5984,B20,MuhYazilis!$A$3:$A$5984,"&lt;"&amp;$C$1)-SUMIFS(MuhYazilis!$F$3:$F$5984,MuhYazilis!$D$3:$D$5984,A20,MuhYazilis!$E$3:$E$5984,B20,MuhYazilis!$A$3:$A$5984,"&lt;"&amp;$C$1)&lt;0,0,SUMIFS(MuhYazilis!$F$3:$F$5984,MuhYazilis!$B$3:$B$5984,A20,MuhYazilis!$C$3:$C$5984,B20,MuhYazilis!$A$3:$A$5984,"&lt;"&amp;$C$1)-SUMIFS(MuhYazilis!$F$3:$F$5984,MuhYazilis!$D$3:$D$5984,A20,MuhYazilis!$E$3:$E$5984,B20,MuhYazilis!$A$3:$A$5984,"&lt;"&amp;$C$1))</f>
        <v>0</v>
      </c>
      <c r="E20" s="8">
        <f>IF(SUMIFS(MuhYazilis!$F$3:$F$5984,MuhYazilis!$B$3:$B$5984,A20,MuhYazilis!$C$3:$C$5984,B20,MuhYazilis!$A$3:$A$5984,"&lt;"&amp;$C$1)-SUMIFS(MuhYazilis!$F$3:$F$5984,MuhYazilis!$D$3:$D$5984,A20,MuhYazilis!$E$3:$E$5984,B20,MuhYazilis!$A$3:$A$5984,"&lt;"&amp;$C$1)&lt;0,-(SUMIFS(MuhYazilis!$F$3:$F$5984,MuhYazilis!$B$3:$B$5984,A20,MuhYazilis!$C$3:$C$5984,B20,MuhYazilis!$A$3:$A$5984,"&lt;"&amp;$C$1)-SUMIFS(MuhYazilis!$F$3:$F$5984,MuhYazilis!$D$3:$D$5984,A20,MuhYazilis!$E$3:$E$5984,B20,MuhYazilis!$A$3:$A$5984,"&lt;"&amp;$C$1)),0)</f>
        <v>0</v>
      </c>
      <c r="F20" s="8">
        <f>SUMIFS(MuhYazilis!$F$3:$F$5984,MuhYazilis!$B$3:$B$5984,A20,MuhYazilis!$C$3:$C$5984,B20,MuhYazilis!$A$3:$A$5984,"&gt;="&amp;$C$1,MuhYazilis!$A$3:$A$5984,"&lt;="&amp;$C$2)</f>
        <v>20000</v>
      </c>
      <c r="G20" s="8">
        <f>SUMIFS(MuhYazilis!$F$3:$F$5984,MuhYazilis!$D$3:$D$5984,A20,MuhYazilis!$E$3:$E$5984,B20,MuhYazilis!$A$3:$A$5984,"&gt;="&amp;$C$1,MuhYazilis!$A$3:$A$5984,"&lt;="&amp;$C$2)</f>
        <v>0</v>
      </c>
      <c r="H20" s="8">
        <f t="shared" ref="H20" si="23">IF(((D20-E20)+(F20-G20))&lt;0,0,(D20-E20)+(F20-G20))</f>
        <v>20000</v>
      </c>
      <c r="I20" s="8">
        <f t="shared" ref="I20" si="24">IF((((D20-E20)+(F20-G20)))&lt;0,-((D20-E20)+(F20-G20)),0)</f>
        <v>0</v>
      </c>
      <c r="J20" s="52"/>
      <c r="K20" s="52"/>
      <c r="L20" s="52"/>
      <c r="M20" s="52"/>
    </row>
    <row r="21" spans="1:13" s="18" customFormat="1" x14ac:dyDescent="0.25">
      <c r="A21" s="19" t="s">
        <v>25</v>
      </c>
      <c r="B21" s="19" t="s">
        <v>21</v>
      </c>
      <c r="C21" s="24" t="s">
        <v>84</v>
      </c>
      <c r="D21" s="8">
        <v>105658.42999999993</v>
      </c>
      <c r="E21" s="8">
        <v>0</v>
      </c>
      <c r="F21" s="8">
        <f>SUMIFS(MuhYazilis!$F$3:$F$5984,MuhYazilis!$B$3:$B$5984,A21,MuhYazilis!$C$3:$C$5984,B21,MuhYazilis!$A$3:$A$5984,"&gt;="&amp;$C$1,MuhYazilis!$A$3:$A$5984,"&lt;="&amp;$C$2)</f>
        <v>76521.100000000006</v>
      </c>
      <c r="G21" s="8">
        <f>SUMIFS(MuhYazilis!$F$3:$F$5984,MuhYazilis!$D$3:$D$5984,A21,MuhYazilis!$E$3:$E$5984,B21,MuhYazilis!$A$3:$A$5984,"&gt;="&amp;$C$1,MuhYazilis!$A$3:$A$5984,"&lt;="&amp;$C$2)</f>
        <v>22413.599999999999</v>
      </c>
      <c r="H21" s="25">
        <f>IF(((D21-E21)+(F21-G21))&lt;0,0,(D21-E21)+(F21-G21))</f>
        <v>159765.92999999993</v>
      </c>
      <c r="I21" s="8">
        <f>IF((((D21-E21)+(F21-G21)))&lt;0,-((D21-E21)+(F21-G21)),0)</f>
        <v>0</v>
      </c>
      <c r="J21" s="52"/>
      <c r="K21" s="52"/>
      <c r="L21" s="52"/>
      <c r="M21" s="52"/>
    </row>
    <row r="22" spans="1:13" s="18" customFormat="1" x14ac:dyDescent="0.25">
      <c r="A22" s="19" t="s">
        <v>26</v>
      </c>
      <c r="B22" s="19" t="s">
        <v>21</v>
      </c>
      <c r="C22" s="24" t="s">
        <v>91</v>
      </c>
      <c r="D22" s="8">
        <v>0</v>
      </c>
      <c r="E22" s="8">
        <v>0</v>
      </c>
      <c r="F22" s="8">
        <f>SUMIFS(MuhYazilis!$F$3:$F$5984,MuhYazilis!$B$3:$B$5984,A22,MuhYazilis!$C$3:$C$5984,B22,MuhYazilis!$A$3:$A$5984,"&gt;="&amp;$C$1,MuhYazilis!$A$3:$A$5984,"&lt;="&amp;$C$2)</f>
        <v>0</v>
      </c>
      <c r="G22" s="8">
        <f>SUMIFS(MuhYazilis!$F$3:$F$5984,MuhYazilis!$D$3:$D$5984,A22,MuhYazilis!$E$3:$E$5984,B22,MuhYazilis!$A$3:$A$5984,"&gt;="&amp;$C$1,MuhYazilis!$A$3:$A$5984,"&lt;="&amp;$C$2)</f>
        <v>0</v>
      </c>
      <c r="H22" s="8">
        <f t="shared" ref="H22" si="25">IF(((D22-E22)+(F22-G22))&lt;0,0,(D22-E22)+(F22-G22))</f>
        <v>0</v>
      </c>
      <c r="I22" s="8">
        <f t="shared" ref="I22" si="26">IF((((D22-E22)+(F22-G22)))&lt;0,-((D22-E22)+(F22-G22)),0)</f>
        <v>0</v>
      </c>
      <c r="J22" s="52"/>
      <c r="K22" s="52"/>
      <c r="L22" s="52"/>
      <c r="M22" s="52"/>
    </row>
    <row r="23" spans="1:13" s="18" customFormat="1" x14ac:dyDescent="0.25">
      <c r="A23" s="19" t="s">
        <v>85</v>
      </c>
      <c r="B23" s="19" t="s">
        <v>21</v>
      </c>
      <c r="C23" s="24" t="s">
        <v>87</v>
      </c>
      <c r="D23" s="8">
        <v>2461.2800000000002</v>
      </c>
      <c r="E23" s="8">
        <v>0</v>
      </c>
      <c r="F23" s="8">
        <f>SUMIFS(MuhYazilis!$F$3:$F$5984,MuhYazilis!$B$3:$B$5984,A23,MuhYazilis!$C$3:$C$5984,B23,MuhYazilis!$A$3:$A$5984,"&gt;="&amp;$C$1,MuhYazilis!$A$3:$A$5984,"&lt;="&amp;$C$2)</f>
        <v>823.37</v>
      </c>
      <c r="G23" s="8">
        <f>SUMIFS(MuhYazilis!$F$3:$F$5984,MuhYazilis!$D$3:$D$5984,A23,MuhYazilis!$E$3:$E$5984,B23,MuhYazilis!$A$3:$A$5984,"&gt;="&amp;$C$1,MuhYazilis!$A$3:$A$5984,"&lt;="&amp;$C$2)</f>
        <v>0</v>
      </c>
      <c r="H23" s="25">
        <f>IF(((D23-E23)+(F23-G23))&lt;0,0,(D23-E23)+(F23-G23))</f>
        <v>3284.65</v>
      </c>
      <c r="I23" s="8">
        <f>IF((((D23-E23)+(F23-G23)))&lt;0,-((D23-E23)+(F23-G23)),0)</f>
        <v>0</v>
      </c>
      <c r="J23" s="52"/>
      <c r="K23" s="52"/>
      <c r="L23" s="52"/>
      <c r="M23" s="52"/>
    </row>
    <row r="24" spans="1:13" s="18" customFormat="1" x14ac:dyDescent="0.25">
      <c r="A24" s="19" t="s">
        <v>35</v>
      </c>
      <c r="B24" s="19" t="s">
        <v>21</v>
      </c>
      <c r="C24" s="20" t="s">
        <v>52</v>
      </c>
      <c r="D24" s="8">
        <v>1127311.3000000003</v>
      </c>
      <c r="E24" s="8">
        <v>0</v>
      </c>
      <c r="F24" s="8">
        <f>SUMIFS(MuhYazilis!$F$3:$F$5984,MuhYazilis!$B$3:$B$5984,A24,MuhYazilis!$C$3:$C$5984,B24,MuhYazilis!$A$3:$A$5984,"&gt;="&amp;$C$1,MuhYazilis!$A$3:$A$5984,"&lt;="&amp;$C$2)</f>
        <v>139245.03</v>
      </c>
      <c r="G24" s="8">
        <f>SUMIFS(MuhYazilis!$F$3:$F$5984,MuhYazilis!$D$3:$D$5984,A24,MuhYazilis!$E$3:$E$5984,B24,MuhYazilis!$A$3:$A$5984,"&gt;="&amp;$C$1,MuhYazilis!$A$3:$A$5984,"&lt;="&amp;$C$2)</f>
        <v>1344498.8199999998</v>
      </c>
      <c r="H24" s="8">
        <f>IF(((D24-E24)+(F24-G24))&lt;0,0,(D24-E24)+(F24-G24))</f>
        <v>0</v>
      </c>
      <c r="I24" s="8">
        <f>IF((((D24-E24)+(F24-G24)))&lt;0,-((D24-E24)+(F24-G24)),0)</f>
        <v>77942.489999999525</v>
      </c>
    </row>
    <row r="25" spans="1:13" s="18" customFormat="1" x14ac:dyDescent="0.25">
      <c r="A25" s="19" t="s">
        <v>99</v>
      </c>
      <c r="B25" s="19" t="s">
        <v>21</v>
      </c>
      <c r="C25" s="20" t="s">
        <v>100</v>
      </c>
      <c r="D25" s="8">
        <v>0</v>
      </c>
      <c r="E25" s="8">
        <v>0.45</v>
      </c>
      <c r="F25" s="25">
        <f>SUMIFS(MuhYazilis!$F$3:$F$5984,MuhYazilis!$B$3:$B$5984,A25,MuhYazilis!$C$3:$C$5984,B25,MuhYazilis!$A$3:$A$5984,"&gt;="&amp;$C$1,MuhYazilis!$A$3:$A$5984,"&lt;="&amp;$C$2)</f>
        <v>0</v>
      </c>
      <c r="G25" s="25">
        <f>SUMIFS(MuhYazilis!$F$3:$F$5984,MuhYazilis!$D$3:$D$5984,A25,MuhYazilis!$E$3:$E$5984,B25,MuhYazilis!$A$3:$A$5984,"&gt;="&amp;$C$1,MuhYazilis!$A$3:$A$5984,"&lt;="&amp;$C$2)</f>
        <v>0</v>
      </c>
      <c r="H25" s="8">
        <f t="shared" ref="H25" si="27">IF(((D25-E25)+(F25-G25))&lt;0,0,(D25-E25)+(F25-G25))</f>
        <v>0</v>
      </c>
      <c r="I25" s="8">
        <f t="shared" ref="I25" si="28">IF((((D25-E25)+(F25-G25)))&lt;0,-((D25-E25)+(F25-G25)),0)</f>
        <v>0.45</v>
      </c>
      <c r="J25" s="52"/>
      <c r="K25" s="52"/>
      <c r="L25" s="52"/>
      <c r="M25" s="52"/>
    </row>
    <row r="26" spans="1:13" s="18" customFormat="1" x14ac:dyDescent="0.25">
      <c r="A26" s="19" t="s">
        <v>38</v>
      </c>
      <c r="B26" s="19" t="s">
        <v>21</v>
      </c>
      <c r="C26" s="20" t="s">
        <v>98</v>
      </c>
      <c r="D26" s="8">
        <v>0</v>
      </c>
      <c r="E26" s="8">
        <v>58002.559999999998</v>
      </c>
      <c r="F26" s="25">
        <f>SUMIFS(MuhYazilis!$F$3:$F$5984,MuhYazilis!$B$3:$B$5984,A26,MuhYazilis!$C$3:$C$5984,B26,MuhYazilis!$A$3:$A$5984,"&gt;="&amp;$C$1,MuhYazilis!$A$3:$A$5984,"&lt;="&amp;$C$2)</f>
        <v>0</v>
      </c>
      <c r="G26" s="25">
        <f>SUMIFS(MuhYazilis!$F$3:$F$5984,MuhYazilis!$D$3:$D$5984,A26,MuhYazilis!$E$3:$E$5984,B26,MuhYazilis!$A$3:$A$5984,"&gt;="&amp;$C$1,MuhYazilis!$A$3:$A$5984,"&lt;="&amp;$C$2)</f>
        <v>341150.44</v>
      </c>
      <c r="H26" s="8">
        <f t="shared" ref="H26" si="29">IF(((D26-E26)+(F26-G26))&lt;0,0,(D26-E26)+(F26-G26))</f>
        <v>0</v>
      </c>
      <c r="I26" s="8">
        <f t="shared" ref="I26" si="30">IF((((D26-E26)+(F26-G26)))&lt;0,-((D26-E26)+(F26-G26)),0)</f>
        <v>399153</v>
      </c>
      <c r="J26" s="52"/>
      <c r="K26" s="52"/>
      <c r="L26" s="52"/>
      <c r="M26" s="52"/>
    </row>
    <row r="27" spans="1:13" s="18" customFormat="1" x14ac:dyDescent="0.25">
      <c r="A27" s="19" t="s">
        <v>96</v>
      </c>
      <c r="B27" s="19" t="s">
        <v>21</v>
      </c>
      <c r="C27" s="20" t="s">
        <v>97</v>
      </c>
      <c r="D27" s="8">
        <v>0</v>
      </c>
      <c r="E27" s="8">
        <v>0</v>
      </c>
      <c r="F27" s="25">
        <f>SUMIFS(MuhYazilis!$F$3:$F$5984,MuhYazilis!$B$3:$B$5984,A27,MuhYazilis!$C$3:$C$5984,B27,MuhYazilis!$A$3:$A$5984,"&gt;="&amp;$C$1,MuhYazilis!$A$3:$A$5984,"&lt;="&amp;$C$2)</f>
        <v>341150.44</v>
      </c>
      <c r="G27" s="25">
        <f>SUMIFS(MuhYazilis!$F$3:$F$5984,MuhYazilis!$D$3:$D$5984,A27,MuhYazilis!$E$3:$E$5984,B27,MuhYazilis!$A$3:$A$5984,"&gt;="&amp;$C$1,MuhYazilis!$A$3:$A$5984,"&lt;="&amp;$C$2)</f>
        <v>341150.44</v>
      </c>
      <c r="H27" s="8">
        <f t="shared" ref="H27" si="31">IF(((D27-E27)+(F27-G27))&lt;0,0,(D27-E27)+(F27-G27))</f>
        <v>0</v>
      </c>
      <c r="I27" s="8">
        <f t="shared" ref="I27" si="32">IF((((D27-E27)+(F27-G27)))&lt;0,-((D27-E27)+(F27-G27)),0)</f>
        <v>0</v>
      </c>
      <c r="J27" s="52"/>
      <c r="K27" s="52"/>
      <c r="L27" s="52"/>
      <c r="M27" s="52"/>
    </row>
    <row r="28" spans="1:13" s="18" customFormat="1" x14ac:dyDescent="0.25">
      <c r="A28" s="19" t="s">
        <v>29</v>
      </c>
      <c r="B28" s="19" t="s">
        <v>21</v>
      </c>
      <c r="C28" s="20" t="s">
        <v>77</v>
      </c>
      <c r="D28" s="8">
        <v>0</v>
      </c>
      <c r="E28" s="8">
        <v>0</v>
      </c>
      <c r="F28" s="8">
        <f>SUMIFS(MuhYazilis!$F$3:$F$5984,MuhYazilis!$B$3:$B$5984,A28,MuhYazilis!$C$3:$C$5984,B28,MuhYazilis!$A$3:$A$5984,"&gt;="&amp;$C$1,MuhYazilis!$A$3:$A$5984,"&lt;="&amp;$C$2)</f>
        <v>0</v>
      </c>
      <c r="G28" s="8">
        <f>SUMIFS(MuhYazilis!$F$3:$F$5984,MuhYazilis!$D$3:$D$5984,A28,MuhYazilis!$E$3:$E$5984,B28,MuhYazilis!$A$3:$A$5984,"&gt;="&amp;$C$1,MuhYazilis!$A$3:$A$5984,"&lt;="&amp;$C$2)</f>
        <v>0</v>
      </c>
      <c r="H28" s="25">
        <f>IF(((D28-E28)+(F28-G28))&lt;0,0,(D28-E28)+(F28-G28))</f>
        <v>0</v>
      </c>
      <c r="I28" s="8">
        <f>IF((((D28-E28)+(F28-G28)))&lt;0,-((D28-E28)+(F28-G28)),0)</f>
        <v>0</v>
      </c>
      <c r="J28" s="51"/>
      <c r="K28" s="52"/>
      <c r="L28" s="52"/>
      <c r="M28" s="51"/>
    </row>
    <row r="29" spans="1:13" s="18" customFormat="1" x14ac:dyDescent="0.25">
      <c r="A29" s="19" t="s">
        <v>174</v>
      </c>
      <c r="B29" s="19" t="s">
        <v>21</v>
      </c>
      <c r="C29" s="20" t="s">
        <v>173</v>
      </c>
      <c r="D29" s="8">
        <f>IF(SUMIFS(MuhYazilis!$F$3:$F$5984,MuhYazilis!$B$3:$B$5984,A29,MuhYazilis!$C$3:$C$5984,B29,MuhYazilis!$A$3:$A$5984,"&lt;"&amp;$C$1)-SUMIFS(MuhYazilis!$F$3:$F$5984,MuhYazilis!$D$3:$D$5984,A29,MuhYazilis!$E$3:$E$5984,B29,MuhYazilis!$A$3:$A$5984,"&lt;"&amp;$C$1)&lt;0,0,SUMIFS(MuhYazilis!$F$3:$F$5984,MuhYazilis!$B$3:$B$5984,A29,MuhYazilis!$C$3:$C$5984,B29,MuhYazilis!$A$3:$A$5984,"&lt;"&amp;$C$1)-SUMIFS(MuhYazilis!$F$3:$F$5984,MuhYazilis!$D$3:$D$5984,A29,MuhYazilis!$E$3:$E$5984,B29,MuhYazilis!$A$3:$A$5984,"&lt;"&amp;$C$1))</f>
        <v>0</v>
      </c>
      <c r="E29" s="8">
        <f>IF(SUMIFS(MuhYazilis!$F$3:$F$5984,MuhYazilis!$B$3:$B$5984,A29,MuhYazilis!$C$3:$C$5984,B29,MuhYazilis!$A$3:$A$5984,"&lt;"&amp;$C$1)-SUMIFS(MuhYazilis!$F$3:$F$5984,MuhYazilis!$D$3:$D$5984,A29,MuhYazilis!$E$3:$E$5984,B29,MuhYazilis!$A$3:$A$5984,"&lt;"&amp;$C$1)&lt;0,-(SUMIFS(MuhYazilis!$F$3:$F$5984,MuhYazilis!$B$3:$B$5984,A29,MuhYazilis!$C$3:$C$5984,B29,MuhYazilis!$A$3:$A$5984,"&lt;"&amp;$C$1)-SUMIFS(MuhYazilis!$F$3:$F$5984,MuhYazilis!$D$3:$D$5984,A29,MuhYazilis!$E$3:$E$5984,B29,MuhYazilis!$A$3:$A$5984,"&lt;"&amp;$C$1)),0)</f>
        <v>0</v>
      </c>
      <c r="F29" s="8">
        <f>SUMIFS(MuhYazilis!$F$3:$F$5984,MuhYazilis!$B$3:$B$5984,A29,MuhYazilis!$C$3:$C$5984,B29,MuhYazilis!$A$3:$A$5984,"&gt;="&amp;$C$1,MuhYazilis!$A$3:$A$5984,"&lt;="&amp;$C$2)</f>
        <v>0</v>
      </c>
      <c r="G29" s="8">
        <f>SUMIFS(MuhYazilis!$F$3:$F$5984,MuhYazilis!$D$3:$D$5984,A29,MuhYazilis!$E$3:$E$5984,B29,MuhYazilis!$A$3:$A$5984,"&gt;="&amp;$C$1,MuhYazilis!$A$3:$A$5984,"&lt;="&amp;$C$2)</f>
        <v>1200</v>
      </c>
      <c r="H29" s="8">
        <f t="shared" ref="H29" si="33">IF(((D29-E29)+(F29-G29))&lt;0,0,(D29-E29)+(F29-G29))</f>
        <v>0</v>
      </c>
      <c r="I29" s="8">
        <f t="shared" ref="I29" si="34">IF((((D29-E29)+(F29-G29)))&lt;0,-((D29-E29)+(F29-G29)),0)</f>
        <v>1200</v>
      </c>
      <c r="J29" s="52"/>
      <c r="K29" s="52"/>
      <c r="L29" s="52"/>
      <c r="M29" s="52"/>
    </row>
    <row r="30" spans="1:13" s="18" customFormat="1" x14ac:dyDescent="0.25">
      <c r="A30" s="19" t="s">
        <v>51</v>
      </c>
      <c r="B30" s="19" t="s">
        <v>21</v>
      </c>
      <c r="C30" s="20" t="s">
        <v>101</v>
      </c>
      <c r="D30" s="8">
        <v>0</v>
      </c>
      <c r="E30" s="8">
        <v>2203896.6</v>
      </c>
      <c r="F30" s="8">
        <f>SUMIFS(MuhYazilis!$F$3:$F$5984,MuhYazilis!$B$3:$B$5984,A30,MuhYazilis!$C$3:$C$5984,B30,MuhYazilis!$A$3:$A$5984,"&gt;="&amp;$C$1,MuhYazilis!$A$3:$A$5984,"&lt;="&amp;$C$2)</f>
        <v>0</v>
      </c>
      <c r="G30" s="8">
        <f>SUMIFS(MuhYazilis!$F$3:$F$5984,MuhYazilis!$D$3:$D$5984,A30,MuhYazilis!$E$3:$E$5984,B30,MuhYazilis!$A$3:$A$5984,"&gt;="&amp;$C$1,MuhYazilis!$A$3:$A$5984,"&lt;="&amp;$C$2)</f>
        <v>32964.800000000003</v>
      </c>
      <c r="H30" s="8">
        <f>IF(((D30-E30)+(F30-G30))&lt;0,0,(D30-E30)+(F30-G30))</f>
        <v>0</v>
      </c>
      <c r="I30" s="8">
        <f>IF((((D30-E30)+(F30-G30)))&lt;0,-((D30-E30)+(F30-G30)),0)</f>
        <v>2236861.4</v>
      </c>
    </row>
    <row r="31" spans="1:13" s="18" customFormat="1" x14ac:dyDescent="0.25">
      <c r="A31" s="19" t="s">
        <v>32</v>
      </c>
      <c r="B31" s="19" t="s">
        <v>21</v>
      </c>
      <c r="C31" s="24" t="s">
        <v>82</v>
      </c>
      <c r="D31" s="8">
        <v>0</v>
      </c>
      <c r="E31" s="8">
        <v>0</v>
      </c>
      <c r="F31" s="8">
        <f>SUMIFS(MuhYazilis!$F$3:$F$5984,MuhYazilis!$B$3:$B$5984,A31,MuhYazilis!$C$3:$C$5984,B31,MuhYazilis!$A$3:$A$5984,"&gt;="&amp;$C$1,MuhYazilis!$A$3:$A$5984,"&lt;="&amp;$C$2)</f>
        <v>1241531.27</v>
      </c>
      <c r="G31" s="8">
        <f>SUMIFS(MuhYazilis!$F$3:$F$5984,MuhYazilis!$D$3:$D$5984,A31,MuhYazilis!$E$3:$E$5984,B31,MuhYazilis!$A$3:$A$5984,"&gt;="&amp;$C$1,MuhYazilis!$A$3:$A$5984,"&lt;="&amp;$C$2)</f>
        <v>1241531.27</v>
      </c>
      <c r="H31" s="25">
        <f t="shared" si="1"/>
        <v>0</v>
      </c>
      <c r="I31" s="8">
        <f t="shared" si="2"/>
        <v>0</v>
      </c>
      <c r="J31" s="51"/>
      <c r="K31" s="51"/>
      <c r="L31" s="51"/>
      <c r="M31" s="51"/>
    </row>
    <row r="32" spans="1:13" s="18" customFormat="1" x14ac:dyDescent="0.25">
      <c r="A32" s="19" t="s">
        <v>30</v>
      </c>
      <c r="B32" s="19" t="s">
        <v>21</v>
      </c>
      <c r="C32" s="24" t="s">
        <v>83</v>
      </c>
      <c r="D32" s="8">
        <v>0</v>
      </c>
      <c r="E32" s="8">
        <v>0</v>
      </c>
      <c r="F32" s="8">
        <f>SUMIFS(MuhYazilis!$F$3:$F$5984,MuhYazilis!$B$3:$B$5984,A32,MuhYazilis!$C$3:$C$5984,B32,MuhYazilis!$A$3:$A$5984,"&gt;="&amp;$C$1,MuhYazilis!$A$3:$A$5984,"&lt;="&amp;$C$2)</f>
        <v>898870.83222967305</v>
      </c>
      <c r="G32" s="8">
        <f>SUMIFS(MuhYazilis!$F$3:$F$5984,MuhYazilis!$D$3:$D$5984,A32,MuhYazilis!$E$3:$E$5984,B32,MuhYazilis!$A$3:$A$5984,"&gt;="&amp;$C$1,MuhYazilis!$A$3:$A$5984,"&lt;="&amp;$C$2)</f>
        <v>898870.83222967305</v>
      </c>
      <c r="H32" s="25">
        <f t="shared" ref="H32:H33" si="35">IF(((D32-E32)+(F32-G32))&lt;0,0,(D32-E32)+(F32-G32))</f>
        <v>0</v>
      </c>
      <c r="I32" s="8">
        <f t="shared" ref="I32:I33" si="36">IF((((D32-E32)+(F32-G32)))&lt;0,-((D32-E32)+(F32-G32)),0)</f>
        <v>0</v>
      </c>
      <c r="J32" s="52"/>
      <c r="K32" s="52"/>
      <c r="L32" s="52"/>
      <c r="M32" s="52"/>
    </row>
    <row r="33" spans="1:13" s="18" customFormat="1" x14ac:dyDescent="0.25">
      <c r="A33" s="19" t="s">
        <v>36</v>
      </c>
      <c r="B33" s="19" t="s">
        <v>21</v>
      </c>
      <c r="C33" s="24" t="s">
        <v>88</v>
      </c>
      <c r="D33" s="8">
        <v>0</v>
      </c>
      <c r="E33" s="8">
        <v>0</v>
      </c>
      <c r="F33" s="8">
        <f>SUMIFS(MuhYazilis!$F$3:$F$5984,MuhYazilis!$B$3:$B$5984,A33,MuhYazilis!$C$3:$C$5984,B33,MuhYazilis!$A$3:$A$5984,"&gt;="&amp;$C$1,MuhYazilis!$A$3:$A$5984,"&lt;="&amp;$C$2)</f>
        <v>310</v>
      </c>
      <c r="G33" s="8">
        <f>SUMIFS(MuhYazilis!$F$3:$F$5984,MuhYazilis!$D$3:$D$5984,A33,MuhYazilis!$E$3:$E$5984,B33,MuhYazilis!$A$3:$A$5984,"&gt;="&amp;$C$1,MuhYazilis!$A$3:$A$5984,"&lt;="&amp;$C$2)</f>
        <v>310</v>
      </c>
      <c r="H33" s="8">
        <f t="shared" si="35"/>
        <v>0</v>
      </c>
      <c r="I33" s="8">
        <f t="shared" si="36"/>
        <v>0</v>
      </c>
      <c r="J33" s="52"/>
      <c r="K33" s="52"/>
      <c r="L33" s="52"/>
      <c r="M33" s="52"/>
    </row>
    <row r="34" spans="1:13" s="18" customFormat="1" x14ac:dyDescent="0.25">
      <c r="A34" s="19" t="s">
        <v>36</v>
      </c>
      <c r="B34" s="19" t="s">
        <v>23</v>
      </c>
      <c r="C34" s="24" t="s">
        <v>172</v>
      </c>
      <c r="D34" s="8">
        <v>0</v>
      </c>
      <c r="E34" s="8">
        <v>0</v>
      </c>
      <c r="F34" s="8">
        <f>SUMIFS(MuhYazilis!$F$3:$F$5984,MuhYazilis!$B$3:$B$5984,A34,MuhYazilis!$C$3:$C$5984,B34,MuhYazilis!$A$3:$A$5984,"&gt;="&amp;$C$1,MuhYazilis!$A$3:$A$5984,"&lt;="&amp;$C$2)</f>
        <v>1200</v>
      </c>
      <c r="G34" s="8">
        <f>SUMIFS(MuhYazilis!$F$3:$F$5984,MuhYazilis!$D$3:$D$5984,A34,MuhYazilis!$E$3:$E$5984,B34,MuhYazilis!$A$3:$A$5984,"&gt;="&amp;$C$1,MuhYazilis!$A$3:$A$5984,"&lt;="&amp;$C$2)</f>
        <v>1200</v>
      </c>
      <c r="H34" s="8">
        <f>IF(((D34-E34)+(F34-G34))&lt;0,0,(D34-E34)+(F34-G34))</f>
        <v>0</v>
      </c>
      <c r="I34" s="8">
        <f>IF((((D34-E34)+(F34-G34)))&lt;0,-((D34-E34)+(F34-G34)),0)</f>
        <v>0</v>
      </c>
      <c r="J34" s="52"/>
      <c r="K34" s="52"/>
      <c r="L34" s="52"/>
      <c r="M34" s="52"/>
    </row>
    <row r="35" spans="1:13" s="18" customFormat="1" x14ac:dyDescent="0.25">
      <c r="A35" s="19" t="s">
        <v>49</v>
      </c>
      <c r="B35" s="19" t="s">
        <v>21</v>
      </c>
      <c r="C35" s="20" t="s">
        <v>94</v>
      </c>
      <c r="D35" s="8">
        <v>0</v>
      </c>
      <c r="E35" s="8">
        <v>0</v>
      </c>
      <c r="F35" s="8">
        <f>SUMIFS(MuhYazilis!$F$3:$F$5984,MuhYazilis!$B$3:$B$5984,A35,MuhYazilis!$C$3:$C$5984,B35,MuhYazilis!$A$3:$A$5984,"&gt;="&amp;$C$1,MuhYazilis!$A$3:$A$5984,"&lt;="&amp;$C$2)</f>
        <v>0</v>
      </c>
      <c r="G35" s="8">
        <f>SUMIFS(MuhYazilis!$F$3:$F$5984,MuhYazilis!$D$3:$D$5984,A35,MuhYazilis!$E$3:$E$5984,B35,MuhYazilis!$A$3:$A$5984,"&gt;="&amp;$C$1,MuhYazilis!$A$3:$A$5984,"&lt;="&amp;$C$2)</f>
        <v>0</v>
      </c>
      <c r="H35" s="8">
        <f t="shared" si="1"/>
        <v>0</v>
      </c>
      <c r="I35" s="8">
        <f t="shared" si="2"/>
        <v>0</v>
      </c>
      <c r="J35" s="52"/>
      <c r="K35" s="52"/>
      <c r="L35" s="52"/>
      <c r="M35" s="52"/>
    </row>
    <row r="36" spans="1:13" s="18" customFormat="1" x14ac:dyDescent="0.25">
      <c r="A36" s="19" t="s">
        <v>50</v>
      </c>
      <c r="B36" s="19" t="s">
        <v>21</v>
      </c>
      <c r="C36" s="20" t="s">
        <v>171</v>
      </c>
      <c r="D36" s="8">
        <v>0</v>
      </c>
      <c r="E36" s="8">
        <v>0</v>
      </c>
      <c r="F36" s="25">
        <f>SUMIFS(MuhYazilis!$F$3:$F$5984,MuhYazilis!$B$3:$B$5984,A36,MuhYazilis!$C$3:$C$5984,B36,MuhYazilis!$A$3:$A$5984,"&gt;="&amp;$C$1,MuhYazilis!$A$3:$A$5984,"&lt;="&amp;$C$2)</f>
        <v>1241531.2722296731</v>
      </c>
      <c r="G36" s="25">
        <f>SUMIFS(MuhYazilis!$F$3:$F$5984,MuhYazilis!$D$3:$D$5984,A36,MuhYazilis!$E$3:$E$5984,B36,MuhYazilis!$A$3:$A$5984,"&gt;="&amp;$C$1,MuhYazilis!$A$3:$A$5984,"&lt;="&amp;$C$2)</f>
        <v>1241531.27</v>
      </c>
      <c r="H36" s="8">
        <f t="shared" ref="H36" si="37">IF(((D36-E36)+(F36-G36))&lt;0,0,(D36-E36)+(F36-G36))</f>
        <v>2.2296730894595385E-3</v>
      </c>
      <c r="I36" s="8">
        <f t="shared" ref="I36" si="38">IF((((D36-E36)+(F36-G36)))&lt;0,-((D36-E36)+(F36-G36)),0)</f>
        <v>0</v>
      </c>
      <c r="J36" s="52"/>
      <c r="K36" s="52"/>
      <c r="L36" s="52"/>
      <c r="M36" s="52"/>
    </row>
    <row r="37" spans="1:13" s="18" customFormat="1" hidden="1" x14ac:dyDescent="0.25">
      <c r="A37" s="19"/>
      <c r="B37" s="19"/>
      <c r="C37" s="20"/>
      <c r="D37" s="8">
        <f>IF(SUMIFS(MuhYazilis!$F$3:$F$5984,MuhYazilis!$B$3:$B$5984,A37,MuhYazilis!$C$3:$C$5984,B37,MuhYazilis!$A$3:$A$5984,"&lt;"&amp;$C$1)-SUMIFS(MuhYazilis!$F$3:$F$5984,MuhYazilis!$D$3:$D$5984,A37,MuhYazilis!$E$3:$E$5984,B37,MuhYazilis!$A$3:$A$5984,"&lt;"&amp;$C$1)&lt;0,0,SUMIFS(MuhYazilis!$F$3:$F$5984,MuhYazilis!$B$3:$B$5984,A37,MuhYazilis!$C$3:$C$5984,B37,MuhYazilis!$A$3:$A$5984,"&lt;"&amp;$C$1)-SUMIFS(MuhYazilis!$F$3:$F$5984,MuhYazilis!$D$3:$D$5984,A37,MuhYazilis!$E$3:$E$5984,B37,MuhYazilis!$A$3:$A$5984,"&lt;"&amp;$C$1))</f>
        <v>0</v>
      </c>
      <c r="E37" s="8">
        <f>IF(SUMIFS(MuhYazilis!$F$3:$F$5984,MuhYazilis!$B$3:$B$5984,A37,MuhYazilis!$C$3:$C$5984,B37,MuhYazilis!$A$3:$A$5984,"&lt;"&amp;$C$1)-SUMIFS(MuhYazilis!$F$3:$F$5984,MuhYazilis!$D$3:$D$5984,A37,MuhYazilis!$E$3:$E$5984,B37,MuhYazilis!$A$3:$A$5984,"&lt;"&amp;$C$1)&lt;0,-(SUMIFS(MuhYazilis!$F$3:$F$5984,MuhYazilis!$B$3:$B$5984,A37,MuhYazilis!$C$3:$C$5984,B37,MuhYazilis!$A$3:$A$5984,"&lt;"&amp;$C$1)-SUMIFS(MuhYazilis!$F$3:$F$5984,MuhYazilis!$D$3:$D$5984,A37,MuhYazilis!$E$3:$E$5984,B37,MuhYazilis!$A$3:$A$5984,"&lt;"&amp;$C$1)),0)</f>
        <v>0</v>
      </c>
      <c r="F37" s="8">
        <f>SUMIFS(MuhYazilis!$F$3:$F$5984,MuhYazilis!$B$3:$B$5984,A37,MuhYazilis!$C$3:$C$5984,B37,MuhYazilis!$A$3:$A$5984,"&gt;="&amp;$C$1,MuhYazilis!$A$3:$A$5984,"&lt;="&amp;$C$2)</f>
        <v>0</v>
      </c>
      <c r="G37" s="8">
        <f>SUMIFS(MuhYazilis!$F$3:$F$5984,MuhYazilis!$D$3:$D$5984,A37,MuhYazilis!$E$3:$E$5984,B37,MuhYazilis!$A$3:$A$5984,"&gt;="&amp;$C$1,MuhYazilis!$A$3:$A$5984,"&lt;="&amp;$C$2)</f>
        <v>0</v>
      </c>
      <c r="H37" s="8">
        <f t="shared" ref="H37" si="39">IF(((D37-E37)+(F37-G37))&lt;0,0,(D37-E37)+(F37-G37))</f>
        <v>0</v>
      </c>
      <c r="I37" s="8">
        <f t="shared" ref="I37" si="40">IF((((D37-E37)+(F37-G37)))&lt;0,-((D37-E37)+(F37-G37)),0)</f>
        <v>0</v>
      </c>
      <c r="J37" s="52"/>
      <c r="K37" s="52"/>
      <c r="L37" s="52"/>
      <c r="M37" s="52"/>
    </row>
    <row r="38" spans="1:13" s="18" customFormat="1" hidden="1" x14ac:dyDescent="0.25">
      <c r="A38" s="19"/>
      <c r="B38" s="19"/>
      <c r="C38" s="20"/>
      <c r="D38" s="8">
        <f>IF(SUMIFS(MuhYazilis!$F$3:$F$5984,MuhYazilis!$B$3:$B$5984,A38,MuhYazilis!$C$3:$C$5984,B38,MuhYazilis!$A$3:$A$5984,"&lt;"&amp;$C$1)-SUMIFS(MuhYazilis!$F$3:$F$5984,MuhYazilis!$D$3:$D$5984,A38,MuhYazilis!$E$3:$E$5984,B38,MuhYazilis!$A$3:$A$5984,"&lt;"&amp;$C$1)&lt;0,0,SUMIFS(MuhYazilis!$F$3:$F$5984,MuhYazilis!$B$3:$B$5984,A38,MuhYazilis!$C$3:$C$5984,B38,MuhYazilis!$A$3:$A$5984,"&lt;"&amp;$C$1)-SUMIFS(MuhYazilis!$F$3:$F$5984,MuhYazilis!$D$3:$D$5984,A38,MuhYazilis!$E$3:$E$5984,B38,MuhYazilis!$A$3:$A$5984,"&lt;"&amp;$C$1))</f>
        <v>0</v>
      </c>
      <c r="E38" s="8">
        <f>IF(SUMIFS(MuhYazilis!$F$3:$F$5984,MuhYazilis!$B$3:$B$5984,A38,MuhYazilis!$C$3:$C$5984,B38,MuhYazilis!$A$3:$A$5984,"&lt;"&amp;$C$1)-SUMIFS(MuhYazilis!$F$3:$F$5984,MuhYazilis!$D$3:$D$5984,A38,MuhYazilis!$E$3:$E$5984,B38,MuhYazilis!$A$3:$A$5984,"&lt;"&amp;$C$1)&lt;0,-(SUMIFS(MuhYazilis!$F$3:$F$5984,MuhYazilis!$B$3:$B$5984,A38,MuhYazilis!$C$3:$C$5984,B38,MuhYazilis!$A$3:$A$5984,"&lt;"&amp;$C$1)-SUMIFS(MuhYazilis!$F$3:$F$5984,MuhYazilis!$D$3:$D$5984,A38,MuhYazilis!$E$3:$E$5984,B38,MuhYazilis!$A$3:$A$5984,"&lt;"&amp;$C$1)),0)</f>
        <v>0</v>
      </c>
      <c r="F38" s="8">
        <f>SUMIFS(MuhYazilis!$F$3:$F$5984,MuhYazilis!$B$3:$B$5984,A38,MuhYazilis!$C$3:$C$5984,B38,MuhYazilis!$A$3:$A$5984,"&gt;="&amp;$C$1,MuhYazilis!$A$3:$A$5984,"&lt;="&amp;$C$2)</f>
        <v>0</v>
      </c>
      <c r="G38" s="8">
        <f>SUMIFS(MuhYazilis!$F$3:$F$5984,MuhYazilis!$D$3:$D$5984,A38,MuhYazilis!$E$3:$E$5984,B38,MuhYazilis!$A$3:$A$5984,"&gt;="&amp;$C$1,MuhYazilis!$A$3:$A$5984,"&lt;="&amp;$C$2)</f>
        <v>0</v>
      </c>
      <c r="H38" s="8">
        <f t="shared" ref="H38" si="41">IF(((D38-E38)+(F38-G38))&lt;0,0,(D38-E38)+(F38-G38))</f>
        <v>0</v>
      </c>
      <c r="I38" s="8">
        <f t="shared" ref="I38" si="42">IF((((D38-E38)+(F38-G38)))&lt;0,-((D38-E38)+(F38-G38)),0)</f>
        <v>0</v>
      </c>
    </row>
    <row r="39" spans="1:13" s="18" customFormat="1" hidden="1" x14ac:dyDescent="0.25">
      <c r="A39" s="19"/>
      <c r="B39" s="19"/>
      <c r="C39" s="20"/>
      <c r="D39" s="8">
        <f>IF(SUMIFS(MuhYazilis!$F$3:$F$5984,MuhYazilis!$B$3:$B$5984,A39,MuhYazilis!$C$3:$C$5984,B39,MuhYazilis!$A$3:$A$5984,"&lt;"&amp;$C$1)-SUMIFS(MuhYazilis!$F$3:$F$5984,MuhYazilis!$D$3:$D$5984,A39,MuhYazilis!$E$3:$E$5984,B39,MuhYazilis!$A$3:$A$5984,"&lt;"&amp;$C$1)&lt;0,0,SUMIFS(MuhYazilis!$F$3:$F$5984,MuhYazilis!$B$3:$B$5984,A39,MuhYazilis!$C$3:$C$5984,B39,MuhYazilis!$A$3:$A$5984,"&lt;"&amp;$C$1)-SUMIFS(MuhYazilis!$F$3:$F$5984,MuhYazilis!$D$3:$D$5984,A39,MuhYazilis!$E$3:$E$5984,B39,MuhYazilis!$A$3:$A$5984,"&lt;"&amp;$C$1))</f>
        <v>0</v>
      </c>
      <c r="E39" s="8">
        <f>IF(SUMIFS(MuhYazilis!$F$3:$F$5984,MuhYazilis!$B$3:$B$5984,A39,MuhYazilis!$C$3:$C$5984,B39,MuhYazilis!$A$3:$A$5984,"&lt;"&amp;$C$1)-SUMIFS(MuhYazilis!$F$3:$F$5984,MuhYazilis!$D$3:$D$5984,A39,MuhYazilis!$E$3:$E$5984,B39,MuhYazilis!$A$3:$A$5984,"&lt;"&amp;$C$1)&lt;0,-(SUMIFS(MuhYazilis!$F$3:$F$5984,MuhYazilis!$B$3:$B$5984,A39,MuhYazilis!$C$3:$C$5984,B39,MuhYazilis!$A$3:$A$5984,"&lt;"&amp;$C$1)-SUMIFS(MuhYazilis!$F$3:$F$5984,MuhYazilis!$D$3:$D$5984,A39,MuhYazilis!$E$3:$E$5984,B39,MuhYazilis!$A$3:$A$5984,"&lt;"&amp;$C$1)),0)</f>
        <v>0</v>
      </c>
      <c r="F39" s="8">
        <f>SUMIFS(MuhYazilis!$F$3:$F$5984,MuhYazilis!$B$3:$B$5984,A39,MuhYazilis!$C$3:$C$5984,B39,MuhYazilis!$A$3:$A$5984,"&gt;="&amp;$C$1,MuhYazilis!$A$3:$A$5984,"&lt;="&amp;$C$2)</f>
        <v>0</v>
      </c>
      <c r="G39" s="8">
        <f>SUMIFS(MuhYazilis!$F$3:$F$5984,MuhYazilis!$D$3:$D$5984,A39,MuhYazilis!$E$3:$E$5984,B39,MuhYazilis!$A$3:$A$5984,"&gt;="&amp;$C$1,MuhYazilis!$A$3:$A$5984,"&lt;="&amp;$C$2)</f>
        <v>0</v>
      </c>
      <c r="H39" s="8">
        <f t="shared" ref="H39" si="43">IF(((D39-E39)+(F39-G39))&lt;0,0,(D39-E39)+(F39-G39))</f>
        <v>0</v>
      </c>
      <c r="I39" s="8">
        <f t="shared" ref="I39" si="44">IF((((D39-E39)+(F39-G39)))&lt;0,-((D39-E39)+(F39-G39)),0)</f>
        <v>0</v>
      </c>
    </row>
    <row r="40" spans="1:13" s="18" customFormat="1" hidden="1" x14ac:dyDescent="0.25">
      <c r="A40" s="19"/>
      <c r="B40" s="19"/>
      <c r="C40" s="20"/>
      <c r="D40" s="8">
        <f>IF(SUMIFS(MuhYazilis!$F$3:$F$5984,MuhYazilis!$B$3:$B$5984,A40,MuhYazilis!$C$3:$C$5984,B40,MuhYazilis!$A$3:$A$5984,"&lt;"&amp;$C$1)-SUMIFS(MuhYazilis!$F$3:$F$5984,MuhYazilis!$D$3:$D$5984,A40,MuhYazilis!$E$3:$E$5984,B40,MuhYazilis!$A$3:$A$5984,"&lt;"&amp;$C$1)&lt;0,0,SUMIFS(MuhYazilis!$F$3:$F$5984,MuhYazilis!$B$3:$B$5984,A40,MuhYazilis!$C$3:$C$5984,B40,MuhYazilis!$A$3:$A$5984,"&lt;"&amp;$C$1)-SUMIFS(MuhYazilis!$F$3:$F$5984,MuhYazilis!$D$3:$D$5984,A40,MuhYazilis!$E$3:$E$5984,B40,MuhYazilis!$A$3:$A$5984,"&lt;"&amp;$C$1))</f>
        <v>0</v>
      </c>
      <c r="E40" s="8">
        <f>IF(SUMIFS(MuhYazilis!$F$3:$F$5984,MuhYazilis!$B$3:$B$5984,A40,MuhYazilis!$C$3:$C$5984,B40,MuhYazilis!$A$3:$A$5984,"&lt;"&amp;$C$1)-SUMIFS(MuhYazilis!$F$3:$F$5984,MuhYazilis!$D$3:$D$5984,A40,MuhYazilis!$E$3:$E$5984,B40,MuhYazilis!$A$3:$A$5984,"&lt;"&amp;$C$1)&lt;0,-(SUMIFS(MuhYazilis!$F$3:$F$5984,MuhYazilis!$B$3:$B$5984,A40,MuhYazilis!$C$3:$C$5984,B40,MuhYazilis!$A$3:$A$5984,"&lt;"&amp;$C$1)-SUMIFS(MuhYazilis!$F$3:$F$5984,MuhYazilis!$D$3:$D$5984,A40,MuhYazilis!$E$3:$E$5984,B40,MuhYazilis!$A$3:$A$5984,"&lt;"&amp;$C$1)),0)</f>
        <v>0</v>
      </c>
      <c r="F40" s="8">
        <f>SUMIFS(MuhYazilis!$F$3:$F$5984,MuhYazilis!$B$3:$B$5984,A40,MuhYazilis!$C$3:$C$5984,B40,MuhYazilis!$A$3:$A$5984,"&gt;="&amp;$C$1,MuhYazilis!$A$3:$A$5984,"&lt;="&amp;$C$2)</f>
        <v>0</v>
      </c>
      <c r="G40" s="8">
        <f>SUMIFS(MuhYazilis!$F$3:$F$5984,MuhYazilis!$D$3:$D$5984,A40,MuhYazilis!$E$3:$E$5984,B40,MuhYazilis!$A$3:$A$5984,"&gt;="&amp;$C$1,MuhYazilis!$A$3:$A$5984,"&lt;="&amp;$C$2)</f>
        <v>0</v>
      </c>
      <c r="H40" s="8">
        <f t="shared" si="1"/>
        <v>0</v>
      </c>
      <c r="I40" s="8">
        <f t="shared" si="2"/>
        <v>0</v>
      </c>
    </row>
    <row r="41" spans="1:13" s="18" customFormat="1" hidden="1" x14ac:dyDescent="0.25">
      <c r="A41" s="19"/>
      <c r="B41" s="19"/>
      <c r="C41" s="20"/>
      <c r="D41" s="8">
        <f>IF(SUMIFS(MuhYazilis!$F$3:$F$5984,MuhYazilis!$B$3:$B$5984,A41,MuhYazilis!$C$3:$C$5984,B41,MuhYazilis!$A$3:$A$5984,"&lt;"&amp;$C$1)-SUMIFS(MuhYazilis!$F$3:$F$5984,MuhYazilis!$D$3:$D$5984,A41,MuhYazilis!$E$3:$E$5984,B41,MuhYazilis!$A$3:$A$5984,"&lt;"&amp;$C$1)&lt;0,0,SUMIFS(MuhYazilis!$F$3:$F$5984,MuhYazilis!$B$3:$B$5984,A41,MuhYazilis!$C$3:$C$5984,B41,MuhYazilis!$A$3:$A$5984,"&lt;"&amp;$C$1)-SUMIFS(MuhYazilis!$F$3:$F$5984,MuhYazilis!$D$3:$D$5984,A41,MuhYazilis!$E$3:$E$5984,B41,MuhYazilis!$A$3:$A$5984,"&lt;"&amp;$C$1))</f>
        <v>0</v>
      </c>
      <c r="E41" s="8">
        <f>IF(SUMIFS(MuhYazilis!$F$3:$F$5984,MuhYazilis!$B$3:$B$5984,A41,MuhYazilis!$C$3:$C$5984,B41,MuhYazilis!$A$3:$A$5984,"&lt;"&amp;$C$1)-SUMIFS(MuhYazilis!$F$3:$F$5984,MuhYazilis!$D$3:$D$5984,A41,MuhYazilis!$E$3:$E$5984,B41,MuhYazilis!$A$3:$A$5984,"&lt;"&amp;$C$1)&lt;0,-(SUMIFS(MuhYazilis!$F$3:$F$5984,MuhYazilis!$B$3:$B$5984,A41,MuhYazilis!$C$3:$C$5984,B41,MuhYazilis!$A$3:$A$5984,"&lt;"&amp;$C$1)-SUMIFS(MuhYazilis!$F$3:$F$5984,MuhYazilis!$D$3:$D$5984,A41,MuhYazilis!$E$3:$E$5984,B41,MuhYazilis!$A$3:$A$5984,"&lt;"&amp;$C$1)),0)</f>
        <v>0</v>
      </c>
      <c r="F41" s="8">
        <f>SUMIFS(MuhYazilis!$F$3:$F$5984,MuhYazilis!$B$3:$B$5984,A41,MuhYazilis!$C$3:$C$5984,B41,MuhYazilis!$A$3:$A$5984,"&gt;="&amp;$C$1,MuhYazilis!$A$3:$A$5984,"&lt;="&amp;$C$2)</f>
        <v>0</v>
      </c>
      <c r="G41" s="8">
        <f>SUMIFS(MuhYazilis!$F$3:$F$5984,MuhYazilis!$D$3:$D$5984,A41,MuhYazilis!$E$3:$E$5984,B41,MuhYazilis!$A$3:$A$5984,"&gt;="&amp;$C$1,MuhYazilis!$A$3:$A$5984,"&lt;="&amp;$C$2)</f>
        <v>0</v>
      </c>
      <c r="H41" s="8">
        <f t="shared" si="1"/>
        <v>0</v>
      </c>
      <c r="I41" s="8">
        <f t="shared" si="2"/>
        <v>0</v>
      </c>
    </row>
    <row r="42" spans="1:13" s="18" customFormat="1" hidden="1" x14ac:dyDescent="0.25">
      <c r="A42" s="19"/>
      <c r="B42" s="19"/>
      <c r="C42" s="20"/>
      <c r="D42" s="8">
        <f>IF(SUMIFS(MuhYazilis!$F$3:$F$5984,MuhYazilis!$B$3:$B$5984,A42,MuhYazilis!$C$3:$C$5984,B42,MuhYazilis!$A$3:$A$5984,"&lt;"&amp;$C$1)-SUMIFS(MuhYazilis!$F$3:$F$5984,MuhYazilis!$D$3:$D$5984,A42,MuhYazilis!$E$3:$E$5984,B42,MuhYazilis!$A$3:$A$5984,"&lt;"&amp;$C$1)&lt;0,0,SUMIFS(MuhYazilis!$F$3:$F$5984,MuhYazilis!$B$3:$B$5984,A42,MuhYazilis!$C$3:$C$5984,B42,MuhYazilis!$A$3:$A$5984,"&lt;"&amp;$C$1)-SUMIFS(MuhYazilis!$F$3:$F$5984,MuhYazilis!$D$3:$D$5984,A42,MuhYazilis!$E$3:$E$5984,B42,MuhYazilis!$A$3:$A$5984,"&lt;"&amp;$C$1))</f>
        <v>0</v>
      </c>
      <c r="E42" s="8">
        <f>IF(SUMIFS(MuhYazilis!$F$3:$F$5984,MuhYazilis!$B$3:$B$5984,A42,MuhYazilis!$C$3:$C$5984,B42,MuhYazilis!$A$3:$A$5984,"&lt;"&amp;$C$1)-SUMIFS(MuhYazilis!$F$3:$F$5984,MuhYazilis!$D$3:$D$5984,A42,MuhYazilis!$E$3:$E$5984,B42,MuhYazilis!$A$3:$A$5984,"&lt;"&amp;$C$1)&lt;0,-(SUMIFS(MuhYazilis!$F$3:$F$5984,MuhYazilis!$B$3:$B$5984,A42,MuhYazilis!$C$3:$C$5984,B42,MuhYazilis!$A$3:$A$5984,"&lt;"&amp;$C$1)-SUMIFS(MuhYazilis!$F$3:$F$5984,MuhYazilis!$D$3:$D$5984,A42,MuhYazilis!$E$3:$E$5984,B42,MuhYazilis!$A$3:$A$5984,"&lt;"&amp;$C$1)),0)</f>
        <v>0</v>
      </c>
      <c r="F42" s="8">
        <f>SUMIFS(MuhYazilis!$F$3:$F$5984,MuhYazilis!$B$3:$B$5984,A42,MuhYazilis!$C$3:$C$5984,B42,MuhYazilis!$A$3:$A$5984,"&gt;="&amp;$C$1,MuhYazilis!$A$3:$A$5984,"&lt;="&amp;$C$2)</f>
        <v>0</v>
      </c>
      <c r="G42" s="8">
        <f>SUMIFS(MuhYazilis!$F$3:$F$5984,MuhYazilis!$D$3:$D$5984,A42,MuhYazilis!$E$3:$E$5984,B42,MuhYazilis!$A$3:$A$5984,"&gt;="&amp;$C$1,MuhYazilis!$A$3:$A$5984,"&lt;="&amp;$C$2)</f>
        <v>0</v>
      </c>
      <c r="H42" s="8">
        <f t="shared" si="1"/>
        <v>0</v>
      </c>
      <c r="I42" s="8">
        <f t="shared" si="2"/>
        <v>0</v>
      </c>
    </row>
    <row r="43" spans="1:13" s="18" customFormat="1" hidden="1" x14ac:dyDescent="0.25">
      <c r="A43" s="19"/>
      <c r="B43" s="19"/>
      <c r="C43" s="20"/>
      <c r="D43" s="8">
        <f>IF(SUMIFS(MuhYazilis!$F$3:$F$5984,MuhYazilis!$B$3:$B$5984,A43,MuhYazilis!$C$3:$C$5984,B43,MuhYazilis!$A$3:$A$5984,"&lt;"&amp;$C$1)-SUMIFS(MuhYazilis!$F$3:$F$5984,MuhYazilis!$D$3:$D$5984,A43,MuhYazilis!$E$3:$E$5984,B43,MuhYazilis!$A$3:$A$5984,"&lt;"&amp;$C$1)&lt;0,0,SUMIFS(MuhYazilis!$F$3:$F$5984,MuhYazilis!$B$3:$B$5984,A43,MuhYazilis!$C$3:$C$5984,B43,MuhYazilis!$A$3:$A$5984,"&lt;"&amp;$C$1)-SUMIFS(MuhYazilis!$F$3:$F$5984,MuhYazilis!$D$3:$D$5984,A43,MuhYazilis!$E$3:$E$5984,B43,MuhYazilis!$A$3:$A$5984,"&lt;"&amp;$C$1))</f>
        <v>0</v>
      </c>
      <c r="E43" s="8">
        <f>IF(SUMIFS(MuhYazilis!$F$3:$F$5984,MuhYazilis!$B$3:$B$5984,A43,MuhYazilis!$C$3:$C$5984,B43,MuhYazilis!$A$3:$A$5984,"&lt;"&amp;$C$1)-SUMIFS(MuhYazilis!$F$3:$F$5984,MuhYazilis!$D$3:$D$5984,A43,MuhYazilis!$E$3:$E$5984,B43,MuhYazilis!$A$3:$A$5984,"&lt;"&amp;$C$1)&lt;0,-(SUMIFS(MuhYazilis!$F$3:$F$5984,MuhYazilis!$B$3:$B$5984,A43,MuhYazilis!$C$3:$C$5984,B43,MuhYazilis!$A$3:$A$5984,"&lt;"&amp;$C$1)-SUMIFS(MuhYazilis!$F$3:$F$5984,MuhYazilis!$D$3:$D$5984,A43,MuhYazilis!$E$3:$E$5984,B43,MuhYazilis!$A$3:$A$5984,"&lt;"&amp;$C$1)),0)</f>
        <v>0</v>
      </c>
      <c r="F43" s="8">
        <f>SUMIFS(MuhYazilis!$F$3:$F$5984,MuhYazilis!$B$3:$B$5984,A43,MuhYazilis!$C$3:$C$5984,B43,MuhYazilis!$A$3:$A$5984,"&gt;="&amp;$C$1,MuhYazilis!$A$3:$A$5984,"&lt;="&amp;$C$2)</f>
        <v>0</v>
      </c>
      <c r="G43" s="8">
        <f>SUMIFS(MuhYazilis!$F$3:$F$5984,MuhYazilis!$D$3:$D$5984,A43,MuhYazilis!$E$3:$E$5984,B43,MuhYazilis!$A$3:$A$5984,"&gt;="&amp;$C$1,MuhYazilis!$A$3:$A$5984,"&lt;="&amp;$C$2)</f>
        <v>0</v>
      </c>
      <c r="H43" s="8">
        <f t="shared" ref="H43:H44" si="45">IF(((D43-E43)+(F43-G43))&lt;0,0,(D43-E43)+(F43-G43))</f>
        <v>0</v>
      </c>
      <c r="I43" s="8">
        <f t="shared" ref="I43:I44" si="46">IF((((D43-E43)+(F43-G43)))&lt;0,-((D43-E43)+(F43-G43)),0)</f>
        <v>0</v>
      </c>
    </row>
    <row r="44" spans="1:13" s="18" customFormat="1" hidden="1" x14ac:dyDescent="0.25">
      <c r="A44" s="19"/>
      <c r="B44" s="19"/>
      <c r="C44" s="20"/>
      <c r="D44" s="8">
        <f>IF(SUMIFS(MuhYazilis!$F$3:$F$5984,MuhYazilis!$B$3:$B$5984,A44,MuhYazilis!$C$3:$C$5984,B44,MuhYazilis!$A$3:$A$5984,"&lt;"&amp;$C$1)-SUMIFS(MuhYazilis!$F$3:$F$5984,MuhYazilis!$D$3:$D$5984,A44,MuhYazilis!$E$3:$E$5984,B44,MuhYazilis!$A$3:$A$5984,"&lt;"&amp;$C$1)&lt;0,0,SUMIFS(MuhYazilis!$F$3:$F$5984,MuhYazilis!$B$3:$B$5984,A44,MuhYazilis!$C$3:$C$5984,B44,MuhYazilis!$A$3:$A$5984,"&lt;"&amp;$C$1)-SUMIFS(MuhYazilis!$F$3:$F$5984,MuhYazilis!$D$3:$D$5984,A44,MuhYazilis!$E$3:$E$5984,B44,MuhYazilis!$A$3:$A$5984,"&lt;"&amp;$C$1))</f>
        <v>0</v>
      </c>
      <c r="E44" s="8">
        <f>IF(SUMIFS(MuhYazilis!$F$3:$F$5984,MuhYazilis!$B$3:$B$5984,A44,MuhYazilis!$C$3:$C$5984,B44,MuhYazilis!$A$3:$A$5984,"&lt;"&amp;$C$1)-SUMIFS(MuhYazilis!$F$3:$F$5984,MuhYazilis!$D$3:$D$5984,A44,MuhYazilis!$E$3:$E$5984,B44,MuhYazilis!$A$3:$A$5984,"&lt;"&amp;$C$1)&lt;0,-(SUMIFS(MuhYazilis!$F$3:$F$5984,MuhYazilis!$B$3:$B$5984,A44,MuhYazilis!$C$3:$C$5984,B44,MuhYazilis!$A$3:$A$5984,"&lt;"&amp;$C$1)-SUMIFS(MuhYazilis!$F$3:$F$5984,MuhYazilis!$D$3:$D$5984,A44,MuhYazilis!$E$3:$E$5984,B44,MuhYazilis!$A$3:$A$5984,"&lt;"&amp;$C$1)),0)</f>
        <v>0</v>
      </c>
      <c r="F44" s="8">
        <f>SUMIFS(MuhYazilis!$F$3:$F$5984,MuhYazilis!$B$3:$B$5984,A44,MuhYazilis!$C$3:$C$5984,B44,MuhYazilis!$A$3:$A$5984,"&gt;="&amp;$C$1,MuhYazilis!$A$3:$A$5984,"&lt;="&amp;$C$2)</f>
        <v>0</v>
      </c>
      <c r="G44" s="8">
        <f>SUMIFS(MuhYazilis!$F$3:$F$5984,MuhYazilis!$D$3:$D$5984,A44,MuhYazilis!$E$3:$E$5984,B44,MuhYazilis!$A$3:$A$5984,"&gt;="&amp;$C$1,MuhYazilis!$A$3:$A$5984,"&lt;="&amp;$C$2)</f>
        <v>0</v>
      </c>
      <c r="H44" s="8">
        <f t="shared" si="45"/>
        <v>0</v>
      </c>
      <c r="I44" s="8">
        <f t="shared" si="46"/>
        <v>0</v>
      </c>
    </row>
    <row r="45" spans="1:13" s="18" customFormat="1" hidden="1" x14ac:dyDescent="0.25">
      <c r="A45" s="19"/>
      <c r="B45" s="19"/>
      <c r="C45" s="20"/>
      <c r="D45" s="8">
        <f>IF(SUMIFS(MuhYazilis!$F$3:$F$5984,MuhYazilis!$B$3:$B$5984,A45,MuhYazilis!$C$3:$C$5984,B45,MuhYazilis!$A$3:$A$5984,"&lt;"&amp;$C$1)-SUMIFS(MuhYazilis!$F$3:$F$5984,MuhYazilis!$D$3:$D$5984,A45,MuhYazilis!$E$3:$E$5984,B45,MuhYazilis!$A$3:$A$5984,"&lt;"&amp;$C$1)&lt;0,0,SUMIFS(MuhYazilis!$F$3:$F$5984,MuhYazilis!$B$3:$B$5984,A45,MuhYazilis!$C$3:$C$5984,B45,MuhYazilis!$A$3:$A$5984,"&lt;"&amp;$C$1)-SUMIFS(MuhYazilis!$F$3:$F$5984,MuhYazilis!$D$3:$D$5984,A45,MuhYazilis!$E$3:$E$5984,B45,MuhYazilis!$A$3:$A$5984,"&lt;"&amp;$C$1))</f>
        <v>0</v>
      </c>
      <c r="E45" s="8">
        <f>IF(SUMIFS(MuhYazilis!$F$3:$F$5984,MuhYazilis!$B$3:$B$5984,A45,MuhYazilis!$C$3:$C$5984,B45,MuhYazilis!$A$3:$A$5984,"&lt;"&amp;$C$1)-SUMIFS(MuhYazilis!$F$3:$F$5984,MuhYazilis!$D$3:$D$5984,A45,MuhYazilis!$E$3:$E$5984,B45,MuhYazilis!$A$3:$A$5984,"&lt;"&amp;$C$1)&lt;0,-(SUMIFS(MuhYazilis!$F$3:$F$5984,MuhYazilis!$B$3:$B$5984,A45,MuhYazilis!$C$3:$C$5984,B45,MuhYazilis!$A$3:$A$5984,"&lt;"&amp;$C$1)-SUMIFS(MuhYazilis!$F$3:$F$5984,MuhYazilis!$D$3:$D$5984,A45,MuhYazilis!$E$3:$E$5984,B45,MuhYazilis!$A$3:$A$5984,"&lt;"&amp;$C$1)),0)</f>
        <v>0</v>
      </c>
      <c r="F45" s="8">
        <f>SUMIFS(MuhYazilis!$F$3:$F$5984,MuhYazilis!$B$3:$B$5984,A45,MuhYazilis!$C$3:$C$5984,B45,MuhYazilis!$A$3:$A$5984,"&gt;="&amp;$C$1,MuhYazilis!$A$3:$A$5984,"&lt;="&amp;$C$2)</f>
        <v>0</v>
      </c>
      <c r="G45" s="8">
        <f>SUMIFS(MuhYazilis!$F$3:$F$5984,MuhYazilis!$D$3:$D$5984,A45,MuhYazilis!$E$3:$E$5984,B45,MuhYazilis!$A$3:$A$5984,"&gt;="&amp;$C$1,MuhYazilis!$A$3:$A$5984,"&lt;="&amp;$C$2)</f>
        <v>0</v>
      </c>
      <c r="H45" s="8">
        <f t="shared" ref="H45" si="47">IF(((D45-E45)+(F45-G45))&lt;0,0,(D45-E45)+(F45-G45))</f>
        <v>0</v>
      </c>
      <c r="I45" s="8">
        <f t="shared" ref="I45" si="48">IF((((D45-E45)+(F45-G45)))&lt;0,-((D45-E45)+(F45-G45)),0)</f>
        <v>0</v>
      </c>
    </row>
    <row r="46" spans="1:13" s="18" customFormat="1" hidden="1" x14ac:dyDescent="0.25">
      <c r="A46" s="19"/>
      <c r="B46" s="19"/>
      <c r="C46" s="20"/>
      <c r="D46" s="8">
        <f>IF(SUMIFS(MuhYazilis!$F$3:$F$5984,MuhYazilis!$B$3:$B$5984,A46,MuhYazilis!$C$3:$C$5984,B46,MuhYazilis!$A$3:$A$5984,"&lt;"&amp;$C$1)-SUMIFS(MuhYazilis!$F$3:$F$5984,MuhYazilis!$D$3:$D$5984,A46,MuhYazilis!$E$3:$E$5984,B46,MuhYazilis!$A$3:$A$5984,"&lt;"&amp;$C$1)&lt;0,0,SUMIFS(MuhYazilis!$F$3:$F$5984,MuhYazilis!$B$3:$B$5984,A46,MuhYazilis!$C$3:$C$5984,B46,MuhYazilis!$A$3:$A$5984,"&lt;"&amp;$C$1)-SUMIFS(MuhYazilis!$F$3:$F$5984,MuhYazilis!$D$3:$D$5984,A46,MuhYazilis!$E$3:$E$5984,B46,MuhYazilis!$A$3:$A$5984,"&lt;"&amp;$C$1))</f>
        <v>0</v>
      </c>
      <c r="E46" s="8">
        <f>IF(SUMIFS(MuhYazilis!$F$3:$F$5984,MuhYazilis!$B$3:$B$5984,A46,MuhYazilis!$C$3:$C$5984,B46,MuhYazilis!$A$3:$A$5984,"&lt;"&amp;$C$1)-SUMIFS(MuhYazilis!$F$3:$F$5984,MuhYazilis!$D$3:$D$5984,A46,MuhYazilis!$E$3:$E$5984,B46,MuhYazilis!$A$3:$A$5984,"&lt;"&amp;$C$1)&lt;0,-(SUMIFS(MuhYazilis!$F$3:$F$5984,MuhYazilis!$B$3:$B$5984,A46,MuhYazilis!$C$3:$C$5984,B46,MuhYazilis!$A$3:$A$5984,"&lt;"&amp;$C$1)-SUMIFS(MuhYazilis!$F$3:$F$5984,MuhYazilis!$D$3:$D$5984,A46,MuhYazilis!$E$3:$E$5984,B46,MuhYazilis!$A$3:$A$5984,"&lt;"&amp;$C$1)),0)</f>
        <v>0</v>
      </c>
      <c r="F46" s="8">
        <f>SUMIFS(MuhYazilis!$F$3:$F$5984,MuhYazilis!$B$3:$B$5984,A46,MuhYazilis!$C$3:$C$5984,B46,MuhYazilis!$A$3:$A$5984,"&gt;="&amp;$C$1,MuhYazilis!$A$3:$A$5984,"&lt;="&amp;$C$2)</f>
        <v>0</v>
      </c>
      <c r="G46" s="8">
        <f>SUMIFS(MuhYazilis!$F$3:$F$5984,MuhYazilis!$D$3:$D$5984,A46,MuhYazilis!$E$3:$E$5984,B46,MuhYazilis!$A$3:$A$5984,"&gt;="&amp;$C$1,MuhYazilis!$A$3:$A$5984,"&lt;="&amp;$C$2)</f>
        <v>0</v>
      </c>
      <c r="H46" s="8">
        <f t="shared" si="1"/>
        <v>0</v>
      </c>
      <c r="I46" s="8">
        <f t="shared" si="2"/>
        <v>0</v>
      </c>
    </row>
    <row r="47" spans="1:13" s="18" customFormat="1" hidden="1" x14ac:dyDescent="0.25">
      <c r="A47" s="19"/>
      <c r="B47" s="19"/>
      <c r="C47" s="20"/>
      <c r="D47" s="8">
        <f>IF(SUMIFS(MuhYazilis!$F$3:$F$5984,MuhYazilis!$B$3:$B$5984,A47,MuhYazilis!$C$3:$C$5984,B47,MuhYazilis!$A$3:$A$5984,"&lt;"&amp;$C$1)-SUMIFS(MuhYazilis!$F$3:$F$5984,MuhYazilis!$D$3:$D$5984,A47,MuhYazilis!$E$3:$E$5984,B47,MuhYazilis!$A$3:$A$5984,"&lt;"&amp;$C$1)&lt;0,0,SUMIFS(MuhYazilis!$F$3:$F$5984,MuhYazilis!$B$3:$B$5984,A47,MuhYazilis!$C$3:$C$5984,B47,MuhYazilis!$A$3:$A$5984,"&lt;"&amp;$C$1)-SUMIFS(MuhYazilis!$F$3:$F$5984,MuhYazilis!$D$3:$D$5984,A47,MuhYazilis!$E$3:$E$5984,B47,MuhYazilis!$A$3:$A$5984,"&lt;"&amp;$C$1))</f>
        <v>0</v>
      </c>
      <c r="E47" s="8">
        <f>IF(SUMIFS(MuhYazilis!$F$3:$F$5984,MuhYazilis!$B$3:$B$5984,A47,MuhYazilis!$C$3:$C$5984,B47,MuhYazilis!$A$3:$A$5984,"&lt;"&amp;$C$1)-SUMIFS(MuhYazilis!$F$3:$F$5984,MuhYazilis!$D$3:$D$5984,A47,MuhYazilis!$E$3:$E$5984,B47,MuhYazilis!$A$3:$A$5984,"&lt;"&amp;$C$1)&lt;0,-(SUMIFS(MuhYazilis!$F$3:$F$5984,MuhYazilis!$B$3:$B$5984,A47,MuhYazilis!$C$3:$C$5984,B47,MuhYazilis!$A$3:$A$5984,"&lt;"&amp;$C$1)-SUMIFS(MuhYazilis!$F$3:$F$5984,MuhYazilis!$D$3:$D$5984,A47,MuhYazilis!$E$3:$E$5984,B47,MuhYazilis!$A$3:$A$5984,"&lt;"&amp;$C$1)),0)</f>
        <v>0</v>
      </c>
      <c r="F47" s="8">
        <f>SUMIFS(MuhYazilis!$F$3:$F$5984,MuhYazilis!$B$3:$B$5984,A47,MuhYazilis!$C$3:$C$5984,B47,MuhYazilis!$A$3:$A$5984,"&gt;="&amp;$C$1,MuhYazilis!$A$3:$A$5984,"&lt;="&amp;$C$2)</f>
        <v>0</v>
      </c>
      <c r="G47" s="8">
        <f>SUMIFS(MuhYazilis!$F$3:$F$5984,MuhYazilis!$D$3:$D$5984,A47,MuhYazilis!$E$3:$E$5984,B47,MuhYazilis!$A$3:$A$5984,"&gt;="&amp;$C$1,MuhYazilis!$A$3:$A$5984,"&lt;="&amp;$C$2)</f>
        <v>0</v>
      </c>
      <c r="H47" s="8">
        <f t="shared" ref="H47" si="49">IF(((D47-E47)+(F47-G47))&lt;0,0,(D47-E47)+(F47-G47))</f>
        <v>0</v>
      </c>
      <c r="I47" s="8">
        <f t="shared" ref="I47" si="50">IF((((D47-E47)+(F47-G47)))&lt;0,-((D47-E47)+(F47-G47)),0)</f>
        <v>0</v>
      </c>
    </row>
    <row r="48" spans="1:13" s="18" customFormat="1" hidden="1" x14ac:dyDescent="0.25">
      <c r="A48" s="19"/>
      <c r="B48" s="19"/>
      <c r="C48" s="20"/>
      <c r="D48" s="8">
        <f>IF(SUMIFS(MuhYazilis!$F$3:$F$5984,MuhYazilis!$B$3:$B$5984,A48,MuhYazilis!$C$3:$C$5984,B48,MuhYazilis!$A$3:$A$5984,"&lt;"&amp;$C$1)-SUMIFS(MuhYazilis!$F$3:$F$5984,MuhYazilis!$D$3:$D$5984,A48,MuhYazilis!$E$3:$E$5984,B48,MuhYazilis!$A$3:$A$5984,"&lt;"&amp;$C$1)&lt;0,0,SUMIFS(MuhYazilis!$F$3:$F$5984,MuhYazilis!$B$3:$B$5984,A48,MuhYazilis!$C$3:$C$5984,B48,MuhYazilis!$A$3:$A$5984,"&lt;"&amp;$C$1)-SUMIFS(MuhYazilis!$F$3:$F$5984,MuhYazilis!$D$3:$D$5984,A48,MuhYazilis!$E$3:$E$5984,B48,MuhYazilis!$A$3:$A$5984,"&lt;"&amp;$C$1))</f>
        <v>0</v>
      </c>
      <c r="E48" s="8">
        <f>IF(SUMIFS(MuhYazilis!$F$3:$F$5984,MuhYazilis!$B$3:$B$5984,A48,MuhYazilis!$C$3:$C$5984,B48,MuhYazilis!$A$3:$A$5984,"&lt;"&amp;$C$1)-SUMIFS(MuhYazilis!$F$3:$F$5984,MuhYazilis!$D$3:$D$5984,A48,MuhYazilis!$E$3:$E$5984,B48,MuhYazilis!$A$3:$A$5984,"&lt;"&amp;$C$1)&lt;0,-(SUMIFS(MuhYazilis!$F$3:$F$5984,MuhYazilis!$B$3:$B$5984,A48,MuhYazilis!$C$3:$C$5984,B48,MuhYazilis!$A$3:$A$5984,"&lt;"&amp;$C$1)-SUMIFS(MuhYazilis!$F$3:$F$5984,MuhYazilis!$D$3:$D$5984,A48,MuhYazilis!$E$3:$E$5984,B48,MuhYazilis!$A$3:$A$5984,"&lt;"&amp;$C$1)),0)</f>
        <v>0</v>
      </c>
      <c r="F48" s="8">
        <f>SUMIFS(MuhYazilis!$F$3:$F$5984,MuhYazilis!$B$3:$B$5984,A48,MuhYazilis!$C$3:$C$5984,B48,MuhYazilis!$A$3:$A$5984,"&gt;="&amp;$C$1,MuhYazilis!$A$3:$A$5984,"&lt;="&amp;$C$2)</f>
        <v>0</v>
      </c>
      <c r="G48" s="8">
        <f>SUMIFS(MuhYazilis!$F$3:$F$5984,MuhYazilis!$D$3:$D$5984,A48,MuhYazilis!$E$3:$E$5984,B48,MuhYazilis!$A$3:$A$5984,"&gt;="&amp;$C$1,MuhYazilis!$A$3:$A$5984,"&lt;="&amp;$C$2)</f>
        <v>0</v>
      </c>
      <c r="H48" s="8">
        <f t="shared" ref="H48" si="51">IF(((D48-E48)+(F48-G48))&lt;0,0,(D48-E48)+(F48-G48))</f>
        <v>0</v>
      </c>
      <c r="I48" s="8">
        <f t="shared" ref="I48" si="52">IF((((D48-E48)+(F48-G48)))&lt;0,-((D48-E48)+(F48-G48)),0)</f>
        <v>0</v>
      </c>
    </row>
    <row r="49" spans="1:9" s="18" customFormat="1" hidden="1" x14ac:dyDescent="0.25">
      <c r="A49" s="34"/>
      <c r="B49" s="34"/>
      <c r="C49" s="55"/>
      <c r="D49" s="35">
        <f>IF(SUMIFS(MuhYazilis!$F$3:$F$5984,MuhYazilis!$B$3:$B$5984,A49,MuhYazilis!$C$3:$C$5984,B49,MuhYazilis!$A$3:$A$5984,"&lt;"&amp;$C$1)-SUMIFS(MuhYazilis!$F$3:$F$5984,MuhYazilis!$D$3:$D$5984,A49,MuhYazilis!$E$3:$E$5984,B49,MuhYazilis!$A$3:$A$5984,"&lt;"&amp;$C$1)&lt;0,0,SUMIFS(MuhYazilis!$F$3:$F$5984,MuhYazilis!$B$3:$B$5984,A49,MuhYazilis!$C$3:$C$5984,B49,MuhYazilis!$A$3:$A$5984,"&lt;"&amp;$C$1)-SUMIFS(MuhYazilis!$F$3:$F$5984,MuhYazilis!$D$3:$D$5984,A49,MuhYazilis!$E$3:$E$5984,B49,MuhYazilis!$A$3:$A$5984,"&lt;"&amp;$C$1))</f>
        <v>0</v>
      </c>
      <c r="E49" s="35">
        <f>IF(SUMIFS(MuhYazilis!$F$3:$F$5984,MuhYazilis!$B$3:$B$5984,A49,MuhYazilis!$C$3:$C$5984,B49,MuhYazilis!$A$3:$A$5984,"&lt;"&amp;$C$1)-SUMIFS(MuhYazilis!$F$3:$F$5984,MuhYazilis!$D$3:$D$5984,A49,MuhYazilis!$E$3:$E$5984,B49,MuhYazilis!$A$3:$A$5984,"&lt;"&amp;$C$1)&lt;0,-(SUMIFS(MuhYazilis!$F$3:$F$5984,MuhYazilis!$B$3:$B$5984,A49,MuhYazilis!$C$3:$C$5984,B49,MuhYazilis!$A$3:$A$5984,"&lt;"&amp;$C$1)-SUMIFS(MuhYazilis!$F$3:$F$5984,MuhYazilis!$D$3:$D$5984,A49,MuhYazilis!$E$3:$E$5984,B49,MuhYazilis!$A$3:$A$5984,"&lt;"&amp;$C$1)),0)</f>
        <v>0</v>
      </c>
      <c r="F49" s="35">
        <f>SUMIFS(MuhYazilis!$F$3:$F$5984,MuhYazilis!$B$3:$B$5984,A49,MuhYazilis!$C$3:$C$5984,B49,MuhYazilis!$A$3:$A$5984,"&gt;="&amp;$C$1,MuhYazilis!$A$3:$A$5984,"&lt;="&amp;$C$2)</f>
        <v>0</v>
      </c>
      <c r="G49" s="35">
        <f>SUMIFS(MuhYazilis!$F$3:$F$5984,MuhYazilis!$D$3:$D$5984,A49,MuhYazilis!$E$3:$E$5984,B49,MuhYazilis!$A$3:$A$5984,"&gt;="&amp;$C$1,MuhYazilis!$A$3:$A$5984,"&lt;="&amp;$C$2)</f>
        <v>0</v>
      </c>
      <c r="H49" s="35">
        <f t="shared" si="1"/>
        <v>0</v>
      </c>
      <c r="I49" s="35">
        <f t="shared" si="2"/>
        <v>0</v>
      </c>
    </row>
  </sheetData>
  <autoFilter ref="A3:M49" xr:uid="{00000000-0009-0000-0000-000002000000}"/>
  <mergeCells count="4">
    <mergeCell ref="D2:E2"/>
    <mergeCell ref="F2:G2"/>
    <mergeCell ref="H2:I2"/>
    <mergeCell ref="L10:M10"/>
  </mergeCells>
  <dataValidations count="2">
    <dataValidation type="list" allowBlank="1" showInputMessage="1" showErrorMessage="1" sqref="B8:B32 B29" xr:uid="{00000000-0002-0000-0200-000000000000}">
      <formula1>HesablarA</formula1>
    </dataValidation>
    <dataValidation type="list" allowBlank="1" showInputMessage="1" showErrorMessage="1" sqref="A8:A32 A29" xr:uid="{6EDF3B3C-9571-4455-8F91-DC33D7EA1F01}">
      <formula1>Hesablar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38"/>
  <sheetViews>
    <sheetView workbookViewId="0">
      <selection activeCell="A11" sqref="A11:XFD11"/>
    </sheetView>
  </sheetViews>
  <sheetFormatPr defaultRowHeight="15" x14ac:dyDescent="0.25"/>
  <sheetData>
    <row r="1" spans="1:10" x14ac:dyDescent="0.25">
      <c r="A1" s="10">
        <v>101</v>
      </c>
    </row>
    <row r="2" spans="1:10" x14ac:dyDescent="0.25">
      <c r="A2" s="10">
        <v>103</v>
      </c>
    </row>
    <row r="3" spans="1:10" x14ac:dyDescent="0.25">
      <c r="A3" s="10">
        <v>111</v>
      </c>
    </row>
    <row r="4" spans="1:10" x14ac:dyDescent="0.25">
      <c r="A4" s="10">
        <v>112</v>
      </c>
    </row>
    <row r="5" spans="1:10" x14ac:dyDescent="0.25">
      <c r="A5" s="10">
        <v>113</v>
      </c>
      <c r="J5" s="12"/>
    </row>
    <row r="6" spans="1:10" x14ac:dyDescent="0.25">
      <c r="A6" s="10">
        <v>201</v>
      </c>
    </row>
    <row r="7" spans="1:10" x14ac:dyDescent="0.25">
      <c r="A7" s="10">
        <v>202</v>
      </c>
    </row>
    <row r="8" spans="1:10" x14ac:dyDescent="0.25">
      <c r="A8" s="10">
        <v>204</v>
      </c>
    </row>
    <row r="9" spans="1:10" x14ac:dyDescent="0.25">
      <c r="A9" s="10">
        <v>205</v>
      </c>
    </row>
    <row r="10" spans="1:10" x14ac:dyDescent="0.25">
      <c r="A10" s="10">
        <v>211</v>
      </c>
    </row>
    <row r="11" spans="1:10" x14ac:dyDescent="0.25">
      <c r="A11" s="37">
        <v>217</v>
      </c>
    </row>
    <row r="12" spans="1:10" x14ac:dyDescent="0.25">
      <c r="A12" s="10">
        <v>223</v>
      </c>
    </row>
    <row r="13" spans="1:10" x14ac:dyDescent="0.25">
      <c r="A13" s="10">
        <v>224</v>
      </c>
    </row>
    <row r="14" spans="1:10" x14ac:dyDescent="0.25">
      <c r="A14" s="10">
        <v>241</v>
      </c>
    </row>
    <row r="15" spans="1:10" x14ac:dyDescent="0.25">
      <c r="A15" s="10">
        <v>243</v>
      </c>
    </row>
    <row r="16" spans="1:10" x14ac:dyDescent="0.25">
      <c r="A16" s="10">
        <v>245</v>
      </c>
    </row>
    <row r="17" spans="1:1" x14ac:dyDescent="0.25">
      <c r="A17" s="10">
        <v>301</v>
      </c>
    </row>
    <row r="18" spans="1:1" x14ac:dyDescent="0.25">
      <c r="A18" s="10">
        <v>341</v>
      </c>
    </row>
    <row r="19" spans="1:1" x14ac:dyDescent="0.25">
      <c r="A19" s="10">
        <v>343</v>
      </c>
    </row>
    <row r="20" spans="1:1" x14ac:dyDescent="0.25">
      <c r="A20" s="10">
        <v>401</v>
      </c>
    </row>
    <row r="21" spans="1:1" x14ac:dyDescent="0.25">
      <c r="A21" s="10">
        <v>521</v>
      </c>
    </row>
    <row r="22" spans="1:1" x14ac:dyDescent="0.25">
      <c r="A22" s="10">
        <v>522</v>
      </c>
    </row>
    <row r="23" spans="1:1" x14ac:dyDescent="0.25">
      <c r="A23" s="10">
        <v>523</v>
      </c>
    </row>
    <row r="24" spans="1:1" x14ac:dyDescent="0.25">
      <c r="A24" s="10">
        <v>531</v>
      </c>
    </row>
    <row r="25" spans="1:1" x14ac:dyDescent="0.25">
      <c r="A25" s="10">
        <v>533</v>
      </c>
    </row>
    <row r="26" spans="1:1" x14ac:dyDescent="0.25">
      <c r="A26" s="37">
        <v>534</v>
      </c>
    </row>
    <row r="27" spans="1:1" x14ac:dyDescent="0.25">
      <c r="A27" s="10">
        <v>535</v>
      </c>
    </row>
    <row r="28" spans="1:1" x14ac:dyDescent="0.25">
      <c r="A28" s="10">
        <v>601</v>
      </c>
    </row>
    <row r="29" spans="1:1" x14ac:dyDescent="0.25">
      <c r="A29" s="10">
        <v>701</v>
      </c>
    </row>
    <row r="30" spans="1:1" x14ac:dyDescent="0.25">
      <c r="A30" s="10">
        <v>721</v>
      </c>
    </row>
    <row r="31" spans="1:1" x14ac:dyDescent="0.25">
      <c r="A31" s="10">
        <v>751</v>
      </c>
    </row>
    <row r="32" spans="1:1" x14ac:dyDescent="0.25">
      <c r="A32" s="10">
        <v>801</v>
      </c>
    </row>
    <row r="33" spans="1:1" x14ac:dyDescent="0.25">
      <c r="A33" s="10">
        <v>901</v>
      </c>
    </row>
    <row r="34" spans="1:1" x14ac:dyDescent="0.25">
      <c r="A34" s="10" t="s">
        <v>11</v>
      </c>
    </row>
    <row r="35" spans="1:1" x14ac:dyDescent="0.25">
      <c r="A35" s="10" t="s">
        <v>18</v>
      </c>
    </row>
    <row r="36" spans="1:1" x14ac:dyDescent="0.25">
      <c r="A36" s="10" t="s">
        <v>10</v>
      </c>
    </row>
    <row r="37" spans="1:1" x14ac:dyDescent="0.25">
      <c r="A37" s="10" t="s">
        <v>12</v>
      </c>
    </row>
    <row r="38" spans="1:1" x14ac:dyDescent="0.25">
      <c r="A38" s="10" t="s">
        <v>13</v>
      </c>
    </row>
  </sheetData>
  <sortState ref="A1:A20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ANBAR</vt:lpstr>
      <vt:lpstr>MuhYazilis</vt:lpstr>
      <vt:lpstr>HesablarBalans</vt:lpstr>
      <vt:lpstr>Sheet5</vt:lpstr>
      <vt:lpstr>Hesablar</vt:lpstr>
      <vt:lpstr>HesablarA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Пользователь</cp:lastModifiedBy>
  <dcterms:created xsi:type="dcterms:W3CDTF">2018-07-30T06:46:06Z</dcterms:created>
  <dcterms:modified xsi:type="dcterms:W3CDTF">2022-06-27T14:50:03Z</dcterms:modified>
</cp:coreProperties>
</file>