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data_science_\excel\projects\store data analysis using excel\"/>
    </mc:Choice>
  </mc:AlternateContent>
  <bookViews>
    <workbookView xWindow="0" yWindow="0" windowWidth="23040" windowHeight="8904" activeTab="7"/>
  </bookViews>
  <sheets>
    <sheet name="Sheet2" sheetId="1" r:id="rId1"/>
    <sheet name="Sheet1" sheetId="12" r:id="rId2"/>
    <sheet name="Sheet4" sheetId="4" r:id="rId3"/>
    <sheet name="Sheet6" sheetId="6" r:id="rId4"/>
    <sheet name="Sheet7" sheetId="7" r:id="rId5"/>
    <sheet name="Sheet8" sheetId="8" r:id="rId6"/>
    <sheet name="Sheet9" sheetId="9" r:id="rId7"/>
    <sheet name="original_data" sheetId="2" r:id="rId8"/>
  </sheets>
  <definedNames>
    <definedName name="_xlcn.WorksheetConnection_data100.xlsxTable1" hidden="1">Table1[]</definedName>
    <definedName name="_xlcn.WorksheetConnection_Sheet1T1W33" hidden="1">original_data!$T$1:$W$33</definedName>
    <definedName name="_xlcn.WorksheetConnection_Sheet1Y2AA5" hidden="1">original_data!$Y$2:$AA$5</definedName>
    <definedName name="Slicer_Gender">#N/A</definedName>
  </definedNames>
  <calcPr calcId="162913"/>
  <pivotCaches>
    <pivotCache cacheId="0" r:id="rId9"/>
    <pivotCache cacheId="1" r:id="rId10"/>
    <pivotCache cacheId="2"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T$1:$W$33"/>
          <x15:modelTable id="Table1" name="Table1" connection="WorksheetConnection_data100.xlsx!Table1"/>
          <x15:modelTable id="Range1" name="Range1" connection="WorksheetConnection_Sheet1!$Y$2:$AA$5"/>
        </x15:modelTables>
      </x15:dataModel>
    </ext>
  </extLst>
</workbook>
</file>

<file path=xl/calcChain.xml><?xml version="1.0" encoding="utf-8"?>
<calcChain xmlns="http://schemas.openxmlformats.org/spreadsheetml/2006/main">
  <c r="C6" i="2" l="1"/>
  <c r="AE17" i="1" l="1"/>
  <c r="AF17"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J2" i="1"/>
  <c r="AB24" i="1"/>
  <c r="X2" i="1"/>
  <c r="Y2" i="1" s="1"/>
  <c r="Z24" i="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AE8" i="1"/>
  <c r="AE9" i="1"/>
  <c r="AC2" i="1"/>
  <c r="AC3" i="1"/>
  <c r="AC4" i="1"/>
  <c r="AC5" i="1"/>
  <c r="AC6" i="1"/>
  <c r="AC7" i="1"/>
  <c r="AC8" i="1"/>
  <c r="AC9" i="1"/>
  <c r="AC10" i="1"/>
  <c r="AC11" i="1"/>
  <c r="AC12" i="1"/>
  <c r="AC13" i="1"/>
  <c r="AC14" i="1"/>
  <c r="AC15" i="1"/>
  <c r="AC16" i="1"/>
  <c r="AC17" i="1"/>
  <c r="AC18" i="1"/>
  <c r="AC19" i="1"/>
  <c r="AC20" i="1"/>
  <c r="AC21" i="1"/>
  <c r="AD2" i="1"/>
  <c r="AD3" i="1"/>
  <c r="AD4" i="1"/>
  <c r="AD5" i="1"/>
  <c r="AD6" i="1"/>
  <c r="AD7" i="1"/>
  <c r="AD8" i="1"/>
  <c r="AD9" i="1"/>
  <c r="AD10" i="1"/>
  <c r="AD11" i="1"/>
  <c r="AD12" i="1"/>
  <c r="AD13" i="1"/>
  <c r="AD14" i="1"/>
  <c r="AD15" i="1"/>
  <c r="AD16" i="1"/>
  <c r="AD17" i="1"/>
  <c r="AD18" i="1"/>
  <c r="AD19" i="1"/>
  <c r="AD20" i="1"/>
  <c r="AD21" i="1"/>
  <c r="AA3" i="1"/>
  <c r="AA4" i="1"/>
  <c r="AA5" i="1"/>
  <c r="AA6" i="1"/>
  <c r="AA7" i="1"/>
  <c r="AA8" i="1"/>
  <c r="AA9" i="1"/>
  <c r="AA10" i="1"/>
  <c r="AA11" i="1"/>
  <c r="AA12" i="1"/>
  <c r="AA13" i="1"/>
  <c r="AA14" i="1"/>
  <c r="AA15" i="1"/>
  <c r="AA16" i="1"/>
  <c r="AA17" i="1"/>
  <c r="AA18" i="1"/>
  <c r="AA19" i="1"/>
  <c r="AA20" i="1"/>
  <c r="AA21" i="1"/>
  <c r="C2" i="2" l="1"/>
  <c r="E2" i="2"/>
  <c r="S2" i="2"/>
  <c r="T2" i="2"/>
  <c r="U2" i="2"/>
  <c r="C3" i="2"/>
  <c r="T3" i="2" s="1"/>
  <c r="E3" i="2"/>
  <c r="S3" i="2"/>
  <c r="X3" i="2"/>
  <c r="Y3" i="2"/>
  <c r="Z3" i="2"/>
  <c r="AA3" i="2"/>
  <c r="AB3" i="2"/>
  <c r="C4" i="2"/>
  <c r="E4" i="2"/>
  <c r="C5" i="2"/>
  <c r="S5" i="2" s="1"/>
  <c r="E5" i="2"/>
  <c r="T6" i="2"/>
  <c r="E6" i="2"/>
  <c r="C7" i="2"/>
  <c r="U7" i="2" s="1"/>
  <c r="E7" i="2"/>
  <c r="C8" i="2"/>
  <c r="S8" i="2" s="1"/>
  <c r="E8" i="2"/>
  <c r="C9" i="2"/>
  <c r="S9" i="2" s="1"/>
  <c r="E9" i="2"/>
  <c r="C10" i="2"/>
  <c r="T10" i="2" s="1"/>
  <c r="E10" i="2"/>
  <c r="S10" i="2"/>
  <c r="C11" i="2"/>
  <c r="U11" i="2" s="1"/>
  <c r="E11" i="2"/>
  <c r="C12" i="2"/>
  <c r="S12" i="2" s="1"/>
  <c r="E12" i="2"/>
  <c r="C13" i="2"/>
  <c r="S13" i="2" s="1"/>
  <c r="E13" i="2"/>
  <c r="C14" i="2"/>
  <c r="T14" i="2" s="1"/>
  <c r="E14" i="2"/>
  <c r="C15" i="2"/>
  <c r="U15" i="2" s="1"/>
  <c r="E15" i="2"/>
  <c r="C16" i="2"/>
  <c r="S16" i="2" s="1"/>
  <c r="E16" i="2"/>
  <c r="C17" i="2"/>
  <c r="T17" i="2" s="1"/>
  <c r="E17" i="2"/>
  <c r="S17" i="2"/>
  <c r="C18" i="2"/>
  <c r="T18" i="2" s="1"/>
  <c r="E18" i="2"/>
  <c r="C19" i="2"/>
  <c r="U19" i="2" s="1"/>
  <c r="E19" i="2"/>
  <c r="C20" i="2"/>
  <c r="S20" i="2" s="1"/>
  <c r="E20" i="2"/>
  <c r="C21" i="2"/>
  <c r="S21" i="2" s="1"/>
  <c r="E21" i="2"/>
  <c r="C22" i="2"/>
  <c r="T22" i="2" s="1"/>
  <c r="E22" i="2"/>
  <c r="C23" i="2"/>
  <c r="U23" i="2" s="1"/>
  <c r="E23" i="2"/>
  <c r="C24" i="2"/>
  <c r="S24" i="2" s="1"/>
  <c r="E24" i="2"/>
  <c r="C25" i="2"/>
  <c r="U25" i="2" s="1"/>
  <c r="E25" i="2"/>
  <c r="C26" i="2"/>
  <c r="T26" i="2" s="1"/>
  <c r="E26" i="2"/>
  <c r="C27" i="2"/>
  <c r="U27" i="2" s="1"/>
  <c r="E27" i="2"/>
  <c r="C28" i="2"/>
  <c r="S28" i="2" s="1"/>
  <c r="E28" i="2"/>
  <c r="C29" i="2"/>
  <c r="S29" i="2" s="1"/>
  <c r="E29" i="2"/>
  <c r="U29" i="2"/>
  <c r="C30" i="2"/>
  <c r="T30" i="2" s="1"/>
  <c r="E30" i="2"/>
  <c r="C31" i="2"/>
  <c r="U31" i="2" s="1"/>
  <c r="E31" i="2"/>
  <c r="C32" i="2"/>
  <c r="S32" i="2" s="1"/>
  <c r="E32" i="2"/>
  <c r="C33" i="2"/>
  <c r="T33" i="2" s="1"/>
  <c r="E33" i="2"/>
  <c r="C34" i="2"/>
  <c r="T34" i="2" s="1"/>
  <c r="E34" i="2"/>
  <c r="C35" i="2"/>
  <c r="U35" i="2" s="1"/>
  <c r="E35" i="2"/>
  <c r="C36" i="2"/>
  <c r="S36" i="2" s="1"/>
  <c r="E36" i="2"/>
  <c r="C37" i="2"/>
  <c r="S37" i="2" s="1"/>
  <c r="E37" i="2"/>
  <c r="C38" i="2"/>
  <c r="T38" i="2" s="1"/>
  <c r="E38" i="2"/>
  <c r="C39" i="2"/>
  <c r="U39" i="2" s="1"/>
  <c r="E39" i="2"/>
  <c r="C40" i="2"/>
  <c r="S40" i="2" s="1"/>
  <c r="E40" i="2"/>
  <c r="C41" i="2"/>
  <c r="S41" i="2" s="1"/>
  <c r="E41" i="2"/>
  <c r="C42" i="2"/>
  <c r="T42" i="2" s="1"/>
  <c r="E42" i="2"/>
  <c r="S42" i="2"/>
  <c r="C43" i="2"/>
  <c r="U43" i="2" s="1"/>
  <c r="E43" i="2"/>
  <c r="C44" i="2"/>
  <c r="S44" i="2" s="1"/>
  <c r="E44" i="2"/>
  <c r="C45" i="2"/>
  <c r="S45" i="2" s="1"/>
  <c r="E45" i="2"/>
  <c r="C46" i="2"/>
  <c r="T46" i="2" s="1"/>
  <c r="E46" i="2"/>
  <c r="C47" i="2"/>
  <c r="U47" i="2" s="1"/>
  <c r="E47" i="2"/>
  <c r="C48" i="2"/>
  <c r="S48" i="2" s="1"/>
  <c r="E48" i="2"/>
  <c r="C49" i="2"/>
  <c r="T49" i="2" s="1"/>
  <c r="E49" i="2"/>
  <c r="C50" i="2"/>
  <c r="T50" i="2" s="1"/>
  <c r="E50" i="2"/>
  <c r="C51" i="2"/>
  <c r="U51" i="2" s="1"/>
  <c r="E51" i="2"/>
  <c r="C52" i="2"/>
  <c r="S52" i="2" s="1"/>
  <c r="E52" i="2"/>
  <c r="C53" i="2"/>
  <c r="S53" i="2" s="1"/>
  <c r="E53" i="2"/>
  <c r="C54" i="2"/>
  <c r="T54" i="2" s="1"/>
  <c r="E54" i="2"/>
  <c r="C55" i="2"/>
  <c r="U55" i="2" s="1"/>
  <c r="E55" i="2"/>
  <c r="C56" i="2"/>
  <c r="S56" i="2" s="1"/>
  <c r="E56" i="2"/>
  <c r="C57" i="2"/>
  <c r="S57" i="2" s="1"/>
  <c r="E57" i="2"/>
  <c r="C58" i="2"/>
  <c r="T58" i="2" s="1"/>
  <c r="E58" i="2"/>
  <c r="C59" i="2"/>
  <c r="U59" i="2" s="1"/>
  <c r="E59" i="2"/>
  <c r="C60" i="2"/>
  <c r="S60" i="2" s="1"/>
  <c r="E60" i="2"/>
  <c r="C61" i="2"/>
  <c r="S61" i="2" s="1"/>
  <c r="E61" i="2"/>
  <c r="C62" i="2"/>
  <c r="T62" i="2" s="1"/>
  <c r="E62" i="2"/>
  <c r="C63" i="2"/>
  <c r="U63" i="2" s="1"/>
  <c r="E63" i="2"/>
  <c r="C64" i="2"/>
  <c r="T64" i="2" s="1"/>
  <c r="E64" i="2"/>
  <c r="C65" i="2"/>
  <c r="T65" i="2" s="1"/>
  <c r="E65" i="2"/>
  <c r="C66" i="2"/>
  <c r="T66" i="2" s="1"/>
  <c r="E66" i="2"/>
  <c r="C67" i="2"/>
  <c r="S67" i="2" s="1"/>
  <c r="E67" i="2"/>
  <c r="C68" i="2"/>
  <c r="S68" i="2" s="1"/>
  <c r="E68" i="2"/>
  <c r="C69" i="2"/>
  <c r="T69" i="2" s="1"/>
  <c r="E69" i="2"/>
  <c r="C70" i="2"/>
  <c r="T70" i="2" s="1"/>
  <c r="E70" i="2"/>
  <c r="C71" i="2"/>
  <c r="S71" i="2" s="1"/>
  <c r="E71" i="2"/>
  <c r="C72" i="2"/>
  <c r="S72" i="2" s="1"/>
  <c r="E72" i="2"/>
  <c r="C73" i="2"/>
  <c r="S73" i="2" s="1"/>
  <c r="E73" i="2"/>
  <c r="C74" i="2"/>
  <c r="T74" i="2" s="1"/>
  <c r="E74" i="2"/>
  <c r="C75" i="2"/>
  <c r="S75" i="2" s="1"/>
  <c r="E75" i="2"/>
  <c r="C76" i="2"/>
  <c r="S76" i="2" s="1"/>
  <c r="E76" i="2"/>
  <c r="C77" i="2"/>
  <c r="S77" i="2" s="1"/>
  <c r="E77" i="2"/>
  <c r="C78" i="2"/>
  <c r="T78" i="2" s="1"/>
  <c r="E78" i="2"/>
  <c r="C79" i="2"/>
  <c r="S79" i="2" s="1"/>
  <c r="E79" i="2"/>
  <c r="C80" i="2"/>
  <c r="U80" i="2" s="1"/>
  <c r="E80" i="2"/>
  <c r="C81" i="2"/>
  <c r="T81" i="2" s="1"/>
  <c r="E81" i="2"/>
  <c r="C82" i="2"/>
  <c r="T82" i="2" s="1"/>
  <c r="E82" i="2"/>
  <c r="C83" i="2"/>
  <c r="S83" i="2" s="1"/>
  <c r="E83" i="2"/>
  <c r="C84" i="2"/>
  <c r="S84" i="2" s="1"/>
  <c r="E84" i="2"/>
  <c r="C85" i="2"/>
  <c r="T85" i="2" s="1"/>
  <c r="E85" i="2"/>
  <c r="C86" i="2"/>
  <c r="T86" i="2" s="1"/>
  <c r="E86" i="2"/>
  <c r="C87" i="2"/>
  <c r="S87" i="2" s="1"/>
  <c r="E87" i="2"/>
  <c r="C88" i="2"/>
  <c r="S88" i="2" s="1"/>
  <c r="E88" i="2"/>
  <c r="C89" i="2"/>
  <c r="S89" i="2" s="1"/>
  <c r="E89" i="2"/>
  <c r="C90" i="2"/>
  <c r="T90" i="2" s="1"/>
  <c r="E90" i="2"/>
  <c r="C91" i="2"/>
  <c r="S91" i="2" s="1"/>
  <c r="E91" i="2"/>
  <c r="C92" i="2"/>
  <c r="S92" i="2" s="1"/>
  <c r="E92" i="2"/>
  <c r="C93" i="2"/>
  <c r="S93" i="2" s="1"/>
  <c r="E93" i="2"/>
  <c r="C94" i="2"/>
  <c r="T94" i="2" s="1"/>
  <c r="E94" i="2"/>
  <c r="C95" i="2"/>
  <c r="S95" i="2" s="1"/>
  <c r="E95" i="2"/>
  <c r="C96" i="2"/>
  <c r="S96" i="2" s="1"/>
  <c r="E96" i="2"/>
  <c r="C97" i="2"/>
  <c r="T97" i="2" s="1"/>
  <c r="E97" i="2"/>
  <c r="C98" i="2"/>
  <c r="T98" i="2" s="1"/>
  <c r="E98" i="2"/>
  <c r="C99" i="2"/>
  <c r="S99" i="2" s="1"/>
  <c r="E99" i="2"/>
  <c r="C100" i="2"/>
  <c r="S100" i="2" s="1"/>
  <c r="E100" i="2"/>
  <c r="U49" i="2" l="1"/>
  <c r="S58" i="2"/>
  <c r="S49" i="2"/>
  <c r="S97" i="2"/>
  <c r="U69" i="2"/>
  <c r="S81" i="2"/>
  <c r="U72" i="2"/>
  <c r="S69" i="2"/>
  <c r="U21" i="2"/>
  <c r="U9" i="2"/>
  <c r="U97" i="2"/>
  <c r="U96" i="2"/>
  <c r="U77" i="2"/>
  <c r="U37" i="2"/>
  <c r="S26" i="2"/>
  <c r="U17" i="2"/>
  <c r="T80" i="2"/>
  <c r="U78" i="2"/>
  <c r="U92" i="2"/>
  <c r="S80" i="2"/>
  <c r="T79" i="2"/>
  <c r="S78" i="2"/>
  <c r="S54" i="2"/>
  <c r="T53" i="2"/>
  <c r="U52" i="2"/>
  <c r="S38" i="2"/>
  <c r="T37" i="2"/>
  <c r="U36" i="2"/>
  <c r="T32" i="2"/>
  <c r="S22" i="2"/>
  <c r="T21" i="2"/>
  <c r="U20" i="2"/>
  <c r="U13" i="2"/>
  <c r="U5" i="2"/>
  <c r="U79" i="2"/>
  <c r="U53" i="2"/>
  <c r="U93" i="2"/>
  <c r="S64" i="2"/>
  <c r="T52" i="2"/>
  <c r="T48" i="2"/>
  <c r="T36" i="2"/>
  <c r="S33" i="2"/>
  <c r="T20" i="2"/>
  <c r="T16" i="2"/>
  <c r="S6" i="2"/>
  <c r="T96" i="2"/>
  <c r="U56" i="2"/>
  <c r="T41" i="2"/>
  <c r="U40" i="2"/>
  <c r="T25" i="2"/>
  <c r="U24" i="2"/>
  <c r="T9" i="2"/>
  <c r="T95" i="2"/>
  <c r="S94" i="2"/>
  <c r="U88" i="2"/>
  <c r="S62" i="2"/>
  <c r="T61" i="2"/>
  <c r="U60" i="2"/>
  <c r="T56" i="2"/>
  <c r="S25" i="2"/>
  <c r="T24" i="2"/>
  <c r="U57" i="2"/>
  <c r="U41" i="2"/>
  <c r="U95" i="2"/>
  <c r="U94" i="2"/>
  <c r="U85" i="2"/>
  <c r="U61" i="2"/>
  <c r="T57" i="2"/>
  <c r="U45" i="2"/>
  <c r="T5" i="2"/>
  <c r="S85" i="2"/>
  <c r="U73" i="2"/>
  <c r="U65" i="2"/>
  <c r="U64" i="2"/>
  <c r="S46" i="2"/>
  <c r="T45" i="2"/>
  <c r="U44" i="2"/>
  <c r="T40" i="2"/>
  <c r="U33" i="2"/>
  <c r="S30" i="2"/>
  <c r="T29" i="2"/>
  <c r="U28" i="2"/>
  <c r="S14" i="2"/>
  <c r="T13" i="2"/>
  <c r="U12" i="2"/>
  <c r="U89" i="2"/>
  <c r="U81" i="2"/>
  <c r="U76" i="2"/>
  <c r="S65" i="2"/>
  <c r="T60" i="2"/>
  <c r="S50" i="2"/>
  <c r="U48" i="2"/>
  <c r="T44" i="2"/>
  <c r="S34" i="2"/>
  <c r="U32" i="2"/>
  <c r="T28" i="2"/>
  <c r="S18" i="2"/>
  <c r="U16" i="2"/>
  <c r="T12" i="2"/>
  <c r="Z8" i="2"/>
  <c r="T93" i="2"/>
  <c r="T89" i="2"/>
  <c r="T77" i="2"/>
  <c r="T73" i="2"/>
  <c r="T88" i="2"/>
  <c r="U87" i="2"/>
  <c r="U86" i="2"/>
  <c r="T72" i="2"/>
  <c r="U71" i="2"/>
  <c r="U70" i="2"/>
  <c r="W6" i="2"/>
  <c r="U100" i="2"/>
  <c r="T87" i="2"/>
  <c r="S86" i="2"/>
  <c r="U84" i="2"/>
  <c r="T71" i="2"/>
  <c r="S70" i="2"/>
  <c r="U68" i="2"/>
  <c r="U62" i="2"/>
  <c r="U58" i="2"/>
  <c r="U54" i="2"/>
  <c r="U50" i="2"/>
  <c r="U46" i="2"/>
  <c r="U42" i="2"/>
  <c r="U38" i="2"/>
  <c r="U34" i="2"/>
  <c r="U30" i="2"/>
  <c r="U26" i="2"/>
  <c r="U22" i="2"/>
  <c r="U18" i="2"/>
  <c r="U14" i="2"/>
  <c r="U10" i="2"/>
  <c r="U6" i="2"/>
  <c r="U3" i="2"/>
  <c r="Y8" i="2"/>
  <c r="S4" i="2"/>
  <c r="Z6" i="2"/>
  <c r="Y7" i="2"/>
  <c r="X8" i="2"/>
  <c r="T100" i="2"/>
  <c r="U99" i="2"/>
  <c r="U98" i="2"/>
  <c r="T92" i="2"/>
  <c r="U91" i="2"/>
  <c r="U90" i="2"/>
  <c r="T84" i="2"/>
  <c r="U83" i="2"/>
  <c r="U82" i="2"/>
  <c r="T76" i="2"/>
  <c r="U75" i="2"/>
  <c r="U74" i="2"/>
  <c r="T68" i="2"/>
  <c r="U67" i="2"/>
  <c r="U66" i="2"/>
  <c r="S63" i="2"/>
  <c r="T63" i="2"/>
  <c r="S59" i="2"/>
  <c r="T59" i="2"/>
  <c r="S55" i="2"/>
  <c r="T55" i="2"/>
  <c r="S51" i="2"/>
  <c r="T51" i="2"/>
  <c r="S47" i="2"/>
  <c r="T47" i="2"/>
  <c r="S43" i="2"/>
  <c r="T43" i="2"/>
  <c r="S39" i="2"/>
  <c r="T39" i="2"/>
  <c r="S35" i="2"/>
  <c r="T35" i="2"/>
  <c r="S31" i="2"/>
  <c r="T31" i="2"/>
  <c r="S27" i="2"/>
  <c r="T27" i="2"/>
  <c r="S23" i="2"/>
  <c r="T23" i="2"/>
  <c r="S19" i="2"/>
  <c r="T19" i="2"/>
  <c r="S15" i="2"/>
  <c r="T15" i="2"/>
  <c r="S11" i="2"/>
  <c r="T11" i="2"/>
  <c r="U8" i="2"/>
  <c r="Z7" i="2"/>
  <c r="S7" i="2"/>
  <c r="T7" i="2"/>
  <c r="U4" i="2"/>
  <c r="T99" i="2"/>
  <c r="S98" i="2"/>
  <c r="T91" i="2"/>
  <c r="S90" i="2"/>
  <c r="T83" i="2"/>
  <c r="S82" i="2"/>
  <c r="T75" i="2"/>
  <c r="S74" i="2"/>
  <c r="T67" i="2"/>
  <c r="S66" i="2"/>
  <c r="T8" i="2"/>
  <c r="W7" i="2"/>
  <c r="X6" i="2"/>
  <c r="T4" i="2"/>
  <c r="W8" i="2"/>
  <c r="X7" i="2"/>
  <c r="Y6" i="2"/>
  <c r="E6" i="8"/>
  <c r="F50" i="1"/>
  <c r="J50" i="1"/>
  <c r="F43" i="1"/>
  <c r="J43" i="1"/>
  <c r="F39" i="1"/>
  <c r="J39" i="1"/>
  <c r="F71" i="1"/>
  <c r="J71" i="1"/>
  <c r="F23" i="1"/>
  <c r="J23" i="1"/>
  <c r="F47" i="1"/>
  <c r="J47" i="1"/>
  <c r="F40" i="1"/>
  <c r="J40" i="1"/>
  <c r="F57" i="1"/>
  <c r="J57" i="1"/>
  <c r="F31" i="1"/>
  <c r="J31" i="1"/>
  <c r="F26" i="1"/>
  <c r="J26" i="1"/>
  <c r="F33" i="1"/>
  <c r="J33" i="1"/>
  <c r="F44" i="1"/>
  <c r="J44" i="1"/>
  <c r="F46" i="1"/>
  <c r="J46" i="1"/>
  <c r="F69" i="1"/>
  <c r="J69" i="1"/>
  <c r="F55" i="1"/>
  <c r="J55" i="1"/>
  <c r="F67" i="1"/>
  <c r="J67" i="1"/>
  <c r="F24" i="1"/>
  <c r="J24" i="1"/>
  <c r="F34" i="1"/>
  <c r="J34" i="1"/>
  <c r="F49" i="1"/>
  <c r="J49" i="1"/>
  <c r="F68" i="1"/>
  <c r="J68" i="1"/>
  <c r="F51" i="1"/>
  <c r="J51" i="1"/>
  <c r="F65" i="1"/>
  <c r="J65" i="1"/>
  <c r="F35" i="1"/>
  <c r="J35" i="1"/>
  <c r="F32" i="1"/>
  <c r="J32" i="1"/>
  <c r="F27" i="1"/>
  <c r="J27" i="1"/>
  <c r="F58" i="1"/>
  <c r="J58" i="1"/>
  <c r="F52" i="1"/>
  <c r="J52" i="1"/>
  <c r="F37" i="1"/>
  <c r="J37" i="1"/>
  <c r="F72" i="1"/>
  <c r="J72" i="1"/>
  <c r="F28" i="1"/>
  <c r="J28" i="1"/>
  <c r="F61" i="1"/>
  <c r="J61" i="1"/>
  <c r="F73" i="1"/>
  <c r="J73" i="1"/>
  <c r="F63" i="1"/>
  <c r="J63" i="1"/>
  <c r="F36" i="1"/>
  <c r="J36" i="1"/>
  <c r="F53" i="1"/>
  <c r="J53" i="1"/>
  <c r="F45" i="1"/>
  <c r="J45" i="1"/>
  <c r="F59" i="1"/>
  <c r="J59" i="1"/>
  <c r="F29" i="1"/>
  <c r="J29" i="1"/>
  <c r="F54" i="1"/>
  <c r="J54" i="1"/>
  <c r="F62" i="1"/>
  <c r="J62" i="1"/>
  <c r="F74" i="1"/>
  <c r="J74" i="1"/>
  <c r="F48" i="1"/>
  <c r="J48" i="1"/>
  <c r="F66" i="1"/>
  <c r="J66" i="1"/>
  <c r="F30" i="1"/>
  <c r="J30" i="1"/>
  <c r="F38" i="1"/>
  <c r="J38" i="1"/>
  <c r="F41" i="1"/>
  <c r="J41" i="1"/>
  <c r="F64" i="1"/>
  <c r="J64" i="1"/>
  <c r="F60" i="1"/>
  <c r="J60" i="1"/>
  <c r="F42" i="1"/>
  <c r="J42" i="1"/>
  <c r="F70" i="1"/>
  <c r="J70" i="1"/>
  <c r="F25" i="1"/>
  <c r="J25" i="1"/>
  <c r="F56" i="1"/>
  <c r="J56" i="1"/>
  <c r="F12" i="1"/>
  <c r="J12" i="1"/>
  <c r="F4" i="1"/>
  <c r="J4" i="1"/>
  <c r="F8" i="1"/>
  <c r="J8" i="1"/>
  <c r="F21" i="1"/>
  <c r="J21" i="1"/>
  <c r="F13" i="1"/>
  <c r="J13" i="1"/>
  <c r="F22" i="1"/>
  <c r="J22" i="1"/>
  <c r="F2" i="1"/>
  <c r="F5" i="1"/>
  <c r="J5" i="1"/>
  <c r="F7" i="1"/>
  <c r="J7" i="1"/>
  <c r="F19" i="1"/>
  <c r="J19" i="1"/>
  <c r="F14" i="1"/>
  <c r="J14" i="1"/>
  <c r="F3" i="1"/>
  <c r="J3" i="1"/>
  <c r="F11" i="1"/>
  <c r="J11" i="1"/>
  <c r="F18" i="1"/>
  <c r="J18" i="1"/>
  <c r="F15" i="1"/>
  <c r="J15" i="1"/>
  <c r="F20" i="1"/>
  <c r="J20" i="1"/>
  <c r="F10" i="1"/>
  <c r="J10" i="1"/>
  <c r="F9" i="1"/>
  <c r="J9" i="1"/>
  <c r="F16" i="1"/>
  <c r="J16" i="1"/>
  <c r="F6" i="1"/>
  <c r="J6" i="1"/>
  <c r="F17" i="1"/>
  <c r="J17" i="1"/>
  <c r="F75" i="1"/>
  <c r="J75" i="1"/>
  <c r="F98" i="1"/>
  <c r="J98" i="1"/>
  <c r="F84" i="1"/>
  <c r="J84" i="1"/>
  <c r="F89" i="1"/>
  <c r="J89" i="1"/>
  <c r="F78" i="1"/>
  <c r="J78" i="1"/>
  <c r="F85" i="1"/>
  <c r="J85" i="1"/>
  <c r="F95" i="1"/>
  <c r="J95" i="1"/>
  <c r="F76" i="1"/>
  <c r="J76" i="1"/>
  <c r="F90" i="1"/>
  <c r="J90" i="1"/>
  <c r="F96" i="1"/>
  <c r="J96" i="1"/>
  <c r="F99" i="1"/>
  <c r="J99" i="1"/>
  <c r="F79" i="1"/>
  <c r="J79" i="1"/>
  <c r="F86" i="1"/>
  <c r="J86" i="1"/>
  <c r="F91" i="1"/>
  <c r="J91" i="1"/>
  <c r="F77" i="1"/>
  <c r="J77" i="1"/>
  <c r="F87" i="1"/>
  <c r="J87" i="1"/>
  <c r="F88" i="1"/>
  <c r="J88" i="1"/>
  <c r="F82" i="1"/>
  <c r="J82" i="1"/>
  <c r="F92" i="1"/>
  <c r="J92" i="1"/>
  <c r="F100" i="1"/>
  <c r="J100" i="1"/>
  <c r="F80" i="1"/>
  <c r="J80" i="1"/>
  <c r="F83" i="1"/>
  <c r="J83" i="1"/>
  <c r="F93" i="1"/>
  <c r="J93" i="1"/>
  <c r="F97" i="1"/>
  <c r="J97" i="1"/>
  <c r="F94" i="1"/>
  <c r="J94" i="1"/>
  <c r="F81" i="1"/>
  <c r="J81" i="1"/>
  <c r="AB9" i="1" l="1"/>
  <c r="Z9" i="1"/>
  <c r="AB18" i="1"/>
  <c r="Z18" i="1"/>
  <c r="AB19" i="1"/>
  <c r="Z19" i="1"/>
  <c r="Z4" i="1"/>
  <c r="AB4" i="1"/>
  <c r="Z17" i="1"/>
  <c r="AB17" i="1"/>
  <c r="AB16" i="1"/>
  <c r="Z16" i="1"/>
  <c r="AB10" i="1"/>
  <c r="Z10" i="1"/>
  <c r="AB15" i="1"/>
  <c r="Z15" i="1"/>
  <c r="AB11" i="1"/>
  <c r="Z11" i="1"/>
  <c r="AB14" i="1"/>
  <c r="Z14" i="1"/>
  <c r="AB7" i="1"/>
  <c r="Z7" i="1"/>
  <c r="AB2" i="1"/>
  <c r="Z2" i="1"/>
  <c r="AA2" i="1"/>
  <c r="AE12" i="1" s="1"/>
  <c r="AB13" i="1"/>
  <c r="Z13" i="1"/>
  <c r="AB8" i="1"/>
  <c r="Z8" i="1"/>
  <c r="Z12" i="1"/>
  <c r="AB12" i="1"/>
  <c r="AB6" i="1"/>
  <c r="Z6" i="1"/>
  <c r="Z20" i="1"/>
  <c r="AB20" i="1"/>
  <c r="AB3" i="1"/>
  <c r="Z3" i="1"/>
  <c r="AB5" i="1"/>
  <c r="Z5" i="1"/>
  <c r="AB21" i="1"/>
  <c r="Z21" i="1"/>
</calcChain>
</file>

<file path=xl/comments1.xml><?xml version="1.0" encoding="utf-8"?>
<comments xmlns="http://schemas.openxmlformats.org/spreadsheetml/2006/main">
  <authors>
    <author>Rahish</author>
  </authors>
  <commentList>
    <comment ref="G29" authorId="0" shapeId="0">
      <text>
        <r>
          <rPr>
            <b/>
            <sz val="9"/>
            <color indexed="81"/>
            <rFont val="Tahoma"/>
            <family val="2"/>
          </rPr>
          <t>Rahish:</t>
        </r>
        <r>
          <rPr>
            <sz val="9"/>
            <color indexed="81"/>
            <rFont val="Tahoma"/>
            <family val="2"/>
          </rPr>
          <t xml:space="preserve">
ok demo
</t>
        </r>
      </text>
    </comment>
  </commentList>
</comments>
</file>

<file path=xl/comments2.xml><?xml version="1.0" encoding="utf-8"?>
<comments xmlns="http://schemas.openxmlformats.org/spreadsheetml/2006/main">
  <authors>
    <author>Rahish</author>
  </authors>
  <commentList>
    <comment ref="D87" authorId="0" shapeId="0">
      <text>
        <r>
          <rPr>
            <b/>
            <sz val="9"/>
            <color indexed="81"/>
            <rFont val="Tahoma"/>
            <family val="2"/>
          </rPr>
          <t>Rahish:</t>
        </r>
        <r>
          <rPr>
            <sz val="9"/>
            <color indexed="81"/>
            <rFont val="Tahoma"/>
            <family val="2"/>
          </rPr>
          <t xml:space="preserve">
ok demo
</t>
        </r>
      </text>
    </comment>
  </commentList>
</comments>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100.xlsx!Table1" type="102" refreshedVersion="6" minRefreshableVersion="5">
    <extLst>
      <ext xmlns:x15="http://schemas.microsoft.com/office/spreadsheetml/2010/11/main" uri="{DE250136-89BD-433C-8126-D09CA5730AF9}">
        <x15:connection id="Table1">
          <x15:rangePr sourceName="_xlcn.WorksheetConnection_data100.xlsxTable1"/>
        </x15:connection>
      </ext>
    </extLst>
  </connection>
  <connection id="3" name="WorksheetConnection_Sheet1!$T$1:$W$33" type="102" refreshedVersion="6" minRefreshableVersion="5">
    <extLst>
      <ext xmlns:x15="http://schemas.microsoft.com/office/spreadsheetml/2010/11/main" uri="{DE250136-89BD-433C-8126-D09CA5730AF9}">
        <x15:connection id="Range" autoDelete="1">
          <x15:rangePr sourceName="_xlcn.WorksheetConnection_Sheet1T1W33"/>
        </x15:connection>
      </ext>
    </extLst>
  </connection>
  <connection id="4" name="WorksheetConnection_Sheet1!$Y$2:$AA$5" type="102" refreshedVersion="6" minRefreshableVersion="5">
    <extLst>
      <ext xmlns:x15="http://schemas.microsoft.com/office/spreadsheetml/2010/11/main" uri="{DE250136-89BD-433C-8126-D09CA5730AF9}">
        <x15:connection id="Range1" autoDelete="1">
          <x15:rangePr sourceName="_xlcn.WorksheetConnection_Sheet1Y2AA5"/>
        </x15:connection>
      </ext>
    </extLst>
  </connection>
</connections>
</file>

<file path=xl/sharedStrings.xml><?xml version="1.0" encoding="utf-8"?>
<sst xmlns="http://schemas.openxmlformats.org/spreadsheetml/2006/main" count="2206" uniqueCount="363">
  <si>
    <t>index</t>
  </si>
  <si>
    <t>Order ID</t>
  </si>
  <si>
    <t>Cust ID</t>
  </si>
  <si>
    <t>Gender</t>
  </si>
  <si>
    <t>Age</t>
  </si>
  <si>
    <t>Age Group</t>
  </si>
  <si>
    <t>Date</t>
  </si>
  <si>
    <t>Month</t>
  </si>
  <si>
    <t>Status</t>
  </si>
  <si>
    <t xml:space="preserve">Channel </t>
  </si>
  <si>
    <t>SKU</t>
  </si>
  <si>
    <t>Category</t>
  </si>
  <si>
    <t>Size</t>
  </si>
  <si>
    <t>Qty</t>
  </si>
  <si>
    <t>currency</t>
  </si>
  <si>
    <t>Amount</t>
  </si>
  <si>
    <t>ship-city</t>
  </si>
  <si>
    <t>ship-state</t>
  </si>
  <si>
    <t>ship-postal-code</t>
  </si>
  <si>
    <t>\/</t>
  </si>
  <si>
    <t>B2B</t>
  </si>
  <si>
    <t>407-1298130-0368305</t>
  </si>
  <si>
    <t>Men</t>
  </si>
  <si>
    <t>Delivered</t>
  </si>
  <si>
    <t>Flipkart</t>
  </si>
  <si>
    <t>JNE3797-KR-XXL</t>
  </si>
  <si>
    <t>Western Dress</t>
  </si>
  <si>
    <t>XXL</t>
  </si>
  <si>
    <t>INR</t>
  </si>
  <si>
    <t>SANGLI MIRAJ KUPWAD</t>
  </si>
  <si>
    <t>MAHARASHTRA</t>
  </si>
  <si>
    <t>IN</t>
  </si>
  <si>
    <t>402-5297818-3665137</t>
  </si>
  <si>
    <t>Women</t>
  </si>
  <si>
    <t>SET403-KR-NP-XL</t>
  </si>
  <si>
    <t>Set</t>
  </si>
  <si>
    <t>XL</t>
  </si>
  <si>
    <t>VARKALA</t>
  </si>
  <si>
    <t>KERALA</t>
  </si>
  <si>
    <t>402-6702100-7257107</t>
  </si>
  <si>
    <t>Returned</t>
  </si>
  <si>
    <t>Myntra</t>
  </si>
  <si>
    <t>JNE3620-KR-S</t>
  </si>
  <si>
    <t>kurta</t>
  </si>
  <si>
    <t>S</t>
  </si>
  <si>
    <t>NEW DELHI</t>
  </si>
  <si>
    <t>DELHI</t>
  </si>
  <si>
    <t>407-3422488-7373923</t>
  </si>
  <si>
    <t>Others</t>
  </si>
  <si>
    <t>SET184-KR-PP-XS</t>
  </si>
  <si>
    <t>XS</t>
  </si>
  <si>
    <t>SIROHI</t>
  </si>
  <si>
    <t>RAJASTHAN</t>
  </si>
  <si>
    <t>406-8068610-1108329</t>
  </si>
  <si>
    <t>Nalli</t>
  </si>
  <si>
    <t>JNE3770-KR-S</t>
  </si>
  <si>
    <t>PUNE</t>
  </si>
  <si>
    <t>403-6014983-8111514</t>
  </si>
  <si>
    <t>SET272-KR-PP-S</t>
  </si>
  <si>
    <t>403-7384618-1017125</t>
  </si>
  <si>
    <t>SET203-KR-DPT-L</t>
  </si>
  <si>
    <t>L</t>
  </si>
  <si>
    <t>CHENNAI</t>
  </si>
  <si>
    <t>TAMIL NADU</t>
  </si>
  <si>
    <t>405-6859790-7125127</t>
  </si>
  <si>
    <t>Meesho</t>
  </si>
  <si>
    <t>SET024-KR-SP-A-M</t>
  </si>
  <si>
    <t>M</t>
  </si>
  <si>
    <t>GURUGRAM</t>
  </si>
  <si>
    <t>HARYANA</t>
  </si>
  <si>
    <t>407-0381223-7065145</t>
  </si>
  <si>
    <t>J0095-SET-XL</t>
  </si>
  <si>
    <t>404-5516090-4385135</t>
  </si>
  <si>
    <t>J0338-DR-S</t>
  </si>
  <si>
    <t>Nayagarh</t>
  </si>
  <si>
    <t>ODISHA</t>
  </si>
  <si>
    <t>406-0244536-2177175</t>
  </si>
  <si>
    <t>Amazon</t>
  </si>
  <si>
    <t>SET233-KR-PP-M</t>
  </si>
  <si>
    <t>AMRITSAR</t>
  </si>
  <si>
    <t>PUNJAB</t>
  </si>
  <si>
    <t>408-7694743-7590732</t>
  </si>
  <si>
    <t>J0092-SET-S</t>
  </si>
  <si>
    <t>BENGALURU</t>
  </si>
  <si>
    <t>KARNATAKA</t>
  </si>
  <si>
    <t>408-3286680-0659521</t>
  </si>
  <si>
    <t>SAR006</t>
  </si>
  <si>
    <t>Saree</t>
  </si>
  <si>
    <t>Free</t>
  </si>
  <si>
    <t>Panchkula</t>
  </si>
  <si>
    <t>408-8573929-1921943</t>
  </si>
  <si>
    <t>JNE3160-KR-M</t>
  </si>
  <si>
    <t>kolkata</t>
  </si>
  <si>
    <t>WEST BENGAL</t>
  </si>
  <si>
    <t>404-2648970-9042715</t>
  </si>
  <si>
    <t>J0181-TP-M</t>
  </si>
  <si>
    <t>Top</t>
  </si>
  <si>
    <t>ARAKONAM</t>
  </si>
  <si>
    <t>403-9793483-6877106</t>
  </si>
  <si>
    <t>SET324-KR-NP-XL</t>
  </si>
  <si>
    <t>171-1029312-3038738</t>
  </si>
  <si>
    <t>JNE1233-BLUE-KR-031-XXL</t>
  </si>
  <si>
    <t>MOHALI</t>
  </si>
  <si>
    <t>403-9268874-7296313</t>
  </si>
  <si>
    <t>SET185-KR-NP-M</t>
  </si>
  <si>
    <t>404-3393819-5081930</t>
  </si>
  <si>
    <t>SET397-KR-NP-XS</t>
  </si>
  <si>
    <t>406-5169174-3536336</t>
  </si>
  <si>
    <t>Cancelled</t>
  </si>
  <si>
    <t>JNE3568-KR-XL</t>
  </si>
  <si>
    <t>KALYAN</t>
  </si>
  <si>
    <t>JNE3466-KR-L</t>
  </si>
  <si>
    <t>VIJAYAWADA</t>
  </si>
  <si>
    <t>ANDHRA PRADESH</t>
  </si>
  <si>
    <t>404-4376789-3345166</t>
  </si>
  <si>
    <t>J0231-SKD-XXXL</t>
  </si>
  <si>
    <t>3XL</t>
  </si>
  <si>
    <t>LUCKNOW</t>
  </si>
  <si>
    <t>UTTAR PRADESH</t>
  </si>
  <si>
    <t>403-0817885-3061963</t>
  </si>
  <si>
    <t>J0113-TP-S</t>
  </si>
  <si>
    <t>SOUTH DELHI</t>
  </si>
  <si>
    <t>403-1785530-0119510</t>
  </si>
  <si>
    <t>PJNE2100-KR-N-6XL</t>
  </si>
  <si>
    <t>6XL</t>
  </si>
  <si>
    <t>404-9033015-7527503</t>
  </si>
  <si>
    <t>JNE3368-KR-XL</t>
  </si>
  <si>
    <t>Payyannur</t>
  </si>
  <si>
    <t>402-6932218-7744338</t>
  </si>
  <si>
    <t>SET333-KR-DPT-XS</t>
  </si>
  <si>
    <t>CHANDIGARH</t>
  </si>
  <si>
    <t>406-9281717-2212317</t>
  </si>
  <si>
    <t>GREAT NICOBAR</t>
  </si>
  <si>
    <t xml:space="preserve">ANDAMAN &amp; NICOBAR </t>
  </si>
  <si>
    <t>408-2606836-0473931</t>
  </si>
  <si>
    <t>J0231-SKD-XL</t>
  </si>
  <si>
    <t>GUWAHATI</t>
  </si>
  <si>
    <t>ASSAM</t>
  </si>
  <si>
    <t>402-0637532-2672317</t>
  </si>
  <si>
    <t>J0159-DR-L</t>
  </si>
  <si>
    <t>J0334-TP-S</t>
  </si>
  <si>
    <t>171-2439278-5433152</t>
  </si>
  <si>
    <t>SET268-KR-NP-XS</t>
  </si>
  <si>
    <t>KHALILABAD</t>
  </si>
  <si>
    <t>406-1756314-4546723</t>
  </si>
  <si>
    <t>JNE3560-KR-XL</t>
  </si>
  <si>
    <t>403-9400852-1350710</t>
  </si>
  <si>
    <t>JNE3601-KR-M</t>
  </si>
  <si>
    <t>SALEM</t>
  </si>
  <si>
    <t>402-9907523-6175562</t>
  </si>
  <si>
    <t>SAR008</t>
  </si>
  <si>
    <t>MURWARA KATNI</t>
  </si>
  <si>
    <t>MADHYA PRADESH</t>
  </si>
  <si>
    <t>402-0398999-0011565</t>
  </si>
  <si>
    <t>SET273-KR-NP-M</t>
  </si>
  <si>
    <t>HYDERABAD</t>
  </si>
  <si>
    <t>TELANGANA</t>
  </si>
  <si>
    <t>403-5438780-7231546</t>
  </si>
  <si>
    <t>MEN5025-KR-XXL</t>
  </si>
  <si>
    <t>INDORE</t>
  </si>
  <si>
    <t>405-8481179-1130753</t>
  </si>
  <si>
    <t>SET320-KR-NP-S</t>
  </si>
  <si>
    <t>404-0105497-2446747</t>
  </si>
  <si>
    <t>Refunded</t>
  </si>
  <si>
    <t>JNE3373-KR-S</t>
  </si>
  <si>
    <t>BHANDARA</t>
  </si>
  <si>
    <t>406-7030051-2742704</t>
  </si>
  <si>
    <t>J0094-KR-XXL</t>
  </si>
  <si>
    <t>VISAKHAPATNAM</t>
  </si>
  <si>
    <t>408-8796291-5026713</t>
  </si>
  <si>
    <t>JNE3423-KR-XL</t>
  </si>
  <si>
    <t>406-2709798-4585159</t>
  </si>
  <si>
    <t>SET210-KR-PP-M</t>
  </si>
  <si>
    <t>UDUPI</t>
  </si>
  <si>
    <t>403-0824767-1871567</t>
  </si>
  <si>
    <t>MEN5004-KR-XXXL</t>
  </si>
  <si>
    <t>404-6243782-8199521</t>
  </si>
  <si>
    <t>JNE3822-KR-L</t>
  </si>
  <si>
    <t>BHATKAL</t>
  </si>
  <si>
    <t>404-7958450-6860328</t>
  </si>
  <si>
    <t>SET339-KR-NP-XS</t>
  </si>
  <si>
    <t>Bengaluru</t>
  </si>
  <si>
    <t>403-8575376-3341124</t>
  </si>
  <si>
    <t>SET253-KR-NP-L</t>
  </si>
  <si>
    <t>408-1943310-9789160</t>
  </si>
  <si>
    <t>J0339-DR-XXL</t>
  </si>
  <si>
    <t>404-8399604-8880365</t>
  </si>
  <si>
    <t>JNE3461-KR-XL</t>
  </si>
  <si>
    <t>KOLKATA</t>
  </si>
  <si>
    <t>407-7039962-7080347</t>
  </si>
  <si>
    <t>SET304-KR-DPT-XL</t>
  </si>
  <si>
    <t>Bhubaneswar</t>
  </si>
  <si>
    <t>403-0950590-5005155</t>
  </si>
  <si>
    <t>SET210-KR-PP-XXXL</t>
  </si>
  <si>
    <t>MADURAI</t>
  </si>
  <si>
    <t>171-4087298-3807569</t>
  </si>
  <si>
    <t>NW001-TP-PJ-XXL</t>
  </si>
  <si>
    <t>TIRUCHIRAPPALLI</t>
  </si>
  <si>
    <t>JNE3518-KR-XXL</t>
  </si>
  <si>
    <t>MUMBAI</t>
  </si>
  <si>
    <t>406-0947452-6044339</t>
  </si>
  <si>
    <t>JNE3795-KR-S</t>
  </si>
  <si>
    <t>THIRUVANANTHAPURAM</t>
  </si>
  <si>
    <t>408-2935263-2935550</t>
  </si>
  <si>
    <t>JNE3474-KR-E-XL</t>
  </si>
  <si>
    <t>407-7643005-7856329</t>
  </si>
  <si>
    <t>SET402-KR-NP-XXXL</t>
  </si>
  <si>
    <t>403-8213196-3804353</t>
  </si>
  <si>
    <t>SET218-KR-NP-S</t>
  </si>
  <si>
    <t>BOKARO STEEL CITY</t>
  </si>
  <si>
    <t>JHARKHAND</t>
  </si>
  <si>
    <t>406-9686095-5057139</t>
  </si>
  <si>
    <t>J0351-SET-L</t>
  </si>
  <si>
    <t>VADODARA</t>
  </si>
  <si>
    <t>GUJARAT</t>
  </si>
  <si>
    <t>407-9654105-3225150</t>
  </si>
  <si>
    <t>J0230-SKD-M</t>
  </si>
  <si>
    <t>171-5561216-3398711</t>
  </si>
  <si>
    <t>JNE3405-KR-M</t>
  </si>
  <si>
    <t>171-1641533-8921966</t>
  </si>
  <si>
    <t>SET261-KR-PP-S</t>
  </si>
  <si>
    <t>403-0347306-1283554</t>
  </si>
  <si>
    <t>JNE3794-KR-M</t>
  </si>
  <si>
    <t>403-5846829-5098742</t>
  </si>
  <si>
    <t>J0248-KR-DPT-S</t>
  </si>
  <si>
    <t>NELLORE</t>
  </si>
  <si>
    <t>403-9293516-4577154</t>
  </si>
  <si>
    <t>JNE2294-KR-A-XXL</t>
  </si>
  <si>
    <t>406-8343960-8137102</t>
  </si>
  <si>
    <t>JNE3690-TU-XL</t>
  </si>
  <si>
    <t>DAVANAGERE</t>
  </si>
  <si>
    <t>407-8538186-6616316</t>
  </si>
  <si>
    <t>SET348-KR-NP-M</t>
  </si>
  <si>
    <t>MAHENDRAGARH</t>
  </si>
  <si>
    <t>406-7048232-6973930</t>
  </si>
  <si>
    <t>JNE3781-KR-S</t>
  </si>
  <si>
    <t>HAMIRPUR</t>
  </si>
  <si>
    <t>HIMACHAL PRADESH</t>
  </si>
  <si>
    <t>407-8980704-1408352</t>
  </si>
  <si>
    <t>JNE3487-KR-M</t>
  </si>
  <si>
    <t>NOIDA</t>
  </si>
  <si>
    <t>408-4675134-5301129</t>
  </si>
  <si>
    <t>SET209-KR-PP-XXL</t>
  </si>
  <si>
    <t>404-8786932-9447520</t>
  </si>
  <si>
    <t>Ajio</t>
  </si>
  <si>
    <t>NW034-TP-PJ-M</t>
  </si>
  <si>
    <t>BHARUCH</t>
  </si>
  <si>
    <t>171-2516658-6849136</t>
  </si>
  <si>
    <t>JNE3560-KR-M</t>
  </si>
  <si>
    <t>407-0442660-2736366</t>
  </si>
  <si>
    <t>SET333-KR-DPT-M</t>
  </si>
  <si>
    <t>408-6866119-6793128</t>
  </si>
  <si>
    <t>J0414-DR-XXL</t>
  </si>
  <si>
    <t>AHMEDABAD</t>
  </si>
  <si>
    <t>405-2183842-2225946</t>
  </si>
  <si>
    <t>SET414-KR-NP-L</t>
  </si>
  <si>
    <t>405-4213846-6141157</t>
  </si>
  <si>
    <t>J0003-SET-M</t>
  </si>
  <si>
    <t>SET343-KR-NP-XS</t>
  </si>
  <si>
    <t>SULTANPUR</t>
  </si>
  <si>
    <t>406-1326018-3426760</t>
  </si>
  <si>
    <t>SET183-KR-DH-XS</t>
  </si>
  <si>
    <t>PRAYAGRAJ</t>
  </si>
  <si>
    <t>403-6950860-5590722</t>
  </si>
  <si>
    <t>SAR018</t>
  </si>
  <si>
    <t>PATNA</t>
  </si>
  <si>
    <t>BIHAR</t>
  </si>
  <si>
    <t>408-7814128-2203552</t>
  </si>
  <si>
    <t>SAR003</t>
  </si>
  <si>
    <t>NAVI MUMBAI</t>
  </si>
  <si>
    <t>171-7917674-9759550</t>
  </si>
  <si>
    <t>JNE3703-KR-M</t>
  </si>
  <si>
    <t>VARANASI</t>
  </si>
  <si>
    <t>171-8974687-6745940</t>
  </si>
  <si>
    <t>J0161-DR-XXL</t>
  </si>
  <si>
    <t>402-2130722-4734768</t>
  </si>
  <si>
    <t>J0090-TP-S</t>
  </si>
  <si>
    <t>JNE3801-KR-XXL</t>
  </si>
  <si>
    <t>405-8874360-4913961</t>
  </si>
  <si>
    <t>J0004-SKD-XXL</t>
  </si>
  <si>
    <t>404-6041386-2803516</t>
  </si>
  <si>
    <t>J0283-SET-XXL</t>
  </si>
  <si>
    <t>406-5673590-1054739</t>
  </si>
  <si>
    <t>SET389-KR-NP-XL</t>
  </si>
  <si>
    <t>SONIPAT</t>
  </si>
  <si>
    <t>403-3641651-0348348</t>
  </si>
  <si>
    <t>SET184-KR-PP-L</t>
  </si>
  <si>
    <t>407-7381557-9088310</t>
  </si>
  <si>
    <t>Allahabad</t>
  </si>
  <si>
    <t>171-2070545-3786767</t>
  </si>
  <si>
    <t>J0349-SET-XS</t>
  </si>
  <si>
    <t>BIKANER</t>
  </si>
  <si>
    <t>404-7490807-6300351</t>
  </si>
  <si>
    <t>SET110-KR-PP-M</t>
  </si>
  <si>
    <t>THANJAVUR</t>
  </si>
  <si>
    <t>406-0986513-0498758</t>
  </si>
  <si>
    <t>SET184-KR-PP-XXXL</t>
  </si>
  <si>
    <t>RUDRAPUR</t>
  </si>
  <si>
    <t>UTTARAKHAND</t>
  </si>
  <si>
    <t>404-8169153-4411563</t>
  </si>
  <si>
    <t>JNE3567-KR-L</t>
  </si>
  <si>
    <t>Bangalore</t>
  </si>
  <si>
    <t>403-3542194-2527546</t>
  </si>
  <si>
    <t>SAR028</t>
  </si>
  <si>
    <t>Perambra</t>
  </si>
  <si>
    <t>406-3935670-5720350</t>
  </si>
  <si>
    <t>SET110-KR-PP-XS</t>
  </si>
  <si>
    <t>Meerut</t>
  </si>
  <si>
    <t>406-6468339-1490707</t>
  </si>
  <si>
    <t>SET377-KR-NP-XS</t>
  </si>
  <si>
    <t>403-0294848-6612317</t>
  </si>
  <si>
    <t>JNE3365-KR-1052-A-XXL</t>
  </si>
  <si>
    <t>408-0265357-4939534</t>
  </si>
  <si>
    <t>SET217-KR-PP-XL</t>
  </si>
  <si>
    <t>406-7482261-1657136</t>
  </si>
  <si>
    <t>J0124-TP-L</t>
  </si>
  <si>
    <t>402-7662369-2719545</t>
  </si>
  <si>
    <t>SET366-KR-NP-S</t>
  </si>
  <si>
    <t>RANCHI</t>
  </si>
  <si>
    <t>Grand Total</t>
  </si>
  <si>
    <t>avg sale price</t>
  </si>
  <si>
    <t>total sale amt</t>
  </si>
  <si>
    <t>Row Labels</t>
  </si>
  <si>
    <t>Count of Gender</t>
  </si>
  <si>
    <t>ANDAMAN &amp; NICOBAR</t>
  </si>
  <si>
    <t>Column Labels</t>
  </si>
  <si>
    <t>Count of Cust ID</t>
  </si>
  <si>
    <t>Product</t>
  </si>
  <si>
    <t>Sales</t>
  </si>
  <si>
    <t>Region</t>
  </si>
  <si>
    <t>A</t>
  </si>
  <si>
    <t>East</t>
  </si>
  <si>
    <t>B</t>
  </si>
  <si>
    <t>West</t>
  </si>
  <si>
    <t>Adults</t>
  </si>
  <si>
    <t>Senior</t>
  </si>
  <si>
    <t>Teenager</t>
  </si>
  <si>
    <t>Sum of Amount</t>
  </si>
  <si>
    <t>AND</t>
  </si>
  <si>
    <t>OR</t>
  </si>
  <si>
    <t>10% dis teen</t>
  </si>
  <si>
    <t>min price amt</t>
  </si>
  <si>
    <t>max price</t>
  </si>
  <si>
    <t>total customers</t>
  </si>
  <si>
    <t>total sale</t>
  </si>
  <si>
    <t>Avg</t>
  </si>
  <si>
    <t>no of customer</t>
  </si>
  <si>
    <t>logical</t>
  </si>
  <si>
    <t>if ,nested if</t>
  </si>
  <si>
    <t>date function</t>
  </si>
  <si>
    <t>string/text</t>
  </si>
  <si>
    <t>And</t>
  </si>
  <si>
    <t>or</t>
  </si>
  <si>
    <t>if</t>
  </si>
  <si>
    <t>Nested if</t>
  </si>
  <si>
    <t>amount 10%</t>
  </si>
  <si>
    <t>city_pin_code</t>
  </si>
  <si>
    <t>name</t>
  </si>
  <si>
    <t>REPLACE(W23,1,2,"sha")</t>
  </si>
  <si>
    <t>Column1</t>
  </si>
  <si>
    <t>months</t>
  </si>
  <si>
    <t>weekdays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</si>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</sst>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009]dd\-mm\-yyyy;@"/>
  </numFmts>
  <fonts count="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vertical="center" wrapText="1"/>
    </xf>
    <xf numFmtId="0" fontId="0" fillId="0" borderId="0" xfId="0" applyAlignment="1">
      <alignment vertical="center" wrapText="1"/>
    </xf>
    <xf numFmtId="0" fontId="0" fillId="3" borderId="0" xfId="0" applyFill="1"/>
    <xf numFmtId="1" fontId="0" fillId="0" borderId="0" xfId="0" applyNumberFormat="1"/>
    <xf numFmtId="14" fontId="0" fillId="0" borderId="0" xfId="0" applyNumberFormat="1"/>
    <xf numFmtId="2" fontId="0" fillId="0" borderId="0" xfId="0" applyNumberFormat="1"/>
    <xf numFmtId="164" fontId="0" fillId="0" borderId="0" xfId="0" applyNumberFormat="1"/>
    <xf numFmtId="22" fontId="0" fillId="0" borderId="0" xfId="0" applyNumberFormat="1"/>
  </cellXfs>
  <cellStyles count="1">
    <cellStyle name="Normal" xfId="0" builtinId="0"/>
  </cellStyles>
  <dxfs count="5">
    <dxf>
      <numFmt numFmtId="0" formatCode="General"/>
    </dxf>
    <dxf>
      <numFmt numFmtId="0" formatCode="General"/>
    </dxf>
    <dxf>
      <numFmt numFmtId="19" formatCode="m/d/yyyy"/>
    </dxf>
    <dxf>
      <numFmt numFmtId="164" formatCode="[$-14009]dd\-mm\-yyyy;@"/>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Men</c:v>
                </c:pt>
                <c:pt idx="1">
                  <c:v>Women</c:v>
                </c:pt>
              </c:strCache>
            </c:strRef>
          </c:cat>
          <c:val>
            <c:numRef>
              <c:f>Sheet4!$B$4:$B$6</c:f>
              <c:numCache>
                <c:formatCode>General</c:formatCode>
                <c:ptCount val="2"/>
                <c:pt idx="0">
                  <c:v>29</c:v>
                </c:pt>
                <c:pt idx="1">
                  <c:v>70</c:v>
                </c:pt>
              </c:numCache>
            </c:numRef>
          </c:val>
          <c:extLst>
            <c:ext xmlns:c16="http://schemas.microsoft.com/office/drawing/2014/chart" uri="{C3380CC4-5D6E-409C-BE32-E72D297353CC}">
              <c16:uniqueId val="{00000000-383C-4ADF-9B97-75C769D2F24C}"/>
            </c:ext>
          </c:extLst>
        </c:ser>
        <c:dLbls>
          <c:showLegendKey val="0"/>
          <c:showVal val="0"/>
          <c:showCatName val="0"/>
          <c:showSerName val="0"/>
          <c:showPercent val="0"/>
          <c:showBubbleSize val="0"/>
        </c:dLbls>
        <c:gapWidth val="219"/>
        <c:overlap val="-27"/>
        <c:axId val="462543583"/>
        <c:axId val="462551903"/>
      </c:barChart>
      <c:catAx>
        <c:axId val="4625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1903"/>
        <c:crosses val="autoZero"/>
        <c:auto val="1"/>
        <c:lblAlgn val="ctr"/>
        <c:lblOffset val="100"/>
        <c:noMultiLvlLbl val="0"/>
      </c:catAx>
      <c:valAx>
        <c:axId val="46255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Sheet6!$A$4:$A$26</c:f>
              <c:strCache>
                <c:ptCount val="22"/>
                <c:pt idx="0">
                  <c:v>CHANDIGARH</c:v>
                </c:pt>
                <c:pt idx="1">
                  <c:v>UTTARAKHAND</c:v>
                </c:pt>
                <c:pt idx="2">
                  <c:v>HIMACHAL PRADESH</c:v>
                </c:pt>
                <c:pt idx="3">
                  <c:v>BIHAR</c:v>
                </c:pt>
                <c:pt idx="4">
                  <c:v>ANDAMAN &amp; NICOBAR</c:v>
                </c:pt>
                <c:pt idx="5">
                  <c:v>JHARKHAND</c:v>
                </c:pt>
                <c:pt idx="6">
                  <c:v>MADHYA PRADESH</c:v>
                </c:pt>
                <c:pt idx="7">
                  <c:v>ODISHA</c:v>
                </c:pt>
                <c:pt idx="8">
                  <c:v>ASSAM</c:v>
                </c:pt>
                <c:pt idx="9">
                  <c:v>RAJASTHAN</c:v>
                </c:pt>
                <c:pt idx="10">
                  <c:v>ANDHRA PRADESH</c:v>
                </c:pt>
                <c:pt idx="11">
                  <c:v>WEST BENGAL</c:v>
                </c:pt>
                <c:pt idx="12">
                  <c:v>PUNJAB</c:v>
                </c:pt>
                <c:pt idx="13">
                  <c:v>GUJARAT</c:v>
                </c:pt>
                <c:pt idx="14">
                  <c:v>KERALA</c:v>
                </c:pt>
                <c:pt idx="15">
                  <c:v>TELANGANA</c:v>
                </c:pt>
                <c:pt idx="16">
                  <c:v>DELHI</c:v>
                </c:pt>
                <c:pt idx="17">
                  <c:v>UTTAR PRADESH</c:v>
                </c:pt>
                <c:pt idx="18">
                  <c:v>HARYANA</c:v>
                </c:pt>
                <c:pt idx="19">
                  <c:v>TAMIL NADU</c:v>
                </c:pt>
                <c:pt idx="20">
                  <c:v>KARNATAKA</c:v>
                </c:pt>
                <c:pt idx="21">
                  <c:v>MAHARASHTRA</c:v>
                </c:pt>
              </c:strCache>
            </c:strRef>
          </c:cat>
          <c:val>
            <c:numRef>
              <c:f>Sheet6!$B$4:$B$26</c:f>
              <c:numCache>
                <c:formatCode>General</c:formatCode>
                <c:ptCount val="22"/>
                <c:pt idx="0">
                  <c:v>1</c:v>
                </c:pt>
                <c:pt idx="1">
                  <c:v>1</c:v>
                </c:pt>
                <c:pt idx="2">
                  <c:v>1</c:v>
                </c:pt>
                <c:pt idx="3">
                  <c:v>1</c:v>
                </c:pt>
                <c:pt idx="4">
                  <c:v>1</c:v>
                </c:pt>
                <c:pt idx="5">
                  <c:v>2</c:v>
                </c:pt>
                <c:pt idx="6">
                  <c:v>2</c:v>
                </c:pt>
                <c:pt idx="7">
                  <c:v>2</c:v>
                </c:pt>
                <c:pt idx="8">
                  <c:v>2</c:v>
                </c:pt>
                <c:pt idx="9">
                  <c:v>2</c:v>
                </c:pt>
                <c:pt idx="10">
                  <c:v>3</c:v>
                </c:pt>
                <c:pt idx="11">
                  <c:v>3</c:v>
                </c:pt>
                <c:pt idx="12">
                  <c:v>3</c:v>
                </c:pt>
                <c:pt idx="13">
                  <c:v>4</c:v>
                </c:pt>
                <c:pt idx="14">
                  <c:v>4</c:v>
                </c:pt>
                <c:pt idx="15">
                  <c:v>6</c:v>
                </c:pt>
                <c:pt idx="16">
                  <c:v>6</c:v>
                </c:pt>
                <c:pt idx="17">
                  <c:v>8</c:v>
                </c:pt>
                <c:pt idx="18">
                  <c:v>9</c:v>
                </c:pt>
                <c:pt idx="19">
                  <c:v>11</c:v>
                </c:pt>
                <c:pt idx="20">
                  <c:v>13</c:v>
                </c:pt>
                <c:pt idx="21">
                  <c:v>14</c:v>
                </c:pt>
              </c:numCache>
            </c:numRef>
          </c:val>
          <c:extLst>
            <c:ext xmlns:c16="http://schemas.microsoft.com/office/drawing/2014/chart" uri="{C3380CC4-5D6E-409C-BE32-E72D297353CC}">
              <c16:uniqueId val="{00000000-8AA1-41E3-815D-0F9ABDCC6136}"/>
            </c:ext>
          </c:extLst>
        </c:ser>
        <c:dLbls>
          <c:showLegendKey val="0"/>
          <c:showVal val="0"/>
          <c:showCatName val="0"/>
          <c:showSerName val="0"/>
          <c:showPercent val="0"/>
          <c:showBubbleSize val="0"/>
        </c:dLbls>
        <c:gapWidth val="219"/>
        <c:overlap val="-27"/>
        <c:axId val="462553151"/>
        <c:axId val="462555647"/>
      </c:barChart>
      <c:catAx>
        <c:axId val="4625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5647"/>
        <c:crosses val="autoZero"/>
        <c:auto val="1"/>
        <c:lblAlgn val="ctr"/>
        <c:lblOffset val="100"/>
        <c:noMultiLvlLbl val="0"/>
      </c:catAx>
      <c:valAx>
        <c:axId val="4625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[data100.xlsx]Sheet6!PivotTable4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Sheet6!$A$4:$A$26</c:f>
              <c:strCache>
                <c:ptCount val="22"/>
                <c:pt idx="0">
                  <c:v>CHANDIGARH</c:v>
                </c:pt>
                <c:pt idx="1">
                  <c:v>UTTARAKHAND</c:v>
                </c:pt>
                <c:pt idx="2">
                  <c:v>HIMACHAL PRADESH</c:v>
                </c:pt>
                <c:pt idx="3">
                  <c:v>BIHAR</c:v>
                </c:pt>
                <c:pt idx="4">
                  <c:v>ANDAMAN &amp; NICOBAR</c:v>
                </c:pt>
                <c:pt idx="5">
                  <c:v>JHARKHAND</c:v>
                </c:pt>
                <c:pt idx="6">
                  <c:v>MADHYA PRADESH</c:v>
                </c:pt>
                <c:pt idx="7">
                  <c:v>ODISHA</c:v>
                </c:pt>
                <c:pt idx="8">
                  <c:v>ASSAM</c:v>
                </c:pt>
                <c:pt idx="9">
                  <c:v>RAJASTHAN</c:v>
                </c:pt>
                <c:pt idx="10">
                  <c:v>ANDHRA PRADESH</c:v>
                </c:pt>
                <c:pt idx="11">
                  <c:v>WEST BENGAL</c:v>
                </c:pt>
                <c:pt idx="12">
                  <c:v>PUNJAB</c:v>
                </c:pt>
                <c:pt idx="13">
                  <c:v>GUJARAT</c:v>
                </c:pt>
                <c:pt idx="14">
                  <c:v>KERALA</c:v>
                </c:pt>
                <c:pt idx="15">
                  <c:v>TELANGANA</c:v>
                </c:pt>
                <c:pt idx="16">
                  <c:v>DELHI</c:v>
                </c:pt>
                <c:pt idx="17">
                  <c:v>UTTAR PRADESH</c:v>
                </c:pt>
                <c:pt idx="18">
                  <c:v>HARYANA</c:v>
                </c:pt>
                <c:pt idx="19">
                  <c:v>TAMIL NADU</c:v>
                </c:pt>
                <c:pt idx="20">
                  <c:v>KARNATAKA</c:v>
                </c:pt>
                <c:pt idx="21">
                  <c:v>MAHARASHTRA</c:v>
                </c:pt>
              </c:strCache>
            </c:strRef>
          </c:cat>
          <c:val>
            <c:numRef>
              <c:f>Sheet6!$B$4:$B$26</c:f>
              <c:numCache>
                <c:formatCode>General</c:formatCode>
                <c:ptCount val="22"/>
                <c:pt idx="0">
                  <c:v>1</c:v>
                </c:pt>
                <c:pt idx="1">
                  <c:v>1</c:v>
                </c:pt>
                <c:pt idx="2">
                  <c:v>1</c:v>
                </c:pt>
                <c:pt idx="3">
                  <c:v>1</c:v>
                </c:pt>
                <c:pt idx="4">
                  <c:v>1</c:v>
                </c:pt>
                <c:pt idx="5">
                  <c:v>2</c:v>
                </c:pt>
                <c:pt idx="6">
                  <c:v>2</c:v>
                </c:pt>
                <c:pt idx="7">
                  <c:v>2</c:v>
                </c:pt>
                <c:pt idx="8">
                  <c:v>2</c:v>
                </c:pt>
                <c:pt idx="9">
                  <c:v>2</c:v>
                </c:pt>
                <c:pt idx="10">
                  <c:v>3</c:v>
                </c:pt>
                <c:pt idx="11">
                  <c:v>3</c:v>
                </c:pt>
                <c:pt idx="12">
                  <c:v>3</c:v>
                </c:pt>
                <c:pt idx="13">
                  <c:v>4</c:v>
                </c:pt>
                <c:pt idx="14">
                  <c:v>4</c:v>
                </c:pt>
                <c:pt idx="15">
                  <c:v>6</c:v>
                </c:pt>
                <c:pt idx="16">
                  <c:v>6</c:v>
                </c:pt>
                <c:pt idx="17">
                  <c:v>8</c:v>
                </c:pt>
                <c:pt idx="18">
                  <c:v>9</c:v>
                </c:pt>
                <c:pt idx="19">
                  <c:v>11</c:v>
                </c:pt>
                <c:pt idx="20">
                  <c:v>13</c:v>
                </c:pt>
                <c:pt idx="21">
                  <c:v>14</c:v>
                </c:pt>
              </c:numCache>
            </c:numRef>
          </c:val>
          <c:extLst>
            <c:ext xmlns:c16="http://schemas.microsoft.com/office/drawing/2014/chart" uri="{C3380CC4-5D6E-409C-BE32-E72D297353CC}">
              <c16:uniqueId val="{00000000-5D3A-4F8A-ADB6-CDD1B4657324}"/>
            </c:ext>
          </c:extLst>
        </c:ser>
        <c:dLbls>
          <c:showLegendKey val="0"/>
          <c:showVal val="0"/>
          <c:showCatName val="0"/>
          <c:showSerName val="0"/>
          <c:showPercent val="0"/>
          <c:showBubbleSize val="0"/>
        </c:dLbls>
        <c:gapWidth val="219"/>
        <c:overlap val="-27"/>
        <c:axId val="462553151"/>
        <c:axId val="462555647"/>
      </c:barChart>
      <c:catAx>
        <c:axId val="4625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5647"/>
        <c:crosses val="autoZero"/>
        <c:auto val="1"/>
        <c:lblAlgn val="ctr"/>
        <c:lblOffset val="100"/>
        <c:noMultiLvlLbl val="0"/>
      </c:catAx>
      <c:valAx>
        <c:axId val="4625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Men</c:v>
                </c:pt>
                <c:pt idx="1">
                  <c:v>Women</c:v>
                </c:pt>
              </c:strCache>
            </c:strRef>
          </c:cat>
          <c:val>
            <c:numRef>
              <c:f>Sheet4!$B$4:$B$6</c:f>
              <c:numCache>
                <c:formatCode>General</c:formatCode>
                <c:ptCount val="2"/>
                <c:pt idx="0">
                  <c:v>29</c:v>
                </c:pt>
                <c:pt idx="1">
                  <c:v>70</c:v>
                </c:pt>
              </c:numCache>
            </c:numRef>
          </c:val>
          <c:extLst>
            <c:ext xmlns:c16="http://schemas.microsoft.com/office/drawing/2014/chart" uri="{C3380CC4-5D6E-409C-BE32-E72D297353CC}">
              <c16:uniqueId val="{00000000-D41C-47C8-A51D-04AD339C3B5B}"/>
            </c:ext>
          </c:extLst>
        </c:ser>
        <c:dLbls>
          <c:showLegendKey val="0"/>
          <c:showVal val="0"/>
          <c:showCatName val="0"/>
          <c:showSerName val="0"/>
          <c:showPercent val="0"/>
          <c:showBubbleSize val="0"/>
        </c:dLbls>
        <c:gapWidth val="219"/>
        <c:overlap val="-27"/>
        <c:axId val="462543583"/>
        <c:axId val="462551903"/>
      </c:barChart>
      <c:catAx>
        <c:axId val="4625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51903"/>
        <c:crosses val="autoZero"/>
        <c:auto val="1"/>
        <c:lblAlgn val="ctr"/>
        <c:lblOffset val="100"/>
        <c:noMultiLvlLbl val="0"/>
      </c:catAx>
      <c:valAx>
        <c:axId val="46255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[data100.xlsx]Sheet9!PivotTable19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Sheet9!$B$1:$B$2</c:f>
              <c:strCache>
                <c:ptCount val="1"/>
                <c:pt idx="0">
                  <c:v>Ajio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Sheet9!$A$3:$A$6</c:f>
              <c:strCache>
                <c:ptCount val="3"/>
                <c:pt idx="0">
                  <c:v>Adults</c:v>
                </c:pt>
                <c:pt idx="1">
                  <c:v>Senior</c:v>
                </c:pt>
                <c:pt idx="2">
                  <c:v>Teenager</c:v>
                </c:pt>
              </c:strCache>
            </c:strRef>
          </c:cat>
          <c:val>
            <c:numRef>
              <c:f>Sheet9!$B$3:$B$6</c:f>
              <c:numCache>
                <c:formatCode>General</c:formatCode>
                <c:ptCount val="3"/>
                <c:pt idx="1">
                  <c:v>595</c:v>
                </c:pt>
                <c:pt idx="2">
                  <c:v>2237</c:v>
                </c:pt>
              </c:numCache>
            </c:numRef>
          </c:val>
          <c:smooth val="0"/>
          <c:extLst>
            <c:ext xmlns:c16="http://schemas.microsoft.com/office/drawing/2014/chart" uri="{C3380CC4-5D6E-409C-BE32-E72D297353CC}">
              <c16:uniqueId val="{00000000-E85A-4A31-B6A6-A8F174A1DA59}"/>
            </c:ext>
          </c:extLst>
        </c:ser>
        <c:ser>
          <c:idx val="1"/>
          <c:order val="1"/>
          <c:tx>
            <c:strRef>
              <c:f>Sheet9!$C$1:$C$2</c:f>
              <c:strCache>
                <c:ptCount val="1"/>
                <c:pt idx="0">
                  <c:v>Amazon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Sheet9!$A$3:$A$6</c:f>
              <c:strCache>
                <c:ptCount val="3"/>
                <c:pt idx="0">
                  <c:v>Adults</c:v>
                </c:pt>
                <c:pt idx="1">
                  <c:v>Senior</c:v>
                </c:pt>
                <c:pt idx="2">
                  <c:v>Teenager</c:v>
                </c:pt>
              </c:strCache>
            </c:strRef>
          </c:cat>
          <c:val>
            <c:numRef>
              <c:f>Sheet9!$C$3:$C$6</c:f>
              <c:numCache>
                <c:formatCode>General</c:formatCode>
                <c:ptCount val="3"/>
                <c:pt idx="0">
                  <c:v>8810</c:v>
                </c:pt>
                <c:pt idx="1">
                  <c:v>4170</c:v>
                </c:pt>
                <c:pt idx="2">
                  <c:v>7244</c:v>
                </c:pt>
              </c:numCache>
            </c:numRef>
          </c:val>
          <c:smooth val="0"/>
          <c:extLst>
            <c:ext xmlns:c16="http://schemas.microsoft.com/office/drawing/2014/chart" uri="{C3380CC4-5D6E-409C-BE32-E72D297353CC}">
              <c16:uniqueId val="{00000001-E85A-4A31-B6A6-A8F174A1DA59}"/>
            </c:ext>
          </c:extLst>
        </c:ser>
        <c:ser>
          <c:idx val="2"/>
          <c:order val="2"/>
          <c:tx>
            <c:strRef>
              <c:f>Sheet9!$D$1:$D$2</c:f>
              <c:strCache>
                <c:ptCount val="1"/>
                <c:pt idx="0">
                  <c:v>Flipkart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Sheet9!$A$3:$A$6</c:f>
              <c:strCache>
                <c:ptCount val="3"/>
                <c:pt idx="0">
                  <c:v>Adults</c:v>
                </c:pt>
                <c:pt idx="1">
                  <c:v>Senior</c:v>
                </c:pt>
                <c:pt idx="2">
                  <c:v>Teenager</c:v>
                </c:pt>
              </c:strCache>
            </c:strRef>
          </c:cat>
          <c:val>
            <c:numRef>
              <c:f>Sheet9!$D$3:$D$6</c:f>
              <c:numCache>
                <c:formatCode>General</c:formatCode>
                <c:ptCount val="3"/>
                <c:pt idx="0">
                  <c:v>3927</c:v>
                </c:pt>
                <c:pt idx="1">
                  <c:v>5306</c:v>
                </c:pt>
                <c:pt idx="2">
                  <c:v>2812</c:v>
                </c:pt>
              </c:numCache>
            </c:numRef>
          </c:val>
          <c:smooth val="0"/>
          <c:extLst>
            <c:ext xmlns:c16="http://schemas.microsoft.com/office/drawing/2014/chart" uri="{C3380CC4-5D6E-409C-BE32-E72D297353CC}">
              <c16:uniqueId val="{00000002-E85A-4A31-B6A6-A8F174A1DA59}"/>
            </c:ext>
          </c:extLst>
        </c:ser>
        <c:ser>
          <c:idx val="3"/>
          <c:order val="3"/>
          <c:tx>
            <c:strRef>
              <c:f>Sheet9!$E$1:$E$2</c:f>
              <c:strCache>
                <c:ptCount val="1"/>
                <c:pt idx="0">
                  <c:v>Meesho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Sheet9!$A$3:$A$6</c:f>
              <c:strCache>
                <c:ptCount val="3"/>
                <c:pt idx="0">
                  <c:v>Adults</c:v>
                </c:pt>
                <c:pt idx="1">
                  <c:v>Senior</c:v>
                </c:pt>
                <c:pt idx="2">
                  <c:v>Teenager</c:v>
                </c:pt>
              </c:strCache>
            </c:strRef>
          </c:cat>
          <c:val>
            <c:numRef>
              <c:f>Sheet9!$E$3:$E$6</c:f>
              <c:numCache>
                <c:formatCode>General</c:formatCode>
                <c:ptCount val="3"/>
                <c:pt idx="0">
                  <c:v>2379</c:v>
                </c:pt>
                <c:pt idx="1">
                  <c:v>507</c:v>
                </c:pt>
                <c:pt idx="2">
                  <c:v>1383</c:v>
                </c:pt>
              </c:numCache>
            </c:numRef>
          </c:val>
          <c:smooth val="0"/>
          <c:extLst>
            <c:ext xmlns:c16="http://schemas.microsoft.com/office/drawing/2014/chart" uri="{C3380CC4-5D6E-409C-BE32-E72D297353CC}">
              <c16:uniqueId val="{00000003-E85A-4A31-B6A6-A8F174A1DA59}"/>
            </c:ext>
          </c:extLst>
        </c:ser>
        <c:ser>
          <c:idx val="4"/>
          <c:order val="4"/>
          <c:tx>
            <c:strRef>
              <c:f>Sheet9!$F$1:$F$2</c:f>
              <c:strCache>
                <c:ptCount val="1"/>
                <c:pt idx="0">
                  <c:v>Myntra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Sheet9!$A$3:$A$6</c:f>
              <c:strCache>
                <c:ptCount val="3"/>
                <c:pt idx="0">
                  <c:v>Adults</c:v>
                </c:pt>
                <c:pt idx="1">
                  <c:v>Senior</c:v>
                </c:pt>
                <c:pt idx="2">
                  <c:v>Teenager</c:v>
                </c:pt>
              </c:strCache>
            </c:strRef>
          </c:cat>
          <c:val>
            <c:numRef>
              <c:f>Sheet9!$F$3:$F$6</c:f>
              <c:numCache>
                <c:formatCode>General</c:formatCode>
                <c:ptCount val="3"/>
                <c:pt idx="0">
                  <c:v>12996</c:v>
                </c:pt>
                <c:pt idx="1">
                  <c:v>2436</c:v>
                </c:pt>
                <c:pt idx="2">
                  <c:v>2491</c:v>
                </c:pt>
              </c:numCache>
            </c:numRef>
          </c:val>
          <c:smooth val="0"/>
          <c:extLst>
            <c:ext xmlns:c16="http://schemas.microsoft.com/office/drawing/2014/chart" uri="{C3380CC4-5D6E-409C-BE32-E72D297353CC}">
              <c16:uniqueId val="{00000004-E85A-4A31-B6A6-A8F174A1DA59}"/>
            </c:ext>
          </c:extLst>
        </c:ser>
        <c:ser>
          <c:idx val="5"/>
          <c:order val="5"/>
          <c:tx>
            <c:strRef>
              <c:f>Sheet9!$G$1:$G$2</c:f>
              <c:strCache>
                <c:ptCount val="1"/>
                <c:pt idx="0">
                  <c:v>Nalli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Sheet9!$A$3:$A$6</c:f>
              <c:strCache>
                <c:ptCount val="3"/>
                <c:pt idx="0">
                  <c:v>Adults</c:v>
                </c:pt>
                <c:pt idx="1">
                  <c:v>Senior</c:v>
                </c:pt>
                <c:pt idx="2">
                  <c:v>Teenager</c:v>
                </c:pt>
              </c:strCache>
            </c:strRef>
          </c:cat>
          <c:val>
            <c:numRef>
              <c:f>Sheet9!$G$3:$G$6</c:f>
              <c:numCache>
                <c:formatCode>General</c:formatCode>
                <c:ptCount val="3"/>
                <c:pt idx="0">
                  <c:v>1651</c:v>
                </c:pt>
                <c:pt idx="2">
                  <c:v>999</c:v>
                </c:pt>
              </c:numCache>
            </c:numRef>
          </c:val>
          <c:smooth val="0"/>
          <c:extLst>
            <c:ext xmlns:c16="http://schemas.microsoft.com/office/drawing/2014/chart" uri="{C3380CC4-5D6E-409C-BE32-E72D297353CC}">
              <c16:uniqueId val="{00000005-E85A-4A31-B6A6-A8F174A1DA59}"/>
            </c:ext>
          </c:extLst>
        </c:ser>
        <c:ser>
          <c:idx val="6"/>
          <c:order val="6"/>
          <c:tx>
            <c:strRef>
              <c:f>Sheet9!$H$1:$H$2</c:f>
              <c:strCache>
                <c:ptCount val="1"/>
                <c:pt idx="0">
                  <c:v>Others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Sheet9!$A$3:$A$6</c:f>
              <c:strCache>
                <c:ptCount val="3"/>
                <c:pt idx="0">
                  <c:v>Adults</c:v>
                </c:pt>
                <c:pt idx="1">
                  <c:v>Senior</c:v>
                </c:pt>
                <c:pt idx="2">
                  <c:v>Teenager</c:v>
                </c:pt>
              </c:strCache>
            </c:strRef>
          </c:cat>
          <c:val>
            <c:numRef>
              <c:f>Sheet9!$H$3:$H$6</c:f>
              <c:numCache>
                <c:formatCode>General</c:formatCode>
                <c:ptCount val="3"/>
                <c:pt idx="0">
                  <c:v>4038</c:v>
                </c:pt>
                <c:pt idx="1">
                  <c:v>435</c:v>
                </c:pt>
                <c:pt idx="2">
                  <c:v>2227</c:v>
                </c:pt>
              </c:numCache>
            </c:numRef>
          </c:val>
          <c:smooth val="0"/>
          <c:extLst>
            <c:ext xmlns:c16="http://schemas.microsoft.com/office/drawing/2014/chart" uri="{C3380CC4-5D6E-409C-BE32-E72D297353CC}">
              <c16:uniqueId val="{00000006-E85A-4A31-B6A6-A8F174A1DA59}"/>
            </c:ext>
          </c:extLst>
        </c:ser>
        <c:dLbls>
          <c:showLegendKey val="0"/>
          <c:showVal val="0"/>
          <c:showCatName val="0"/>
          <c:showSerName val="0"/>
          <c:showPercent val="0"/>
          <c:showBubbleSize val="0"/>
        </c:dLbls>
        <c:marker val="1"/>
        <c:smooth val="0"/>
        <c:axId val="1226013839"/>
        <c:axId val="1226010511"/>
      </c:lineChart>
      <c:catAx>
        <c:axId val="12260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0511"/>
        <c:crosses val="autoZero"/>
        <c:auto val="1"/>
        <c:lblAlgn val="ctr"/>
        <c:lblOffset val="100"/>
        <c:noMultiLvlLbl val="0"/>
      </c:catAx>
      <c:valAx>
        <c:axId val="122601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3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64770</xdr:rowOff>
    </xdr:from>
    <xdr:to>
      <xdr:col>11</xdr:col>
      <xdr:colOff>213360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15240</xdr:rowOff>
    </xdr:from>
    <xdr:to>
      <xdr:col>7</xdr:col>
      <xdr:colOff>1074420</xdr:colOff>
      <xdr:row>22</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365760</xdr:colOff>
      <xdr:row>4</xdr:row>
      <xdr:rowOff>15240</xdr:rowOff>
    </xdr:from>
    <xdr:to>
      <xdr:col>19</xdr:col>
      <xdr:colOff>289560</xdr:colOff>
      <xdr:row>23</xdr:row>
      <xdr:rowOff>64770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4</xdr:row>
      <xdr:rowOff>7620</xdr:rowOff>
    </xdr:from>
    <xdr:to>
      <xdr:col>8</xdr:col>
      <xdr:colOff>411480</xdr:colOff>
      <xdr:row>18</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396240</xdr:colOff>
      <xdr:row>2</xdr:row>
      <xdr:rowOff>76201</xdr:rowOff>
    </xdr:from>
    <xdr:to>
      <xdr:col>22</xdr:col>
      <xdr:colOff>396240</xdr:colOff>
      <xdr:row>8</xdr:row>
      <xdr:rowOff>60961</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78640" y="44196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xdr:row>
      <xdr:rowOff>68580</xdr:rowOff>
    </xdr:from>
    <xdr:to>
      <xdr:col>16</xdr:col>
      <xdr:colOff>198120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Rahish" refreshedDate="45473.687955439818" backgroundQuery="1" createdVersion="6" refreshedVersion="6" minRefreshableVersion="3" recordCount="0" supportSubquery="1" supportAdvancedDrill="1">
  <cacheSource type="external" connectionId="1"/>
  <cacheFields count="3">
    <cacheField name="[Table1].[ship-state].[ship-state]" caption="ship-state" numFmtId="0" hierarchy="24" level="1">
      <sharedItems count="22">
        <s v="ANDAMAN &amp; NICOBAR"/>
        <s v="ANDHRA PRADESH"/>
        <s v="ASSAM"/>
        <s v="BIHAR"/>
        <s v="CHANDIGARH"/>
        <s v="DELHI"/>
        <s v="GUJARAT"/>
        <s v="HARYANA"/>
        <s v="HIMACHAL PRADESH"/>
        <s v="JHARKHAND"/>
        <s v="KARNATAKA"/>
        <s v="KERALA"/>
        <s v="MADHYA PRADESH"/>
        <s v="MAHARASHTRA"/>
        <s v="ODISHA"/>
        <s v="PUNJAB"/>
        <s v="RAJASTHAN"/>
        <s v="TAMIL NADU"/>
        <s v="TELANGANA"/>
        <s v="UTTAR PRADESH"/>
        <s v="UTTARAKHAND"/>
        <s v="WEST BENGAL"/>
      </sharedItems>
    </cacheField>
    <cacheField name="[Measures].[Count of Cust ID]" caption="Count of Cust ID" numFmtId="0" hierarchy="34" level="32767"/>
    <cacheField name="[Table1].[Gender].[Gender]" caption="Gender" numFmtId="0" hierarchy="10" level="1">
      <sharedItems containsSemiMixedTypes="0" containsNonDate="0" containsString="0"/>
    </cacheField>
  </cacheFields>
  <cacheHierarchies count="35">
    <cacheHierarchy uniqueName="[Range].[if]" caption="if" attribute="1" defaultMemberUniqueName="[Range].[if].[All]" allUniqueName="[Range].[if].[All]" dimensionUniqueName="[Range]" displayFolder="" count="2" memberValueDatatype="20" unbalanced="0"/>
    <cacheHierarchy uniqueName="[Range].[and]" caption="and" attribute="1" defaultMemberUniqueName="[Range].[and].[All]" allUniqueName="[Range].[and].[All]" dimensionUniqueName="[Range]" displayFolder="" count="2" memberValueDatatype="11" unbalanced="0"/>
    <cacheHierarchy uniqueName="[Range].[or]" caption="or" attribute="1" defaultMemberUniqueName="[Range].[or].[All]" allUniqueName="[Range].[or].[All]" dimensionUniqueName="[Range]" displayFolder="" count="2" memberValueDatatype="11" unbalanced="0"/>
    <cacheHierarchy uniqueName="[Range].[discount]" caption="discount" attribute="1" defaultMemberUniqueName="[Range].[discount].[All]" allUniqueName="[Range].[discount].[All]" dimensionUniqueName="[Range]" displayFolder="" count="2" memberValueDatatype="20" unbalanced="0"/>
    <cacheHierarchy uniqueName="[Range1].[total sale amt]" caption="total sale amt" attribute="1" defaultMemberUniqueName="[Range1].[total sale amt].[All]" allUniqueName="[Range1].[total sale amt].[All]" dimensionUniqueName="[Range1]" displayFolder="" count="2" memberValueDatatype="20" unbalanced="0"/>
    <cacheHierarchy uniqueName="[Range1].[avg sale price]" caption="avg sale price" attribute="1" defaultMemberUniqueName="[Range1].[avg sale price].[All]" allUniqueName="[Range1].[avg sale price].[All]" dimensionUniqueName="[Range1]" displayFolder="" count="2" memberValueDatatype="5" unbalanced="0"/>
    <cacheHierarchy uniqueName="[Range1].[no of sale]" caption="no of sale" attribute="1" defaultMemberUniqueName="[Range1].[no of sale].[All]" allUniqueName="[Range1].[no of sale].[All]" dimensionUniqueName="[Range1]" displayFolder="" count="2" memberValueDatatype="20" unbalanced="0"/>
    <cacheHierarchy uniqueName="[Table1].[index]" caption="index" attribute="1" defaultMemberUniqueName="[Table1].[index].[All]" allUniqueName="[Table1].[index].[All]" dimensionUniqueName="[Table1]" displayFolder="" count="2" memberValueDatatype="20" unbalanced="0"/>
    <cacheHierarchy uniqueName="[Table1].[Order ID]" caption="Order ID" attribute="1" defaultMemberUniqueName="[Table1].[Order ID].[All]" allUniqueName="[Table1].[Order ID].[All]" dimensionUniqueName="[Table1]" displayFolder="" count="2" memberValueDatatype="130" unbalanced="0"/>
    <cacheHierarchy uniqueName="[Table1].[Cust ID]" caption="Cust ID" attribute="1" defaultMemberUniqueName="[Table1].[Cust ID].[All]" allUniqueName="[Table1].[Cust I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Date]" caption="Date" attribute="1" defaultMemberUniqueName="[Table1].[Date].[All]" allUniqueName="[Table1].[Date].[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Status]" caption="Status" attribute="1" defaultMemberUniqueName="[Table1].[Status].[All]" allUniqueName="[Table1].[Status].[All]" dimensionUniqueName="[Table1]" displayFolder="" count="2" memberValueDatatype="130" unbalanced="0"/>
    <cacheHierarchy uniqueName="[Table1].[Channel]" caption="Channel" attribute="1" defaultMemberUniqueName="[Table1].[Channel].[All]" allUniqueName="[Table1].[Channel].[All]" dimensionUniqueName="[Table1]" displayFolder="" count="2" memberValueDatatype="130" unbalanced="0"/>
    <cacheHierarchy uniqueName="[Table1].[SKU]" caption="SKU" attribute="1" defaultMemberUniqueName="[Table1].[SKU].[All]" allUniqueName="[Table1].[SKU].[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ize]" caption="Size" attribute="1" defaultMemberUniqueName="[Table1].[Size].[All]" allUniqueName="[Table1].[Size].[All]" dimensionUniqueName="[Table1]" displayFolder="" count="2" memberValueDatatype="130" unbalanced="0"/>
    <cacheHierarchy uniqueName="[Table1].[Qty]" caption="Qty" attribute="1" defaultMemberUniqueName="[Table1].[Qty].[All]" allUniqueName="[Table1].[Qty].[All]" dimensionUniqueName="[Table1]" displayFolder="" count="2" memberValueDatatype="20" unbalanced="0"/>
    <cacheHierarchy uniqueName="[Table1].[currency]" caption="currency" attribute="1" defaultMemberUniqueName="[Table1].[currency].[All]" allUniqueName="[Table1].[currency].[All]" dimensionUniqueName="[Table1]" displayFolder="" count="2" memberValueDatatype="130" unbalanced="0"/>
    <cacheHierarchy uniqueName="[Table1].[Amount]" caption="Amount" attribute="1" defaultMemberUniqueName="[Table1].[Amount].[All]" allUniqueName="[Table1].[Amount].[All]" dimensionUniqueName="[Table1]" displayFolder="" count="2" memberValueDatatype="20" unbalanced="0"/>
    <cacheHierarchy uniqueName="[Table1].[ship-city]" caption="ship-city" attribute="1" defaultMemberUniqueName="[Table1].[ship-city].[All]" allUniqueName="[Table1].[ship-city].[All]" dimensionUniqueName="[Table1]" displayFolder="" count="2" memberValueDatatype="130" unbalanced="0"/>
    <cacheHierarchy uniqueName="[Table1].[ship-state]" caption="ship-state" attribute="1" defaultMemberUniqueName="[Table1].[ship-state].[All]" allUniqueName="[Table1].[ship-state].[All]" dimensionUniqueName="[Table1]" displayFolder="" count="2" memberValueDatatype="130" unbalanced="0">
      <fieldsUsage count="2">
        <fieldUsage x="-1"/>
        <fieldUsage x="0"/>
      </fieldsUsage>
    </cacheHierarchy>
    <cacheHierarchy uniqueName="[Table1].[ship-postal-code]" caption="ship-postal-code" attribute="1" defaultMemberUniqueName="[Table1].[ship-postal-code].[All]" allUniqueName="[Table1].[ship-postal-code].[All]" dimensionUniqueName="[Table1]" displayFolder="" count="2" memberValueDatatype="20" unbalanced="0"/>
    <cacheHierarchy uniqueName="[Table1].[\/]" caption="\/" attribute="1" defaultMemberUniqueName="[Table1].[\/].[All]" allUniqueName="[Table1].[\/].[All]" dimensionUniqueName="[Table1]" displayFolder="" count="2" memberValueDatatype="130" unbalanced="0"/>
    <cacheHierarchy uniqueName="[Table1].[B2B]" caption="B2B" attribute="1" defaultMemberUniqueName="[Table1].[B2B].[All]" allUniqueName="[Table1].[B2B].[All]" dimensionUniqueName="[Table1]" displayFolder="" count="2"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hish" refreshedDate="45473.687956365742" backgroundQuery="1" createdVersion="6" refreshedVersion="6" minRefreshableVersion="3" recordCount="0" supportSubquery="1" supportAdvancedDrill="1">
  <cacheSource type="external" connectionId="1"/>
  <cacheFields count="2">
    <cacheField name="[Table1].[Gender].[Gender]" caption="Gender" numFmtId="0" hierarchy="10" level="1">
      <sharedItems count="2">
        <s v="Men"/>
        <s v="Women"/>
      </sharedItems>
    </cacheField>
    <cacheField name="[Measures].[Count of Gender]" caption="Count of Gender" numFmtId="0" hierarchy="32" level="32767"/>
  </cacheFields>
  <cacheHierarchies count="35">
    <cacheHierarchy uniqueName="[Range].[if]" caption="if" attribute="1" defaultMemberUniqueName="[Range].[if].[All]" allUniqueName="[Range].[if].[All]" dimensionUniqueName="[Range]" displayFolder="" count="0" memberValueDatatype="20" unbalanced="0"/>
    <cacheHierarchy uniqueName="[Range].[and]" caption="and" attribute="1" defaultMemberUniqueName="[Range].[and].[All]" allUniqueName="[Range].[and].[All]" dimensionUniqueName="[Range]" displayFolder="" count="0" memberValueDatatype="11" unbalanced="0"/>
    <cacheHierarchy uniqueName="[Range].[or]" caption="or" attribute="1" defaultMemberUniqueName="[Range].[or].[All]" allUniqueName="[Range].[or].[All]" dimensionUniqueName="[Range]" displayFolder="" count="0" memberValueDatatype="11" unbalanced="0"/>
    <cacheHierarchy uniqueName="[Range].[discount]" caption="discount" attribute="1" defaultMemberUniqueName="[Range].[discount].[All]" allUniqueName="[Range].[discount].[All]" dimensionUniqueName="[Range]" displayFolder="" count="0" memberValueDatatype="20" unbalanced="0"/>
    <cacheHierarchy uniqueName="[Range1].[total sale amt]" caption="total sale amt" attribute="1" defaultMemberUniqueName="[Range1].[total sale amt].[All]" allUniqueName="[Range1].[total sale amt].[All]" dimensionUniqueName="[Range1]" displayFolder="" count="0" memberValueDatatype="20" unbalanced="0"/>
    <cacheHierarchy uniqueName="[Range1].[avg sale price]" caption="avg sale price" attribute="1" defaultMemberUniqueName="[Range1].[avg sale price].[All]" allUniqueName="[Range1].[avg sale price].[All]" dimensionUniqueName="[Range1]" displayFolder="" count="0" memberValueDatatype="5" unbalanced="0"/>
    <cacheHierarchy uniqueName="[Range1].[no of sale]" caption="no of sale" attribute="1" defaultMemberUniqueName="[Range1].[no of sale].[All]" allUniqueName="[Range1].[no of sale].[All]" dimensionUniqueName="[Range1]" displayFolder="" count="0" memberValueDatatype="20" unbalanced="0"/>
    <cacheHierarchy uniqueName="[Table1].[index]" caption="index" attribute="1" defaultMemberUniqueName="[Table1].[index].[All]" allUniqueName="[Table1].[index].[All]" dimensionUniqueName="[Table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Cust ID]" caption="Cust ID" attribute="1" defaultMemberUniqueName="[Table1].[Cust ID].[All]" allUniqueName="[Table1].[Cust ID].[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Channel]" caption="Channel" attribute="1" defaultMemberUniqueName="[Table1].[Channel].[All]" allUniqueName="[Table1].[Channel].[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ship-city]" caption="ship-city" attribute="1" defaultMemberUniqueName="[Table1].[ship-city].[All]" allUniqueName="[Table1].[ship-city].[All]" dimensionUniqueName="[Table1]" displayFolder="" count="0" memberValueDatatype="130" unbalanced="0"/>
    <cacheHierarchy uniqueName="[Table1].[ship-state]" caption="ship-state" attribute="1" defaultMemberUniqueName="[Table1].[ship-state].[All]" allUniqueName="[Table1].[ship-state].[All]" dimensionUniqueName="[Table1]" displayFolder="" count="0" memberValueDatatype="130" unbalanced="0"/>
    <cacheHierarchy uniqueName="[Table1].[ship-postal-code]" caption="ship-postal-code" attribute="1" defaultMemberUniqueName="[Table1].[ship-postal-code].[All]" allUniqueName="[Table1].[ship-postal-code].[All]" dimensionUniqueName="[Table1]" displayFolder="" count="0" memberValueDatatype="20" unbalanced="0"/>
    <cacheHierarchy uniqueName="[Table1].[\/]" caption="\/" attribute="1" defaultMemberUniqueName="[Table1].[\/].[All]" allUniqueName="[Table1].[\/].[All]" dimensionUniqueName="[Table1]" displayFolder="" count="0" memberValueDatatype="130" unbalanced="0"/>
    <cacheHierarchy uniqueName="[Table1].[B2B]" caption="B2B" attribute="1" defaultMemberUniqueName="[Table1].[B2B].[All]" allUniqueName="[Table1].[B2B].[All]" dimensionUniqueName="[Table1]" displayFolder="" count="0"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Rahish" refreshedDate="45473.77029108796" createdVersion="6" refreshedVersion="6" minRefreshableVersion="3" recordCount="99">
  <cacheSource type="worksheet">
    <worksheetSource ref="A1:R100" sheet="original_data"/>
  </cacheSource>
  <cacheFields count="18">
    <cacheField name="Gender" numFmtId="0">
      <sharedItems/>
    </cacheField>
    <cacheField name="Age" numFmtId="0">
      <sharedItems containsSemiMixedTypes="0" containsString="0" containsNumber="1" containsInteger="1" minValue="18" maxValue="77"/>
    </cacheField>
    <cacheField name="Age Group" numFmtId="0">
      <sharedItems count="3">
        <s v="Senior"/>
        <s v="Teenager"/>
        <s v="Adults"/>
      </sharedItems>
    </cacheField>
    <cacheField name="Date" numFmtId="0">
      <sharedItems containsSemiMixedTypes="0" containsString="0" containsNumber="1" containsInteger="1" minValue="44899" maxValue="44899"/>
    </cacheField>
    <cacheField name="Month" numFmtId="0">
      <sharedItems/>
    </cacheField>
    <cacheField name="Status" numFmtId="0">
      <sharedItems/>
    </cacheField>
    <cacheField name="Channel " numFmtId="0">
      <sharedItems count="7">
        <s v="Ajio"/>
        <s v="Amazon"/>
        <s v="Flipkart"/>
        <s v="Meesho"/>
        <s v="Myntra"/>
        <s v="Nalli"/>
        <s v="Others"/>
      </sharedItems>
    </cacheField>
    <cacheField name="SKU" numFmtId="0">
      <sharedItems/>
    </cacheField>
    <cacheField name="Category" numFmtId="0">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acheField>
    <cacheField name="ship-postal-code" numFmtId="0">
      <sharedItems containsSemiMixedTypes="0" containsString="0" containsNumber="1" containsInteger="1" minValue="110016" maxValue="834008"/>
    </cacheField>
    <cacheField name="\/" numFmtId="0">
      <sharedItems/>
    </cacheField>
    <cacheField name="B2B"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Rahish" refreshedDate="45473.67819305555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Range].[if]" caption="if" attribute="1" defaultMemberUniqueName="[Range].[if].[All]" allUniqueName="[Range].[if].[All]" dimensionUniqueName="[Range]" displayFolder="" count="0" memberValueDatatype="20" unbalanced="0"/>
    <cacheHierarchy uniqueName="[Range].[and]" caption="and" attribute="1" defaultMemberUniqueName="[Range].[and].[All]" allUniqueName="[Range].[and].[All]" dimensionUniqueName="[Range]" displayFolder="" count="0" memberValueDatatype="11" unbalanced="0"/>
    <cacheHierarchy uniqueName="[Range].[or]" caption="or" attribute="1" defaultMemberUniqueName="[Range].[or].[All]" allUniqueName="[Range].[or].[All]" dimensionUniqueName="[Range]" displayFolder="" count="0" memberValueDatatype="11" unbalanced="0"/>
    <cacheHierarchy uniqueName="[Range].[discount]" caption="discount" attribute="1" defaultMemberUniqueName="[Range].[discount].[All]" allUniqueName="[Range].[discount].[All]" dimensionUniqueName="[Range]" displayFolder="" count="0" memberValueDatatype="20" unbalanced="0"/>
    <cacheHierarchy uniqueName="[Range1].[total sale amt]" caption="total sale amt" attribute="1" defaultMemberUniqueName="[Range1].[total sale amt].[All]" allUniqueName="[Range1].[total sale amt].[All]" dimensionUniqueName="[Range1]" displayFolder="" count="0" memberValueDatatype="20" unbalanced="0"/>
    <cacheHierarchy uniqueName="[Range1].[avg sale price]" caption="avg sale price" attribute="1" defaultMemberUniqueName="[Range1].[avg sale price].[All]" allUniqueName="[Range1].[avg sale price].[All]" dimensionUniqueName="[Range1]" displayFolder="" count="0" memberValueDatatype="5" unbalanced="0"/>
    <cacheHierarchy uniqueName="[Range1].[no of sale]" caption="no of sale" attribute="1" defaultMemberUniqueName="[Range1].[no of sale].[All]" allUniqueName="[Range1].[no of sale].[All]" dimensionUniqueName="[Range1]" displayFolder="" count="0" memberValueDatatype="20" unbalanced="0"/>
    <cacheHierarchy uniqueName="[Table1].[index]" caption="index" attribute="1" defaultMemberUniqueName="[Table1].[index].[All]" allUniqueName="[Table1].[index].[All]" dimensionUniqueName="[Table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Cust ID]" caption="Cust ID" attribute="1" defaultMemberUniqueName="[Table1].[Cust ID].[All]" allUniqueName="[Table1].[Cust ID].[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Channel]" caption="Channel" attribute="1" defaultMemberUniqueName="[Table1].[Channel].[All]" allUniqueName="[Table1].[Channel].[All]" dimensionUniqueName="[Table1]"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ize]" caption="Size" attribute="1" defaultMemberUniqueName="[Table1].[Size].[All]" allUniqueName="[Table1].[Size].[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currency]" caption="currency" attribute="1" defaultMemberUniqueName="[Table1].[currency].[All]" allUniqueName="[Table1].[currency].[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ship-city]" caption="ship-city" attribute="1" defaultMemberUniqueName="[Table1].[ship-city].[All]" allUniqueName="[Table1].[ship-city].[All]" dimensionUniqueName="[Table1]" displayFolder="" count="0" memberValueDatatype="130" unbalanced="0"/>
    <cacheHierarchy uniqueName="[Table1].[ship-state]" caption="ship-state" attribute="1" defaultMemberUniqueName="[Table1].[ship-state].[All]" allUniqueName="[Table1].[ship-state].[All]" dimensionUniqueName="[Table1]" displayFolder="" count="0" memberValueDatatype="130" unbalanced="0"/>
    <cacheHierarchy uniqueName="[Table1].[ship-postal-code]" caption="ship-postal-code" attribute="1" defaultMemberUniqueName="[Table1].[ship-postal-code].[All]" allUniqueName="[Table1].[ship-postal-code].[All]" dimensionUniqueName="[Table1]" displayFolder="" count="0" memberValueDatatype="20" unbalanced="0"/>
    <cacheHierarchy uniqueName="[Table1].[\/]" caption="\/" attribute="1" defaultMemberUniqueName="[Table1].[\/].[All]" allUniqueName="[Table1].[\/].[All]" dimensionUniqueName="[Table1]" displayFolder="" count="0" memberValueDatatype="130" unbalanced="0"/>
    <cacheHierarchy uniqueName="[Table1].[B2B]" caption="B2B" attribute="1" defaultMemberUniqueName="[Table1].[B2B].[All]" allUniqueName="[Table1].[B2B].[All]" dimensionUniqueName="[Table1]" displayFolder="" count="0" memberValueDatatype="11"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Gender]" caption="Count of Gender" measure="1" displayFolder="" measureGroup="Table1" count="0" hidden="1">
      <extLst>
        <ext xmlns:x15="http://schemas.microsoft.com/office/spreadsheetml/2010/11/main" uri="{B97F6D7D-B522-45F9-BDA1-12C45D357490}">
          <x15:cacheHierarchy aggregatedColumn="10"/>
        </ext>
      </extLst>
    </cacheHierarchy>
    <cacheHierarchy uniqueName="[Measures].[Sum of Cust ID]" caption="Sum of Cust ID" measure="1" displayFolder="" measureGroup="Table1"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99">
  <r>
    <s v="Men"/>
    <n v="55"/>
    <x v="0"/>
    <n v="44899"/>
    <s v="Dec"/>
    <s v="Delivered"/>
    <x v="0"/>
    <s v="NW034-TP-PJ-M"/>
    <s v="Set"/>
    <s v="M"/>
    <n v="1"/>
    <s v="INR"/>
    <n v="595"/>
    <s v="BHARUCH"/>
    <s v="GUJARAT"/>
    <n v="392001"/>
    <s v="IN"/>
    <b v="0"/>
  </r>
  <r>
    <s v="Women"/>
    <n v="29"/>
    <x v="1"/>
    <n v="44899"/>
    <s v="Dec"/>
    <s v="Delivered"/>
    <x v="0"/>
    <s v="SET414-KR-NP-L"/>
    <s v="Set"/>
    <s v="L"/>
    <n v="1"/>
    <s v="INR"/>
    <n v="1449"/>
    <s v="GURUGRAM"/>
    <s v="HARYANA"/>
    <n v="122002"/>
    <s v="IN"/>
    <b v="0"/>
  </r>
  <r>
    <s v="Women"/>
    <n v="19"/>
    <x v="1"/>
    <n v="44899"/>
    <s v="Dec"/>
    <s v="Delivered"/>
    <x v="0"/>
    <s v="SET110-KR-PP-XS"/>
    <s v="Set"/>
    <s v="XS"/>
    <n v="1"/>
    <s v="INR"/>
    <n v="788"/>
    <s v="Meerut"/>
    <s v="UTTAR PRADESH"/>
    <n v="250002"/>
    <s v="IN"/>
    <b v="0"/>
  </r>
  <r>
    <s v="Women"/>
    <n v="76"/>
    <x v="0"/>
    <n v="44899"/>
    <s v="Dec"/>
    <s v="Delivered"/>
    <x v="1"/>
    <s v="JNE3795-KR-S"/>
    <s v="kurta"/>
    <s v="S"/>
    <n v="1"/>
    <s v="INR"/>
    <n v="517"/>
    <s v="THIRUVANANTHAPURAM"/>
    <s v="KERALA"/>
    <n v="695018"/>
    <s v="IN"/>
    <b v="0"/>
  </r>
  <r>
    <s v="Women"/>
    <n v="75"/>
    <x v="0"/>
    <n v="44899"/>
    <s v="Dec"/>
    <s v="Delivered"/>
    <x v="1"/>
    <s v="JNE3474-KR-E-XL"/>
    <s v="kurta"/>
    <s v="XL"/>
    <n v="1"/>
    <s v="INR"/>
    <n v="385"/>
    <s v="BENGALURU"/>
    <s v="KARNATAKA"/>
    <n v="562149"/>
    <s v="IN"/>
    <b v="0"/>
  </r>
  <r>
    <s v="Women"/>
    <n v="66"/>
    <x v="0"/>
    <n v="44899"/>
    <s v="Dec"/>
    <s v="Delivered"/>
    <x v="1"/>
    <s v="JNE3794-KR-M"/>
    <s v="kurta"/>
    <s v="M"/>
    <n v="1"/>
    <s v="INR"/>
    <n v="517"/>
    <s v="HYDERABAD"/>
    <s v="TELANGANA"/>
    <n v="500090"/>
    <s v="IN"/>
    <b v="0"/>
  </r>
  <r>
    <s v="Women"/>
    <n v="62"/>
    <x v="0"/>
    <n v="44899"/>
    <s v="Dec"/>
    <s v="Delivered"/>
    <x v="1"/>
    <s v="SET348-KR-NP-M"/>
    <s v="Set"/>
    <s v="M"/>
    <n v="1"/>
    <s v="INR"/>
    <n v="899"/>
    <s v="MAHENDRAGARH"/>
    <s v="HARYANA"/>
    <n v="123029"/>
    <s v="IN"/>
    <b v="0"/>
  </r>
  <r>
    <s v="Women"/>
    <n v="52"/>
    <x v="0"/>
    <n v="44899"/>
    <s v="Dec"/>
    <s v="Delivered"/>
    <x v="1"/>
    <s v="SET333-KR-DPT-M"/>
    <s v="Set"/>
    <s v="M"/>
    <n v="1"/>
    <s v="INR"/>
    <n v="967"/>
    <s v="HYDERABAD"/>
    <s v="TELANGANA"/>
    <n v="500098"/>
    <s v="IN"/>
    <b v="0"/>
  </r>
  <r>
    <s v="Men"/>
    <n v="52"/>
    <x v="0"/>
    <n v="44899"/>
    <s v="Dec"/>
    <s v="Delivered"/>
    <x v="1"/>
    <s v="J0414-DR-XXL"/>
    <s v="Western Dress"/>
    <s v="XXL"/>
    <n v="1"/>
    <s v="INR"/>
    <n v="885"/>
    <s v="AHMEDABAD"/>
    <s v="GUJARAT"/>
    <n v="380058"/>
    <s v="IN"/>
    <b v="0"/>
  </r>
  <r>
    <s v="Women"/>
    <n v="46"/>
    <x v="2"/>
    <n v="44899"/>
    <s v="Dec"/>
    <s v="Delivered"/>
    <x v="1"/>
    <s v="JNE3160-KR-M"/>
    <s v="kurta"/>
    <s v="M"/>
    <n v="1"/>
    <s v="INR"/>
    <n v="729"/>
    <s v="kolkata"/>
    <s v="WEST BENGAL"/>
    <n v="700082"/>
    <s v="IN"/>
    <b v="0"/>
  </r>
  <r>
    <s v="Women"/>
    <n v="46"/>
    <x v="2"/>
    <n v="44899"/>
    <s v="Dec"/>
    <s v="Delivered"/>
    <x v="1"/>
    <s v="SET233-KR-PP-M"/>
    <s v="Set"/>
    <s v="M"/>
    <n v="1"/>
    <s v="INR"/>
    <n v="545"/>
    <s v="AMRITSAR"/>
    <s v="PUNJAB"/>
    <n v="143001"/>
    <s v="IN"/>
    <b v="0"/>
  </r>
  <r>
    <s v="Women"/>
    <n v="42"/>
    <x v="2"/>
    <n v="44899"/>
    <s v="Dec"/>
    <s v="Delivered"/>
    <x v="1"/>
    <s v="PJNE2100-KR-N-6XL"/>
    <s v="kurta"/>
    <s v="6XL"/>
    <n v="1"/>
    <s v="INR"/>
    <n v="764"/>
    <s v="BENGALURU"/>
    <s v="KARNATAKA"/>
    <n v="560103"/>
    <s v="IN"/>
    <b v="0"/>
  </r>
  <r>
    <s v="Women"/>
    <n v="41"/>
    <x v="2"/>
    <n v="44899"/>
    <s v="Dec"/>
    <s v="Delivered"/>
    <x v="1"/>
    <s v="JNE3368-KR-XL"/>
    <s v="kurta"/>
    <s v="XL"/>
    <n v="1"/>
    <s v="INR"/>
    <n v="449"/>
    <s v="Payyannur"/>
    <s v="KERALA"/>
    <n v="670309"/>
    <s v="IN"/>
    <b v="0"/>
  </r>
  <r>
    <s v="Men"/>
    <n v="40"/>
    <x v="2"/>
    <n v="44899"/>
    <s v="Dec"/>
    <s v="Delivered"/>
    <x v="1"/>
    <s v="JNE3797-KR-XXL"/>
    <s v="Western Dress"/>
    <s v="XXL"/>
    <n v="1"/>
    <s v="INR"/>
    <n v="715"/>
    <s v="GREAT NICOBAR"/>
    <s v="ANDAMAN &amp; NICOBAR "/>
    <n v="744302"/>
    <s v="IN"/>
    <b v="0"/>
  </r>
  <r>
    <s v="Women"/>
    <n v="39"/>
    <x v="2"/>
    <n v="44899"/>
    <s v="Dec"/>
    <s v="Delivered"/>
    <x v="1"/>
    <s v="J0334-TP-S"/>
    <s v="Top"/>
    <s v="S"/>
    <n v="1"/>
    <s v="INR"/>
    <n v="545"/>
    <s v="PUNE"/>
    <s v="MAHARASHTRA"/>
    <n v="411051"/>
    <s v="IN"/>
    <b v="0"/>
  </r>
  <r>
    <s v="Women"/>
    <n v="38"/>
    <x v="2"/>
    <n v="44899"/>
    <s v="Dec"/>
    <s v="Delivered"/>
    <x v="1"/>
    <s v="SAR008"/>
    <s v="Saree"/>
    <s v="Free"/>
    <n v="1"/>
    <s v="INR"/>
    <n v="737"/>
    <s v="MURWARA KATNI"/>
    <s v="MADHYA PRADESH"/>
    <n v="483501"/>
    <s v="IN"/>
    <b v="0"/>
  </r>
  <r>
    <s v="Men"/>
    <n v="37"/>
    <x v="2"/>
    <n v="44899"/>
    <s v="Dec"/>
    <s v="Delivered"/>
    <x v="1"/>
    <s v="SET320-KR-NP-S"/>
    <s v="Set"/>
    <s v="S"/>
    <n v="1"/>
    <s v="INR"/>
    <n v="856"/>
    <s v="CHENNAI"/>
    <s v="TAMIL NADU"/>
    <n v="600119"/>
    <s v="IN"/>
    <b v="0"/>
  </r>
  <r>
    <s v="Women"/>
    <n v="37"/>
    <x v="2"/>
    <n v="44899"/>
    <s v="Dec"/>
    <s v="Delivered"/>
    <x v="1"/>
    <s v="SET273-KR-NP-M"/>
    <s v="Set"/>
    <s v="M"/>
    <n v="1"/>
    <s v="INR"/>
    <n v="612"/>
    <s v="HYDERABAD"/>
    <s v="TELANGANA"/>
    <n v="500060"/>
    <s v="IN"/>
    <b v="0"/>
  </r>
  <r>
    <s v="Women"/>
    <n v="37"/>
    <x v="2"/>
    <n v="44899"/>
    <s v="Dec"/>
    <s v="Refunded"/>
    <x v="1"/>
    <s v="JNE3373-KR-S"/>
    <s v="kurta"/>
    <s v="S"/>
    <n v="1"/>
    <s v="INR"/>
    <n v="382"/>
    <s v="BHANDARA"/>
    <s v="MAHARASHTRA"/>
    <n v="441701"/>
    <s v="IN"/>
    <b v="0"/>
  </r>
  <r>
    <s v="Women"/>
    <n v="35"/>
    <x v="2"/>
    <n v="44899"/>
    <s v="Dec"/>
    <s v="Delivered"/>
    <x v="1"/>
    <s v="JNE3423-KR-XL"/>
    <s v="kurta"/>
    <s v="XL"/>
    <n v="1"/>
    <s v="INR"/>
    <n v="399"/>
    <s v="GURUGRAM"/>
    <s v="HARYANA"/>
    <n v="122001"/>
    <s v="IN"/>
    <b v="0"/>
  </r>
  <r>
    <s v="Women"/>
    <n v="33"/>
    <x v="2"/>
    <n v="44899"/>
    <s v="Dec"/>
    <s v="Delivered"/>
    <x v="1"/>
    <s v="JNE3822-KR-L"/>
    <s v="kurta"/>
    <s v="L"/>
    <n v="1"/>
    <s v="INR"/>
    <n v="449"/>
    <s v="BHATKAL"/>
    <s v="KARNATAKA"/>
    <n v="581320"/>
    <s v="IN"/>
    <b v="0"/>
  </r>
  <r>
    <s v="Men"/>
    <n v="32"/>
    <x v="2"/>
    <n v="44899"/>
    <s v="Dec"/>
    <s v="Delivered"/>
    <x v="1"/>
    <s v="SET339-KR-NP-XS"/>
    <s v="Set"/>
    <s v="XS"/>
    <n v="1"/>
    <s v="INR"/>
    <n v="702"/>
    <s v="BENGALURU"/>
    <s v="KARNATAKA"/>
    <n v="560095"/>
    <s v="IN"/>
    <b v="0"/>
  </r>
  <r>
    <s v="Women"/>
    <n v="31"/>
    <x v="2"/>
    <n v="44899"/>
    <s v="Dec"/>
    <s v="Delivered"/>
    <x v="1"/>
    <s v="JNE3461-KR-XL"/>
    <s v="kurta"/>
    <s v="XL"/>
    <n v="1"/>
    <s v="INR"/>
    <n v="363"/>
    <s v="kolkata"/>
    <s v="WEST BENGAL"/>
    <n v="700028"/>
    <s v="IN"/>
    <b v="0"/>
  </r>
  <r>
    <s v="Women"/>
    <n v="30"/>
    <x v="2"/>
    <n v="44899"/>
    <s v="Dec"/>
    <s v="Delivered"/>
    <x v="1"/>
    <s v="NW001-TP-PJ-XXL"/>
    <s v="Set"/>
    <s v="XXL"/>
    <n v="1"/>
    <s v="INR"/>
    <n v="563"/>
    <s v="TIRUCHIRAPPALLI"/>
    <s v="TAMIL NADU"/>
    <n v="620101"/>
    <s v="IN"/>
    <b v="0"/>
  </r>
  <r>
    <s v="Men"/>
    <n v="27"/>
    <x v="1"/>
    <n v="44899"/>
    <s v="Dec"/>
    <s v="Delivered"/>
    <x v="1"/>
    <s v="SET343-KR-NP-XS"/>
    <s v="Set"/>
    <s v="XS"/>
    <n v="1"/>
    <s v="INR"/>
    <n v="916"/>
    <s v="SULTANPUR"/>
    <s v="UTTAR PRADESH"/>
    <n v="228001"/>
    <s v="IN"/>
    <b v="0"/>
  </r>
  <r>
    <s v="Women"/>
    <n v="27"/>
    <x v="1"/>
    <n v="44899"/>
    <s v="Dec"/>
    <s v="Delivered"/>
    <x v="1"/>
    <s v="J0003-SET-M"/>
    <s v="Set"/>
    <s v="M"/>
    <n v="1"/>
    <s v="INR"/>
    <n v="664"/>
    <s v="HYDERABAD"/>
    <s v="TELANGANA"/>
    <n v="500039"/>
    <s v="IN"/>
    <b v="0"/>
  </r>
  <r>
    <s v="Women"/>
    <n v="26"/>
    <x v="1"/>
    <n v="44899"/>
    <s v="Dec"/>
    <s v="Delivered"/>
    <x v="1"/>
    <s v="SAR018"/>
    <s v="Saree"/>
    <s v="Free"/>
    <n v="1"/>
    <s v="INR"/>
    <n v="1075"/>
    <s v="PATNA"/>
    <s v="BIHAR"/>
    <n v="801113"/>
    <s v="IN"/>
    <b v="0"/>
  </r>
  <r>
    <s v="Men"/>
    <n v="26"/>
    <x v="1"/>
    <n v="44899"/>
    <s v="Dec"/>
    <s v="Delivered"/>
    <x v="1"/>
    <s v="SET183-KR-DH-XS"/>
    <s v="Set"/>
    <s v="XS"/>
    <n v="1"/>
    <s v="INR"/>
    <n v="759"/>
    <s v="PRAYAGRAJ"/>
    <s v="UTTAR PRADESH"/>
    <n v="230304"/>
    <s v="IN"/>
    <b v="0"/>
  </r>
  <r>
    <s v="Men"/>
    <n v="22"/>
    <x v="1"/>
    <n v="44899"/>
    <s v="Dec"/>
    <s v="Delivered"/>
    <x v="1"/>
    <s v="SET184-KR-PP-L"/>
    <s v="Set"/>
    <s v="L"/>
    <n v="1"/>
    <s v="INR"/>
    <n v="573"/>
    <s v="MUMBAI"/>
    <s v="MAHARASHTRA"/>
    <n v="400098"/>
    <s v="IN"/>
    <b v="0"/>
  </r>
  <r>
    <s v="Women"/>
    <n v="20"/>
    <x v="1"/>
    <n v="44899"/>
    <s v="Dec"/>
    <s v="Delivered"/>
    <x v="1"/>
    <s v="SET110-KR-PP-M"/>
    <s v="Set"/>
    <s v="M"/>
    <n v="1"/>
    <s v="INR"/>
    <n v="729"/>
    <s v="THANJAVUR"/>
    <s v="TAMIL NADU"/>
    <n v="613007"/>
    <s v="IN"/>
    <b v="0"/>
  </r>
  <r>
    <s v="Women"/>
    <n v="20"/>
    <x v="1"/>
    <n v="44899"/>
    <s v="Dec"/>
    <s v="Delivered"/>
    <x v="1"/>
    <s v="JNE3567-KR-L"/>
    <s v="kurta"/>
    <s v="L"/>
    <n v="1"/>
    <s v="INR"/>
    <n v="399"/>
    <s v="Bangalore"/>
    <s v="KARNATAKA"/>
    <n v="560054"/>
    <s v="IN"/>
    <b v="0"/>
  </r>
  <r>
    <s v="Women"/>
    <n v="20"/>
    <x v="1"/>
    <n v="44899"/>
    <s v="Dec"/>
    <s v="Delivered"/>
    <x v="1"/>
    <s v="SAR028"/>
    <s v="Saree"/>
    <s v="Free"/>
    <n v="1"/>
    <s v="INR"/>
    <n v="307"/>
    <s v="Perambra"/>
    <s v="KERALA"/>
    <n v="673524"/>
    <s v="IN"/>
    <b v="0"/>
  </r>
  <r>
    <s v="Men"/>
    <n v="19"/>
    <x v="1"/>
    <n v="44899"/>
    <s v="Dec"/>
    <s v="Delivered"/>
    <x v="1"/>
    <s v="SET377-KR-NP-XS"/>
    <s v="Set"/>
    <s v="XS"/>
    <n v="1"/>
    <s v="INR"/>
    <n v="1036"/>
    <s v="MUMBAI"/>
    <s v="MAHARASHTRA"/>
    <n v="400093"/>
    <s v="IN"/>
    <b v="0"/>
  </r>
  <r>
    <s v="Women"/>
    <n v="18"/>
    <x v="1"/>
    <n v="44899"/>
    <s v="Dec"/>
    <s v="Delivered"/>
    <x v="1"/>
    <s v="SET217-KR-PP-XL"/>
    <s v="Set"/>
    <s v="XL"/>
    <n v="1"/>
    <s v="INR"/>
    <n v="786"/>
    <s v="GUWAHATI"/>
    <s v="ASSAM"/>
    <n v="781017"/>
    <s v="IN"/>
    <b v="0"/>
  </r>
  <r>
    <s v="Men"/>
    <n v="77"/>
    <x v="0"/>
    <n v="44899"/>
    <s v="Dec"/>
    <s v="Delivered"/>
    <x v="2"/>
    <s v="JNE3797-KR-XXL"/>
    <s v="Western Dress"/>
    <s v="XXL"/>
    <n v="1"/>
    <s v="INR"/>
    <n v="735"/>
    <s v="CHENNAI"/>
    <s v="TAMIL NADU"/>
    <n v="600103"/>
    <s v="IN"/>
    <b v="0"/>
  </r>
  <r>
    <s v="Men"/>
    <n v="75"/>
    <x v="0"/>
    <n v="44899"/>
    <s v="Dec"/>
    <s v="Delivered"/>
    <x v="2"/>
    <s v="SET402-KR-NP-XXXL"/>
    <s v="Set"/>
    <s v="3XL"/>
    <n v="1"/>
    <s v="INR"/>
    <n v="988"/>
    <s v="MUMBAI"/>
    <s v="MAHARASHTRA"/>
    <n v="400063"/>
    <s v="IN"/>
    <b v="0"/>
  </r>
  <r>
    <s v="Women"/>
    <n v="73"/>
    <x v="0"/>
    <n v="44899"/>
    <s v="Dec"/>
    <s v="Delivered"/>
    <x v="2"/>
    <s v="J0351-SET-L"/>
    <s v="Set"/>
    <s v="L"/>
    <n v="1"/>
    <s v="INR"/>
    <n v="650"/>
    <s v="VADODARA"/>
    <s v="GUJARAT"/>
    <n v="390021"/>
    <s v="IN"/>
    <b v="0"/>
  </r>
  <r>
    <s v="Women"/>
    <n v="72"/>
    <x v="0"/>
    <n v="44899"/>
    <s v="Dec"/>
    <s v="Delivered"/>
    <x v="2"/>
    <s v="J0230-SKD-M"/>
    <s v="Set"/>
    <s v="M"/>
    <n v="1"/>
    <s v="INR"/>
    <n v="969"/>
    <s v="MOHALI"/>
    <s v="PUNJAB"/>
    <n v="160062"/>
    <s v="IN"/>
    <b v="0"/>
  </r>
  <r>
    <s v="Women"/>
    <n v="64"/>
    <x v="0"/>
    <n v="44899"/>
    <s v="Dec"/>
    <s v="Delivered"/>
    <x v="2"/>
    <s v="J0248-KR-DPT-S"/>
    <s v="Set"/>
    <s v="S"/>
    <n v="1"/>
    <s v="INR"/>
    <n v="999"/>
    <s v="NELLORE"/>
    <s v="ANDHRA PRADESH"/>
    <n v="524002"/>
    <s v="IN"/>
    <b v="0"/>
  </r>
  <r>
    <s v="Women"/>
    <n v="62"/>
    <x v="0"/>
    <n v="44899"/>
    <s v="Dec"/>
    <s v="Delivered"/>
    <x v="2"/>
    <s v="JNE3690-TU-XL"/>
    <s v="Top"/>
    <s v="XL"/>
    <n v="1"/>
    <s v="INR"/>
    <n v="484"/>
    <s v="DAVANAGERE"/>
    <s v="KARNATAKA"/>
    <n v="577004"/>
    <s v="IN"/>
    <b v="0"/>
  </r>
  <r>
    <s v="Women"/>
    <n v="55"/>
    <x v="0"/>
    <n v="44899"/>
    <s v="Dec"/>
    <s v="Delivered"/>
    <x v="2"/>
    <s v="JNE3560-KR-M"/>
    <s v="kurta"/>
    <s v="M"/>
    <n v="1"/>
    <s v="INR"/>
    <n v="481"/>
    <s v="CHENNAI"/>
    <s v="TAMIL NADU"/>
    <n v="600077"/>
    <s v="IN"/>
    <b v="0"/>
  </r>
  <r>
    <s v="Women"/>
    <n v="49"/>
    <x v="2"/>
    <n v="44899"/>
    <s v="Dec"/>
    <s v="Delivered"/>
    <x v="2"/>
    <s v="SET403-KR-NP-XL"/>
    <s v="Set"/>
    <s v="XL"/>
    <n v="1"/>
    <s v="INR"/>
    <n v="969"/>
    <s v="VARKALA"/>
    <s v="KERALA"/>
    <n v="695141"/>
    <s v="IN"/>
    <b v="0"/>
  </r>
  <r>
    <s v="Men"/>
    <n v="49"/>
    <x v="2"/>
    <n v="44899"/>
    <s v="Dec"/>
    <s v="Delivered"/>
    <x v="2"/>
    <s v="JNE3797-KR-XXL"/>
    <s v="Western Dress"/>
    <s v="XXL"/>
    <n v="1"/>
    <s v="INR"/>
    <n v="735"/>
    <s v="SANGLI MIRAJ KUPWAD"/>
    <s v="MAHARASHTRA"/>
    <n v="416436"/>
    <s v="IN"/>
    <b v="0"/>
  </r>
  <r>
    <s v="Women"/>
    <n v="48"/>
    <x v="2"/>
    <n v="44899"/>
    <s v="Dec"/>
    <s v="Delivered"/>
    <x v="2"/>
    <s v="SET203-KR-DPT-L"/>
    <s v="Set"/>
    <s v="L"/>
    <n v="1"/>
    <s v="INR"/>
    <n v="429"/>
    <s v="CHENNAI"/>
    <s v="TAMIL NADU"/>
    <n v="600051"/>
    <s v="IN"/>
    <b v="0"/>
  </r>
  <r>
    <s v="Men"/>
    <n v="39"/>
    <x v="2"/>
    <n v="44899"/>
    <s v="Dec"/>
    <s v="Delivered"/>
    <x v="2"/>
    <s v="J0159-DR-L"/>
    <s v="Western Dress"/>
    <s v="L"/>
    <n v="1"/>
    <s v="INR"/>
    <n v="599"/>
    <s v="BENGALURU"/>
    <s v="KARNATAKA"/>
    <n v="560061"/>
    <s v="IN"/>
    <b v="0"/>
  </r>
  <r>
    <s v="Women"/>
    <n v="32"/>
    <x v="2"/>
    <n v="44899"/>
    <s v="Dec"/>
    <s v="Delivered"/>
    <x v="2"/>
    <s v="SET253-KR-NP-L"/>
    <s v="Set"/>
    <s v="L"/>
    <n v="1"/>
    <s v="INR"/>
    <n v="737"/>
    <s v="HYDERABAD"/>
    <s v="TELANGANA"/>
    <n v="500020"/>
    <s v="IN"/>
    <b v="0"/>
  </r>
  <r>
    <s v="Women"/>
    <n v="30"/>
    <x v="2"/>
    <n v="44899"/>
    <s v="Dec"/>
    <s v="Delivered"/>
    <x v="2"/>
    <s v="JNE3518-KR-XXL"/>
    <s v="kurta"/>
    <s v="XXL"/>
    <n v="1"/>
    <s v="INR"/>
    <n v="458"/>
    <s v="MUMBAI"/>
    <s v="MAHARASHTRA"/>
    <n v="400097"/>
    <s v="IN"/>
    <b v="0"/>
  </r>
  <r>
    <s v="Men"/>
    <n v="23"/>
    <x v="1"/>
    <n v="44899"/>
    <s v="Dec"/>
    <s v="Delivered"/>
    <x v="2"/>
    <s v="J0283-SET-XXL"/>
    <s v="Set"/>
    <s v="XXL"/>
    <n v="1"/>
    <s v="INR"/>
    <n v="1072"/>
    <s v="KALYAN"/>
    <s v="MAHARASHTRA"/>
    <n v="421201"/>
    <s v="IN"/>
    <b v="0"/>
  </r>
  <r>
    <s v="Women"/>
    <n v="21"/>
    <x v="1"/>
    <n v="44899"/>
    <s v="Dec"/>
    <s v="Delivered"/>
    <x v="2"/>
    <s v="J0349-SET-XS"/>
    <s v="Set"/>
    <s v="XS"/>
    <n v="1"/>
    <s v="INR"/>
    <n v="801"/>
    <s v="BIKANER"/>
    <s v="RAJASTHAN"/>
    <n v="334001"/>
    <s v="IN"/>
    <b v="0"/>
  </r>
  <r>
    <s v="Men"/>
    <n v="20"/>
    <x v="1"/>
    <n v="44899"/>
    <s v="Dec"/>
    <s v="Delivered"/>
    <x v="2"/>
    <s v="SET184-KR-PP-XXXL"/>
    <s v="Set"/>
    <s v="3XL"/>
    <n v="1"/>
    <s v="INR"/>
    <n v="563"/>
    <s v="RUDRAPUR"/>
    <s v="UTTARAKHAND"/>
    <n v="263153"/>
    <s v="IN"/>
    <b v="0"/>
  </r>
  <r>
    <s v="Women"/>
    <n v="19"/>
    <x v="1"/>
    <n v="44899"/>
    <s v="Dec"/>
    <s v="Delivered"/>
    <x v="2"/>
    <s v="JNE3365-KR-1052-A-XXL"/>
    <s v="kurta"/>
    <s v="XXL"/>
    <n v="1"/>
    <s v="INR"/>
    <n v="376"/>
    <s v="BENGALURU"/>
    <s v="KARNATAKA"/>
    <n v="560075"/>
    <s v="IN"/>
    <b v="0"/>
  </r>
  <r>
    <s v="Women"/>
    <n v="58"/>
    <x v="0"/>
    <n v="44899"/>
    <s v="Dec"/>
    <s v="Delivered"/>
    <x v="3"/>
    <s v="SET209-KR-PP-XXL"/>
    <s v="Set"/>
    <s v="XXL"/>
    <n v="1"/>
    <s v="INR"/>
    <n v="507"/>
    <s v="HYDERABAD"/>
    <s v="TELANGANA"/>
    <n v="500008"/>
    <s v="IN"/>
    <b v="0"/>
  </r>
  <r>
    <s v="Women"/>
    <n v="48"/>
    <x v="2"/>
    <n v="44899"/>
    <s v="Dec"/>
    <s v="Delivered"/>
    <x v="3"/>
    <s v="SET024-KR-SP-A-M"/>
    <s v="kurta"/>
    <s v="M"/>
    <n v="1"/>
    <s v="INR"/>
    <n v="631"/>
    <s v="GURUGRAM"/>
    <s v="HARYANA"/>
    <n v="122002"/>
    <s v="IN"/>
    <b v="0"/>
  </r>
  <r>
    <s v="Men"/>
    <n v="47"/>
    <x v="2"/>
    <n v="44899"/>
    <s v="Dec"/>
    <s v="Delivered"/>
    <x v="3"/>
    <s v="J0095-SET-XL"/>
    <s v="Set"/>
    <s v="XL"/>
    <n v="1"/>
    <s v="INR"/>
    <n v="633"/>
    <s v="CHENNAI"/>
    <s v="TAMIL NADU"/>
    <n v="600066"/>
    <s v="IN"/>
    <b v="0"/>
  </r>
  <r>
    <s v="Men"/>
    <n v="30"/>
    <x v="2"/>
    <n v="44899"/>
    <s v="Dec"/>
    <s v="Delivered"/>
    <x v="3"/>
    <s v="SET304-KR-DPT-XL"/>
    <s v="Set"/>
    <s v="XL"/>
    <n v="1"/>
    <s v="INR"/>
    <n v="1115"/>
    <s v="Bhubaneswar"/>
    <s v="ODISHA"/>
    <n v="751022"/>
    <s v="IN"/>
    <b v="0"/>
  </r>
  <r>
    <s v="Women"/>
    <n v="23"/>
    <x v="1"/>
    <n v="44899"/>
    <s v="Dec"/>
    <s v="Delivered"/>
    <x v="3"/>
    <s v="JNE3801-KR-XXL"/>
    <s v="kurta"/>
    <s v="XXL"/>
    <n v="1"/>
    <s v="INR"/>
    <n v="735"/>
    <s v="BENGALURU"/>
    <s v="KARNATAKA"/>
    <n v="560029"/>
    <s v="IN"/>
    <b v="0"/>
  </r>
  <r>
    <s v="Women"/>
    <n v="22"/>
    <x v="1"/>
    <n v="44899"/>
    <s v="Dec"/>
    <s v="Delivered"/>
    <x v="3"/>
    <s v="SET389-KR-NP-XL"/>
    <s v="Set"/>
    <s v="XL"/>
    <n v="1"/>
    <s v="INR"/>
    <n v="648"/>
    <s v="SONIPAT"/>
    <s v="HARYANA"/>
    <n v="131001"/>
    <s v="IN"/>
    <b v="0"/>
  </r>
  <r>
    <s v="Men"/>
    <n v="75"/>
    <x v="0"/>
    <n v="44899"/>
    <s v="Dec"/>
    <s v="Delivered"/>
    <x v="4"/>
    <s v="SET218-KR-NP-S"/>
    <s v="Set"/>
    <s v="S"/>
    <n v="1"/>
    <s v="INR"/>
    <n v="667"/>
    <s v="BOKARO STEEL CITY"/>
    <s v="JHARKHAND"/>
    <n v="827001"/>
    <s v="IN"/>
    <b v="0"/>
  </r>
  <r>
    <s v="Women"/>
    <n v="67"/>
    <x v="0"/>
    <n v="44899"/>
    <s v="Dec"/>
    <s v="Delivered"/>
    <x v="4"/>
    <s v="SET261-KR-PP-S"/>
    <s v="Set"/>
    <s v="S"/>
    <n v="1"/>
    <s v="INR"/>
    <n v="453"/>
    <s v="KOLKATA"/>
    <s v="WEST BENGAL"/>
    <n v="700029"/>
    <s v="IN"/>
    <b v="0"/>
  </r>
  <r>
    <s v="Women"/>
    <n v="62"/>
    <x v="0"/>
    <n v="44899"/>
    <s v="Dec"/>
    <s v="Delivered"/>
    <x v="4"/>
    <s v="JNE2294-KR-A-XXL"/>
    <s v="kurta"/>
    <s v="XXL"/>
    <n v="1"/>
    <s v="INR"/>
    <n v="544"/>
    <s v="GURUGRAM"/>
    <s v="HARYANA"/>
    <n v="122001"/>
    <s v="IN"/>
    <b v="0"/>
  </r>
  <r>
    <s v="Women"/>
    <n v="60"/>
    <x v="0"/>
    <n v="44899"/>
    <s v="Dec"/>
    <s v="Delivered"/>
    <x v="4"/>
    <s v="JNE3781-KR-S"/>
    <s v="kurta"/>
    <s v="S"/>
    <n v="1"/>
    <s v="INR"/>
    <n v="427"/>
    <s v="HAMIRPUR"/>
    <s v="HIMACHAL PRADESH"/>
    <n v="177005"/>
    <s v="IN"/>
    <b v="0"/>
  </r>
  <r>
    <s v="Women"/>
    <n v="59"/>
    <x v="0"/>
    <n v="44899"/>
    <s v="Dec"/>
    <s v="Cancelled"/>
    <x v="4"/>
    <s v="JNE3487-KR-M"/>
    <s v="kurta"/>
    <s v="M"/>
    <n v="1"/>
    <s v="INR"/>
    <n v="345"/>
    <s v="NOIDA"/>
    <s v="UTTAR PRADESH"/>
    <n v="201304"/>
    <s v="IN"/>
    <b v="0"/>
  </r>
  <r>
    <s v="Women"/>
    <n v="49"/>
    <x v="2"/>
    <n v="44899"/>
    <s v="Dec"/>
    <s v="Returned"/>
    <x v="4"/>
    <s v="JNE3620-KR-S"/>
    <s v="kurta"/>
    <s v="S"/>
    <n v="1"/>
    <s v="INR"/>
    <n v="322"/>
    <s v="NEW DELHI"/>
    <s v="DELHI"/>
    <n v="110084"/>
    <s v="IN"/>
    <b v="0"/>
  </r>
  <r>
    <s v="Men"/>
    <n v="48"/>
    <x v="2"/>
    <n v="44899"/>
    <s v="Dec"/>
    <s v="Delivered"/>
    <x v="4"/>
    <s v="SET272-KR-PP-S"/>
    <s v="Set"/>
    <s v="S"/>
    <n v="1"/>
    <s v="INR"/>
    <n v="852"/>
    <s v="PUNE"/>
    <s v="MAHARASHTRA"/>
    <n v="411021"/>
    <s v="IN"/>
    <b v="0"/>
  </r>
  <r>
    <s v="Women"/>
    <n v="46"/>
    <x v="2"/>
    <n v="44899"/>
    <s v="Dec"/>
    <s v="Delivered"/>
    <x v="4"/>
    <s v="J0092-SET-S"/>
    <s v="Set"/>
    <s v="S"/>
    <n v="1"/>
    <s v="INR"/>
    <n v="833"/>
    <s v="BENGALURU"/>
    <s v="KARNATAKA"/>
    <n v="562107"/>
    <s v="IN"/>
    <b v="0"/>
  </r>
  <r>
    <s v="Women"/>
    <n v="46"/>
    <x v="2"/>
    <n v="44899"/>
    <s v="Dec"/>
    <s v="Delivered"/>
    <x v="4"/>
    <s v="SAR006"/>
    <s v="Saree"/>
    <s v="Free"/>
    <n v="1"/>
    <s v="INR"/>
    <n v="685"/>
    <s v="Panchkula"/>
    <s v="HARYANA"/>
    <n v="134116"/>
    <s v="IN"/>
    <b v="0"/>
  </r>
  <r>
    <s v="Men"/>
    <n v="45"/>
    <x v="2"/>
    <n v="44899"/>
    <s v="Dec"/>
    <s v="Delivered"/>
    <x v="4"/>
    <s v="SET324-KR-NP-XL"/>
    <s v="Set"/>
    <s v="XL"/>
    <n v="1"/>
    <s v="INR"/>
    <n v="597"/>
    <s v="BENGALURU"/>
    <s v="KARNATAKA"/>
    <n v="560021"/>
    <s v="IN"/>
    <b v="0"/>
  </r>
  <r>
    <s v="Women"/>
    <n v="45"/>
    <x v="2"/>
    <n v="44899"/>
    <s v="Dec"/>
    <s v="Delivered"/>
    <x v="4"/>
    <s v="J0181-TP-M"/>
    <s v="Top"/>
    <s v="M"/>
    <n v="1"/>
    <s v="INR"/>
    <n v="399"/>
    <s v="ARAKONAM"/>
    <s v="TAMIL NADU"/>
    <n v="631003"/>
    <s v="IN"/>
    <b v="0"/>
  </r>
  <r>
    <s v="Women"/>
    <n v="44"/>
    <x v="2"/>
    <n v="44899"/>
    <s v="Dec"/>
    <s v="Delivered"/>
    <x v="4"/>
    <s v="SET397-KR-NP-XS"/>
    <s v="Set"/>
    <s v="XS"/>
    <n v="1"/>
    <s v="INR"/>
    <n v="1115"/>
    <s v="PUNE"/>
    <s v="MAHARASHTRA"/>
    <n v="412207"/>
    <s v="IN"/>
    <b v="0"/>
  </r>
  <r>
    <s v="Men"/>
    <n v="44"/>
    <x v="2"/>
    <n v="44899"/>
    <s v="Dec"/>
    <s v="Delivered"/>
    <x v="4"/>
    <s v="SET185-KR-NP-M"/>
    <s v="Set"/>
    <s v="M"/>
    <n v="1"/>
    <s v="INR"/>
    <n v="911"/>
    <s v="BENGALURU"/>
    <s v="KARNATAKA"/>
    <n v="562125"/>
    <s v="IN"/>
    <b v="0"/>
  </r>
  <r>
    <s v="Women"/>
    <n v="44"/>
    <x v="2"/>
    <n v="44899"/>
    <s v="Dec"/>
    <s v="Cancelled"/>
    <x v="4"/>
    <s v="JNE3568-KR-XL"/>
    <s v="kurta"/>
    <s v="XL"/>
    <n v="1"/>
    <s v="INR"/>
    <n v="399"/>
    <s v="KALYAN"/>
    <s v="MAHARASHTRA"/>
    <n v="421306"/>
    <s v="IN"/>
    <b v="0"/>
  </r>
  <r>
    <s v="Women"/>
    <n v="44"/>
    <x v="2"/>
    <n v="44899"/>
    <s v="Dec"/>
    <s v="Delivered"/>
    <x v="4"/>
    <s v="JNE1233-BLUE-KR-031-XXL"/>
    <s v="kurta"/>
    <s v="XXL"/>
    <n v="1"/>
    <s v="INR"/>
    <n v="376"/>
    <s v="MOHALI"/>
    <s v="PUNJAB"/>
    <n v="140301"/>
    <s v="IN"/>
    <b v="0"/>
  </r>
  <r>
    <s v="Women"/>
    <n v="43"/>
    <x v="2"/>
    <n v="44899"/>
    <s v="Dec"/>
    <s v="Delivered"/>
    <x v="4"/>
    <s v="JNE3466-KR-L"/>
    <s v="kurta"/>
    <s v="L"/>
    <n v="1"/>
    <s v="INR"/>
    <n v="771"/>
    <s v="VIJAYAWADA"/>
    <s v="ANDHRA PRADESH"/>
    <n v="520002"/>
    <s v="IN"/>
    <b v="0"/>
  </r>
  <r>
    <s v="Women"/>
    <n v="41"/>
    <x v="2"/>
    <n v="44899"/>
    <s v="Dec"/>
    <s v="Delivered"/>
    <x v="4"/>
    <s v="SET333-KR-DPT-XS"/>
    <s v="Set"/>
    <s v="XS"/>
    <n v="1"/>
    <s v="INR"/>
    <n v="967"/>
    <s v="CHANDIGARH"/>
    <s v="CHANDIGARH"/>
    <n v="160036"/>
    <s v="IN"/>
    <b v="0"/>
  </r>
  <r>
    <s v="Men"/>
    <n v="39"/>
    <x v="2"/>
    <n v="44899"/>
    <s v="Dec"/>
    <s v="Delivered"/>
    <x v="4"/>
    <s v="J0231-SKD-XL"/>
    <s v="Set"/>
    <s v="XL"/>
    <n v="1"/>
    <s v="INR"/>
    <n v="1238"/>
    <s v="GUWAHATI"/>
    <s v="ASSAM"/>
    <n v="781020"/>
    <s v="IN"/>
    <b v="0"/>
  </r>
  <r>
    <s v="Men"/>
    <n v="39"/>
    <x v="2"/>
    <n v="44899"/>
    <s v="Dec"/>
    <s v="Delivered"/>
    <x v="4"/>
    <s v="SET268-KR-NP-XS"/>
    <s v="Set"/>
    <s v="XS"/>
    <n v="1"/>
    <s v="INR"/>
    <n v="698"/>
    <s v="KHALILABAD"/>
    <s v="UTTAR PRADESH"/>
    <n v="272175"/>
    <s v="IN"/>
    <b v="0"/>
  </r>
  <r>
    <s v="Women"/>
    <n v="39"/>
    <x v="2"/>
    <n v="44899"/>
    <s v="Dec"/>
    <s v="Delivered"/>
    <x v="4"/>
    <s v="JNE3560-KR-XL"/>
    <s v="kurta"/>
    <s v="XL"/>
    <n v="1"/>
    <s v="INR"/>
    <n v="481"/>
    <s v="GURUGRAM"/>
    <s v="HARYANA"/>
    <n v="122001"/>
    <s v="IN"/>
    <b v="0"/>
  </r>
  <r>
    <s v="Women"/>
    <n v="36"/>
    <x v="2"/>
    <n v="44899"/>
    <s v="Dec"/>
    <s v="Delivered"/>
    <x v="4"/>
    <s v="J0094-KR-XXL"/>
    <s v="kurta"/>
    <s v="XXL"/>
    <n v="1"/>
    <s v="INR"/>
    <n v="563"/>
    <s v="NEW DELHI"/>
    <s v="DELHI"/>
    <n v="110084"/>
    <s v="IN"/>
    <b v="0"/>
  </r>
  <r>
    <s v="Women"/>
    <n v="36"/>
    <x v="2"/>
    <n v="44899"/>
    <s v="Dec"/>
    <s v="Delivered"/>
    <x v="4"/>
    <s v="JNE3368-KR-XL"/>
    <s v="kurta"/>
    <s v="XL"/>
    <n v="1"/>
    <s v="INR"/>
    <n v="471"/>
    <s v="VISAKHAPATNAM"/>
    <s v="ANDHRA PRADESH"/>
    <n v="530003"/>
    <s v="IN"/>
    <b v="0"/>
  </r>
  <r>
    <s v="Men"/>
    <n v="31"/>
    <x v="2"/>
    <n v="44899"/>
    <s v="Dec"/>
    <s v="Refunded"/>
    <x v="4"/>
    <s v="J0339-DR-XXL"/>
    <s v="Western Dress"/>
    <s v="XXL"/>
    <n v="1"/>
    <s v="INR"/>
    <n v="743"/>
    <s v="NEW DELHI"/>
    <s v="DELHI"/>
    <n v="110087"/>
    <s v="IN"/>
    <b v="0"/>
  </r>
  <r>
    <s v="Men"/>
    <n v="30"/>
    <x v="2"/>
    <n v="44899"/>
    <s v="Dec"/>
    <s v="Delivered"/>
    <x v="4"/>
    <s v="SET210-KR-PP-XXXL"/>
    <s v="Set"/>
    <s v="3XL"/>
    <n v="1"/>
    <s v="INR"/>
    <n v="575"/>
    <s v="MADURAI"/>
    <s v="TAMIL NADU"/>
    <n v="625014"/>
    <s v="IN"/>
    <b v="0"/>
  </r>
  <r>
    <s v="Women"/>
    <n v="25"/>
    <x v="1"/>
    <n v="44899"/>
    <s v="Dec"/>
    <s v="Delivered"/>
    <x v="4"/>
    <s v="JNE3703-KR-M"/>
    <s v="kurta"/>
    <s v="M"/>
    <n v="1"/>
    <s v="INR"/>
    <n v="292"/>
    <s v="VARANASI"/>
    <s v="UTTAR PRADESH"/>
    <n v="221010"/>
    <s v="IN"/>
    <b v="0"/>
  </r>
  <r>
    <s v="Women"/>
    <n v="24"/>
    <x v="1"/>
    <n v="44899"/>
    <s v="Dec"/>
    <s v="Delivered"/>
    <x v="4"/>
    <s v="J0090-TP-S"/>
    <s v="Top"/>
    <s v="S"/>
    <n v="1"/>
    <s v="INR"/>
    <n v="563"/>
    <s v="AHMEDABAD"/>
    <s v="GUJARAT"/>
    <n v="382470"/>
    <s v="IN"/>
    <b v="0"/>
  </r>
  <r>
    <s v="Men"/>
    <n v="24"/>
    <x v="1"/>
    <n v="44899"/>
    <s v="Dec"/>
    <s v="Delivered"/>
    <x v="4"/>
    <s v="J0161-DR-XXL"/>
    <s v="Western Dress"/>
    <s v="XXL"/>
    <n v="1"/>
    <s v="INR"/>
    <n v="473"/>
    <s v="MUMBAI"/>
    <s v="MAHARASHTRA"/>
    <n v="400097"/>
    <s v="IN"/>
    <b v="0"/>
  </r>
  <r>
    <s v="Women"/>
    <n v="18"/>
    <x v="1"/>
    <n v="44899"/>
    <s v="Dec"/>
    <s v="Delivered"/>
    <x v="4"/>
    <s v="SET366-KR-NP-S"/>
    <s v="Set"/>
    <s v="S"/>
    <n v="1"/>
    <s v="INR"/>
    <n v="1163"/>
    <s v="RANCHI"/>
    <s v="JHARKHAND"/>
    <n v="834008"/>
    <s v="IN"/>
    <b v="0"/>
  </r>
  <r>
    <s v="Women"/>
    <n v="48"/>
    <x v="2"/>
    <n v="44899"/>
    <s v="Dec"/>
    <s v="Delivered"/>
    <x v="5"/>
    <s v="JNE3770-KR-S"/>
    <s v="kurta"/>
    <s v="S"/>
    <n v="1"/>
    <s v="INR"/>
    <n v="487"/>
    <s v="PUNE"/>
    <s v="MAHARASHTRA"/>
    <n v="411014"/>
    <s v="IN"/>
    <b v="0"/>
  </r>
  <r>
    <s v="Women"/>
    <n v="43"/>
    <x v="2"/>
    <n v="44899"/>
    <s v="Dec"/>
    <s v="Delivered"/>
    <x v="5"/>
    <s v="J0231-SKD-XXXL"/>
    <s v="Set"/>
    <s v="3XL"/>
    <n v="1"/>
    <s v="INR"/>
    <n v="1164"/>
    <s v="LUCKNOW"/>
    <s v="UTTAR PRADESH"/>
    <n v="226024"/>
    <s v="IN"/>
    <b v="0"/>
  </r>
  <r>
    <s v="Women"/>
    <n v="26"/>
    <x v="1"/>
    <n v="44899"/>
    <s v="Dec"/>
    <s v="Delivered"/>
    <x v="5"/>
    <s v="SAR003"/>
    <s v="Saree"/>
    <s v="Free"/>
    <n v="1"/>
    <s v="INR"/>
    <n v="476"/>
    <s v="NAVI MUMBAI"/>
    <s v="MAHARASHTRA"/>
    <n v="400705"/>
    <s v="IN"/>
    <b v="0"/>
  </r>
  <r>
    <s v="Women"/>
    <n v="18"/>
    <x v="1"/>
    <n v="44899"/>
    <s v="Dec"/>
    <s v="Delivered"/>
    <x v="5"/>
    <s v="J0124-TP-L"/>
    <s v="Top"/>
    <s v="L"/>
    <n v="1"/>
    <s v="INR"/>
    <n v="523"/>
    <s v="NEW DELHI"/>
    <s v="DELHI"/>
    <n v="110062"/>
    <s v="IN"/>
    <b v="0"/>
  </r>
  <r>
    <s v="Women"/>
    <n v="70"/>
    <x v="0"/>
    <n v="44899"/>
    <s v="Dec"/>
    <s v="Delivered"/>
    <x v="6"/>
    <s v="JNE3405-KR-M"/>
    <s v="kurta"/>
    <s v="M"/>
    <n v="1"/>
    <s v="INR"/>
    <n v="435"/>
    <s v="GURUGRAM"/>
    <s v="HARYANA"/>
    <n v="122001"/>
    <s v="IN"/>
    <b v="0"/>
  </r>
  <r>
    <s v="Women"/>
    <n v="48"/>
    <x v="2"/>
    <n v="44899"/>
    <s v="Dec"/>
    <s v="Delivered"/>
    <x v="6"/>
    <s v="SET184-KR-PP-XS"/>
    <s v="Set"/>
    <s v="XS"/>
    <n v="1"/>
    <s v="INR"/>
    <n v="563"/>
    <s v="SIROHI"/>
    <s v="RAJASTHAN"/>
    <n v="307001"/>
    <s v="IN"/>
    <b v="0"/>
  </r>
  <r>
    <s v="Men"/>
    <n v="47"/>
    <x v="2"/>
    <n v="44899"/>
    <s v="Dec"/>
    <s v="Delivered"/>
    <x v="6"/>
    <s v="J0338-DR-S"/>
    <s v="Western Dress"/>
    <s v="S"/>
    <n v="1"/>
    <s v="INR"/>
    <n v="855"/>
    <s v="Nayagarh"/>
    <s v="ODISHA"/>
    <n v="752069"/>
    <s v="IN"/>
    <b v="0"/>
  </r>
  <r>
    <s v="Women"/>
    <n v="43"/>
    <x v="2"/>
    <n v="44899"/>
    <s v="Dec"/>
    <s v="Delivered"/>
    <x v="6"/>
    <s v="J0113-TP-S"/>
    <s v="Top"/>
    <s v="S"/>
    <n v="1"/>
    <s v="INR"/>
    <n v="540"/>
    <s v="SOUTH DELHI"/>
    <s v="DELHI"/>
    <n v="110017"/>
    <s v="IN"/>
    <b v="0"/>
  </r>
  <r>
    <s v="Women"/>
    <n v="38"/>
    <x v="2"/>
    <n v="44899"/>
    <s v="Dec"/>
    <s v="Delivered"/>
    <x v="6"/>
    <s v="JNE3601-KR-M"/>
    <s v="kurta"/>
    <s v="M"/>
    <n v="1"/>
    <s v="INR"/>
    <n v="301"/>
    <s v="SALEM"/>
    <s v="TAMIL NADU"/>
    <n v="636007"/>
    <s v="IN"/>
    <b v="0"/>
  </r>
  <r>
    <s v="Women"/>
    <n v="37"/>
    <x v="2"/>
    <n v="44899"/>
    <s v="Dec"/>
    <s v="Delivered"/>
    <x v="6"/>
    <s v="MEN5025-KR-XXL"/>
    <s v="kurta"/>
    <s v="XXL"/>
    <n v="1"/>
    <s v="INR"/>
    <n v="533"/>
    <s v="INDORE"/>
    <s v="MADHYA PRADESH"/>
    <n v="452014"/>
    <s v="IN"/>
    <b v="0"/>
  </r>
  <r>
    <s v="Men"/>
    <n v="35"/>
    <x v="2"/>
    <n v="44899"/>
    <s v="Dec"/>
    <s v="Delivered"/>
    <x v="6"/>
    <s v="SET210-KR-PP-M"/>
    <s v="Set"/>
    <s v="M"/>
    <n v="1"/>
    <s v="INR"/>
    <n v="558"/>
    <s v="UDUPI"/>
    <s v="KARNATAKA"/>
    <n v="574118"/>
    <s v="IN"/>
    <b v="0"/>
  </r>
  <r>
    <s v="Women"/>
    <n v="34"/>
    <x v="2"/>
    <n v="44899"/>
    <s v="Dec"/>
    <s v="Delivered"/>
    <x v="6"/>
    <s v="MEN5004-KR-XXXL"/>
    <s v="kurta"/>
    <s v="3XL"/>
    <n v="1"/>
    <s v="INR"/>
    <n v="688"/>
    <s v="CHENNAI"/>
    <s v="TAMIL NADU"/>
    <n v="600061"/>
    <s v="IN"/>
    <b v="0"/>
  </r>
  <r>
    <s v="Men"/>
    <n v="23"/>
    <x v="1"/>
    <n v="44899"/>
    <s v="Dec"/>
    <s v="Delivered"/>
    <x v="6"/>
    <s v="J0004-SKD-XXL"/>
    <s v="Set"/>
    <s v="XXL"/>
    <n v="1"/>
    <s v="INR"/>
    <n v="1115"/>
    <s v="NEW DELHI"/>
    <s v="DELHI"/>
    <n v="110016"/>
    <s v="IN"/>
    <b v="0"/>
  </r>
  <r>
    <s v="Women"/>
    <n v="21"/>
    <x v="1"/>
    <n v="44899"/>
    <s v="Dec"/>
    <s v="Delivered"/>
    <x v="6"/>
    <s v="J0230-SKD-M"/>
    <s v="Set"/>
    <s v="M"/>
    <n v="1"/>
    <s v="INR"/>
    <n v="1112"/>
    <s v="Allahabad"/>
    <s v="UTTAR PRADESH"/>
    <n v="211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Gender" fld="1" subtotal="count"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6" firstHeaderRow="1" firstDataRow="1" firstDataCol="1"/>
  <pivotFields count="3">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4"/>
    </i>
    <i>
      <x v="20"/>
    </i>
    <i>
      <x v="8"/>
    </i>
    <i>
      <x v="3"/>
    </i>
    <i>
      <x/>
    </i>
    <i>
      <x v="9"/>
    </i>
    <i>
      <x v="12"/>
    </i>
    <i>
      <x v="14"/>
    </i>
    <i>
      <x v="2"/>
    </i>
    <i>
      <x v="16"/>
    </i>
    <i>
      <x v="1"/>
    </i>
    <i>
      <x v="21"/>
    </i>
    <i>
      <x v="15"/>
    </i>
    <i>
      <x v="6"/>
    </i>
    <i>
      <x v="11"/>
    </i>
    <i>
      <x v="18"/>
    </i>
    <i>
      <x v="5"/>
    </i>
    <i>
      <x v="19"/>
    </i>
    <i>
      <x v="7"/>
    </i>
    <i>
      <x v="17"/>
    </i>
    <i>
      <x v="10"/>
    </i>
    <i>
      <x v="13"/>
    </i>
    <i t="grand">
      <x/>
    </i>
  </rowItems>
  <colItems count="1">
    <i/>
  </colItems>
  <dataFields count="1">
    <dataField name="Count of Cust ID"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 ID"/>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1]"/>
        <x15:activeTabTopLevelEntity name="[Table1]"/>
      </x15:pivotTableUISettings>
    </ext>
  </extLst>
</pivotTableDefinition>
</file>

<file path=xl/pivotTables/pivotTable3.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6" firstHeaderRow="1" firstDataRow="2" firstDataCol="1"/>
  <pivotFields count="18">
    <pivotField showAll="0"/>
    <pivotField showAll="0"/>
    <pivotField axis="axisRow" showAll="0">
      <items count="4">
        <item x="2"/>
        <item x="0"/>
        <item x="1"/>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4">
    <i>
      <x/>
    </i>
    <i>
      <x v="1"/>
    </i>
    <i>
      <x v="2"/>
    </i>
    <i t="grand">
      <x/>
    </i>
  </rowItems>
  <colFields count="1">
    <field x="6"/>
  </colFields>
  <colItems count="8">
    <i>
      <x/>
    </i>
    <i>
      <x v="1"/>
    </i>
    <i>
      <x v="2"/>
    </i>
    <i>
      <x v="3"/>
    </i>
    <i>
      <x v="4"/>
    </i>
    <i>
      <x v="5"/>
    </i>
    <i>
      <x v="6"/>
    </i>
    <i t="grand">
      <x/>
    </i>
  </colItems>
  <dataFields count="1">
    <dataField name="Sum of Amount" fld="12" baseField="0" baseItem="0"/>
  </dataFields>
  <chartFormats count="7">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0" format="7" series="1">
      <pivotArea type="data" outline="0" fieldPosition="0">
        <references count="2">
          <reference field="4294967294" count="1" selected="0">
            <x v="0"/>
          </reference>
          <reference field="6" count="1" selected="0">
            <x v="5"/>
          </reference>
        </references>
      </pivotArea>
    </chartFormat>
    <chartFormat chart="0" format="8"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Table1].[Gender]">
  <pivotTables>
    <pivotTable tabId="6" name="PivotTable4"/>
    <pivotTable tabId="4" name="PivotTable2"/>
  </pivotTables>
  <data>
    <olap pivotCacheId="1">
      <levels count="2">
        <level uniqueName="[Table1].[Gender].[(All)]" sourceCaption="(All)" count="0"/>
        <level uniqueName="[Table1].[Gender].[Gender]" sourceCaption="Gender" count="2">
          <ranges>
            <range startItem="0">
              <i n="[Table1].[Gender].&amp;[Men]" c="Men"/>
              <i n="[Table1].[Gender].&amp;[Women]" c="Women"/>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rowHeight="234950"/>
</slicers>
</file>

<file path=xl/tables/table1.xml><?xml version="1.0" encoding="utf-8"?>
<table xmlns="http://schemas.openxmlformats.org/spreadsheetml/2006/main" id="1" name="Table1" displayName="Table1" ref="A1:Y100" totalsRowShown="0">
  <sortState ref="A2:V99">
    <sortCondition descending="1" ref="E1"/>
  </sortState>
  <tableColumns count="25">
    <tableColumn id="1" name="index"/>
    <tableColumn id="2" name="Order ID"/>
    <tableColumn id="3" name="Cust ID"/>
    <tableColumn id="4" name="Gender"/>
    <tableColumn id="5" name="Age"/>
    <tableColumn id="6" name="Age Group">
      <calculatedColumnFormula>IF(E2&gt;=50,"Senior", IF(E2&gt;=30,"Adults","Teenager"))</calculatedColumnFormula>
    </tableColumn>
    <tableColumn id="7" name="Date" dataDxfId="4"/>
    <tableColumn id="26" name="weekdays" dataDxfId="3">
      <calculatedColumnFormula>WEEKDAY(Table1[[#This Row],[Date]],2)</calculatedColumnFormula>
    </tableColumn>
    <tableColumn id="25" name="months" dataDxfId="2">
      <calculatedColumnFormula>TEXT(Table1[[#This Row],[Date]],"dd")</calculatedColumnFormula>
    </tableColumn>
    <tableColumn id="8" name="Month">
      <calculatedColumnFormula>TEXT(G2,"mmm")</calculatedColumnFormula>
    </tableColumn>
    <tableColumn id="9" name="Status"/>
    <tableColumn id="10" name="Channel "/>
    <tableColumn id="11" name="SKU"/>
    <tableColumn id="12" name="Category"/>
    <tableColumn id="13" name="Size"/>
    <tableColumn id="14" name="Qty"/>
    <tableColumn id="15" name="currency"/>
    <tableColumn id="16" name="Amount"/>
    <tableColumn id="17" name="ship-city"/>
    <tableColumn id="18" name="ship-state"/>
    <tableColumn id="19" name="ship-postal-code"/>
    <tableColumn id="20" name="\/"/>
    <tableColumn id="21" name="B2B"/>
    <tableColumn id="22" name="city_pin_code" dataDxfId="1">
      <calculatedColumnFormula>CONCATENATE(Table1[[#This Row],[ship-city]]," -- ", Table1[[#This Row],[ship-postal-code]])</calculatedColumnFormula>
    </tableColumn>
    <tableColumn id="23" name="Column1" dataDxfId="0">
      <calculatedColumnFormula>SUBSTITUTE(Table1[[#This Row],[city_pin_code]],"--","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00"/>
  <sheetViews>
    <sheetView topLeftCell="D7" zoomScale="70" zoomScaleNormal="70" workbookViewId="0">
      <selection activeCell="AF18" sqref="AF18"/>
    </sheetView>
  </sheetViews>
  <sheetFormatPr defaultRowHeight="14.4" x14ac:dyDescent="0.3"/>
  <cols>
    <col min="2" max="2" width="17.6640625" customWidth="1"/>
    <col min="4" max="4" width="9" customWidth="1"/>
    <col min="6" max="6" width="11.77734375" customWidth="1"/>
    <col min="7" max="7" width="18.44140625" style="11" customWidth="1"/>
    <col min="8" max="8" width="33.44140625" style="11" customWidth="1"/>
    <col min="9" max="9" width="18.44140625" style="9" customWidth="1"/>
    <col min="12" max="12" width="10.21875" customWidth="1"/>
    <col min="14" max="14" width="10.44140625" customWidth="1"/>
    <col min="17" max="17" width="10.21875" customWidth="1"/>
    <col min="18" max="18" width="9.77734375" customWidth="1"/>
    <col min="19" max="19" width="11.33203125" customWidth="1"/>
    <col min="20" max="20" width="11.109375" customWidth="1"/>
    <col min="21" max="21" width="16.88671875" customWidth="1"/>
    <col min="24" max="25" width="41.6640625" customWidth="1"/>
    <col min="26" max="26" width="11" customWidth="1"/>
    <col min="29" max="29" width="26.5546875" customWidth="1"/>
    <col min="30" max="30" width="22.33203125" customWidth="1"/>
    <col min="31" max="31" width="21.21875" customWidth="1"/>
  </cols>
  <sheetData>
    <row r="1" spans="1:32" x14ac:dyDescent="0.3">
      <c r="A1" t="s">
        <v>0</v>
      </c>
      <c r="B1" t="s">
        <v>1</v>
      </c>
      <c r="C1" t="s">
        <v>2</v>
      </c>
      <c r="D1" t="s">
        <v>3</v>
      </c>
      <c r="E1" t="s">
        <v>4</v>
      </c>
      <c r="F1" t="s">
        <v>5</v>
      </c>
      <c r="G1" s="11" t="s">
        <v>6</v>
      </c>
      <c r="H1" s="11" t="s">
        <v>361</v>
      </c>
      <c r="I1" s="9" t="s">
        <v>360</v>
      </c>
      <c r="J1" t="s">
        <v>7</v>
      </c>
      <c r="K1" t="s">
        <v>8</v>
      </c>
      <c r="L1" t="s">
        <v>9</v>
      </c>
      <c r="M1" t="s">
        <v>10</v>
      </c>
      <c r="N1" t="s">
        <v>11</v>
      </c>
      <c r="O1" t="s">
        <v>12</v>
      </c>
      <c r="P1" t="s">
        <v>13</v>
      </c>
      <c r="Q1" t="s">
        <v>14</v>
      </c>
      <c r="R1" t="s">
        <v>15</v>
      </c>
      <c r="S1" t="s">
        <v>16</v>
      </c>
      <c r="T1" t="s">
        <v>17</v>
      </c>
      <c r="U1" t="s">
        <v>18</v>
      </c>
      <c r="V1" t="s">
        <v>19</v>
      </c>
      <c r="W1" t="s">
        <v>20</v>
      </c>
      <c r="X1" t="s">
        <v>356</v>
      </c>
      <c r="Y1" t="s">
        <v>359</v>
      </c>
      <c r="Z1" t="s">
        <v>351</v>
      </c>
      <c r="AA1" t="s">
        <v>352</v>
      </c>
      <c r="AB1" t="s">
        <v>353</v>
      </c>
      <c r="AC1" t="s">
        <v>355</v>
      </c>
      <c r="AD1" t="s">
        <v>354</v>
      </c>
    </row>
    <row r="2" spans="1:32" x14ac:dyDescent="0.3">
      <c r="A2">
        <v>29</v>
      </c>
      <c r="B2" t="s">
        <v>200</v>
      </c>
      <c r="C2">
        <v>947452</v>
      </c>
      <c r="D2" t="s">
        <v>22</v>
      </c>
      <c r="E2">
        <v>77</v>
      </c>
      <c r="F2" t="str">
        <f t="shared" ref="F2:F33" si="0">IF(E2&gt;=50,"Senior", IF(E2&gt;=30,"Adults","Teenager"))</f>
        <v>Senior</v>
      </c>
      <c r="G2" s="11">
        <v>44899</v>
      </c>
      <c r="H2" s="11">
        <f>WEEKDAY(Table1[[#This Row],[Date]],2)</f>
        <v>7</v>
      </c>
      <c r="I2" s="9" t="str">
        <f>TEXT(Table1[[#This Row],[Date]],"dd")</f>
        <v>04</v>
      </c>
      <c r="J2" t="str">
        <f t="shared" ref="J2:J33" si="1">TEXT(G2,"mmm")</f>
        <v>Dec</v>
      </c>
      <c r="K2" t="s">
        <v>23</v>
      </c>
      <c r="L2" t="s">
        <v>24</v>
      </c>
      <c r="M2" t="s">
        <v>25</v>
      </c>
      <c r="N2" t="s">
        <v>26</v>
      </c>
      <c r="O2" t="s">
        <v>27</v>
      </c>
      <c r="P2">
        <v>1</v>
      </c>
      <c r="Q2" t="s">
        <v>28</v>
      </c>
      <c r="R2">
        <v>735</v>
      </c>
      <c r="S2" t="s">
        <v>62</v>
      </c>
      <c r="T2" t="s">
        <v>63</v>
      </c>
      <c r="U2">
        <v>600103</v>
      </c>
      <c r="V2" t="s">
        <v>31</v>
      </c>
      <c r="W2" t="b">
        <v>0</v>
      </c>
      <c r="X2" t="str">
        <f>CONCATENATE(Table1[[#This Row],[ship-city]]," -- ", Table1[[#This Row],[ship-postal-code]])</f>
        <v>CHENNAI -- 600103</v>
      </c>
      <c r="Y2" t="str">
        <f>SUBSTITUTE(Table1[[#This Row],[city_pin_code]],"--"," ||")</f>
        <v>CHENNAI  || 600103</v>
      </c>
      <c r="Z2" s="1" t="b">
        <f>AND(Table1[[#This Row],[Age Group]]="Senior",Table1[[#This Row],[Amount]]&gt;1000)</f>
        <v>0</v>
      </c>
      <c r="AA2" s="1" t="b">
        <f>OR(Table1[[#This Row],[Age Group]]="senior",Table1[[#This Row],[Amount]]&gt;1000)</f>
        <v>1</v>
      </c>
      <c r="AB2" s="1" t="str">
        <f>IF(AND(Table1[[#This Row],[Age Group]]="senior",Table1[[#This Row],[Amount]]&gt;1000),"20% ","5%")</f>
        <v>5%</v>
      </c>
      <c r="AC2" s="1">
        <f>IFERROR(Table1[[#This Row],[Amount]]*0.01,"Amount is not fill")</f>
        <v>7.3500000000000005</v>
      </c>
      <c r="AD2" t="str">
        <f>IF(L2="flipkart","30%",IF(L2="amazon","20%",IF(L2="ajio","10% ","Not applicable")))</f>
        <v>30%</v>
      </c>
    </row>
    <row r="3" spans="1:32" x14ac:dyDescent="0.3">
      <c r="A3">
        <v>11</v>
      </c>
      <c r="B3" t="s">
        <v>94</v>
      </c>
      <c r="C3">
        <v>2648970</v>
      </c>
      <c r="D3" t="s">
        <v>33</v>
      </c>
      <c r="E3">
        <v>76</v>
      </c>
      <c r="F3" t="str">
        <f t="shared" si="0"/>
        <v>Senior</v>
      </c>
      <c r="G3" s="11">
        <v>44899</v>
      </c>
      <c r="H3" s="11">
        <f>WEEKDAY(Table1[[#This Row],[Date]],2)</f>
        <v>7</v>
      </c>
      <c r="I3" s="9" t="str">
        <f>TEXT(Table1[[#This Row],[Date]],"dd")</f>
        <v>04</v>
      </c>
      <c r="J3" t="str">
        <f t="shared" si="1"/>
        <v>Dec</v>
      </c>
      <c r="K3" t="s">
        <v>23</v>
      </c>
      <c r="L3" t="s">
        <v>77</v>
      </c>
      <c r="M3" t="s">
        <v>201</v>
      </c>
      <c r="N3" t="s">
        <v>43</v>
      </c>
      <c r="O3" t="s">
        <v>44</v>
      </c>
      <c r="P3">
        <v>1</v>
      </c>
      <c r="Q3" t="s">
        <v>28</v>
      </c>
      <c r="R3">
        <v>517</v>
      </c>
      <c r="S3" t="s">
        <v>202</v>
      </c>
      <c r="T3" t="s">
        <v>38</v>
      </c>
      <c r="U3">
        <v>695018</v>
      </c>
      <c r="V3" t="s">
        <v>31</v>
      </c>
      <c r="W3" t="b">
        <v>0</v>
      </c>
      <c r="X3" t="str">
        <f>CONCATENATE(Table1[[#This Row],[ship-city]]," -- ", Table1[[#This Row],[ship-postal-code]])</f>
        <v>THIRUVANANTHAPURAM -- 695018</v>
      </c>
      <c r="Y3" t="str">
        <f>SUBSTITUTE(Table1[[#This Row],[city_pin_code]],"--"," ||")</f>
        <v>THIRUVANANTHAPURAM  || 695018</v>
      </c>
      <c r="Z3" s="1" t="b">
        <f>AND(Table1[[#This Row],[Age Group]]="Senior",Table1[[#This Row],[Amount]]&gt;1000)</f>
        <v>0</v>
      </c>
      <c r="AA3" t="b">
        <f>Table1[[#This Row],[Amount]]=Table1[[#This Row],[ship-city]]</f>
        <v>0</v>
      </c>
      <c r="AB3" s="1" t="str">
        <f>IF(AND(Table1[[#This Row],[Age Group]]="senior",Table1[[#This Row],[Amount]]&gt;1000),"20% ","5%")</f>
        <v>5%</v>
      </c>
      <c r="AC3" s="1">
        <f>IFERROR(Table1[[#This Row],[Amount]]*0.01,"Amount is not fill")</f>
        <v>5.17</v>
      </c>
      <c r="AD3" t="str">
        <f t="shared" ref="AD3:AD21" si="2">IF(L3="flipkart","30%",IF(L3="amazon","20%",IF(L3="ajio","10% ","Not applicable")))</f>
        <v>20%</v>
      </c>
      <c r="AE3" t="s">
        <v>347</v>
      </c>
    </row>
    <row r="4" spans="1:32" x14ac:dyDescent="0.3">
      <c r="A4">
        <v>59</v>
      </c>
      <c r="B4" t="s">
        <v>205</v>
      </c>
      <c r="C4">
        <v>7643005</v>
      </c>
      <c r="D4" t="s">
        <v>22</v>
      </c>
      <c r="E4">
        <v>75</v>
      </c>
      <c r="F4" t="str">
        <f t="shared" si="0"/>
        <v>Senior</v>
      </c>
      <c r="G4" s="11">
        <v>44899</v>
      </c>
      <c r="H4" s="11">
        <f>WEEKDAY(Table1[[#This Row],[Date]],2)</f>
        <v>7</v>
      </c>
      <c r="I4" s="9" t="str">
        <f>TEXT(Table1[[#This Row],[Date]],"dd")</f>
        <v>04</v>
      </c>
      <c r="J4" t="str">
        <f t="shared" si="1"/>
        <v>Dec</v>
      </c>
      <c r="K4" t="s">
        <v>23</v>
      </c>
      <c r="L4" t="s">
        <v>24</v>
      </c>
      <c r="M4" t="s">
        <v>206</v>
      </c>
      <c r="N4" t="s">
        <v>35</v>
      </c>
      <c r="O4" t="s">
        <v>116</v>
      </c>
      <c r="P4">
        <v>1</v>
      </c>
      <c r="Q4" t="s">
        <v>28</v>
      </c>
      <c r="S4" t="s">
        <v>199</v>
      </c>
      <c r="T4" t="s">
        <v>30</v>
      </c>
      <c r="U4">
        <v>400063</v>
      </c>
      <c r="V4" t="s">
        <v>31</v>
      </c>
      <c r="W4" t="b">
        <v>0</v>
      </c>
      <c r="X4" t="str">
        <f>CONCATENATE(Table1[[#This Row],[ship-city]]," -- ", Table1[[#This Row],[ship-postal-code]])</f>
        <v>MUMBAI -- 400063</v>
      </c>
      <c r="Y4" t="str">
        <f>SUBSTITUTE(Table1[[#This Row],[city_pin_code]],"--"," ||")</f>
        <v>MUMBAI  || 400063</v>
      </c>
      <c r="Z4" s="1" t="b">
        <f>AND(Table1[[#This Row],[Age Group]]="Senior",Table1[[#This Row],[Amount]]&gt;1000)</f>
        <v>0</v>
      </c>
      <c r="AA4" t="b">
        <f>Table1[[#This Row],[Amount]]=Table1[[#This Row],[ship-city]]</f>
        <v>0</v>
      </c>
      <c r="AB4" s="1" t="str">
        <f>IF(AND(Table1[[#This Row],[Age Group]]="senior",Table1[[#This Row],[Amount]]&gt;1000),"20% ","5%")</f>
        <v>5%</v>
      </c>
      <c r="AC4" s="1">
        <f>IFERROR(Table1[[#This Row],[Amount]]*0.01,"Amount is not fill")</f>
        <v>0</v>
      </c>
      <c r="AD4" t="str">
        <f t="shared" si="2"/>
        <v>30%</v>
      </c>
      <c r="AE4" t="s">
        <v>348</v>
      </c>
    </row>
    <row r="5" spans="1:32" x14ac:dyDescent="0.3">
      <c r="A5">
        <v>68</v>
      </c>
      <c r="B5" t="s">
        <v>207</v>
      </c>
      <c r="C5">
        <v>8213196</v>
      </c>
      <c r="D5" t="s">
        <v>22</v>
      </c>
      <c r="E5">
        <v>75</v>
      </c>
      <c r="F5" t="str">
        <f t="shared" si="0"/>
        <v>Senior</v>
      </c>
      <c r="G5" s="11">
        <v>44899</v>
      </c>
      <c r="H5" s="11">
        <f>WEEKDAY(Table1[[#This Row],[Date]],2)</f>
        <v>7</v>
      </c>
      <c r="I5" s="9" t="str">
        <f>TEXT(Table1[[#This Row],[Date]],"dd")</f>
        <v>04</v>
      </c>
      <c r="J5" t="str">
        <f t="shared" si="1"/>
        <v>Dec</v>
      </c>
      <c r="K5" t="s">
        <v>23</v>
      </c>
      <c r="L5" t="s">
        <v>41</v>
      </c>
      <c r="M5" t="s">
        <v>208</v>
      </c>
      <c r="N5" t="s">
        <v>35</v>
      </c>
      <c r="O5" t="s">
        <v>44</v>
      </c>
      <c r="P5">
        <v>1</v>
      </c>
      <c r="Q5" t="s">
        <v>28</v>
      </c>
      <c r="R5">
        <v>667</v>
      </c>
      <c r="S5" t="s">
        <v>209</v>
      </c>
      <c r="T5" t="s">
        <v>210</v>
      </c>
      <c r="U5">
        <v>827001</v>
      </c>
      <c r="V5" t="s">
        <v>31</v>
      </c>
      <c r="W5" t="b">
        <v>0</v>
      </c>
      <c r="X5" t="str">
        <f>CONCATENATE(Table1[[#This Row],[ship-city]]," -- ", Table1[[#This Row],[ship-postal-code]])</f>
        <v>BOKARO STEEL CITY -- 827001</v>
      </c>
      <c r="Y5" t="str">
        <f>SUBSTITUTE(Table1[[#This Row],[city_pin_code]],"--"," ||")</f>
        <v>BOKARO STEEL CITY  || 827001</v>
      </c>
      <c r="Z5" s="1" t="b">
        <f>AND(Table1[[#This Row],[Age Group]]="Senior",Table1[[#This Row],[Amount]]&gt;1000)</f>
        <v>0</v>
      </c>
      <c r="AA5" t="b">
        <f>Table1[[#This Row],[Amount]]=Table1[[#This Row],[ship-city]]</f>
        <v>0</v>
      </c>
      <c r="AB5" s="1" t="str">
        <f>IF(AND(Table1[[#This Row],[Age Group]]="senior",Table1[[#This Row],[Amount]]&gt;1000),"20% ","5%")</f>
        <v>5%</v>
      </c>
      <c r="AC5" s="1">
        <f>IFERROR(Table1[[#This Row],[Amount]]*0.01,"Amount is not fill")</f>
        <v>6.67</v>
      </c>
      <c r="AD5" t="str">
        <f t="shared" si="2"/>
        <v>Not applicable</v>
      </c>
      <c r="AE5" t="s">
        <v>349</v>
      </c>
    </row>
    <row r="6" spans="1:32" x14ac:dyDescent="0.3">
      <c r="A6">
        <v>9</v>
      </c>
      <c r="B6" t="s">
        <v>203</v>
      </c>
      <c r="C6">
        <v>2935263</v>
      </c>
      <c r="D6" t="s">
        <v>33</v>
      </c>
      <c r="E6">
        <v>75</v>
      </c>
      <c r="F6" t="str">
        <f t="shared" si="0"/>
        <v>Senior</v>
      </c>
      <c r="G6" s="11">
        <v>44899</v>
      </c>
      <c r="H6" s="11">
        <f>WEEKDAY(Table1[[#This Row],[Date]],2)</f>
        <v>7</v>
      </c>
      <c r="I6" s="9" t="str">
        <f>TEXT(Table1[[#This Row],[Date]],"dd")</f>
        <v>04</v>
      </c>
      <c r="J6" t="str">
        <f t="shared" si="1"/>
        <v>Dec</v>
      </c>
      <c r="K6" t="s">
        <v>23</v>
      </c>
      <c r="L6" t="s">
        <v>77</v>
      </c>
      <c r="M6" t="s">
        <v>204</v>
      </c>
      <c r="N6" t="s">
        <v>43</v>
      </c>
      <c r="O6" t="s">
        <v>36</v>
      </c>
      <c r="P6">
        <v>1</v>
      </c>
      <c r="Q6" t="s">
        <v>28</v>
      </c>
      <c r="R6">
        <v>1385</v>
      </c>
      <c r="S6" t="s">
        <v>83</v>
      </c>
      <c r="T6" t="s">
        <v>84</v>
      </c>
      <c r="U6">
        <v>562149</v>
      </c>
      <c r="V6" t="s">
        <v>31</v>
      </c>
      <c r="W6" t="b">
        <v>0</v>
      </c>
      <c r="X6" t="str">
        <f>CONCATENATE(Table1[[#This Row],[ship-city]]," -- ", Table1[[#This Row],[ship-postal-code]])</f>
        <v>BENGALURU -- 562149</v>
      </c>
      <c r="Y6" t="str">
        <f>SUBSTITUTE(Table1[[#This Row],[city_pin_code]],"--"," ||")</f>
        <v>BENGALURU  || 562149</v>
      </c>
      <c r="Z6" s="1" t="b">
        <f>AND(Table1[[#This Row],[Age Group]]="Senior",Table1[[#This Row],[Amount]]&gt;1000)</f>
        <v>1</v>
      </c>
      <c r="AA6" t="b">
        <f>Table1[[#This Row],[Amount]]=Table1[[#This Row],[ship-city]]</f>
        <v>0</v>
      </c>
      <c r="AB6" s="1" t="str">
        <f>IF(AND(Table1[[#This Row],[Age Group]]="senior",Table1[[#This Row],[Amount]]&gt;1000),"20% ","5%")</f>
        <v xml:space="preserve">20% </v>
      </c>
      <c r="AC6" s="1">
        <f>IFERROR(Table1[[#This Row],[Amount]]*0.01,"Amount is not fill")</f>
        <v>13.85</v>
      </c>
      <c r="AD6" t="str">
        <f t="shared" si="2"/>
        <v>20%</v>
      </c>
      <c r="AE6" t="s">
        <v>350</v>
      </c>
    </row>
    <row r="7" spans="1:32" x14ac:dyDescent="0.3">
      <c r="A7">
        <v>36</v>
      </c>
      <c r="B7" t="s">
        <v>211</v>
      </c>
      <c r="C7">
        <v>9686095</v>
      </c>
      <c r="D7" t="s">
        <v>33</v>
      </c>
      <c r="E7">
        <v>73</v>
      </c>
      <c r="F7" t="str">
        <f t="shared" si="0"/>
        <v>Senior</v>
      </c>
      <c r="G7" s="11">
        <v>44899</v>
      </c>
      <c r="H7" s="11">
        <f>WEEKDAY(Table1[[#This Row],[Date]],2)</f>
        <v>7</v>
      </c>
      <c r="I7" s="9" t="str">
        <f>TEXT(Table1[[#This Row],[Date]],"dd")</f>
        <v>04</v>
      </c>
      <c r="J7" t="str">
        <f t="shared" si="1"/>
        <v>Dec</v>
      </c>
      <c r="K7" t="s">
        <v>23</v>
      </c>
      <c r="L7" t="s">
        <v>24</v>
      </c>
      <c r="M7" t="s">
        <v>212</v>
      </c>
      <c r="N7" t="s">
        <v>35</v>
      </c>
      <c r="O7" t="s">
        <v>61</v>
      </c>
      <c r="P7">
        <v>1</v>
      </c>
      <c r="Q7" t="s">
        <v>28</v>
      </c>
      <c r="R7">
        <v>650</v>
      </c>
      <c r="S7" t="s">
        <v>213</v>
      </c>
      <c r="T7" t="s">
        <v>214</v>
      </c>
      <c r="U7">
        <v>390021</v>
      </c>
      <c r="V7" t="s">
        <v>31</v>
      </c>
      <c r="W7" t="b">
        <v>0</v>
      </c>
      <c r="X7" t="str">
        <f>CONCATENATE(Table1[[#This Row],[ship-city]]," -- ", Table1[[#This Row],[ship-postal-code]])</f>
        <v>VADODARA -- 390021</v>
      </c>
      <c r="Y7" t="str">
        <f>SUBSTITUTE(Table1[[#This Row],[city_pin_code]],"--"," ||")</f>
        <v>VADODARA  || 390021</v>
      </c>
      <c r="Z7" s="1" t="b">
        <f>AND(Table1[[#This Row],[Age Group]]="Senior",Table1[[#This Row],[Amount]]&gt;1000)</f>
        <v>0</v>
      </c>
      <c r="AA7" t="b">
        <f>Table1[[#This Row],[Amount]]=Table1[[#This Row],[ship-city]]</f>
        <v>0</v>
      </c>
      <c r="AB7" s="1" t="str">
        <f>IF(AND(Table1[[#This Row],[Age Group]]="senior",Table1[[#This Row],[Amount]]&gt;1000),"20% ","5%")</f>
        <v>5%</v>
      </c>
      <c r="AC7" s="1">
        <f>IFERROR(Table1[[#This Row],[Amount]]*0.01,"Amount is not fill")</f>
        <v>6.5</v>
      </c>
      <c r="AD7" t="str">
        <f t="shared" si="2"/>
        <v>30%</v>
      </c>
      <c r="AE7" s="10">
        <v>5</v>
      </c>
      <c r="AF7" s="10">
        <v>0</v>
      </c>
    </row>
    <row r="8" spans="1:32" x14ac:dyDescent="0.3">
      <c r="A8">
        <v>40</v>
      </c>
      <c r="B8" t="s">
        <v>215</v>
      </c>
      <c r="C8">
        <v>9654105</v>
      </c>
      <c r="D8" t="s">
        <v>33</v>
      </c>
      <c r="E8">
        <v>72</v>
      </c>
      <c r="F8" t="str">
        <f t="shared" si="0"/>
        <v>Senior</v>
      </c>
      <c r="G8" s="11">
        <v>44899</v>
      </c>
      <c r="H8" s="11">
        <f>WEEKDAY(Table1[[#This Row],[Date]],2)</f>
        <v>7</v>
      </c>
      <c r="I8" s="9" t="str">
        <f>TEXT(Table1[[#This Row],[Date]],"dd")</f>
        <v>04</v>
      </c>
      <c r="J8" t="str">
        <f t="shared" si="1"/>
        <v>Dec</v>
      </c>
      <c r="K8" t="s">
        <v>23</v>
      </c>
      <c r="L8" t="s">
        <v>24</v>
      </c>
      <c r="M8" t="s">
        <v>216</v>
      </c>
      <c r="N8" t="s">
        <v>35</v>
      </c>
      <c r="O8" t="s">
        <v>67</v>
      </c>
      <c r="P8">
        <v>1</v>
      </c>
      <c r="Q8" t="s">
        <v>28</v>
      </c>
      <c r="R8">
        <v>969</v>
      </c>
      <c r="S8" t="s">
        <v>102</v>
      </c>
      <c r="T8" t="s">
        <v>80</v>
      </c>
      <c r="U8">
        <v>160062</v>
      </c>
      <c r="V8" t="s">
        <v>31</v>
      </c>
      <c r="W8" t="b">
        <v>0</v>
      </c>
      <c r="X8" t="str">
        <f>CONCATENATE(Table1[[#This Row],[ship-city]]," -- ", Table1[[#This Row],[ship-postal-code]])</f>
        <v>MOHALI -- 160062</v>
      </c>
      <c r="Y8" t="str">
        <f>SUBSTITUTE(Table1[[#This Row],[city_pin_code]],"--"," ||")</f>
        <v>MOHALI  || 160062</v>
      </c>
      <c r="Z8" s="1" t="b">
        <f>AND(Table1[[#This Row],[Age Group]]="Senior",Table1[[#This Row],[Amount]]&gt;1000)</f>
        <v>0</v>
      </c>
      <c r="AA8" t="b">
        <f>Table1[[#This Row],[Amount]]=Table1[[#This Row],[ship-city]]</f>
        <v>0</v>
      </c>
      <c r="AB8" s="1" t="str">
        <f>IF(AND(Table1[[#This Row],[Age Group]]="senior",Table1[[#This Row],[Amount]]&gt;1000),"20% ","5%")</f>
        <v>5%</v>
      </c>
      <c r="AC8" s="1">
        <f>IFERROR(Table1[[#This Row],[Amount]]*0.01,"Amount is not fill")</f>
        <v>9.69</v>
      </c>
      <c r="AD8" t="str">
        <f t="shared" si="2"/>
        <v>30%</v>
      </c>
      <c r="AE8" s="10" t="e">
        <f>AE7/AF7</f>
        <v>#DIV/0!</v>
      </c>
    </row>
    <row r="9" spans="1:32" x14ac:dyDescent="0.3">
      <c r="A9">
        <v>8</v>
      </c>
      <c r="B9" t="s">
        <v>217</v>
      </c>
      <c r="C9">
        <v>5561216</v>
      </c>
      <c r="D9" t="s">
        <v>33</v>
      </c>
      <c r="E9">
        <v>70</v>
      </c>
      <c r="F9" t="str">
        <f t="shared" si="0"/>
        <v>Senior</v>
      </c>
      <c r="G9" s="11">
        <v>44899</v>
      </c>
      <c r="H9" s="11">
        <f>WEEKDAY(Table1[[#This Row],[Date]],2)</f>
        <v>7</v>
      </c>
      <c r="I9" s="9" t="str">
        <f>TEXT(Table1[[#This Row],[Date]],"dd")</f>
        <v>04</v>
      </c>
      <c r="J9" t="str">
        <f t="shared" si="1"/>
        <v>Dec</v>
      </c>
      <c r="K9" t="s">
        <v>23</v>
      </c>
      <c r="L9" t="s">
        <v>48</v>
      </c>
      <c r="M9" t="s">
        <v>218</v>
      </c>
      <c r="N9" t="s">
        <v>43</v>
      </c>
      <c r="O9" t="s">
        <v>67</v>
      </c>
      <c r="P9">
        <v>1</v>
      </c>
      <c r="Q9" t="s">
        <v>28</v>
      </c>
      <c r="R9">
        <v>1435</v>
      </c>
      <c r="S9" t="s">
        <v>68</v>
      </c>
      <c r="T9" t="s">
        <v>69</v>
      </c>
      <c r="U9">
        <v>122001</v>
      </c>
      <c r="V9" t="s">
        <v>31</v>
      </c>
      <c r="W9" t="b">
        <v>0</v>
      </c>
      <c r="X9" t="str">
        <f>CONCATENATE(Table1[[#This Row],[ship-city]]," -- ", Table1[[#This Row],[ship-postal-code]])</f>
        <v>GURUGRAM -- 122001</v>
      </c>
      <c r="Y9" t="str">
        <f>SUBSTITUTE(Table1[[#This Row],[city_pin_code]],"--"," ||")</f>
        <v>GURUGRAM  || 122001</v>
      </c>
      <c r="Z9" s="1" t="b">
        <f>AND(Table1[[#This Row],[Age Group]]="Senior",Table1[[#This Row],[Amount]]&gt;1000)</f>
        <v>1</v>
      </c>
      <c r="AA9" t="b">
        <f>Table1[[#This Row],[Amount]]=Table1[[#This Row],[ship-city]]</f>
        <v>0</v>
      </c>
      <c r="AB9" s="1" t="str">
        <f>IF(AND(Table1[[#This Row],[Age Group]]="senior",Table1[[#This Row],[Amount]]&gt;1000),"20% ","5%")</f>
        <v xml:space="preserve">20% </v>
      </c>
      <c r="AC9" s="1">
        <f>IFERROR(Table1[[#This Row],[Amount]]*0.01,"Amount is not fill")</f>
        <v>14.35</v>
      </c>
      <c r="AD9" t="str">
        <f t="shared" si="2"/>
        <v>Not applicable</v>
      </c>
      <c r="AE9" s="10" t="str">
        <f>IFERROR(AE8,"not divisible by 0")</f>
        <v>not divisible by 0</v>
      </c>
    </row>
    <row r="10" spans="1:32" x14ac:dyDescent="0.3">
      <c r="A10">
        <v>3</v>
      </c>
      <c r="B10" t="s">
        <v>219</v>
      </c>
      <c r="C10">
        <v>1641533</v>
      </c>
      <c r="D10" t="s">
        <v>33</v>
      </c>
      <c r="E10">
        <v>67</v>
      </c>
      <c r="F10" t="str">
        <f t="shared" si="0"/>
        <v>Senior</v>
      </c>
      <c r="G10" s="11">
        <v>44899</v>
      </c>
      <c r="H10" s="11">
        <f>WEEKDAY(Table1[[#This Row],[Date]],2)</f>
        <v>7</v>
      </c>
      <c r="I10" s="9" t="str">
        <f>TEXT(Table1[[#This Row],[Date]],"dd")</f>
        <v>04</v>
      </c>
      <c r="J10" t="str">
        <f t="shared" si="1"/>
        <v>Dec</v>
      </c>
      <c r="K10" t="s">
        <v>23</v>
      </c>
      <c r="L10" t="s">
        <v>41</v>
      </c>
      <c r="M10" t="s">
        <v>220</v>
      </c>
      <c r="N10" t="s">
        <v>35</v>
      </c>
      <c r="O10" t="s">
        <v>44</v>
      </c>
      <c r="P10">
        <v>1</v>
      </c>
      <c r="Q10" t="s">
        <v>28</v>
      </c>
      <c r="R10">
        <v>453</v>
      </c>
      <c r="S10" t="s">
        <v>188</v>
      </c>
      <c r="T10" t="s">
        <v>93</v>
      </c>
      <c r="U10">
        <v>700029</v>
      </c>
      <c r="V10" t="s">
        <v>31</v>
      </c>
      <c r="W10" t="b">
        <v>0</v>
      </c>
      <c r="X10" t="str">
        <f>CONCATENATE(Table1[[#This Row],[ship-city]]," -- ", Table1[[#This Row],[ship-postal-code]])</f>
        <v>KOLKATA -- 700029</v>
      </c>
      <c r="Y10" t="str">
        <f>SUBSTITUTE(Table1[[#This Row],[city_pin_code]],"--"," ||")</f>
        <v>KOLKATA  || 700029</v>
      </c>
      <c r="Z10" s="1" t="b">
        <f>AND(Table1[[#This Row],[Age Group]]="Senior",Table1[[#This Row],[Amount]]&gt;1000)</f>
        <v>0</v>
      </c>
      <c r="AA10" t="b">
        <f>Table1[[#This Row],[Amount]]=Table1[[#This Row],[ship-city]]</f>
        <v>0</v>
      </c>
      <c r="AB10" s="1" t="str">
        <f>IF(AND(Table1[[#This Row],[Age Group]]="senior",Table1[[#This Row],[Amount]]&gt;1000),"20% ","5%")</f>
        <v>5%</v>
      </c>
      <c r="AC10" s="1">
        <f>IFERROR(Table1[[#This Row],[Amount]]*0.01,"Amount is not fill")</f>
        <v>4.53</v>
      </c>
      <c r="AD10" t="str">
        <f t="shared" si="2"/>
        <v>Not applicable</v>
      </c>
    </row>
    <row r="11" spans="1:32" x14ac:dyDescent="0.3">
      <c r="A11">
        <v>96</v>
      </c>
      <c r="B11" t="s">
        <v>221</v>
      </c>
      <c r="C11">
        <v>347306</v>
      </c>
      <c r="D11" t="s">
        <v>33</v>
      </c>
      <c r="E11">
        <v>66</v>
      </c>
      <c r="F11" t="str">
        <f t="shared" si="0"/>
        <v>Senior</v>
      </c>
      <c r="G11" s="11">
        <v>44899</v>
      </c>
      <c r="H11" s="11">
        <f>WEEKDAY(Table1[[#This Row],[Date]],2)</f>
        <v>7</v>
      </c>
      <c r="I11" s="9" t="str">
        <f>TEXT(Table1[[#This Row],[Date]],"dd")</f>
        <v>04</v>
      </c>
      <c r="J11" t="str">
        <f t="shared" si="1"/>
        <v>Dec</v>
      </c>
      <c r="K11" t="s">
        <v>23</v>
      </c>
      <c r="L11" t="s">
        <v>77</v>
      </c>
      <c r="M11" t="s">
        <v>222</v>
      </c>
      <c r="N11" t="s">
        <v>43</v>
      </c>
      <c r="O11" t="s">
        <v>67</v>
      </c>
      <c r="P11">
        <v>1</v>
      </c>
      <c r="Q11" t="s">
        <v>28</v>
      </c>
      <c r="R11">
        <v>517</v>
      </c>
      <c r="S11" t="s">
        <v>155</v>
      </c>
      <c r="T11" t="s">
        <v>156</v>
      </c>
      <c r="U11">
        <v>500090</v>
      </c>
      <c r="V11" t="s">
        <v>31</v>
      </c>
      <c r="W11" t="b">
        <v>0</v>
      </c>
      <c r="X11" t="str">
        <f>CONCATENATE(Table1[[#This Row],[ship-city]]," -- ", Table1[[#This Row],[ship-postal-code]])</f>
        <v>HYDERABAD -- 500090</v>
      </c>
      <c r="Y11" t="str">
        <f>SUBSTITUTE(Table1[[#This Row],[city_pin_code]],"--"," ||")</f>
        <v>HYDERABAD  || 500090</v>
      </c>
      <c r="Z11" s="1" t="b">
        <f>AND(Table1[[#This Row],[Age Group]]="Senior",Table1[[#This Row],[Amount]]&gt;1000)</f>
        <v>0</v>
      </c>
      <c r="AA11" t="b">
        <f>Table1[[#This Row],[Amount]]=Table1[[#This Row],[ship-city]]</f>
        <v>0</v>
      </c>
      <c r="AB11" s="1" t="str">
        <f>IF(AND(Table1[[#This Row],[Age Group]]="senior",Table1[[#This Row],[Amount]]&gt;1000),"20% ","5%")</f>
        <v>5%</v>
      </c>
      <c r="AC11" s="1">
        <f>IFERROR(Table1[[#This Row],[Amount]]*0.01,"Amount is not fill")</f>
        <v>5.17</v>
      </c>
      <c r="AD11" t="str">
        <f t="shared" si="2"/>
        <v>20%</v>
      </c>
    </row>
    <row r="12" spans="1:32" x14ac:dyDescent="0.3">
      <c r="A12">
        <v>45</v>
      </c>
      <c r="B12" t="s">
        <v>223</v>
      </c>
      <c r="C12">
        <v>5846829</v>
      </c>
      <c r="D12" t="s">
        <v>33</v>
      </c>
      <c r="E12">
        <v>64</v>
      </c>
      <c r="F12" t="str">
        <f t="shared" si="0"/>
        <v>Senior</v>
      </c>
      <c r="G12" s="11">
        <v>44899</v>
      </c>
      <c r="H12" s="11">
        <f>WEEKDAY(Table1[[#This Row],[Date]],2)</f>
        <v>7</v>
      </c>
      <c r="I12" s="9" t="str">
        <f>TEXT(Table1[[#This Row],[Date]],"dd")</f>
        <v>04</v>
      </c>
      <c r="J12" t="str">
        <f t="shared" si="1"/>
        <v>Dec</v>
      </c>
      <c r="K12" t="s">
        <v>23</v>
      </c>
      <c r="L12" t="s">
        <v>24</v>
      </c>
      <c r="M12" t="s">
        <v>224</v>
      </c>
      <c r="N12" t="s">
        <v>35</v>
      </c>
      <c r="O12" t="s">
        <v>44</v>
      </c>
      <c r="P12">
        <v>1</v>
      </c>
      <c r="Q12" t="s">
        <v>28</v>
      </c>
      <c r="R12">
        <v>999</v>
      </c>
      <c r="S12" t="s">
        <v>225</v>
      </c>
      <c r="T12" t="s">
        <v>113</v>
      </c>
      <c r="U12">
        <v>524002</v>
      </c>
      <c r="V12" t="s">
        <v>31</v>
      </c>
      <c r="W12" t="b">
        <v>0</v>
      </c>
      <c r="X12" t="str">
        <f>CONCATENATE(Table1[[#This Row],[ship-city]]," -- ", Table1[[#This Row],[ship-postal-code]])</f>
        <v>NELLORE -- 524002</v>
      </c>
      <c r="Y12" t="str">
        <f>SUBSTITUTE(Table1[[#This Row],[city_pin_code]],"--"," ||")</f>
        <v>NELLORE  || 524002</v>
      </c>
      <c r="Z12" s="1" t="b">
        <f>AND(Table1[[#This Row],[Age Group]]="Senior",Table1[[#This Row],[Amount]]&gt;1000)</f>
        <v>0</v>
      </c>
      <c r="AA12" t="b">
        <f>Table1[[#This Row],[Amount]]=Table1[[#This Row],[ship-city]]</f>
        <v>0</v>
      </c>
      <c r="AB12" s="1" t="str">
        <f>IF(AND(Table1[[#This Row],[Age Group]]="senior",Table1[[#This Row],[Amount]]&gt;1000),"20% ","5%")</f>
        <v>5%</v>
      </c>
      <c r="AC12" s="1">
        <f>IFERROR(Table1[[#This Row],[Amount]]*0.01,"Amount is not fill")</f>
        <v>9.99</v>
      </c>
      <c r="AD12" t="str">
        <f t="shared" si="2"/>
        <v>30%</v>
      </c>
      <c r="AE12" t="b">
        <f>ISERROR(AA2)</f>
        <v>0</v>
      </c>
    </row>
    <row r="13" spans="1:32" x14ac:dyDescent="0.3">
      <c r="A13">
        <v>61</v>
      </c>
      <c r="B13" t="s">
        <v>231</v>
      </c>
      <c r="C13">
        <v>8538186</v>
      </c>
      <c r="D13" t="s">
        <v>33</v>
      </c>
      <c r="E13">
        <v>62</v>
      </c>
      <c r="F13" t="str">
        <f t="shared" si="0"/>
        <v>Senior</v>
      </c>
      <c r="G13" s="11">
        <v>44899</v>
      </c>
      <c r="H13" s="11">
        <f>WEEKDAY(Table1[[#This Row],[Date]],2)</f>
        <v>7</v>
      </c>
      <c r="I13" s="9" t="str">
        <f>TEXT(Table1[[#This Row],[Date]],"dd")</f>
        <v>04</v>
      </c>
      <c r="J13" t="str">
        <f t="shared" si="1"/>
        <v>Dec</v>
      </c>
      <c r="K13" t="s">
        <v>23</v>
      </c>
      <c r="L13" t="s">
        <v>77</v>
      </c>
      <c r="M13" t="s">
        <v>232</v>
      </c>
      <c r="N13" t="s">
        <v>35</v>
      </c>
      <c r="O13" t="s">
        <v>67</v>
      </c>
      <c r="P13">
        <v>1</v>
      </c>
      <c r="Q13" t="s">
        <v>28</v>
      </c>
      <c r="R13">
        <v>899</v>
      </c>
      <c r="S13" t="s">
        <v>233</v>
      </c>
      <c r="T13" t="s">
        <v>69</v>
      </c>
      <c r="U13">
        <v>123029</v>
      </c>
      <c r="V13" t="s">
        <v>31</v>
      </c>
      <c r="W13" t="b">
        <v>0</v>
      </c>
      <c r="X13" t="str">
        <f>CONCATENATE(Table1[[#This Row],[ship-city]]," -- ", Table1[[#This Row],[ship-postal-code]])</f>
        <v>MAHENDRAGARH -- 123029</v>
      </c>
      <c r="Y13" t="str">
        <f>SUBSTITUTE(Table1[[#This Row],[city_pin_code]],"--"," ||")</f>
        <v>MAHENDRAGARH  || 123029</v>
      </c>
      <c r="Z13" s="1" t="b">
        <f>AND(Table1[[#This Row],[Age Group]]="Senior",Table1[[#This Row],[Amount]]&gt;1000)</f>
        <v>0</v>
      </c>
      <c r="AA13" t="b">
        <f>Table1[[#This Row],[Amount]]=Table1[[#This Row],[ship-city]]</f>
        <v>0</v>
      </c>
      <c r="AB13" s="1" t="str">
        <f>IF(AND(Table1[[#This Row],[Age Group]]="senior",Table1[[#This Row],[Amount]]&gt;1000),"20% ","5%")</f>
        <v>5%</v>
      </c>
      <c r="AC13" s="1">
        <f>IFERROR(Table1[[#This Row],[Amount]]*0.01,"Amount is not fill")</f>
        <v>8.99</v>
      </c>
      <c r="AD13" t="str">
        <f t="shared" si="2"/>
        <v>20%</v>
      </c>
    </row>
    <row r="14" spans="1:32" x14ac:dyDescent="0.3">
      <c r="A14">
        <v>5</v>
      </c>
      <c r="B14" t="s">
        <v>226</v>
      </c>
      <c r="C14">
        <v>9293516</v>
      </c>
      <c r="D14" t="s">
        <v>33</v>
      </c>
      <c r="E14">
        <v>62</v>
      </c>
      <c r="F14" t="str">
        <f t="shared" si="0"/>
        <v>Senior</v>
      </c>
      <c r="G14" s="11">
        <v>44899</v>
      </c>
      <c r="H14" s="11">
        <f>WEEKDAY(Table1[[#This Row],[Date]],2)</f>
        <v>7</v>
      </c>
      <c r="I14" s="9" t="str">
        <f>TEXT(Table1[[#This Row],[Date]],"dd")</f>
        <v>04</v>
      </c>
      <c r="J14" t="str">
        <f t="shared" si="1"/>
        <v>Dec</v>
      </c>
      <c r="K14" t="s">
        <v>23</v>
      </c>
      <c r="L14" t="s">
        <v>41</v>
      </c>
      <c r="M14" t="s">
        <v>227</v>
      </c>
      <c r="N14" t="s">
        <v>43</v>
      </c>
      <c r="O14" t="s">
        <v>27</v>
      </c>
      <c r="P14">
        <v>1</v>
      </c>
      <c r="Q14" t="s">
        <v>28</v>
      </c>
      <c r="R14">
        <v>1544</v>
      </c>
      <c r="S14" t="s">
        <v>68</v>
      </c>
      <c r="T14" t="s">
        <v>69</v>
      </c>
      <c r="U14">
        <v>122001</v>
      </c>
      <c r="V14" t="s">
        <v>31</v>
      </c>
      <c r="W14" t="b">
        <v>0</v>
      </c>
      <c r="X14" t="str">
        <f>CONCATENATE(Table1[[#This Row],[ship-city]]," -- ", Table1[[#This Row],[ship-postal-code]])</f>
        <v>GURUGRAM -- 122001</v>
      </c>
      <c r="Y14" t="str">
        <f>SUBSTITUTE(Table1[[#This Row],[city_pin_code]],"--"," ||")</f>
        <v>GURUGRAM  || 122001</v>
      </c>
      <c r="Z14" s="1" t="b">
        <f>AND(Table1[[#This Row],[Age Group]]="Senior",Table1[[#This Row],[Amount]]&gt;1000)</f>
        <v>1</v>
      </c>
      <c r="AA14" t="b">
        <f>Table1[[#This Row],[Amount]]=Table1[[#This Row],[ship-city]]</f>
        <v>0</v>
      </c>
      <c r="AB14" s="1" t="str">
        <f>IF(AND(Table1[[#This Row],[Age Group]]="senior",Table1[[#This Row],[Amount]]&gt;1000),"20% ","5%")</f>
        <v xml:space="preserve">20% </v>
      </c>
      <c r="AC14" s="1">
        <f>IFERROR(Table1[[#This Row],[Amount]]*0.01,"Amount is not fill")</f>
        <v>15.44</v>
      </c>
      <c r="AD14" t="str">
        <f t="shared" si="2"/>
        <v>Not applicable</v>
      </c>
    </row>
    <row r="15" spans="1:32" x14ac:dyDescent="0.3">
      <c r="A15">
        <v>27</v>
      </c>
      <c r="B15" t="s">
        <v>228</v>
      </c>
      <c r="C15">
        <v>8343960</v>
      </c>
      <c r="D15" t="s">
        <v>33</v>
      </c>
      <c r="E15">
        <v>62</v>
      </c>
      <c r="F15" t="str">
        <f t="shared" si="0"/>
        <v>Senior</v>
      </c>
      <c r="G15" s="11">
        <v>44899</v>
      </c>
      <c r="H15" s="11">
        <f>WEEKDAY(Table1[[#This Row],[Date]],2)</f>
        <v>7</v>
      </c>
      <c r="I15" s="9" t="str">
        <f>TEXT(Table1[[#This Row],[Date]],"dd")</f>
        <v>04</v>
      </c>
      <c r="J15" t="str">
        <f t="shared" si="1"/>
        <v>Dec</v>
      </c>
      <c r="K15" t="s">
        <v>23</v>
      </c>
      <c r="L15" t="s">
        <v>24</v>
      </c>
      <c r="M15" t="s">
        <v>229</v>
      </c>
      <c r="N15" t="s">
        <v>96</v>
      </c>
      <c r="O15" t="s">
        <v>36</v>
      </c>
      <c r="P15">
        <v>1</v>
      </c>
      <c r="Q15" t="s">
        <v>28</v>
      </c>
      <c r="R15">
        <v>484</v>
      </c>
      <c r="S15" t="s">
        <v>230</v>
      </c>
      <c r="T15" t="s">
        <v>84</v>
      </c>
      <c r="U15">
        <v>577004</v>
      </c>
      <c r="V15" t="s">
        <v>31</v>
      </c>
      <c r="W15" t="b">
        <v>0</v>
      </c>
      <c r="X15" t="str">
        <f>CONCATENATE(Table1[[#This Row],[ship-city]]," -- ", Table1[[#This Row],[ship-postal-code]])</f>
        <v>DAVANAGERE -- 577004</v>
      </c>
      <c r="Y15" t="str">
        <f>SUBSTITUTE(Table1[[#This Row],[city_pin_code]],"--"," ||")</f>
        <v>DAVANAGERE  || 577004</v>
      </c>
      <c r="Z15" s="1" t="b">
        <f>AND(Table1[[#This Row],[Age Group]]="Senior",Table1[[#This Row],[Amount]]&gt;1000)</f>
        <v>0</v>
      </c>
      <c r="AA15" t="b">
        <f>Table1[[#This Row],[Amount]]=Table1[[#This Row],[ship-city]]</f>
        <v>0</v>
      </c>
      <c r="AB15" s="1" t="str">
        <f>IF(AND(Table1[[#This Row],[Age Group]]="senior",Table1[[#This Row],[Amount]]&gt;1000),"20% ","5%")</f>
        <v>5%</v>
      </c>
      <c r="AC15" s="1">
        <f>IFERROR(Table1[[#This Row],[Amount]]*0.01,"Amount is not fill")</f>
        <v>4.84</v>
      </c>
      <c r="AD15" t="str">
        <f t="shared" si="2"/>
        <v>30%</v>
      </c>
    </row>
    <row r="16" spans="1:32" x14ac:dyDescent="0.3">
      <c r="A16">
        <v>97</v>
      </c>
      <c r="B16" t="s">
        <v>234</v>
      </c>
      <c r="C16">
        <v>7048232</v>
      </c>
      <c r="D16" t="s">
        <v>33</v>
      </c>
      <c r="E16">
        <v>60</v>
      </c>
      <c r="F16" t="str">
        <f t="shared" si="0"/>
        <v>Senior</v>
      </c>
      <c r="G16" s="11">
        <v>44899</v>
      </c>
      <c r="H16" s="11">
        <f>WEEKDAY(Table1[[#This Row],[Date]],2)</f>
        <v>7</v>
      </c>
      <c r="I16" s="9" t="str">
        <f>TEXT(Table1[[#This Row],[Date]],"dd")</f>
        <v>04</v>
      </c>
      <c r="J16" t="str">
        <f t="shared" si="1"/>
        <v>Dec</v>
      </c>
      <c r="K16" t="s">
        <v>23</v>
      </c>
      <c r="L16" t="s">
        <v>41</v>
      </c>
      <c r="M16" t="s">
        <v>235</v>
      </c>
      <c r="N16" t="s">
        <v>43</v>
      </c>
      <c r="O16" t="s">
        <v>44</v>
      </c>
      <c r="P16">
        <v>1</v>
      </c>
      <c r="Q16" t="s">
        <v>28</v>
      </c>
      <c r="R16">
        <v>427</v>
      </c>
      <c r="S16" t="s">
        <v>236</v>
      </c>
      <c r="T16" t="s">
        <v>237</v>
      </c>
      <c r="U16">
        <v>177005</v>
      </c>
      <c r="V16" t="s">
        <v>31</v>
      </c>
      <c r="W16" t="b">
        <v>0</v>
      </c>
      <c r="X16" t="str">
        <f>CONCATENATE(Table1[[#This Row],[ship-city]]," -- ", Table1[[#This Row],[ship-postal-code]])</f>
        <v>HAMIRPUR -- 177005</v>
      </c>
      <c r="Y16" t="str">
        <f>SUBSTITUTE(Table1[[#This Row],[city_pin_code]],"--"," ||")</f>
        <v>HAMIRPUR  || 177005</v>
      </c>
      <c r="Z16" s="1" t="b">
        <f>AND(Table1[[#This Row],[Age Group]]="Senior",Table1[[#This Row],[Amount]]&gt;1000)</f>
        <v>0</v>
      </c>
      <c r="AA16" t="b">
        <f>Table1[[#This Row],[Amount]]=Table1[[#This Row],[ship-city]]</f>
        <v>0</v>
      </c>
      <c r="AB16" s="1" t="str">
        <f>IF(AND(Table1[[#This Row],[Age Group]]="senior",Table1[[#This Row],[Amount]]&gt;1000),"20% ","5%")</f>
        <v>5%</v>
      </c>
      <c r="AC16" s="1">
        <f>IFERROR(Table1[[#This Row],[Amount]]*0.01,"Amount is not fill")</f>
        <v>4.2700000000000005</v>
      </c>
      <c r="AD16" t="str">
        <f t="shared" si="2"/>
        <v>Not applicable</v>
      </c>
    </row>
    <row r="17" spans="1:32" x14ac:dyDescent="0.3">
      <c r="A17">
        <v>83</v>
      </c>
      <c r="B17" t="s">
        <v>238</v>
      </c>
      <c r="C17">
        <v>8980704</v>
      </c>
      <c r="D17" t="s">
        <v>33</v>
      </c>
      <c r="E17">
        <v>59</v>
      </c>
      <c r="F17" t="str">
        <f t="shared" si="0"/>
        <v>Senior</v>
      </c>
      <c r="G17" s="11">
        <v>44899</v>
      </c>
      <c r="H17" s="11">
        <f>WEEKDAY(Table1[[#This Row],[Date]],2)</f>
        <v>7</v>
      </c>
      <c r="I17" s="9" t="str">
        <f>TEXT(Table1[[#This Row],[Date]],"dd")</f>
        <v>04</v>
      </c>
      <c r="J17" t="str">
        <f t="shared" si="1"/>
        <v>Dec</v>
      </c>
      <c r="K17" t="s">
        <v>108</v>
      </c>
      <c r="L17" t="s">
        <v>41</v>
      </c>
      <c r="M17" t="s">
        <v>239</v>
      </c>
      <c r="N17" t="s">
        <v>43</v>
      </c>
      <c r="O17" t="s">
        <v>67</v>
      </c>
      <c r="P17">
        <v>1</v>
      </c>
      <c r="Q17" t="s">
        <v>28</v>
      </c>
      <c r="R17">
        <v>345</v>
      </c>
      <c r="S17" t="s">
        <v>240</v>
      </c>
      <c r="T17" t="s">
        <v>118</v>
      </c>
      <c r="U17">
        <v>201304</v>
      </c>
      <c r="V17" t="s">
        <v>31</v>
      </c>
      <c r="W17" t="b">
        <v>0</v>
      </c>
      <c r="X17" t="str">
        <f>CONCATENATE(Table1[[#This Row],[ship-city]]," -- ", Table1[[#This Row],[ship-postal-code]])</f>
        <v>NOIDA -- 201304</v>
      </c>
      <c r="Y17" t="str">
        <f>SUBSTITUTE(Table1[[#This Row],[city_pin_code]],"--"," ||")</f>
        <v>NOIDA  || 201304</v>
      </c>
      <c r="Z17" s="1" t="b">
        <f>AND(Table1[[#This Row],[Age Group]]="Senior",Table1[[#This Row],[Amount]]&gt;1000)</f>
        <v>0</v>
      </c>
      <c r="AA17" t="b">
        <f>Table1[[#This Row],[Amount]]=Table1[[#This Row],[ship-city]]</f>
        <v>0</v>
      </c>
      <c r="AB17" s="1" t="str">
        <f>IF(AND(Table1[[#This Row],[Age Group]]="senior",Table1[[#This Row],[Amount]]&gt;1000),"20% ","5%")</f>
        <v>5%</v>
      </c>
      <c r="AC17" s="1">
        <f>IFERROR(Table1[[#This Row],[Amount]]*0.01,"Amount is not fill")</f>
        <v>3.45</v>
      </c>
      <c r="AD17" t="str">
        <f t="shared" si="2"/>
        <v>Not applicable</v>
      </c>
      <c r="AE17" s="12">
        <f ca="1">NOW()</f>
        <v>45484.47451064815</v>
      </c>
      <c r="AF17">
        <f ca="1">WEEKDAY(AE17,1)</f>
        <v>5</v>
      </c>
    </row>
    <row r="18" spans="1:32" x14ac:dyDescent="0.3">
      <c r="A18">
        <v>56</v>
      </c>
      <c r="B18" t="s">
        <v>241</v>
      </c>
      <c r="C18">
        <v>4675134</v>
      </c>
      <c r="D18" t="s">
        <v>33</v>
      </c>
      <c r="E18">
        <v>58</v>
      </c>
      <c r="F18" t="str">
        <f t="shared" si="0"/>
        <v>Senior</v>
      </c>
      <c r="G18" s="11">
        <v>44899</v>
      </c>
      <c r="H18" s="11">
        <f>WEEKDAY(Table1[[#This Row],[Date]],2)</f>
        <v>7</v>
      </c>
      <c r="I18" s="9" t="str">
        <f>TEXT(Table1[[#This Row],[Date]],"dd")</f>
        <v>04</v>
      </c>
      <c r="J18" t="str">
        <f t="shared" si="1"/>
        <v>Dec</v>
      </c>
      <c r="K18" t="s">
        <v>23</v>
      </c>
      <c r="L18" t="s">
        <v>65</v>
      </c>
      <c r="M18" t="s">
        <v>242</v>
      </c>
      <c r="N18" t="s">
        <v>35</v>
      </c>
      <c r="O18" t="s">
        <v>27</v>
      </c>
      <c r="P18">
        <v>1</v>
      </c>
      <c r="Q18" t="s">
        <v>28</v>
      </c>
      <c r="R18">
        <v>507</v>
      </c>
      <c r="S18" t="s">
        <v>155</v>
      </c>
      <c r="T18" t="s">
        <v>156</v>
      </c>
      <c r="U18">
        <v>500008</v>
      </c>
      <c r="V18" t="s">
        <v>31</v>
      </c>
      <c r="W18" t="b">
        <v>0</v>
      </c>
      <c r="X18" t="str">
        <f>CONCATENATE(Table1[[#This Row],[ship-city]]," -- ", Table1[[#This Row],[ship-postal-code]])</f>
        <v>HYDERABAD -- 500008</v>
      </c>
      <c r="Y18" t="str">
        <f>SUBSTITUTE(Table1[[#This Row],[city_pin_code]],"--"," ||")</f>
        <v>HYDERABAD  || 500008</v>
      </c>
      <c r="Z18" s="1" t="b">
        <f>AND(Table1[[#This Row],[Age Group]]="Senior",Table1[[#This Row],[Amount]]&gt;1000)</f>
        <v>0</v>
      </c>
      <c r="AA18" t="b">
        <f>Table1[[#This Row],[Amount]]=Table1[[#This Row],[ship-city]]</f>
        <v>0</v>
      </c>
      <c r="AB18" s="1" t="str">
        <f>IF(AND(Table1[[#This Row],[Age Group]]="senior",Table1[[#This Row],[Amount]]&gt;1000),"20% ","5%")</f>
        <v>5%</v>
      </c>
      <c r="AC18" s="1">
        <f>IFERROR(Table1[[#This Row],[Amount]]*0.01,"Amount is not fill")</f>
        <v>5.07</v>
      </c>
      <c r="AD18" t="str">
        <f t="shared" si="2"/>
        <v>Not applicable</v>
      </c>
      <c r="AF18" t="s">
        <v>362</v>
      </c>
    </row>
    <row r="19" spans="1:32" x14ac:dyDescent="0.3">
      <c r="A19">
        <v>80</v>
      </c>
      <c r="B19" t="s">
        <v>243</v>
      </c>
      <c r="C19">
        <v>8786932</v>
      </c>
      <c r="D19" t="s">
        <v>22</v>
      </c>
      <c r="E19">
        <v>55</v>
      </c>
      <c r="F19" t="str">
        <f t="shared" si="0"/>
        <v>Senior</v>
      </c>
      <c r="G19" s="11">
        <v>44899</v>
      </c>
      <c r="H19" s="11">
        <f>WEEKDAY(Table1[[#This Row],[Date]],2)</f>
        <v>7</v>
      </c>
      <c r="I19" s="9" t="str">
        <f>TEXT(Table1[[#This Row],[Date]],"dd")</f>
        <v>04</v>
      </c>
      <c r="J19" t="str">
        <f t="shared" si="1"/>
        <v>Dec</v>
      </c>
      <c r="K19" t="s">
        <v>23</v>
      </c>
      <c r="L19" t="s">
        <v>244</v>
      </c>
      <c r="M19" t="s">
        <v>245</v>
      </c>
      <c r="N19" t="s">
        <v>35</v>
      </c>
      <c r="O19" t="s">
        <v>67</v>
      </c>
      <c r="P19">
        <v>1</v>
      </c>
      <c r="Q19" t="s">
        <v>28</v>
      </c>
      <c r="R19">
        <v>595</v>
      </c>
      <c r="S19" t="s">
        <v>246</v>
      </c>
      <c r="T19" t="s">
        <v>214</v>
      </c>
      <c r="U19">
        <v>392001</v>
      </c>
      <c r="V19" t="s">
        <v>31</v>
      </c>
      <c r="W19" t="b">
        <v>0</v>
      </c>
      <c r="X19" t="str">
        <f>CONCATENATE(Table1[[#This Row],[ship-city]]," -- ", Table1[[#This Row],[ship-postal-code]])</f>
        <v>BHARUCH -- 392001</v>
      </c>
      <c r="Y19" t="str">
        <f>SUBSTITUTE(Table1[[#This Row],[city_pin_code]],"--"," ||")</f>
        <v>BHARUCH  || 392001</v>
      </c>
      <c r="Z19" s="1" t="b">
        <f>AND(Table1[[#This Row],[Age Group]]="Senior",Table1[[#This Row],[Amount]]&gt;1000)</f>
        <v>0</v>
      </c>
      <c r="AA19" t="b">
        <f>Table1[[#This Row],[Amount]]=Table1[[#This Row],[ship-city]]</f>
        <v>0</v>
      </c>
      <c r="AB19" s="1" t="str">
        <f>IF(AND(Table1[[#This Row],[Age Group]]="senior",Table1[[#This Row],[Amount]]&gt;1000),"20% ","5%")</f>
        <v>5%</v>
      </c>
      <c r="AC19" s="1">
        <f>IFERROR(Table1[[#This Row],[Amount]]*0.01,"Amount is not fill")</f>
        <v>5.95</v>
      </c>
      <c r="AD19" t="str">
        <f t="shared" si="2"/>
        <v xml:space="preserve">10% </v>
      </c>
    </row>
    <row r="20" spans="1:32" x14ac:dyDescent="0.3">
      <c r="A20">
        <v>84</v>
      </c>
      <c r="B20" t="s">
        <v>247</v>
      </c>
      <c r="C20">
        <v>2516658</v>
      </c>
      <c r="D20" t="s">
        <v>33</v>
      </c>
      <c r="E20">
        <v>55</v>
      </c>
      <c r="F20" t="str">
        <f t="shared" si="0"/>
        <v>Senior</v>
      </c>
      <c r="G20" s="11">
        <v>44899</v>
      </c>
      <c r="H20" s="11">
        <f>WEEKDAY(Table1[[#This Row],[Date]],2)</f>
        <v>7</v>
      </c>
      <c r="I20" s="9" t="str">
        <f>TEXT(Table1[[#This Row],[Date]],"dd")</f>
        <v>04</v>
      </c>
      <c r="J20" t="str">
        <f t="shared" si="1"/>
        <v>Dec</v>
      </c>
      <c r="K20" t="s">
        <v>23</v>
      </c>
      <c r="L20" t="s">
        <v>24</v>
      </c>
      <c r="M20" t="s">
        <v>248</v>
      </c>
      <c r="N20" t="s">
        <v>43</v>
      </c>
      <c r="O20" t="s">
        <v>67</v>
      </c>
      <c r="P20">
        <v>1</v>
      </c>
      <c r="Q20" t="s">
        <v>28</v>
      </c>
      <c r="R20">
        <v>481</v>
      </c>
      <c r="S20" t="s">
        <v>62</v>
      </c>
      <c r="T20" t="s">
        <v>63</v>
      </c>
      <c r="U20">
        <v>600077</v>
      </c>
      <c r="V20" t="s">
        <v>31</v>
      </c>
      <c r="W20" t="b">
        <v>0</v>
      </c>
      <c r="X20" t="str">
        <f>CONCATENATE(Table1[[#This Row],[ship-city]]," -- ", Table1[[#This Row],[ship-postal-code]])</f>
        <v>CHENNAI -- 600077</v>
      </c>
      <c r="Y20" t="str">
        <f>SUBSTITUTE(Table1[[#This Row],[city_pin_code]],"--"," ||")</f>
        <v>CHENNAI  || 600077</v>
      </c>
      <c r="Z20" s="1" t="b">
        <f>AND(Table1[[#This Row],[Age Group]]="Senior",Table1[[#This Row],[Amount]]&gt;1000)</f>
        <v>0</v>
      </c>
      <c r="AA20" t="b">
        <f>Table1[[#This Row],[Amount]]=Table1[[#This Row],[ship-city]]</f>
        <v>0</v>
      </c>
      <c r="AB20" s="1" t="str">
        <f>IF(AND(Table1[[#This Row],[Age Group]]="senior",Table1[[#This Row],[Amount]]&gt;1000),"20% ","5%")</f>
        <v>5%</v>
      </c>
      <c r="AC20" s="1">
        <f>IFERROR(Table1[[#This Row],[Amount]]*0.01,"Amount is not fill")</f>
        <v>4.8100000000000005</v>
      </c>
      <c r="AD20" t="str">
        <f t="shared" si="2"/>
        <v>30%</v>
      </c>
    </row>
    <row r="21" spans="1:32" x14ac:dyDescent="0.3">
      <c r="A21">
        <v>15</v>
      </c>
      <c r="B21" t="s">
        <v>249</v>
      </c>
      <c r="C21">
        <v>442660</v>
      </c>
      <c r="D21" t="s">
        <v>33</v>
      </c>
      <c r="E21">
        <v>52</v>
      </c>
      <c r="F21" t="str">
        <f t="shared" si="0"/>
        <v>Senior</v>
      </c>
      <c r="G21" s="11">
        <v>44899</v>
      </c>
      <c r="H21" s="11">
        <f>WEEKDAY(Table1[[#This Row],[Date]],2)</f>
        <v>7</v>
      </c>
      <c r="I21" s="9" t="str">
        <f>TEXT(Table1[[#This Row],[Date]],"dd")</f>
        <v>04</v>
      </c>
      <c r="J21" t="str">
        <f t="shared" si="1"/>
        <v>Dec</v>
      </c>
      <c r="K21" t="s">
        <v>23</v>
      </c>
      <c r="L21" t="s">
        <v>77</v>
      </c>
      <c r="M21" t="s">
        <v>250</v>
      </c>
      <c r="N21" t="s">
        <v>35</v>
      </c>
      <c r="O21" t="s">
        <v>67</v>
      </c>
      <c r="P21">
        <v>1</v>
      </c>
      <c r="Q21" t="s">
        <v>28</v>
      </c>
      <c r="R21">
        <v>967</v>
      </c>
      <c r="S21" t="s">
        <v>155</v>
      </c>
      <c r="T21" t="s">
        <v>156</v>
      </c>
      <c r="U21">
        <v>500098</v>
      </c>
      <c r="V21" t="s">
        <v>31</v>
      </c>
      <c r="W21" t="b">
        <v>0</v>
      </c>
      <c r="X21" t="str">
        <f>CONCATENATE(Table1[[#This Row],[ship-city]]," -- ", Table1[[#This Row],[ship-postal-code]])</f>
        <v>HYDERABAD -- 500098</v>
      </c>
      <c r="Y21" t="str">
        <f>SUBSTITUTE(Table1[[#This Row],[city_pin_code]],"--"," ||")</f>
        <v>HYDERABAD  || 500098</v>
      </c>
      <c r="Z21" s="1" t="b">
        <f>AND(Table1[[#This Row],[Age Group]]="Senior",Table1[[#This Row],[Amount]]&gt;1000)</f>
        <v>0</v>
      </c>
      <c r="AA21" t="b">
        <f>Table1[[#This Row],[Amount]]=Table1[[#This Row],[ship-city]]</f>
        <v>0</v>
      </c>
      <c r="AB21" s="1" t="str">
        <f>IF(AND(Table1[[#This Row],[Age Group]]="senior",Table1[[#This Row],[Amount]]&gt;1000),"20% ","5%")</f>
        <v>5%</v>
      </c>
      <c r="AC21" s="1">
        <f>IFERROR(Table1[[#This Row],[Amount]]*0.01,"Amount is not fill")</f>
        <v>9.67</v>
      </c>
      <c r="AD21" t="str">
        <f t="shared" si="2"/>
        <v>20%</v>
      </c>
    </row>
    <row r="22" spans="1:32" x14ac:dyDescent="0.3">
      <c r="A22">
        <v>32</v>
      </c>
      <c r="B22" t="s">
        <v>251</v>
      </c>
      <c r="C22">
        <v>6866119</v>
      </c>
      <c r="D22" t="s">
        <v>22</v>
      </c>
      <c r="E22">
        <v>52</v>
      </c>
      <c r="F22" t="str">
        <f t="shared" si="0"/>
        <v>Senior</v>
      </c>
      <c r="G22" s="11">
        <v>44899</v>
      </c>
      <c r="H22" s="11">
        <f>WEEKDAY(Table1[[#This Row],[Date]],2)</f>
        <v>7</v>
      </c>
      <c r="I22" s="9" t="str">
        <f>TEXT(Table1[[#This Row],[Date]],"dd")</f>
        <v>04</v>
      </c>
      <c r="J22" t="str">
        <f t="shared" si="1"/>
        <v>Dec</v>
      </c>
      <c r="K22" t="s">
        <v>23</v>
      </c>
      <c r="L22" t="s">
        <v>77</v>
      </c>
      <c r="M22" t="s">
        <v>252</v>
      </c>
      <c r="N22" t="s">
        <v>26</v>
      </c>
      <c r="O22" t="s">
        <v>27</v>
      </c>
      <c r="P22">
        <v>1</v>
      </c>
      <c r="Q22" t="s">
        <v>28</v>
      </c>
      <c r="R22">
        <v>885</v>
      </c>
      <c r="S22" t="s">
        <v>253</v>
      </c>
      <c r="T22" t="s">
        <v>214</v>
      </c>
      <c r="U22">
        <v>380058</v>
      </c>
      <c r="V22" t="s">
        <v>31</v>
      </c>
      <c r="W22" t="b">
        <v>0</v>
      </c>
      <c r="X22" t="str">
        <f>CONCATENATE(Table1[[#This Row],[ship-city]]," -- ", Table1[[#This Row],[ship-postal-code]])</f>
        <v>AHMEDABAD -- 380058</v>
      </c>
      <c r="Y22" t="str">
        <f>SUBSTITUTE(Table1[[#This Row],[city_pin_code]],"--"," ||")</f>
        <v>AHMEDABAD  || 380058</v>
      </c>
    </row>
    <row r="23" spans="1:32" x14ac:dyDescent="0.3">
      <c r="A23">
        <v>77</v>
      </c>
      <c r="B23" t="s">
        <v>32</v>
      </c>
      <c r="C23">
        <v>5297818</v>
      </c>
      <c r="D23" t="s">
        <v>33</v>
      </c>
      <c r="E23">
        <v>49</v>
      </c>
      <c r="F23" t="str">
        <f t="shared" si="0"/>
        <v>Adults</v>
      </c>
      <c r="G23" s="11">
        <v>44899</v>
      </c>
      <c r="H23" s="11">
        <f>WEEKDAY(Table1[[#This Row],[Date]],2)</f>
        <v>7</v>
      </c>
      <c r="I23" s="9" t="str">
        <f>TEXT(Table1[[#This Row],[Date]],"dd")</f>
        <v>04</v>
      </c>
      <c r="J23" t="str">
        <f t="shared" si="1"/>
        <v>Dec</v>
      </c>
      <c r="K23" t="s">
        <v>23</v>
      </c>
      <c r="L23" t="s">
        <v>24</v>
      </c>
      <c r="M23" t="s">
        <v>34</v>
      </c>
      <c r="N23" t="s">
        <v>35</v>
      </c>
      <c r="O23" t="s">
        <v>36</v>
      </c>
      <c r="P23">
        <v>1</v>
      </c>
      <c r="Q23" t="s">
        <v>28</v>
      </c>
      <c r="R23">
        <v>969</v>
      </c>
      <c r="S23" t="s">
        <v>37</v>
      </c>
      <c r="T23" t="s">
        <v>38</v>
      </c>
      <c r="U23">
        <v>695141</v>
      </c>
      <c r="V23" t="s">
        <v>31</v>
      </c>
      <c r="W23" t="b">
        <v>0</v>
      </c>
      <c r="X23" t="str">
        <f>CONCATENATE(Table1[[#This Row],[ship-city]]," -- ", Table1[[#This Row],[ship-postal-code]])</f>
        <v>VARKALA -- 695141</v>
      </c>
      <c r="Y23" t="str">
        <f>SUBSTITUTE(Table1[[#This Row],[city_pin_code]],"--"," ||")</f>
        <v>VARKALA  || 695141</v>
      </c>
      <c r="Z23" t="s">
        <v>357</v>
      </c>
    </row>
    <row r="24" spans="1:32" x14ac:dyDescent="0.3">
      <c r="A24">
        <v>6</v>
      </c>
      <c r="B24" t="s">
        <v>21</v>
      </c>
      <c r="C24">
        <v>1298130</v>
      </c>
      <c r="D24" t="s">
        <v>22</v>
      </c>
      <c r="E24">
        <v>49</v>
      </c>
      <c r="F24" t="str">
        <f t="shared" si="0"/>
        <v>Adults</v>
      </c>
      <c r="G24" s="11">
        <v>44899</v>
      </c>
      <c r="H24" s="11">
        <f>WEEKDAY(Table1[[#This Row],[Date]],2)</f>
        <v>7</v>
      </c>
      <c r="I24" s="9" t="str">
        <f>TEXT(Table1[[#This Row],[Date]],"dd")</f>
        <v>04</v>
      </c>
      <c r="J24" t="str">
        <f t="shared" si="1"/>
        <v>Dec</v>
      </c>
      <c r="K24" t="s">
        <v>23</v>
      </c>
      <c r="L24" t="s">
        <v>24</v>
      </c>
      <c r="M24" t="s">
        <v>25</v>
      </c>
      <c r="N24" t="s">
        <v>26</v>
      </c>
      <c r="O24" t="s">
        <v>27</v>
      </c>
      <c r="P24">
        <v>1</v>
      </c>
      <c r="Q24" t="s">
        <v>28</v>
      </c>
      <c r="R24">
        <v>735</v>
      </c>
      <c r="S24" t="s">
        <v>29</v>
      </c>
      <c r="T24" t="s">
        <v>30</v>
      </c>
      <c r="U24">
        <v>416436</v>
      </c>
      <c r="V24" t="s">
        <v>31</v>
      </c>
      <c r="W24" t="b">
        <v>0</v>
      </c>
      <c r="X24" t="str">
        <f>CONCATENATE(Table1[[#This Row],[ship-city]]," -- ", Table1[[#This Row],[ship-postal-code]])</f>
        <v>SANGLI MIRAJ KUPWAD -- 416436</v>
      </c>
      <c r="Y24" t="str">
        <f>SUBSTITUTE(Table1[[#This Row],[city_pin_code]],"--"," ||")</f>
        <v>SANGLI MIRAJ KUPWAD  || 416436</v>
      </c>
      <c r="Z24" t="str">
        <f>REPLACE(Z23,1,2,"sha")</f>
        <v>shame</v>
      </c>
      <c r="AB24" t="str">
        <f>SUBSTITUTE(Z23,"e","w")</f>
        <v>namw</v>
      </c>
    </row>
    <row r="25" spans="1:32" x14ac:dyDescent="0.3">
      <c r="A25">
        <v>87</v>
      </c>
      <c r="B25" t="s">
        <v>39</v>
      </c>
      <c r="C25">
        <v>6702100</v>
      </c>
      <c r="D25" t="s">
        <v>33</v>
      </c>
      <c r="E25">
        <v>49</v>
      </c>
      <c r="F25" t="str">
        <f t="shared" si="0"/>
        <v>Adults</v>
      </c>
      <c r="G25" s="11">
        <v>44899</v>
      </c>
      <c r="H25" s="11">
        <f>WEEKDAY(Table1[[#This Row],[Date]],2)</f>
        <v>7</v>
      </c>
      <c r="I25" s="9" t="str">
        <f>TEXT(Table1[[#This Row],[Date]],"dd")</f>
        <v>04</v>
      </c>
      <c r="J25" t="str">
        <f t="shared" si="1"/>
        <v>Dec</v>
      </c>
      <c r="K25" t="s">
        <v>40</v>
      </c>
      <c r="L25" t="s">
        <v>41</v>
      </c>
      <c r="M25" t="s">
        <v>42</v>
      </c>
      <c r="N25" t="s">
        <v>43</v>
      </c>
      <c r="O25" t="s">
        <v>44</v>
      </c>
      <c r="P25">
        <v>1</v>
      </c>
      <c r="Q25" t="s">
        <v>28</v>
      </c>
      <c r="R25">
        <v>322</v>
      </c>
      <c r="S25" t="s">
        <v>45</v>
      </c>
      <c r="T25" t="s">
        <v>46</v>
      </c>
      <c r="U25">
        <v>110084</v>
      </c>
      <c r="V25" t="s">
        <v>31</v>
      </c>
      <c r="W25" t="b">
        <v>0</v>
      </c>
      <c r="X25" t="str">
        <f>CONCATENATE(Table1[[#This Row],[ship-city]]," -- ", Table1[[#This Row],[ship-postal-code]])</f>
        <v>NEW DELHI -- 110084</v>
      </c>
      <c r="Y25" t="str">
        <f>SUBSTITUTE(Table1[[#This Row],[city_pin_code]],"--"," ||")</f>
        <v>NEW DELHI  || 110084</v>
      </c>
      <c r="Z25" t="s">
        <v>358</v>
      </c>
    </row>
    <row r="26" spans="1:32" x14ac:dyDescent="0.3">
      <c r="A26">
        <v>70</v>
      </c>
      <c r="B26" t="s">
        <v>57</v>
      </c>
      <c r="C26">
        <v>6014983</v>
      </c>
      <c r="D26" t="s">
        <v>22</v>
      </c>
      <c r="E26">
        <v>48</v>
      </c>
      <c r="F26" t="str">
        <f t="shared" si="0"/>
        <v>Adults</v>
      </c>
      <c r="G26" s="11">
        <v>44899</v>
      </c>
      <c r="H26" s="11">
        <f>WEEKDAY(Table1[[#This Row],[Date]],2)</f>
        <v>7</v>
      </c>
      <c r="I26" s="9" t="str">
        <f>TEXT(Table1[[#This Row],[Date]],"dd")</f>
        <v>04</v>
      </c>
      <c r="J26" t="str">
        <f t="shared" si="1"/>
        <v>Dec</v>
      </c>
      <c r="K26" t="s">
        <v>23</v>
      </c>
      <c r="L26" t="s">
        <v>41</v>
      </c>
      <c r="M26" t="s">
        <v>58</v>
      </c>
      <c r="N26" t="s">
        <v>35</v>
      </c>
      <c r="O26" t="s">
        <v>44</v>
      </c>
      <c r="P26">
        <v>1</v>
      </c>
      <c r="Q26" t="s">
        <v>28</v>
      </c>
      <c r="R26">
        <v>852</v>
      </c>
      <c r="S26" t="s">
        <v>56</v>
      </c>
      <c r="T26" t="s">
        <v>30</v>
      </c>
      <c r="U26">
        <v>411021</v>
      </c>
      <c r="V26" t="s">
        <v>31</v>
      </c>
      <c r="W26" t="b">
        <v>0</v>
      </c>
      <c r="X26" t="str">
        <f>CONCATENATE(Table1[[#This Row],[ship-city]]," -- ", Table1[[#This Row],[ship-postal-code]])</f>
        <v>PUNE -- 411021</v>
      </c>
      <c r="Y26" t="str">
        <f>SUBSTITUTE(Table1[[#This Row],[city_pin_code]],"--"," ||")</f>
        <v>PUNE  || 411021</v>
      </c>
    </row>
    <row r="27" spans="1:32" x14ac:dyDescent="0.3">
      <c r="A27">
        <v>95</v>
      </c>
      <c r="B27" t="s">
        <v>64</v>
      </c>
      <c r="C27">
        <v>6859790</v>
      </c>
      <c r="D27" t="s">
        <v>33</v>
      </c>
      <c r="E27">
        <v>48</v>
      </c>
      <c r="F27" t="str">
        <f t="shared" si="0"/>
        <v>Adults</v>
      </c>
      <c r="G27" s="11">
        <v>44899</v>
      </c>
      <c r="H27" s="11">
        <f>WEEKDAY(Table1[[#This Row],[Date]],2)</f>
        <v>7</v>
      </c>
      <c r="I27" s="9" t="str">
        <f>TEXT(Table1[[#This Row],[Date]],"dd")</f>
        <v>04</v>
      </c>
      <c r="J27" t="str">
        <f t="shared" si="1"/>
        <v>Dec</v>
      </c>
      <c r="K27" t="s">
        <v>23</v>
      </c>
      <c r="L27" t="s">
        <v>65</v>
      </c>
      <c r="M27" t="s">
        <v>66</v>
      </c>
      <c r="N27" t="s">
        <v>43</v>
      </c>
      <c r="O27" t="s">
        <v>67</v>
      </c>
      <c r="P27">
        <v>1</v>
      </c>
      <c r="Q27" t="s">
        <v>28</v>
      </c>
      <c r="R27">
        <v>631</v>
      </c>
      <c r="S27" t="s">
        <v>68</v>
      </c>
      <c r="T27" t="s">
        <v>69</v>
      </c>
      <c r="U27">
        <v>122002</v>
      </c>
      <c r="V27" t="s">
        <v>31</v>
      </c>
      <c r="W27" t="b">
        <v>0</v>
      </c>
      <c r="X27" t="str">
        <f>CONCATENATE(Table1[[#This Row],[ship-city]]," -- ", Table1[[#This Row],[ship-postal-code]])</f>
        <v>GURUGRAM -- 122002</v>
      </c>
      <c r="Y27" t="str">
        <f>SUBSTITUTE(Table1[[#This Row],[city_pin_code]],"--"," ||")</f>
        <v>GURUGRAM  || 122002</v>
      </c>
    </row>
    <row r="28" spans="1:32" x14ac:dyDescent="0.3">
      <c r="A28">
        <v>18</v>
      </c>
      <c r="B28" t="s">
        <v>47</v>
      </c>
      <c r="C28">
        <v>3422488</v>
      </c>
      <c r="D28" t="s">
        <v>33</v>
      </c>
      <c r="E28">
        <v>48</v>
      </c>
      <c r="F28" t="str">
        <f t="shared" si="0"/>
        <v>Adults</v>
      </c>
      <c r="G28" s="11">
        <v>44899</v>
      </c>
      <c r="H28" s="11">
        <f>WEEKDAY(Table1[[#This Row],[Date]],2)</f>
        <v>7</v>
      </c>
      <c r="I28" s="9" t="str">
        <f>TEXT(Table1[[#This Row],[Date]],"dd")</f>
        <v>04</v>
      </c>
      <c r="J28" t="str">
        <f t="shared" si="1"/>
        <v>Dec</v>
      </c>
      <c r="K28" t="s">
        <v>23</v>
      </c>
      <c r="L28" t="s">
        <v>48</v>
      </c>
      <c r="M28" t="s">
        <v>49</v>
      </c>
      <c r="N28" t="s">
        <v>35</v>
      </c>
      <c r="O28" t="s">
        <v>50</v>
      </c>
      <c r="P28">
        <v>1</v>
      </c>
      <c r="Q28" t="s">
        <v>28</v>
      </c>
      <c r="R28">
        <v>563</v>
      </c>
      <c r="S28" t="s">
        <v>51</v>
      </c>
      <c r="T28" t="s">
        <v>52</v>
      </c>
      <c r="U28">
        <v>307001</v>
      </c>
      <c r="V28" t="s">
        <v>31</v>
      </c>
      <c r="W28" t="b">
        <v>0</v>
      </c>
      <c r="X28" t="str">
        <f>CONCATENATE(Table1[[#This Row],[ship-city]]," -- ", Table1[[#This Row],[ship-postal-code]])</f>
        <v>SIROHI -- 307001</v>
      </c>
      <c r="Y28" t="str">
        <f>SUBSTITUTE(Table1[[#This Row],[city_pin_code]],"--"," ||")</f>
        <v>SIROHI  || 307001</v>
      </c>
    </row>
    <row r="29" spans="1:32" x14ac:dyDescent="0.3">
      <c r="A29">
        <v>48</v>
      </c>
      <c r="B29" t="s">
        <v>53</v>
      </c>
      <c r="C29">
        <v>8068610</v>
      </c>
      <c r="D29" t="s">
        <v>33</v>
      </c>
      <c r="E29">
        <v>48</v>
      </c>
      <c r="F29" t="str">
        <f t="shared" si="0"/>
        <v>Adults</v>
      </c>
      <c r="G29" s="11">
        <v>44899</v>
      </c>
      <c r="H29" s="11">
        <f>WEEKDAY(Table1[[#This Row],[Date]],2)</f>
        <v>7</v>
      </c>
      <c r="I29" s="9" t="str">
        <f>TEXT(Table1[[#This Row],[Date]],"dd")</f>
        <v>04</v>
      </c>
      <c r="J29" t="str">
        <f t="shared" si="1"/>
        <v>Dec</v>
      </c>
      <c r="K29" t="s">
        <v>23</v>
      </c>
      <c r="L29" t="s">
        <v>54</v>
      </c>
      <c r="M29" t="s">
        <v>55</v>
      </c>
      <c r="N29" t="s">
        <v>43</v>
      </c>
      <c r="O29" t="s">
        <v>44</v>
      </c>
      <c r="P29">
        <v>1</v>
      </c>
      <c r="Q29" t="s">
        <v>28</v>
      </c>
      <c r="R29">
        <v>487</v>
      </c>
      <c r="S29" t="s">
        <v>56</v>
      </c>
      <c r="T29" t="s">
        <v>30</v>
      </c>
      <c r="U29">
        <v>411014</v>
      </c>
      <c r="V29" t="s">
        <v>31</v>
      </c>
      <c r="W29" t="b">
        <v>0</v>
      </c>
      <c r="X29" t="str">
        <f>CONCATENATE(Table1[[#This Row],[ship-city]]," -- ", Table1[[#This Row],[ship-postal-code]])</f>
        <v>PUNE -- 411014</v>
      </c>
      <c r="Y29" t="str">
        <f>SUBSTITUTE(Table1[[#This Row],[city_pin_code]],"--"," ||")</f>
        <v>PUNE  || 411014</v>
      </c>
    </row>
    <row r="30" spans="1:32" x14ac:dyDescent="0.3">
      <c r="A30">
        <v>92</v>
      </c>
      <c r="B30" t="s">
        <v>59</v>
      </c>
      <c r="C30">
        <v>7384618</v>
      </c>
      <c r="D30" t="s">
        <v>33</v>
      </c>
      <c r="E30">
        <v>48</v>
      </c>
      <c r="F30" t="str">
        <f t="shared" si="0"/>
        <v>Adults</v>
      </c>
      <c r="G30" s="11">
        <v>44899</v>
      </c>
      <c r="H30" s="11">
        <f>WEEKDAY(Table1[[#This Row],[Date]],2)</f>
        <v>7</v>
      </c>
      <c r="I30" s="9" t="str">
        <f>TEXT(Table1[[#This Row],[Date]],"dd")</f>
        <v>04</v>
      </c>
      <c r="J30" t="str">
        <f t="shared" si="1"/>
        <v>Dec</v>
      </c>
      <c r="K30" t="s">
        <v>23</v>
      </c>
      <c r="L30" t="s">
        <v>24</v>
      </c>
      <c r="M30" t="s">
        <v>60</v>
      </c>
      <c r="N30" t="s">
        <v>35</v>
      </c>
      <c r="O30" t="s">
        <v>61</v>
      </c>
      <c r="P30">
        <v>1</v>
      </c>
      <c r="Q30" t="s">
        <v>28</v>
      </c>
      <c r="R30">
        <v>429</v>
      </c>
      <c r="S30" t="s">
        <v>62</v>
      </c>
      <c r="T30" t="s">
        <v>63</v>
      </c>
      <c r="U30">
        <v>600051</v>
      </c>
      <c r="V30" t="s">
        <v>31</v>
      </c>
      <c r="W30" t="b">
        <v>0</v>
      </c>
      <c r="X30" t="str">
        <f>CONCATENATE(Table1[[#This Row],[ship-city]]," -- ", Table1[[#This Row],[ship-postal-code]])</f>
        <v>CHENNAI -- 600051</v>
      </c>
      <c r="Y30" t="str">
        <f>SUBSTITUTE(Table1[[#This Row],[city_pin_code]],"--"," ||")</f>
        <v>CHENNAI  || 600051</v>
      </c>
    </row>
    <row r="31" spans="1:32" x14ac:dyDescent="0.3">
      <c r="A31">
        <v>98</v>
      </c>
      <c r="B31" t="s">
        <v>72</v>
      </c>
      <c r="C31">
        <v>5516090</v>
      </c>
      <c r="D31" t="s">
        <v>22</v>
      </c>
      <c r="E31">
        <v>47</v>
      </c>
      <c r="F31" t="str">
        <f t="shared" si="0"/>
        <v>Adults</v>
      </c>
      <c r="G31" s="11">
        <v>44899</v>
      </c>
      <c r="H31" s="11">
        <f>WEEKDAY(Table1[[#This Row],[Date]],2)</f>
        <v>7</v>
      </c>
      <c r="I31" s="9" t="str">
        <f>TEXT(Table1[[#This Row],[Date]],"dd")</f>
        <v>04</v>
      </c>
      <c r="J31" t="str">
        <f t="shared" si="1"/>
        <v>Dec</v>
      </c>
      <c r="K31" t="s">
        <v>23</v>
      </c>
      <c r="L31" t="s">
        <v>48</v>
      </c>
      <c r="M31" t="s">
        <v>73</v>
      </c>
      <c r="N31" t="s">
        <v>26</v>
      </c>
      <c r="O31" t="s">
        <v>44</v>
      </c>
      <c r="P31">
        <v>1</v>
      </c>
      <c r="Q31" t="s">
        <v>28</v>
      </c>
      <c r="R31">
        <v>855</v>
      </c>
      <c r="S31" t="s">
        <v>74</v>
      </c>
      <c r="T31" t="s">
        <v>75</v>
      </c>
      <c r="U31">
        <v>752069</v>
      </c>
      <c r="V31" t="s">
        <v>31</v>
      </c>
      <c r="W31" t="b">
        <v>0</v>
      </c>
      <c r="X31" t="str">
        <f>CONCATENATE(Table1[[#This Row],[ship-city]]," -- ", Table1[[#This Row],[ship-postal-code]])</f>
        <v>Nayagarh -- 752069</v>
      </c>
      <c r="Y31" t="str">
        <f>SUBSTITUTE(Table1[[#This Row],[city_pin_code]],"--"," ||")</f>
        <v>Nayagarh  || 752069</v>
      </c>
    </row>
    <row r="32" spans="1:32" x14ac:dyDescent="0.3">
      <c r="A32">
        <v>60</v>
      </c>
      <c r="B32" t="s">
        <v>70</v>
      </c>
      <c r="C32">
        <v>381223</v>
      </c>
      <c r="D32" t="s">
        <v>22</v>
      </c>
      <c r="E32">
        <v>47</v>
      </c>
      <c r="F32" t="str">
        <f t="shared" si="0"/>
        <v>Adults</v>
      </c>
      <c r="G32" s="11">
        <v>44899</v>
      </c>
      <c r="H32" s="11">
        <f>WEEKDAY(Table1[[#This Row],[Date]],2)</f>
        <v>7</v>
      </c>
      <c r="I32" s="9" t="str">
        <f>TEXT(Table1[[#This Row],[Date]],"dd")</f>
        <v>04</v>
      </c>
      <c r="J32" t="str">
        <f t="shared" si="1"/>
        <v>Dec</v>
      </c>
      <c r="K32" t="s">
        <v>23</v>
      </c>
      <c r="L32" t="s">
        <v>65</v>
      </c>
      <c r="M32" t="s">
        <v>71</v>
      </c>
      <c r="N32" t="s">
        <v>35</v>
      </c>
      <c r="O32" t="s">
        <v>36</v>
      </c>
      <c r="P32">
        <v>1</v>
      </c>
      <c r="Q32" t="s">
        <v>28</v>
      </c>
      <c r="R32">
        <v>633</v>
      </c>
      <c r="S32" t="s">
        <v>62</v>
      </c>
      <c r="T32" t="s">
        <v>63</v>
      </c>
      <c r="U32">
        <v>600066</v>
      </c>
      <c r="V32" t="s">
        <v>31</v>
      </c>
      <c r="W32" t="b">
        <v>0</v>
      </c>
      <c r="X32" t="str">
        <f>CONCATENATE(Table1[[#This Row],[ship-city]]," -- ", Table1[[#This Row],[ship-postal-code]])</f>
        <v>CHENNAI -- 600066</v>
      </c>
      <c r="Y32" t="str">
        <f>SUBSTITUTE(Table1[[#This Row],[city_pin_code]],"--"," ||")</f>
        <v>CHENNAI  || 600066</v>
      </c>
    </row>
    <row r="33" spans="1:25" x14ac:dyDescent="0.3">
      <c r="A33">
        <v>47</v>
      </c>
      <c r="B33" t="s">
        <v>81</v>
      </c>
      <c r="C33">
        <v>7694743</v>
      </c>
      <c r="D33" t="s">
        <v>33</v>
      </c>
      <c r="E33">
        <v>46</v>
      </c>
      <c r="F33" t="str">
        <f t="shared" si="0"/>
        <v>Adults</v>
      </c>
      <c r="G33" s="11">
        <v>44899</v>
      </c>
      <c r="H33" s="11">
        <f>WEEKDAY(Table1[[#This Row],[Date]],2)</f>
        <v>7</v>
      </c>
      <c r="I33" s="9" t="str">
        <f>TEXT(Table1[[#This Row],[Date]],"dd")</f>
        <v>04</v>
      </c>
      <c r="J33" t="str">
        <f t="shared" si="1"/>
        <v>Dec</v>
      </c>
      <c r="K33" t="s">
        <v>23</v>
      </c>
      <c r="L33" t="s">
        <v>41</v>
      </c>
      <c r="M33" t="s">
        <v>82</v>
      </c>
      <c r="N33" t="s">
        <v>35</v>
      </c>
      <c r="O33" t="s">
        <v>44</v>
      </c>
      <c r="P33">
        <v>1</v>
      </c>
      <c r="Q33" t="s">
        <v>28</v>
      </c>
      <c r="R33">
        <v>833</v>
      </c>
      <c r="S33" t="s">
        <v>83</v>
      </c>
      <c r="T33" t="s">
        <v>84</v>
      </c>
      <c r="U33">
        <v>562107</v>
      </c>
      <c r="V33" t="s">
        <v>31</v>
      </c>
      <c r="W33" t="b">
        <v>0</v>
      </c>
      <c r="X33" t="str">
        <f>CONCATENATE(Table1[[#This Row],[ship-city]]," -- ", Table1[[#This Row],[ship-postal-code]])</f>
        <v>BENGALURU -- 562107</v>
      </c>
      <c r="Y33" t="str">
        <f>SUBSTITUTE(Table1[[#This Row],[city_pin_code]],"--"," ||")</f>
        <v>BENGALURU  || 562107</v>
      </c>
    </row>
    <row r="34" spans="1:25" x14ac:dyDescent="0.3">
      <c r="A34">
        <v>82</v>
      </c>
      <c r="B34" t="s">
        <v>90</v>
      </c>
      <c r="C34">
        <v>8573929</v>
      </c>
      <c r="D34" t="s">
        <v>33</v>
      </c>
      <c r="E34">
        <v>46</v>
      </c>
      <c r="F34" t="str">
        <f t="shared" ref="F34:F65" si="3">IF(E34&gt;=50,"Senior", IF(E34&gt;=30,"Adults","Teenager"))</f>
        <v>Adults</v>
      </c>
      <c r="G34" s="11">
        <v>44899</v>
      </c>
      <c r="H34" s="11">
        <f>WEEKDAY(Table1[[#This Row],[Date]],2)</f>
        <v>7</v>
      </c>
      <c r="I34" s="9" t="str">
        <f>TEXT(Table1[[#This Row],[Date]],"dd")</f>
        <v>04</v>
      </c>
      <c r="J34" t="str">
        <f t="shared" ref="J34:J65" si="4">TEXT(G34,"mmm")</f>
        <v>Dec</v>
      </c>
      <c r="K34" t="s">
        <v>23</v>
      </c>
      <c r="L34" t="s">
        <v>77</v>
      </c>
      <c r="M34" t="s">
        <v>91</v>
      </c>
      <c r="N34" t="s">
        <v>43</v>
      </c>
      <c r="O34" t="s">
        <v>67</v>
      </c>
      <c r="P34">
        <v>1</v>
      </c>
      <c r="Q34" t="s">
        <v>28</v>
      </c>
      <c r="R34">
        <v>729</v>
      </c>
      <c r="S34" t="s">
        <v>92</v>
      </c>
      <c r="T34" t="s">
        <v>93</v>
      </c>
      <c r="U34">
        <v>700082</v>
      </c>
      <c r="V34" t="s">
        <v>31</v>
      </c>
      <c r="W34" t="b">
        <v>0</v>
      </c>
      <c r="X34" t="str">
        <f>CONCATENATE(Table1[[#This Row],[ship-city]]," -- ", Table1[[#This Row],[ship-postal-code]])</f>
        <v>kolkata -- 700082</v>
      </c>
      <c r="Y34" t="str">
        <f>SUBSTITUTE(Table1[[#This Row],[city_pin_code]],"--"," ||")</f>
        <v>kolkata  || 700082</v>
      </c>
    </row>
    <row r="35" spans="1:25" x14ac:dyDescent="0.3">
      <c r="A35">
        <v>69</v>
      </c>
      <c r="B35" t="s">
        <v>85</v>
      </c>
      <c r="C35">
        <v>3286680</v>
      </c>
      <c r="D35" t="s">
        <v>33</v>
      </c>
      <c r="E35">
        <v>46</v>
      </c>
      <c r="F35" t="str">
        <f t="shared" si="3"/>
        <v>Adults</v>
      </c>
      <c r="G35" s="11">
        <v>44899</v>
      </c>
      <c r="H35" s="11">
        <f>WEEKDAY(Table1[[#This Row],[Date]],2)</f>
        <v>7</v>
      </c>
      <c r="I35" s="9" t="str">
        <f>TEXT(Table1[[#This Row],[Date]],"dd")</f>
        <v>04</v>
      </c>
      <c r="J35" t="str">
        <f t="shared" si="4"/>
        <v>Dec</v>
      </c>
      <c r="K35" t="s">
        <v>23</v>
      </c>
      <c r="L35" t="s">
        <v>41</v>
      </c>
      <c r="M35" t="s">
        <v>86</v>
      </c>
      <c r="N35" t="s">
        <v>87</v>
      </c>
      <c r="O35" t="s">
        <v>88</v>
      </c>
      <c r="P35">
        <v>1</v>
      </c>
      <c r="Q35" t="s">
        <v>28</v>
      </c>
      <c r="R35">
        <v>685</v>
      </c>
      <c r="S35" t="s">
        <v>89</v>
      </c>
      <c r="T35" t="s">
        <v>69</v>
      </c>
      <c r="U35">
        <v>134116</v>
      </c>
      <c r="V35" t="s">
        <v>31</v>
      </c>
      <c r="W35" t="b">
        <v>0</v>
      </c>
      <c r="X35" t="str">
        <f>CONCATENATE(Table1[[#This Row],[ship-city]]," -- ", Table1[[#This Row],[ship-postal-code]])</f>
        <v>Panchkula -- 134116</v>
      </c>
      <c r="Y35" t="str">
        <f>SUBSTITUTE(Table1[[#This Row],[city_pin_code]],"--"," ||")</f>
        <v>Panchkula  || 134116</v>
      </c>
    </row>
    <row r="36" spans="1:25" x14ac:dyDescent="0.3">
      <c r="A36">
        <v>20</v>
      </c>
      <c r="B36" t="s">
        <v>76</v>
      </c>
      <c r="C36">
        <v>244536</v>
      </c>
      <c r="D36" t="s">
        <v>33</v>
      </c>
      <c r="E36">
        <v>46</v>
      </c>
      <c r="F36" t="str">
        <f t="shared" si="3"/>
        <v>Adults</v>
      </c>
      <c r="G36" s="11">
        <v>44899</v>
      </c>
      <c r="H36" s="11">
        <f>WEEKDAY(Table1[[#This Row],[Date]],2)</f>
        <v>7</v>
      </c>
      <c r="I36" s="9" t="str">
        <f>TEXT(Table1[[#This Row],[Date]],"dd")</f>
        <v>04</v>
      </c>
      <c r="J36" t="str">
        <f t="shared" si="4"/>
        <v>Dec</v>
      </c>
      <c r="K36" t="s">
        <v>23</v>
      </c>
      <c r="L36" t="s">
        <v>77</v>
      </c>
      <c r="M36" t="s">
        <v>78</v>
      </c>
      <c r="N36" t="s">
        <v>35</v>
      </c>
      <c r="O36" t="s">
        <v>67</v>
      </c>
      <c r="P36">
        <v>1</v>
      </c>
      <c r="Q36" t="s">
        <v>28</v>
      </c>
      <c r="R36">
        <v>545</v>
      </c>
      <c r="S36" t="s">
        <v>79</v>
      </c>
      <c r="T36" t="s">
        <v>80</v>
      </c>
      <c r="U36">
        <v>143001</v>
      </c>
      <c r="V36" t="s">
        <v>31</v>
      </c>
      <c r="W36" t="b">
        <v>0</v>
      </c>
      <c r="X36" t="str">
        <f>CONCATENATE(Table1[[#This Row],[ship-city]]," -- ", Table1[[#This Row],[ship-postal-code]])</f>
        <v>AMRITSAR -- 143001</v>
      </c>
      <c r="Y36" t="str">
        <f>SUBSTITUTE(Table1[[#This Row],[city_pin_code]],"--"," ||")</f>
        <v>AMRITSAR  || 143001</v>
      </c>
    </row>
    <row r="37" spans="1:25" x14ac:dyDescent="0.3">
      <c r="A37">
        <v>76</v>
      </c>
      <c r="B37" t="s">
        <v>98</v>
      </c>
      <c r="C37">
        <v>9793483</v>
      </c>
      <c r="D37" t="s">
        <v>22</v>
      </c>
      <c r="E37">
        <v>45</v>
      </c>
      <c r="F37" t="str">
        <f t="shared" si="3"/>
        <v>Adults</v>
      </c>
      <c r="G37" s="11">
        <v>44899</v>
      </c>
      <c r="H37" s="11">
        <f>WEEKDAY(Table1[[#This Row],[Date]],2)</f>
        <v>7</v>
      </c>
      <c r="I37" s="9" t="str">
        <f>TEXT(Table1[[#This Row],[Date]],"dd")</f>
        <v>04</v>
      </c>
      <c r="J37" t="str">
        <f t="shared" si="4"/>
        <v>Dec</v>
      </c>
      <c r="K37" t="s">
        <v>23</v>
      </c>
      <c r="L37" t="s">
        <v>41</v>
      </c>
      <c r="M37" t="s">
        <v>99</v>
      </c>
      <c r="N37" t="s">
        <v>35</v>
      </c>
      <c r="O37" t="s">
        <v>36</v>
      </c>
      <c r="P37">
        <v>1</v>
      </c>
      <c r="Q37" t="s">
        <v>28</v>
      </c>
      <c r="R37">
        <v>597</v>
      </c>
      <c r="S37" t="s">
        <v>83</v>
      </c>
      <c r="T37" t="s">
        <v>84</v>
      </c>
      <c r="U37">
        <v>560021</v>
      </c>
      <c r="V37" t="s">
        <v>31</v>
      </c>
      <c r="W37" t="b">
        <v>0</v>
      </c>
      <c r="X37" t="str">
        <f>CONCATENATE(Table1[[#This Row],[ship-city]]," -- ", Table1[[#This Row],[ship-postal-code]])</f>
        <v>BENGALURU -- 560021</v>
      </c>
      <c r="Y37" t="str">
        <f>SUBSTITUTE(Table1[[#This Row],[city_pin_code]],"--"," ||")</f>
        <v>BENGALURU  || 560021</v>
      </c>
    </row>
    <row r="38" spans="1:25" x14ac:dyDescent="0.3">
      <c r="A38">
        <v>12</v>
      </c>
      <c r="B38" t="s">
        <v>94</v>
      </c>
      <c r="C38">
        <v>2648970</v>
      </c>
      <c r="D38" t="s">
        <v>33</v>
      </c>
      <c r="E38">
        <v>45</v>
      </c>
      <c r="F38" t="str">
        <f t="shared" si="3"/>
        <v>Adults</v>
      </c>
      <c r="G38" s="11">
        <v>44899</v>
      </c>
      <c r="H38" s="11">
        <f>WEEKDAY(Table1[[#This Row],[Date]],2)</f>
        <v>7</v>
      </c>
      <c r="I38" s="9" t="str">
        <f>TEXT(Table1[[#This Row],[Date]],"dd")</f>
        <v>04</v>
      </c>
      <c r="J38" t="str">
        <f t="shared" si="4"/>
        <v>Dec</v>
      </c>
      <c r="K38" t="s">
        <v>23</v>
      </c>
      <c r="L38" t="s">
        <v>41</v>
      </c>
      <c r="M38" t="s">
        <v>95</v>
      </c>
      <c r="N38" t="s">
        <v>96</v>
      </c>
      <c r="O38" t="s">
        <v>67</v>
      </c>
      <c r="P38">
        <v>1</v>
      </c>
      <c r="Q38" t="s">
        <v>28</v>
      </c>
      <c r="R38">
        <v>399</v>
      </c>
      <c r="S38" t="s">
        <v>97</v>
      </c>
      <c r="T38" t="s">
        <v>63</v>
      </c>
      <c r="U38">
        <v>631003</v>
      </c>
      <c r="V38" t="s">
        <v>31</v>
      </c>
      <c r="W38" t="b">
        <v>0</v>
      </c>
      <c r="X38" t="str">
        <f>CONCATENATE(Table1[[#This Row],[ship-city]]," -- ", Table1[[#This Row],[ship-postal-code]])</f>
        <v>ARAKONAM -- 631003</v>
      </c>
      <c r="Y38" t="str">
        <f>SUBSTITUTE(Table1[[#This Row],[city_pin_code]],"--"," ||")</f>
        <v>ARAKONAM  || 631003</v>
      </c>
    </row>
    <row r="39" spans="1:25" x14ac:dyDescent="0.3">
      <c r="A39">
        <v>43</v>
      </c>
      <c r="B39" t="s">
        <v>105</v>
      </c>
      <c r="C39">
        <v>3393819</v>
      </c>
      <c r="D39" t="s">
        <v>33</v>
      </c>
      <c r="E39">
        <v>44</v>
      </c>
      <c r="F39" t="str">
        <f t="shared" si="3"/>
        <v>Adults</v>
      </c>
      <c r="G39" s="11">
        <v>44899</v>
      </c>
      <c r="H39" s="11">
        <f>WEEKDAY(Table1[[#This Row],[Date]],2)</f>
        <v>7</v>
      </c>
      <c r="I39" s="9" t="str">
        <f>TEXT(Table1[[#This Row],[Date]],"dd")</f>
        <v>04</v>
      </c>
      <c r="J39" t="str">
        <f t="shared" si="4"/>
        <v>Dec</v>
      </c>
      <c r="K39" t="s">
        <v>23</v>
      </c>
      <c r="L39" t="s">
        <v>41</v>
      </c>
      <c r="M39" t="s">
        <v>106</v>
      </c>
      <c r="N39" t="s">
        <v>35</v>
      </c>
      <c r="O39" t="s">
        <v>50</v>
      </c>
      <c r="P39">
        <v>1</v>
      </c>
      <c r="Q39" t="s">
        <v>28</v>
      </c>
      <c r="R39">
        <v>1115</v>
      </c>
      <c r="S39" t="s">
        <v>56</v>
      </c>
      <c r="T39" t="s">
        <v>30</v>
      </c>
      <c r="U39">
        <v>412207</v>
      </c>
      <c r="V39" t="s">
        <v>31</v>
      </c>
      <c r="W39" t="b">
        <v>0</v>
      </c>
      <c r="X39" t="str">
        <f>CONCATENATE(Table1[[#This Row],[ship-city]]," -- ", Table1[[#This Row],[ship-postal-code]])</f>
        <v>PUNE -- 412207</v>
      </c>
      <c r="Y39" t="str">
        <f>SUBSTITUTE(Table1[[#This Row],[city_pin_code]],"--"," ||")</f>
        <v>PUNE  || 412207</v>
      </c>
    </row>
    <row r="40" spans="1:25" x14ac:dyDescent="0.3">
      <c r="A40">
        <v>14</v>
      </c>
      <c r="B40" t="s">
        <v>103</v>
      </c>
      <c r="C40">
        <v>9268874</v>
      </c>
      <c r="D40" t="s">
        <v>22</v>
      </c>
      <c r="E40">
        <v>44</v>
      </c>
      <c r="F40" t="str">
        <f t="shared" si="3"/>
        <v>Adults</v>
      </c>
      <c r="G40" s="11">
        <v>44899</v>
      </c>
      <c r="H40" s="11">
        <f>WEEKDAY(Table1[[#This Row],[Date]],2)</f>
        <v>7</v>
      </c>
      <c r="I40" s="9" t="str">
        <f>TEXT(Table1[[#This Row],[Date]],"dd")</f>
        <v>04</v>
      </c>
      <c r="J40" t="str">
        <f t="shared" si="4"/>
        <v>Dec</v>
      </c>
      <c r="K40" t="s">
        <v>23</v>
      </c>
      <c r="L40" t="s">
        <v>41</v>
      </c>
      <c r="M40" t="s">
        <v>104</v>
      </c>
      <c r="N40" t="s">
        <v>35</v>
      </c>
      <c r="O40" t="s">
        <v>67</v>
      </c>
      <c r="P40">
        <v>1</v>
      </c>
      <c r="Q40" t="s">
        <v>28</v>
      </c>
      <c r="R40">
        <v>911</v>
      </c>
      <c r="S40" t="s">
        <v>83</v>
      </c>
      <c r="T40" t="s">
        <v>84</v>
      </c>
      <c r="U40">
        <v>562125</v>
      </c>
      <c r="V40" t="s">
        <v>31</v>
      </c>
      <c r="W40" t="b">
        <v>0</v>
      </c>
      <c r="X40" t="str">
        <f>CONCATENATE(Table1[[#This Row],[ship-city]]," -- ", Table1[[#This Row],[ship-postal-code]])</f>
        <v>BENGALURU -- 562125</v>
      </c>
      <c r="Y40" t="str">
        <f>SUBSTITUTE(Table1[[#This Row],[city_pin_code]],"--"," ||")</f>
        <v>BENGALURU  || 562125</v>
      </c>
    </row>
    <row r="41" spans="1:25" x14ac:dyDescent="0.3">
      <c r="A41">
        <v>65</v>
      </c>
      <c r="B41" t="s">
        <v>107</v>
      </c>
      <c r="C41">
        <v>5169174</v>
      </c>
      <c r="D41" t="s">
        <v>33</v>
      </c>
      <c r="E41">
        <v>44</v>
      </c>
      <c r="F41" t="str">
        <f t="shared" si="3"/>
        <v>Adults</v>
      </c>
      <c r="G41" s="11">
        <v>44899</v>
      </c>
      <c r="H41" s="11">
        <f>WEEKDAY(Table1[[#This Row],[Date]],2)</f>
        <v>7</v>
      </c>
      <c r="I41" s="9" t="str">
        <f>TEXT(Table1[[#This Row],[Date]],"dd")</f>
        <v>04</v>
      </c>
      <c r="J41" t="str">
        <f t="shared" si="4"/>
        <v>Dec</v>
      </c>
      <c r="K41" t="s">
        <v>108</v>
      </c>
      <c r="L41" t="s">
        <v>41</v>
      </c>
      <c r="M41" t="s">
        <v>109</v>
      </c>
      <c r="N41" t="s">
        <v>43</v>
      </c>
      <c r="O41" t="s">
        <v>36</v>
      </c>
      <c r="P41">
        <v>1</v>
      </c>
      <c r="Q41" t="s">
        <v>28</v>
      </c>
      <c r="R41">
        <v>399</v>
      </c>
      <c r="S41" t="s">
        <v>110</v>
      </c>
      <c r="T41" t="s">
        <v>30</v>
      </c>
      <c r="U41">
        <v>421306</v>
      </c>
      <c r="V41" t="s">
        <v>31</v>
      </c>
      <c r="W41" t="b">
        <v>0</v>
      </c>
      <c r="X41" t="str">
        <f>CONCATENATE(Table1[[#This Row],[ship-city]]," -- ", Table1[[#This Row],[ship-postal-code]])</f>
        <v>KALYAN -- 421306</v>
      </c>
      <c r="Y41" t="str">
        <f>SUBSTITUTE(Table1[[#This Row],[city_pin_code]],"--"," ||")</f>
        <v>KALYAN  || 421306</v>
      </c>
    </row>
    <row r="42" spans="1:25" x14ac:dyDescent="0.3">
      <c r="A42">
        <v>1</v>
      </c>
      <c r="B42" t="s">
        <v>100</v>
      </c>
      <c r="C42">
        <v>1029312</v>
      </c>
      <c r="D42" t="s">
        <v>33</v>
      </c>
      <c r="E42">
        <v>44</v>
      </c>
      <c r="F42" t="str">
        <f t="shared" si="3"/>
        <v>Adults</v>
      </c>
      <c r="G42" s="11">
        <v>44899</v>
      </c>
      <c r="H42" s="11">
        <f>WEEKDAY(Table1[[#This Row],[Date]],2)</f>
        <v>7</v>
      </c>
      <c r="I42" s="9" t="str">
        <f>TEXT(Table1[[#This Row],[Date]],"dd")</f>
        <v>04</v>
      </c>
      <c r="J42" t="str">
        <f t="shared" si="4"/>
        <v>Dec</v>
      </c>
      <c r="K42" t="s">
        <v>23</v>
      </c>
      <c r="L42" t="s">
        <v>41</v>
      </c>
      <c r="M42" t="s">
        <v>101</v>
      </c>
      <c r="N42" t="s">
        <v>43</v>
      </c>
      <c r="O42" t="s">
        <v>27</v>
      </c>
      <c r="P42">
        <v>1</v>
      </c>
      <c r="Q42" t="s">
        <v>28</v>
      </c>
      <c r="R42">
        <v>376</v>
      </c>
      <c r="S42" t="s">
        <v>102</v>
      </c>
      <c r="T42" t="s">
        <v>80</v>
      </c>
      <c r="U42">
        <v>140301</v>
      </c>
      <c r="V42" t="s">
        <v>31</v>
      </c>
      <c r="W42" t="b">
        <v>0</v>
      </c>
      <c r="X42" t="str">
        <f>CONCATENATE(Table1[[#This Row],[ship-city]]," -- ", Table1[[#This Row],[ship-postal-code]])</f>
        <v>MOHALI -- 140301</v>
      </c>
      <c r="Y42" t="str">
        <f>SUBSTITUTE(Table1[[#This Row],[city_pin_code]],"--"," ||")</f>
        <v>MOHALI  || 140301</v>
      </c>
    </row>
    <row r="43" spans="1:25" x14ac:dyDescent="0.3">
      <c r="A43">
        <v>21</v>
      </c>
      <c r="B43" t="s">
        <v>114</v>
      </c>
      <c r="C43">
        <v>4376789</v>
      </c>
      <c r="D43" t="s">
        <v>33</v>
      </c>
      <c r="E43">
        <v>43</v>
      </c>
      <c r="F43" t="str">
        <f t="shared" si="3"/>
        <v>Adults</v>
      </c>
      <c r="G43" s="11">
        <v>44899</v>
      </c>
      <c r="H43" s="11">
        <f>WEEKDAY(Table1[[#This Row],[Date]],2)</f>
        <v>7</v>
      </c>
      <c r="I43" s="9" t="str">
        <f>TEXT(Table1[[#This Row],[Date]],"dd")</f>
        <v>04</v>
      </c>
      <c r="J43" t="str">
        <f t="shared" si="4"/>
        <v>Dec</v>
      </c>
      <c r="K43" t="s">
        <v>23</v>
      </c>
      <c r="L43" t="s">
        <v>54</v>
      </c>
      <c r="M43" t="s">
        <v>115</v>
      </c>
      <c r="N43" t="s">
        <v>35</v>
      </c>
      <c r="O43" t="s">
        <v>116</v>
      </c>
      <c r="P43">
        <v>1</v>
      </c>
      <c r="Q43" t="s">
        <v>28</v>
      </c>
      <c r="R43">
        <v>1164</v>
      </c>
      <c r="S43" t="s">
        <v>117</v>
      </c>
      <c r="T43" t="s">
        <v>118</v>
      </c>
      <c r="U43">
        <v>226024</v>
      </c>
      <c r="V43" t="s">
        <v>31</v>
      </c>
      <c r="W43" t="b">
        <v>0</v>
      </c>
      <c r="X43" t="str">
        <f>CONCATENATE(Table1[[#This Row],[ship-city]]," -- ", Table1[[#This Row],[ship-postal-code]])</f>
        <v>LUCKNOW -- 226024</v>
      </c>
      <c r="Y43" t="str">
        <f>SUBSTITUTE(Table1[[#This Row],[city_pin_code]],"--"," ||")</f>
        <v>LUCKNOW  || 226024</v>
      </c>
    </row>
    <row r="44" spans="1:25" x14ac:dyDescent="0.3">
      <c r="A44">
        <v>10</v>
      </c>
      <c r="B44" t="s">
        <v>94</v>
      </c>
      <c r="C44">
        <v>2648970</v>
      </c>
      <c r="D44" t="s">
        <v>33</v>
      </c>
      <c r="E44">
        <v>43</v>
      </c>
      <c r="F44" t="str">
        <f t="shared" si="3"/>
        <v>Adults</v>
      </c>
      <c r="G44" s="11">
        <v>44899</v>
      </c>
      <c r="H44" s="11">
        <f>WEEKDAY(Table1[[#This Row],[Date]],2)</f>
        <v>7</v>
      </c>
      <c r="I44" s="9" t="str">
        <f>TEXT(Table1[[#This Row],[Date]],"dd")</f>
        <v>04</v>
      </c>
      <c r="J44" t="str">
        <f t="shared" si="4"/>
        <v>Dec</v>
      </c>
      <c r="K44" t="s">
        <v>23</v>
      </c>
      <c r="L44" t="s">
        <v>41</v>
      </c>
      <c r="M44" t="s">
        <v>111</v>
      </c>
      <c r="N44" t="s">
        <v>43</v>
      </c>
      <c r="O44" t="s">
        <v>61</v>
      </c>
      <c r="P44">
        <v>1</v>
      </c>
      <c r="Q44" t="s">
        <v>28</v>
      </c>
      <c r="R44">
        <v>771</v>
      </c>
      <c r="S44" t="s">
        <v>112</v>
      </c>
      <c r="T44" t="s">
        <v>113</v>
      </c>
      <c r="U44">
        <v>520002</v>
      </c>
      <c r="V44" t="s">
        <v>31</v>
      </c>
      <c r="W44" t="b">
        <v>0</v>
      </c>
      <c r="X44" t="str">
        <f>CONCATENATE(Table1[[#This Row],[ship-city]]," -- ", Table1[[#This Row],[ship-postal-code]])</f>
        <v>VIJAYAWADA -- 520002</v>
      </c>
      <c r="Y44" t="str">
        <f>SUBSTITUTE(Table1[[#This Row],[city_pin_code]],"--"," ||")</f>
        <v>VIJAYAWADA  || 520002</v>
      </c>
    </row>
    <row r="45" spans="1:25" x14ac:dyDescent="0.3">
      <c r="A45">
        <v>53</v>
      </c>
      <c r="B45" t="s">
        <v>119</v>
      </c>
      <c r="C45">
        <v>817885</v>
      </c>
      <c r="D45" t="s">
        <v>33</v>
      </c>
      <c r="E45">
        <v>43</v>
      </c>
      <c r="F45" t="str">
        <f t="shared" si="3"/>
        <v>Adults</v>
      </c>
      <c r="G45" s="11">
        <v>44899</v>
      </c>
      <c r="H45" s="11">
        <f>WEEKDAY(Table1[[#This Row],[Date]],2)</f>
        <v>7</v>
      </c>
      <c r="I45" s="9" t="str">
        <f>TEXT(Table1[[#This Row],[Date]],"dd")</f>
        <v>04</v>
      </c>
      <c r="J45" t="str">
        <f t="shared" si="4"/>
        <v>Dec</v>
      </c>
      <c r="K45" t="s">
        <v>23</v>
      </c>
      <c r="L45" t="s">
        <v>48</v>
      </c>
      <c r="M45" t="s">
        <v>120</v>
      </c>
      <c r="N45" t="s">
        <v>96</v>
      </c>
      <c r="O45" t="s">
        <v>44</v>
      </c>
      <c r="P45">
        <v>1</v>
      </c>
      <c r="Q45" t="s">
        <v>28</v>
      </c>
      <c r="R45">
        <v>540</v>
      </c>
      <c r="S45" t="s">
        <v>121</v>
      </c>
      <c r="T45" t="s">
        <v>46</v>
      </c>
      <c r="U45">
        <v>110017</v>
      </c>
      <c r="V45" t="s">
        <v>31</v>
      </c>
      <c r="W45" t="b">
        <v>0</v>
      </c>
      <c r="X45" t="str">
        <f>CONCATENATE(Table1[[#This Row],[ship-city]]," -- ", Table1[[#This Row],[ship-postal-code]])</f>
        <v>SOUTH DELHI -- 110017</v>
      </c>
      <c r="Y45" t="str">
        <f>SUBSTITUTE(Table1[[#This Row],[city_pin_code]],"--"," ||")</f>
        <v>SOUTH DELHI  || 110017</v>
      </c>
    </row>
    <row r="46" spans="1:25" x14ac:dyDescent="0.3">
      <c r="A46">
        <v>62</v>
      </c>
      <c r="B46" t="s">
        <v>122</v>
      </c>
      <c r="C46">
        <v>1785530</v>
      </c>
      <c r="D46" t="s">
        <v>33</v>
      </c>
      <c r="E46">
        <v>42</v>
      </c>
      <c r="F46" t="str">
        <f t="shared" si="3"/>
        <v>Adults</v>
      </c>
      <c r="G46" s="11">
        <v>44899</v>
      </c>
      <c r="H46" s="11">
        <f>WEEKDAY(Table1[[#This Row],[Date]],2)</f>
        <v>7</v>
      </c>
      <c r="I46" s="9" t="str">
        <f>TEXT(Table1[[#This Row],[Date]],"dd")</f>
        <v>04</v>
      </c>
      <c r="J46" t="str">
        <f t="shared" si="4"/>
        <v>Dec</v>
      </c>
      <c r="K46" t="s">
        <v>23</v>
      </c>
      <c r="L46" t="s">
        <v>77</v>
      </c>
      <c r="M46" t="s">
        <v>123</v>
      </c>
      <c r="N46" t="s">
        <v>43</v>
      </c>
      <c r="O46" t="s">
        <v>124</v>
      </c>
      <c r="P46">
        <v>1</v>
      </c>
      <c r="Q46" t="s">
        <v>28</v>
      </c>
      <c r="R46">
        <v>764</v>
      </c>
      <c r="S46" t="s">
        <v>83</v>
      </c>
      <c r="T46" t="s">
        <v>84</v>
      </c>
      <c r="U46">
        <v>560103</v>
      </c>
      <c r="V46" t="s">
        <v>31</v>
      </c>
      <c r="W46" t="b">
        <v>0</v>
      </c>
      <c r="X46" t="str">
        <f>CONCATENATE(Table1[[#This Row],[ship-city]]," -- ", Table1[[#This Row],[ship-postal-code]])</f>
        <v>BENGALURU -- 560103</v>
      </c>
      <c r="Y46" t="str">
        <f>SUBSTITUTE(Table1[[#This Row],[city_pin_code]],"--"," ||")</f>
        <v>BENGALURU  || 560103</v>
      </c>
    </row>
    <row r="47" spans="1:25" x14ac:dyDescent="0.3">
      <c r="A47">
        <v>38</v>
      </c>
      <c r="B47" t="s">
        <v>128</v>
      </c>
      <c r="C47">
        <v>6932218</v>
      </c>
      <c r="D47" t="s">
        <v>33</v>
      </c>
      <c r="E47">
        <v>41</v>
      </c>
      <c r="F47" t="str">
        <f t="shared" si="3"/>
        <v>Adults</v>
      </c>
      <c r="G47" s="11">
        <v>44899</v>
      </c>
      <c r="H47" s="11">
        <f>WEEKDAY(Table1[[#This Row],[Date]],2)</f>
        <v>7</v>
      </c>
      <c r="I47" s="9" t="str">
        <f>TEXT(Table1[[#This Row],[Date]],"dd")</f>
        <v>04</v>
      </c>
      <c r="J47" t="str">
        <f t="shared" si="4"/>
        <v>Dec</v>
      </c>
      <c r="K47" t="s">
        <v>23</v>
      </c>
      <c r="L47" t="s">
        <v>41</v>
      </c>
      <c r="M47" t="s">
        <v>129</v>
      </c>
      <c r="N47" t="s">
        <v>35</v>
      </c>
      <c r="O47" t="s">
        <v>50</v>
      </c>
      <c r="P47">
        <v>1</v>
      </c>
      <c r="Q47" t="s">
        <v>28</v>
      </c>
      <c r="R47">
        <v>967</v>
      </c>
      <c r="S47" t="s">
        <v>130</v>
      </c>
      <c r="T47" t="s">
        <v>130</v>
      </c>
      <c r="U47">
        <v>160036</v>
      </c>
      <c r="V47" t="s">
        <v>31</v>
      </c>
      <c r="W47" t="b">
        <v>0</v>
      </c>
      <c r="X47" t="str">
        <f>CONCATENATE(Table1[[#This Row],[ship-city]]," -- ", Table1[[#This Row],[ship-postal-code]])</f>
        <v>CHANDIGARH -- 160036</v>
      </c>
      <c r="Y47" t="str">
        <f>SUBSTITUTE(Table1[[#This Row],[city_pin_code]],"--"," ||")</f>
        <v>CHANDIGARH  || 160036</v>
      </c>
    </row>
    <row r="48" spans="1:25" x14ac:dyDescent="0.3">
      <c r="A48">
        <v>37</v>
      </c>
      <c r="B48" t="s">
        <v>125</v>
      </c>
      <c r="C48">
        <v>9033015</v>
      </c>
      <c r="D48" t="s">
        <v>33</v>
      </c>
      <c r="E48">
        <v>41</v>
      </c>
      <c r="F48" t="str">
        <f t="shared" si="3"/>
        <v>Adults</v>
      </c>
      <c r="G48" s="11">
        <v>44899</v>
      </c>
      <c r="H48" s="11">
        <f>WEEKDAY(Table1[[#This Row],[Date]],2)</f>
        <v>7</v>
      </c>
      <c r="I48" s="9" t="str">
        <f>TEXT(Table1[[#This Row],[Date]],"dd")</f>
        <v>04</v>
      </c>
      <c r="J48" t="str">
        <f t="shared" si="4"/>
        <v>Dec</v>
      </c>
      <c r="K48" t="s">
        <v>23</v>
      </c>
      <c r="L48" t="s">
        <v>77</v>
      </c>
      <c r="M48" t="s">
        <v>126</v>
      </c>
      <c r="N48" t="s">
        <v>43</v>
      </c>
      <c r="O48" t="s">
        <v>36</v>
      </c>
      <c r="P48">
        <v>1</v>
      </c>
      <c r="Q48" t="s">
        <v>28</v>
      </c>
      <c r="R48">
        <v>449</v>
      </c>
      <c r="S48" t="s">
        <v>127</v>
      </c>
      <c r="T48" t="s">
        <v>38</v>
      </c>
      <c r="U48">
        <v>670309</v>
      </c>
      <c r="V48" t="s">
        <v>31</v>
      </c>
      <c r="W48" t="b">
        <v>0</v>
      </c>
      <c r="X48" t="str">
        <f>CONCATENATE(Table1[[#This Row],[ship-city]]," -- ", Table1[[#This Row],[ship-postal-code]])</f>
        <v>Payyannur -- 670309</v>
      </c>
      <c r="Y48" t="str">
        <f>SUBSTITUTE(Table1[[#This Row],[city_pin_code]],"--"," ||")</f>
        <v>Payyannur  || 670309</v>
      </c>
    </row>
    <row r="49" spans="1:25" x14ac:dyDescent="0.3">
      <c r="A49">
        <v>31</v>
      </c>
      <c r="B49" t="s">
        <v>131</v>
      </c>
      <c r="C49">
        <v>9281717</v>
      </c>
      <c r="D49" t="s">
        <v>22</v>
      </c>
      <c r="E49">
        <v>40</v>
      </c>
      <c r="F49" t="str">
        <f t="shared" si="3"/>
        <v>Adults</v>
      </c>
      <c r="G49" s="11">
        <v>44899</v>
      </c>
      <c r="H49" s="11">
        <f>WEEKDAY(Table1[[#This Row],[Date]],2)</f>
        <v>7</v>
      </c>
      <c r="I49" s="9" t="str">
        <f>TEXT(Table1[[#This Row],[Date]],"dd")</f>
        <v>04</v>
      </c>
      <c r="J49" t="str">
        <f t="shared" si="4"/>
        <v>Dec</v>
      </c>
      <c r="K49" t="s">
        <v>23</v>
      </c>
      <c r="L49" t="s">
        <v>77</v>
      </c>
      <c r="M49" t="s">
        <v>25</v>
      </c>
      <c r="N49" t="s">
        <v>26</v>
      </c>
      <c r="O49" t="s">
        <v>27</v>
      </c>
      <c r="P49">
        <v>1</v>
      </c>
      <c r="Q49" t="s">
        <v>28</v>
      </c>
      <c r="R49">
        <v>715</v>
      </c>
      <c r="S49" t="s">
        <v>132</v>
      </c>
      <c r="T49" t="s">
        <v>133</v>
      </c>
      <c r="U49">
        <v>744302</v>
      </c>
      <c r="V49" t="s">
        <v>31</v>
      </c>
      <c r="W49" t="b">
        <v>0</v>
      </c>
      <c r="X49" t="str">
        <f>CONCATENATE(Table1[[#This Row],[ship-city]]," -- ", Table1[[#This Row],[ship-postal-code]])</f>
        <v>GREAT NICOBAR -- 744302</v>
      </c>
      <c r="Y49" t="str">
        <f>SUBSTITUTE(Table1[[#This Row],[city_pin_code]],"--"," ||")</f>
        <v>GREAT NICOBAR  || 744302</v>
      </c>
    </row>
    <row r="50" spans="1:25" x14ac:dyDescent="0.3">
      <c r="A50">
        <v>34</v>
      </c>
      <c r="B50" t="s">
        <v>134</v>
      </c>
      <c r="C50">
        <v>2606836</v>
      </c>
      <c r="D50" t="s">
        <v>22</v>
      </c>
      <c r="E50">
        <v>39</v>
      </c>
      <c r="F50" t="str">
        <f t="shared" si="3"/>
        <v>Adults</v>
      </c>
      <c r="G50" s="11">
        <v>44899</v>
      </c>
      <c r="H50" s="11">
        <f>WEEKDAY(Table1[[#This Row],[Date]],2)</f>
        <v>7</v>
      </c>
      <c r="I50" s="9" t="str">
        <f>TEXT(Table1[[#This Row],[Date]],"dd")</f>
        <v>04</v>
      </c>
      <c r="J50" t="str">
        <f t="shared" si="4"/>
        <v>Dec</v>
      </c>
      <c r="K50" t="s">
        <v>23</v>
      </c>
      <c r="L50" t="s">
        <v>41</v>
      </c>
      <c r="M50" t="s">
        <v>135</v>
      </c>
      <c r="N50" t="s">
        <v>35</v>
      </c>
      <c r="O50" t="s">
        <v>36</v>
      </c>
      <c r="P50">
        <v>1</v>
      </c>
      <c r="Q50" t="s">
        <v>28</v>
      </c>
      <c r="R50">
        <v>1238</v>
      </c>
      <c r="S50" t="s">
        <v>136</v>
      </c>
      <c r="T50" t="s">
        <v>137</v>
      </c>
      <c r="U50">
        <v>781020</v>
      </c>
      <c r="V50" t="s">
        <v>31</v>
      </c>
      <c r="W50" t="b">
        <v>0</v>
      </c>
      <c r="X50" t="str">
        <f>CONCATENATE(Table1[[#This Row],[ship-city]]," -- ", Table1[[#This Row],[ship-postal-code]])</f>
        <v>GUWAHATI -- 781020</v>
      </c>
      <c r="Y50" t="str">
        <f>SUBSTITUTE(Table1[[#This Row],[city_pin_code]],"--"," ||")</f>
        <v>GUWAHATI  || 781020</v>
      </c>
    </row>
    <row r="51" spans="1:25" x14ac:dyDescent="0.3">
      <c r="A51">
        <v>54</v>
      </c>
      <c r="B51" t="s">
        <v>141</v>
      </c>
      <c r="C51">
        <v>2439278</v>
      </c>
      <c r="D51" t="s">
        <v>22</v>
      </c>
      <c r="E51">
        <v>39</v>
      </c>
      <c r="F51" t="str">
        <f t="shared" si="3"/>
        <v>Adults</v>
      </c>
      <c r="G51" s="11">
        <v>44899</v>
      </c>
      <c r="H51" s="11">
        <f>WEEKDAY(Table1[[#This Row],[Date]],2)</f>
        <v>7</v>
      </c>
      <c r="I51" s="9" t="str">
        <f>TEXT(Table1[[#This Row],[Date]],"dd")</f>
        <v>04</v>
      </c>
      <c r="J51" t="str">
        <f t="shared" si="4"/>
        <v>Dec</v>
      </c>
      <c r="K51" t="s">
        <v>23</v>
      </c>
      <c r="L51" t="s">
        <v>41</v>
      </c>
      <c r="M51" t="s">
        <v>142</v>
      </c>
      <c r="N51" t="s">
        <v>35</v>
      </c>
      <c r="O51" t="s">
        <v>50</v>
      </c>
      <c r="P51">
        <v>1</v>
      </c>
      <c r="Q51" t="s">
        <v>28</v>
      </c>
      <c r="R51">
        <v>698</v>
      </c>
      <c r="S51" t="s">
        <v>143</v>
      </c>
      <c r="T51" t="s">
        <v>118</v>
      </c>
      <c r="U51">
        <v>272175</v>
      </c>
      <c r="V51" t="s">
        <v>31</v>
      </c>
      <c r="W51" t="b">
        <v>0</v>
      </c>
      <c r="X51" t="str">
        <f>CONCATENATE(Table1[[#This Row],[ship-city]]," -- ", Table1[[#This Row],[ship-postal-code]])</f>
        <v>KHALILABAD -- 272175</v>
      </c>
      <c r="Y51" t="str">
        <f>SUBSTITUTE(Table1[[#This Row],[city_pin_code]],"--"," ||")</f>
        <v>KHALILABAD  || 272175</v>
      </c>
    </row>
    <row r="52" spans="1:25" x14ac:dyDescent="0.3">
      <c r="A52">
        <v>41</v>
      </c>
      <c r="B52" t="s">
        <v>138</v>
      </c>
      <c r="C52">
        <v>637532</v>
      </c>
      <c r="D52" t="s">
        <v>22</v>
      </c>
      <c r="E52">
        <v>39</v>
      </c>
      <c r="F52" t="str">
        <f t="shared" si="3"/>
        <v>Adults</v>
      </c>
      <c r="G52" s="11">
        <v>44899</v>
      </c>
      <c r="H52" s="11">
        <f>WEEKDAY(Table1[[#This Row],[Date]],2)</f>
        <v>7</v>
      </c>
      <c r="I52" s="9" t="str">
        <f>TEXT(Table1[[#This Row],[Date]],"dd")</f>
        <v>04</v>
      </c>
      <c r="J52" t="str">
        <f t="shared" si="4"/>
        <v>Dec</v>
      </c>
      <c r="K52" t="s">
        <v>23</v>
      </c>
      <c r="L52" t="s">
        <v>24</v>
      </c>
      <c r="M52" t="s">
        <v>139</v>
      </c>
      <c r="N52" t="s">
        <v>26</v>
      </c>
      <c r="O52" t="s">
        <v>61</v>
      </c>
      <c r="P52">
        <v>1</v>
      </c>
      <c r="Q52" t="s">
        <v>28</v>
      </c>
      <c r="R52">
        <v>599</v>
      </c>
      <c r="S52" t="s">
        <v>83</v>
      </c>
      <c r="T52" t="s">
        <v>84</v>
      </c>
      <c r="U52">
        <v>560061</v>
      </c>
      <c r="V52" t="s">
        <v>31</v>
      </c>
      <c r="W52" t="b">
        <v>0</v>
      </c>
      <c r="X52" t="str">
        <f>CONCATENATE(Table1[[#This Row],[ship-city]]," -- ", Table1[[#This Row],[ship-postal-code]])</f>
        <v>BENGALURU -- 560061</v>
      </c>
      <c r="Y52" t="str">
        <f>SUBSTITUTE(Table1[[#This Row],[city_pin_code]],"--"," ||")</f>
        <v>BENGALURU  || 560061</v>
      </c>
    </row>
    <row r="53" spans="1:25" x14ac:dyDescent="0.3">
      <c r="A53">
        <v>42</v>
      </c>
      <c r="B53" t="s">
        <v>138</v>
      </c>
      <c r="C53">
        <v>637532</v>
      </c>
      <c r="D53" t="s">
        <v>33</v>
      </c>
      <c r="E53">
        <v>39</v>
      </c>
      <c r="F53" t="str">
        <f t="shared" si="3"/>
        <v>Adults</v>
      </c>
      <c r="G53" s="11">
        <v>44899</v>
      </c>
      <c r="H53" s="11">
        <f>WEEKDAY(Table1[[#This Row],[Date]],2)</f>
        <v>7</v>
      </c>
      <c r="I53" s="9" t="str">
        <f>TEXT(Table1[[#This Row],[Date]],"dd")</f>
        <v>04</v>
      </c>
      <c r="J53" t="str">
        <f t="shared" si="4"/>
        <v>Dec</v>
      </c>
      <c r="K53" t="s">
        <v>23</v>
      </c>
      <c r="L53" t="s">
        <v>77</v>
      </c>
      <c r="M53" t="s">
        <v>140</v>
      </c>
      <c r="N53" t="s">
        <v>96</v>
      </c>
      <c r="O53" t="s">
        <v>44</v>
      </c>
      <c r="P53">
        <v>1</v>
      </c>
      <c r="Q53" t="s">
        <v>28</v>
      </c>
      <c r="R53">
        <v>545</v>
      </c>
      <c r="S53" t="s">
        <v>56</v>
      </c>
      <c r="T53" t="s">
        <v>30</v>
      </c>
      <c r="U53">
        <v>411051</v>
      </c>
      <c r="V53" t="s">
        <v>31</v>
      </c>
      <c r="W53" t="b">
        <v>0</v>
      </c>
      <c r="X53" t="str">
        <f>CONCATENATE(Table1[[#This Row],[ship-city]]," -- ", Table1[[#This Row],[ship-postal-code]])</f>
        <v>PUNE -- 411051</v>
      </c>
      <c r="Y53" t="str">
        <f>SUBSTITUTE(Table1[[#This Row],[city_pin_code]],"--"," ||")</f>
        <v>PUNE  || 411051</v>
      </c>
    </row>
    <row r="54" spans="1:25" x14ac:dyDescent="0.3">
      <c r="A54">
        <v>79</v>
      </c>
      <c r="B54" t="s">
        <v>144</v>
      </c>
      <c r="C54">
        <v>1756314</v>
      </c>
      <c r="D54" t="s">
        <v>33</v>
      </c>
      <c r="E54">
        <v>39</v>
      </c>
      <c r="F54" t="str">
        <f t="shared" si="3"/>
        <v>Adults</v>
      </c>
      <c r="G54" s="11">
        <v>44899</v>
      </c>
      <c r="H54" s="11">
        <f>WEEKDAY(Table1[[#This Row],[Date]],2)</f>
        <v>7</v>
      </c>
      <c r="I54" s="9" t="str">
        <f>TEXT(Table1[[#This Row],[Date]],"dd")</f>
        <v>04</v>
      </c>
      <c r="J54" t="str">
        <f t="shared" si="4"/>
        <v>Dec</v>
      </c>
      <c r="K54" t="s">
        <v>23</v>
      </c>
      <c r="L54" t="s">
        <v>41</v>
      </c>
      <c r="M54" t="s">
        <v>145</v>
      </c>
      <c r="N54" t="s">
        <v>43</v>
      </c>
      <c r="O54" t="s">
        <v>36</v>
      </c>
      <c r="P54">
        <v>1</v>
      </c>
      <c r="Q54" t="s">
        <v>28</v>
      </c>
      <c r="R54">
        <v>481</v>
      </c>
      <c r="S54" t="s">
        <v>68</v>
      </c>
      <c r="T54" t="s">
        <v>69</v>
      </c>
      <c r="U54">
        <v>122001</v>
      </c>
      <c r="V54" t="s">
        <v>31</v>
      </c>
      <c r="W54" t="b">
        <v>0</v>
      </c>
      <c r="X54" t="str">
        <f>CONCATENATE(Table1[[#This Row],[ship-city]]," -- ", Table1[[#This Row],[ship-postal-code]])</f>
        <v>GURUGRAM -- 122001</v>
      </c>
      <c r="Y54" t="str">
        <f>SUBSTITUTE(Table1[[#This Row],[city_pin_code]],"--"," ||")</f>
        <v>GURUGRAM  || 122001</v>
      </c>
    </row>
    <row r="55" spans="1:25" x14ac:dyDescent="0.3">
      <c r="A55">
        <v>58</v>
      </c>
      <c r="B55" t="s">
        <v>149</v>
      </c>
      <c r="C55">
        <v>9907523</v>
      </c>
      <c r="D55" t="s">
        <v>33</v>
      </c>
      <c r="E55">
        <v>38</v>
      </c>
      <c r="F55" t="str">
        <f t="shared" si="3"/>
        <v>Adults</v>
      </c>
      <c r="G55" s="11">
        <v>44899</v>
      </c>
      <c r="H55" s="11">
        <f>WEEKDAY(Table1[[#This Row],[Date]],2)</f>
        <v>7</v>
      </c>
      <c r="I55" s="9" t="str">
        <f>TEXT(Table1[[#This Row],[Date]],"dd")</f>
        <v>04</v>
      </c>
      <c r="J55" t="str">
        <f t="shared" si="4"/>
        <v>Dec</v>
      </c>
      <c r="K55" t="s">
        <v>23</v>
      </c>
      <c r="L55" t="s">
        <v>77</v>
      </c>
      <c r="M55" t="s">
        <v>150</v>
      </c>
      <c r="N55" t="s">
        <v>87</v>
      </c>
      <c r="O55" t="s">
        <v>88</v>
      </c>
      <c r="P55">
        <v>1</v>
      </c>
      <c r="Q55" t="s">
        <v>28</v>
      </c>
      <c r="R55">
        <v>737</v>
      </c>
      <c r="S55" t="s">
        <v>151</v>
      </c>
      <c r="T55" t="s">
        <v>152</v>
      </c>
      <c r="U55">
        <v>483501</v>
      </c>
      <c r="V55" t="s">
        <v>31</v>
      </c>
      <c r="W55" t="b">
        <v>0</v>
      </c>
      <c r="X55" t="str">
        <f>CONCATENATE(Table1[[#This Row],[ship-city]]," -- ", Table1[[#This Row],[ship-postal-code]])</f>
        <v>MURWARA KATNI -- 483501</v>
      </c>
      <c r="Y55" t="str">
        <f>SUBSTITUTE(Table1[[#This Row],[city_pin_code]],"--"," ||")</f>
        <v>MURWARA KATNI  || 483501</v>
      </c>
    </row>
    <row r="56" spans="1:25" x14ac:dyDescent="0.3">
      <c r="A56">
        <v>33</v>
      </c>
      <c r="B56" t="s">
        <v>146</v>
      </c>
      <c r="C56">
        <v>9400852</v>
      </c>
      <c r="D56" t="s">
        <v>33</v>
      </c>
      <c r="E56">
        <v>38</v>
      </c>
      <c r="F56" t="str">
        <f t="shared" si="3"/>
        <v>Adults</v>
      </c>
      <c r="G56" s="11">
        <v>44899</v>
      </c>
      <c r="H56" s="11">
        <f>WEEKDAY(Table1[[#This Row],[Date]],2)</f>
        <v>7</v>
      </c>
      <c r="I56" s="9" t="str">
        <f>TEXT(Table1[[#This Row],[Date]],"dd")</f>
        <v>04</v>
      </c>
      <c r="J56" t="str">
        <f t="shared" si="4"/>
        <v>Dec</v>
      </c>
      <c r="K56" t="s">
        <v>23</v>
      </c>
      <c r="L56" t="s">
        <v>48</v>
      </c>
      <c r="M56" t="s">
        <v>147</v>
      </c>
      <c r="N56" t="s">
        <v>43</v>
      </c>
      <c r="O56" t="s">
        <v>67</v>
      </c>
      <c r="P56">
        <v>1</v>
      </c>
      <c r="Q56" t="s">
        <v>28</v>
      </c>
      <c r="R56">
        <v>301</v>
      </c>
      <c r="S56" t="s">
        <v>148</v>
      </c>
      <c r="T56" t="s">
        <v>63</v>
      </c>
      <c r="U56">
        <v>636007</v>
      </c>
      <c r="V56" t="s">
        <v>31</v>
      </c>
      <c r="W56" t="b">
        <v>0</v>
      </c>
      <c r="X56" t="str">
        <f>CONCATENATE(Table1[[#This Row],[ship-city]]," -- ", Table1[[#This Row],[ship-postal-code]])</f>
        <v>SALEM -- 636007</v>
      </c>
      <c r="Y56" t="str">
        <f>SUBSTITUTE(Table1[[#This Row],[city_pin_code]],"--"," ||")</f>
        <v>SALEM  || 636007</v>
      </c>
    </row>
    <row r="57" spans="1:25" x14ac:dyDescent="0.3">
      <c r="A57">
        <v>35</v>
      </c>
      <c r="B57" t="s">
        <v>160</v>
      </c>
      <c r="C57">
        <v>8481179</v>
      </c>
      <c r="D57" t="s">
        <v>22</v>
      </c>
      <c r="E57">
        <v>37</v>
      </c>
      <c r="F57" t="str">
        <f t="shared" si="3"/>
        <v>Adults</v>
      </c>
      <c r="G57" s="11">
        <v>44899</v>
      </c>
      <c r="H57" s="11">
        <f>WEEKDAY(Table1[[#This Row],[Date]],2)</f>
        <v>7</v>
      </c>
      <c r="I57" s="9" t="str">
        <f>TEXT(Table1[[#This Row],[Date]],"dd")</f>
        <v>04</v>
      </c>
      <c r="J57" t="str">
        <f t="shared" si="4"/>
        <v>Dec</v>
      </c>
      <c r="K57" t="s">
        <v>23</v>
      </c>
      <c r="L57" t="s">
        <v>77</v>
      </c>
      <c r="M57" t="s">
        <v>161</v>
      </c>
      <c r="N57" t="s">
        <v>35</v>
      </c>
      <c r="O57" t="s">
        <v>44</v>
      </c>
      <c r="P57">
        <v>1</v>
      </c>
      <c r="Q57" t="s">
        <v>28</v>
      </c>
      <c r="R57">
        <v>856</v>
      </c>
      <c r="S57" t="s">
        <v>62</v>
      </c>
      <c r="T57" t="s">
        <v>63</v>
      </c>
      <c r="U57">
        <v>600119</v>
      </c>
      <c r="V57" t="s">
        <v>31</v>
      </c>
      <c r="W57" t="b">
        <v>0</v>
      </c>
      <c r="X57" t="str">
        <f>CONCATENATE(Table1[[#This Row],[ship-city]]," -- ", Table1[[#This Row],[ship-postal-code]])</f>
        <v>CHENNAI -- 600119</v>
      </c>
      <c r="Y57" t="str">
        <f>SUBSTITUTE(Table1[[#This Row],[city_pin_code]],"--"," ||")</f>
        <v>CHENNAI  || 600119</v>
      </c>
    </row>
    <row r="58" spans="1:25" x14ac:dyDescent="0.3">
      <c r="A58">
        <v>25</v>
      </c>
      <c r="B58" t="s">
        <v>153</v>
      </c>
      <c r="C58">
        <v>398999</v>
      </c>
      <c r="D58" t="s">
        <v>33</v>
      </c>
      <c r="E58">
        <v>37</v>
      </c>
      <c r="F58" t="str">
        <f t="shared" si="3"/>
        <v>Adults</v>
      </c>
      <c r="G58" s="11">
        <v>44899</v>
      </c>
      <c r="H58" s="11">
        <f>WEEKDAY(Table1[[#This Row],[Date]],2)</f>
        <v>7</v>
      </c>
      <c r="I58" s="9" t="str">
        <f>TEXT(Table1[[#This Row],[Date]],"dd")</f>
        <v>04</v>
      </c>
      <c r="J58" t="str">
        <f t="shared" si="4"/>
        <v>Dec</v>
      </c>
      <c r="K58" t="s">
        <v>23</v>
      </c>
      <c r="L58" t="s">
        <v>77</v>
      </c>
      <c r="M58" t="s">
        <v>154</v>
      </c>
      <c r="N58" t="s">
        <v>35</v>
      </c>
      <c r="O58" t="s">
        <v>67</v>
      </c>
      <c r="P58">
        <v>1</v>
      </c>
      <c r="Q58" t="s">
        <v>28</v>
      </c>
      <c r="R58">
        <v>612</v>
      </c>
      <c r="S58" t="s">
        <v>155</v>
      </c>
      <c r="T58" t="s">
        <v>156</v>
      </c>
      <c r="U58">
        <v>500060</v>
      </c>
      <c r="V58" t="s">
        <v>31</v>
      </c>
      <c r="W58" t="b">
        <v>0</v>
      </c>
      <c r="X58" t="str">
        <f>CONCATENATE(Table1[[#This Row],[ship-city]]," -- ", Table1[[#This Row],[ship-postal-code]])</f>
        <v>HYDERABAD -- 500060</v>
      </c>
      <c r="Y58" t="str">
        <f>SUBSTITUTE(Table1[[#This Row],[city_pin_code]],"--"," ||")</f>
        <v>HYDERABAD  || 500060</v>
      </c>
    </row>
    <row r="59" spans="1:25" x14ac:dyDescent="0.3">
      <c r="A59">
        <v>26</v>
      </c>
      <c r="B59" t="s">
        <v>157</v>
      </c>
      <c r="C59">
        <v>5438780</v>
      </c>
      <c r="D59" t="s">
        <v>33</v>
      </c>
      <c r="E59">
        <v>37</v>
      </c>
      <c r="F59" t="str">
        <f t="shared" si="3"/>
        <v>Adults</v>
      </c>
      <c r="G59" s="11">
        <v>44899</v>
      </c>
      <c r="H59" s="11">
        <f>WEEKDAY(Table1[[#This Row],[Date]],2)</f>
        <v>7</v>
      </c>
      <c r="I59" s="9" t="str">
        <f>TEXT(Table1[[#This Row],[Date]],"dd")</f>
        <v>04</v>
      </c>
      <c r="J59" t="str">
        <f t="shared" si="4"/>
        <v>Dec</v>
      </c>
      <c r="K59" t="s">
        <v>23</v>
      </c>
      <c r="L59" t="s">
        <v>48</v>
      </c>
      <c r="M59" t="s">
        <v>158</v>
      </c>
      <c r="N59" t="s">
        <v>43</v>
      </c>
      <c r="O59" t="s">
        <v>27</v>
      </c>
      <c r="P59">
        <v>1</v>
      </c>
      <c r="Q59" t="s">
        <v>28</v>
      </c>
      <c r="R59">
        <v>533</v>
      </c>
      <c r="S59" t="s">
        <v>159</v>
      </c>
      <c r="T59" t="s">
        <v>152</v>
      </c>
      <c r="U59">
        <v>452014</v>
      </c>
      <c r="V59" t="s">
        <v>31</v>
      </c>
      <c r="W59" t="b">
        <v>0</v>
      </c>
      <c r="X59" t="str">
        <f>CONCATENATE(Table1[[#This Row],[ship-city]]," -- ", Table1[[#This Row],[ship-postal-code]])</f>
        <v>INDORE -- 452014</v>
      </c>
      <c r="Y59" t="str">
        <f>SUBSTITUTE(Table1[[#This Row],[city_pin_code]],"--"," ||")</f>
        <v>INDORE  || 452014</v>
      </c>
    </row>
    <row r="60" spans="1:25" x14ac:dyDescent="0.3">
      <c r="A60">
        <v>85</v>
      </c>
      <c r="B60" t="s">
        <v>162</v>
      </c>
      <c r="C60">
        <v>105497</v>
      </c>
      <c r="D60" t="s">
        <v>33</v>
      </c>
      <c r="E60">
        <v>37</v>
      </c>
      <c r="F60" t="str">
        <f t="shared" si="3"/>
        <v>Adults</v>
      </c>
      <c r="G60" s="11">
        <v>44899</v>
      </c>
      <c r="H60" s="11">
        <f>WEEKDAY(Table1[[#This Row],[Date]],2)</f>
        <v>7</v>
      </c>
      <c r="I60" s="9" t="str">
        <f>TEXT(Table1[[#This Row],[Date]],"dd")</f>
        <v>04</v>
      </c>
      <c r="J60" t="str">
        <f t="shared" si="4"/>
        <v>Dec</v>
      </c>
      <c r="K60" t="s">
        <v>163</v>
      </c>
      <c r="L60" t="s">
        <v>77</v>
      </c>
      <c r="M60" t="s">
        <v>164</v>
      </c>
      <c r="N60" t="s">
        <v>43</v>
      </c>
      <c r="O60" t="s">
        <v>44</v>
      </c>
      <c r="P60">
        <v>1</v>
      </c>
      <c r="Q60" t="s">
        <v>28</v>
      </c>
      <c r="R60">
        <v>382</v>
      </c>
      <c r="S60" t="s">
        <v>165</v>
      </c>
      <c r="T60" t="s">
        <v>30</v>
      </c>
      <c r="U60">
        <v>441701</v>
      </c>
      <c r="V60" t="s">
        <v>31</v>
      </c>
      <c r="W60" t="b">
        <v>0</v>
      </c>
      <c r="X60" t="str">
        <f>CONCATENATE(Table1[[#This Row],[ship-city]]," -- ", Table1[[#This Row],[ship-postal-code]])</f>
        <v>BHANDARA -- 441701</v>
      </c>
      <c r="Y60" t="str">
        <f>SUBSTITUTE(Table1[[#This Row],[city_pin_code]],"--"," ||")</f>
        <v>BHANDARA  || 441701</v>
      </c>
    </row>
    <row r="61" spans="1:25" x14ac:dyDescent="0.3">
      <c r="A61">
        <v>72</v>
      </c>
      <c r="B61" t="s">
        <v>166</v>
      </c>
      <c r="C61">
        <v>7030051</v>
      </c>
      <c r="D61" t="s">
        <v>33</v>
      </c>
      <c r="E61">
        <v>36</v>
      </c>
      <c r="F61" t="str">
        <f t="shared" si="3"/>
        <v>Adults</v>
      </c>
      <c r="G61" s="11">
        <v>44899</v>
      </c>
      <c r="H61" s="11">
        <f>WEEKDAY(Table1[[#This Row],[Date]],2)</f>
        <v>7</v>
      </c>
      <c r="I61" s="9" t="str">
        <f>TEXT(Table1[[#This Row],[Date]],"dd")</f>
        <v>04</v>
      </c>
      <c r="J61" t="str">
        <f t="shared" si="4"/>
        <v>Dec</v>
      </c>
      <c r="K61" t="s">
        <v>23</v>
      </c>
      <c r="L61" t="s">
        <v>41</v>
      </c>
      <c r="M61" t="s">
        <v>167</v>
      </c>
      <c r="N61" t="s">
        <v>43</v>
      </c>
      <c r="O61" t="s">
        <v>27</v>
      </c>
      <c r="P61">
        <v>1</v>
      </c>
      <c r="Q61" t="s">
        <v>28</v>
      </c>
      <c r="R61">
        <v>563</v>
      </c>
      <c r="S61" t="s">
        <v>45</v>
      </c>
      <c r="T61" t="s">
        <v>46</v>
      </c>
      <c r="U61">
        <v>110084</v>
      </c>
      <c r="V61" t="s">
        <v>31</v>
      </c>
      <c r="W61" t="b">
        <v>0</v>
      </c>
      <c r="X61" t="str">
        <f>CONCATENATE(Table1[[#This Row],[ship-city]]," -- ", Table1[[#This Row],[ship-postal-code]])</f>
        <v>NEW DELHI -- 110084</v>
      </c>
      <c r="Y61" t="str">
        <f>SUBSTITUTE(Table1[[#This Row],[city_pin_code]],"--"," ||")</f>
        <v>NEW DELHI  || 110084</v>
      </c>
    </row>
    <row r="62" spans="1:25" x14ac:dyDescent="0.3">
      <c r="A62">
        <v>93</v>
      </c>
      <c r="B62" t="s">
        <v>59</v>
      </c>
      <c r="C62">
        <v>7384618</v>
      </c>
      <c r="D62" t="s">
        <v>33</v>
      </c>
      <c r="E62">
        <v>36</v>
      </c>
      <c r="F62" t="str">
        <f t="shared" si="3"/>
        <v>Adults</v>
      </c>
      <c r="G62" s="11">
        <v>44899</v>
      </c>
      <c r="H62" s="11">
        <f>WEEKDAY(Table1[[#This Row],[Date]],2)</f>
        <v>7</v>
      </c>
      <c r="I62" s="9" t="str">
        <f>TEXT(Table1[[#This Row],[Date]],"dd")</f>
        <v>04</v>
      </c>
      <c r="J62" t="str">
        <f t="shared" si="4"/>
        <v>Dec</v>
      </c>
      <c r="K62" t="s">
        <v>23</v>
      </c>
      <c r="L62" t="s">
        <v>41</v>
      </c>
      <c r="M62" t="s">
        <v>126</v>
      </c>
      <c r="N62" t="s">
        <v>43</v>
      </c>
      <c r="O62" t="s">
        <v>36</v>
      </c>
      <c r="P62">
        <v>1</v>
      </c>
      <c r="Q62" t="s">
        <v>28</v>
      </c>
      <c r="R62">
        <v>471</v>
      </c>
      <c r="S62" t="s">
        <v>168</v>
      </c>
      <c r="T62" t="s">
        <v>113</v>
      </c>
      <c r="U62">
        <v>530003</v>
      </c>
      <c r="V62" t="s">
        <v>31</v>
      </c>
      <c r="W62" t="b">
        <v>0</v>
      </c>
      <c r="X62" t="str">
        <f>CONCATENATE(Table1[[#This Row],[ship-city]]," -- ", Table1[[#This Row],[ship-postal-code]])</f>
        <v>VISAKHAPATNAM -- 530003</v>
      </c>
      <c r="Y62" t="str">
        <f>SUBSTITUTE(Table1[[#This Row],[city_pin_code]],"--"," ||")</f>
        <v>VISAKHAPATNAM  || 530003</v>
      </c>
    </row>
    <row r="63" spans="1:25" x14ac:dyDescent="0.3">
      <c r="A63">
        <v>50</v>
      </c>
      <c r="B63" t="s">
        <v>171</v>
      </c>
      <c r="C63">
        <v>2709798</v>
      </c>
      <c r="D63" t="s">
        <v>22</v>
      </c>
      <c r="E63">
        <v>35</v>
      </c>
      <c r="F63" t="str">
        <f t="shared" si="3"/>
        <v>Adults</v>
      </c>
      <c r="G63" s="11">
        <v>44899</v>
      </c>
      <c r="H63" s="11">
        <f>WEEKDAY(Table1[[#This Row],[Date]],2)</f>
        <v>7</v>
      </c>
      <c r="I63" s="9" t="str">
        <f>TEXT(Table1[[#This Row],[Date]],"dd")</f>
        <v>04</v>
      </c>
      <c r="J63" t="str">
        <f t="shared" si="4"/>
        <v>Dec</v>
      </c>
      <c r="K63" t="s">
        <v>23</v>
      </c>
      <c r="L63" t="s">
        <v>48</v>
      </c>
      <c r="M63" t="s">
        <v>172</v>
      </c>
      <c r="N63" t="s">
        <v>35</v>
      </c>
      <c r="O63" t="s">
        <v>67</v>
      </c>
      <c r="P63">
        <v>1</v>
      </c>
      <c r="Q63" t="s">
        <v>28</v>
      </c>
      <c r="R63">
        <v>558</v>
      </c>
      <c r="S63" t="s">
        <v>173</v>
      </c>
      <c r="T63" t="s">
        <v>84</v>
      </c>
      <c r="U63">
        <v>574118</v>
      </c>
      <c r="V63" t="s">
        <v>31</v>
      </c>
      <c r="W63" t="b">
        <v>0</v>
      </c>
      <c r="X63" t="str">
        <f>CONCATENATE(Table1[[#This Row],[ship-city]]," -- ", Table1[[#This Row],[ship-postal-code]])</f>
        <v>UDUPI -- 574118</v>
      </c>
      <c r="Y63" t="str">
        <f>SUBSTITUTE(Table1[[#This Row],[city_pin_code]],"--"," ||")</f>
        <v>UDUPI  || 574118</v>
      </c>
    </row>
    <row r="64" spans="1:25" x14ac:dyDescent="0.3">
      <c r="A64">
        <v>39</v>
      </c>
      <c r="B64" t="s">
        <v>169</v>
      </c>
      <c r="C64">
        <v>8796291</v>
      </c>
      <c r="D64" t="s">
        <v>33</v>
      </c>
      <c r="E64">
        <v>35</v>
      </c>
      <c r="F64" t="str">
        <f t="shared" si="3"/>
        <v>Adults</v>
      </c>
      <c r="G64" s="11">
        <v>44899</v>
      </c>
      <c r="H64" s="11">
        <f>WEEKDAY(Table1[[#This Row],[Date]],2)</f>
        <v>7</v>
      </c>
      <c r="I64" s="9" t="str">
        <f>TEXT(Table1[[#This Row],[Date]],"dd")</f>
        <v>04</v>
      </c>
      <c r="J64" t="str">
        <f t="shared" si="4"/>
        <v>Dec</v>
      </c>
      <c r="K64" t="s">
        <v>23</v>
      </c>
      <c r="L64" t="s">
        <v>77</v>
      </c>
      <c r="M64" t="s">
        <v>170</v>
      </c>
      <c r="N64" t="s">
        <v>43</v>
      </c>
      <c r="O64" t="s">
        <v>36</v>
      </c>
      <c r="P64">
        <v>1</v>
      </c>
      <c r="Q64" t="s">
        <v>28</v>
      </c>
      <c r="R64">
        <v>399</v>
      </c>
      <c r="S64" t="s">
        <v>68</v>
      </c>
      <c r="T64" t="s">
        <v>69</v>
      </c>
      <c r="U64">
        <v>122001</v>
      </c>
      <c r="V64" t="s">
        <v>31</v>
      </c>
      <c r="W64" t="b">
        <v>0</v>
      </c>
      <c r="X64" t="str">
        <f>CONCATENATE(Table1[[#This Row],[ship-city]]," -- ", Table1[[#This Row],[ship-postal-code]])</f>
        <v>GURUGRAM -- 122001</v>
      </c>
      <c r="Y64" t="str">
        <f>SUBSTITUTE(Table1[[#This Row],[city_pin_code]],"--"," ||")</f>
        <v>GURUGRAM  || 122001</v>
      </c>
    </row>
    <row r="65" spans="1:25" x14ac:dyDescent="0.3">
      <c r="A65">
        <v>63</v>
      </c>
      <c r="B65" t="s">
        <v>174</v>
      </c>
      <c r="C65">
        <v>824767</v>
      </c>
      <c r="D65" t="s">
        <v>33</v>
      </c>
      <c r="E65">
        <v>34</v>
      </c>
      <c r="F65" t="str">
        <f t="shared" si="3"/>
        <v>Adults</v>
      </c>
      <c r="G65" s="11">
        <v>44899</v>
      </c>
      <c r="H65" s="11">
        <f>WEEKDAY(Table1[[#This Row],[Date]],2)</f>
        <v>7</v>
      </c>
      <c r="I65" s="9" t="str">
        <f>TEXT(Table1[[#This Row],[Date]],"dd")</f>
        <v>04</v>
      </c>
      <c r="J65" t="str">
        <f t="shared" si="4"/>
        <v>Dec</v>
      </c>
      <c r="K65" t="s">
        <v>23</v>
      </c>
      <c r="L65" t="s">
        <v>48</v>
      </c>
      <c r="M65" t="s">
        <v>175</v>
      </c>
      <c r="N65" t="s">
        <v>43</v>
      </c>
      <c r="O65" t="s">
        <v>116</v>
      </c>
      <c r="P65">
        <v>1</v>
      </c>
      <c r="Q65" t="s">
        <v>28</v>
      </c>
      <c r="R65">
        <v>688</v>
      </c>
      <c r="S65" t="s">
        <v>62</v>
      </c>
      <c r="T65" t="s">
        <v>63</v>
      </c>
      <c r="U65">
        <v>600061</v>
      </c>
      <c r="V65" t="s">
        <v>31</v>
      </c>
      <c r="W65" t="b">
        <v>0</v>
      </c>
      <c r="X65" t="str">
        <f>CONCATENATE(Table1[[#This Row],[ship-city]]," -- ", Table1[[#This Row],[ship-postal-code]])</f>
        <v>CHENNAI -- 600061</v>
      </c>
      <c r="Y65" t="str">
        <f>SUBSTITUTE(Table1[[#This Row],[city_pin_code]],"--"," ||")</f>
        <v>CHENNAI  || 600061</v>
      </c>
    </row>
    <row r="66" spans="1:25" x14ac:dyDescent="0.3">
      <c r="A66">
        <v>88</v>
      </c>
      <c r="B66" t="s">
        <v>176</v>
      </c>
      <c r="C66">
        <v>6243782</v>
      </c>
      <c r="D66" t="s">
        <v>33</v>
      </c>
      <c r="E66">
        <v>33</v>
      </c>
      <c r="F66" t="str">
        <f t="shared" ref="F66:F97" si="5">IF(E66&gt;=50,"Senior", IF(E66&gt;=30,"Adults","Teenager"))</f>
        <v>Adults</v>
      </c>
      <c r="G66" s="11">
        <v>44899</v>
      </c>
      <c r="H66" s="11">
        <f>WEEKDAY(Table1[[#This Row],[Date]],2)</f>
        <v>7</v>
      </c>
      <c r="I66" s="9" t="str">
        <f>TEXT(Table1[[#This Row],[Date]],"dd")</f>
        <v>04</v>
      </c>
      <c r="J66" t="str">
        <f t="shared" ref="J66:J97" si="6">TEXT(G66,"mmm")</f>
        <v>Dec</v>
      </c>
      <c r="K66" t="s">
        <v>23</v>
      </c>
      <c r="L66" t="s">
        <v>77</v>
      </c>
      <c r="M66" t="s">
        <v>177</v>
      </c>
      <c r="N66" t="s">
        <v>43</v>
      </c>
      <c r="O66" t="s">
        <v>61</v>
      </c>
      <c r="P66">
        <v>1</v>
      </c>
      <c r="Q66" t="s">
        <v>28</v>
      </c>
      <c r="R66">
        <v>449</v>
      </c>
      <c r="S66" t="s">
        <v>178</v>
      </c>
      <c r="T66" t="s">
        <v>84</v>
      </c>
      <c r="U66">
        <v>581320</v>
      </c>
      <c r="V66" t="s">
        <v>31</v>
      </c>
      <c r="W66" t="b">
        <v>0</v>
      </c>
      <c r="X66" t="str">
        <f>CONCATENATE(Table1[[#This Row],[ship-city]]," -- ", Table1[[#This Row],[ship-postal-code]])</f>
        <v>BHATKAL -- 581320</v>
      </c>
      <c r="Y66" t="str">
        <f>SUBSTITUTE(Table1[[#This Row],[city_pin_code]],"--"," ||")</f>
        <v>BHATKAL  || 581320</v>
      </c>
    </row>
    <row r="67" spans="1:25" x14ac:dyDescent="0.3">
      <c r="A67">
        <v>91</v>
      </c>
      <c r="B67" t="s">
        <v>182</v>
      </c>
      <c r="C67">
        <v>8575376</v>
      </c>
      <c r="D67" t="s">
        <v>33</v>
      </c>
      <c r="E67">
        <v>32</v>
      </c>
      <c r="F67" t="str">
        <f t="shared" si="5"/>
        <v>Adults</v>
      </c>
      <c r="G67" s="11">
        <v>44899</v>
      </c>
      <c r="H67" s="11">
        <f>WEEKDAY(Table1[[#This Row],[Date]],2)</f>
        <v>7</v>
      </c>
      <c r="I67" s="9" t="str">
        <f>TEXT(Table1[[#This Row],[Date]],"dd")</f>
        <v>04</v>
      </c>
      <c r="J67" t="str">
        <f t="shared" si="6"/>
        <v>Dec</v>
      </c>
      <c r="K67" t="s">
        <v>23</v>
      </c>
      <c r="L67" t="s">
        <v>24</v>
      </c>
      <c r="M67" t="s">
        <v>183</v>
      </c>
      <c r="N67" t="s">
        <v>35</v>
      </c>
      <c r="O67" t="s">
        <v>61</v>
      </c>
      <c r="P67">
        <v>1</v>
      </c>
      <c r="Q67" t="s">
        <v>28</v>
      </c>
      <c r="R67">
        <v>737</v>
      </c>
      <c r="S67" t="s">
        <v>155</v>
      </c>
      <c r="T67" t="s">
        <v>156</v>
      </c>
      <c r="U67">
        <v>500020</v>
      </c>
      <c r="V67" t="s">
        <v>31</v>
      </c>
      <c r="W67" t="b">
        <v>0</v>
      </c>
      <c r="X67" t="str">
        <f>CONCATENATE(Table1[[#This Row],[ship-city]]," -- ", Table1[[#This Row],[ship-postal-code]])</f>
        <v>HYDERABAD -- 500020</v>
      </c>
      <c r="Y67" t="str">
        <f>SUBSTITUTE(Table1[[#This Row],[city_pin_code]],"--"," ||")</f>
        <v>HYDERABAD  || 500020</v>
      </c>
    </row>
    <row r="68" spans="1:25" x14ac:dyDescent="0.3">
      <c r="A68">
        <v>74</v>
      </c>
      <c r="B68" t="s">
        <v>179</v>
      </c>
      <c r="C68">
        <v>7958450</v>
      </c>
      <c r="D68" t="s">
        <v>22</v>
      </c>
      <c r="E68">
        <v>32</v>
      </c>
      <c r="F68" t="str">
        <f t="shared" si="5"/>
        <v>Adults</v>
      </c>
      <c r="G68" s="11">
        <v>44899</v>
      </c>
      <c r="H68" s="11">
        <f>WEEKDAY(Table1[[#This Row],[Date]],2)</f>
        <v>7</v>
      </c>
      <c r="I68" s="9" t="str">
        <f>TEXT(Table1[[#This Row],[Date]],"dd")</f>
        <v>04</v>
      </c>
      <c r="J68" t="str">
        <f t="shared" si="6"/>
        <v>Dec</v>
      </c>
      <c r="K68" t="s">
        <v>23</v>
      </c>
      <c r="L68" t="s">
        <v>77</v>
      </c>
      <c r="M68" t="s">
        <v>180</v>
      </c>
      <c r="N68" t="s">
        <v>35</v>
      </c>
      <c r="O68" t="s">
        <v>50</v>
      </c>
      <c r="P68">
        <v>1</v>
      </c>
      <c r="Q68" t="s">
        <v>28</v>
      </c>
      <c r="R68">
        <v>702</v>
      </c>
      <c r="S68" t="s">
        <v>181</v>
      </c>
      <c r="T68" t="s">
        <v>84</v>
      </c>
      <c r="U68">
        <v>560095</v>
      </c>
      <c r="V68" t="s">
        <v>31</v>
      </c>
      <c r="W68" t="b">
        <v>0</v>
      </c>
      <c r="X68" t="str">
        <f>CONCATENATE(Table1[[#This Row],[ship-city]]," -- ", Table1[[#This Row],[ship-postal-code]])</f>
        <v>Bengaluru -- 560095</v>
      </c>
      <c r="Y68" t="str">
        <f>SUBSTITUTE(Table1[[#This Row],[city_pin_code]],"--"," ||")</f>
        <v>Bengaluru  || 560095</v>
      </c>
    </row>
    <row r="69" spans="1:25" x14ac:dyDescent="0.3">
      <c r="A69">
        <v>22</v>
      </c>
      <c r="B69" t="s">
        <v>184</v>
      </c>
      <c r="C69">
        <v>1943310</v>
      </c>
      <c r="D69" t="s">
        <v>22</v>
      </c>
      <c r="E69">
        <v>31</v>
      </c>
      <c r="F69" t="str">
        <f t="shared" si="5"/>
        <v>Adults</v>
      </c>
      <c r="G69" s="11">
        <v>44899</v>
      </c>
      <c r="H69" s="11">
        <f>WEEKDAY(Table1[[#This Row],[Date]],2)</f>
        <v>7</v>
      </c>
      <c r="I69" s="9" t="str">
        <f>TEXT(Table1[[#This Row],[Date]],"dd")</f>
        <v>04</v>
      </c>
      <c r="J69" t="str">
        <f t="shared" si="6"/>
        <v>Dec</v>
      </c>
      <c r="K69" t="s">
        <v>163</v>
      </c>
      <c r="L69" t="s">
        <v>41</v>
      </c>
      <c r="M69" t="s">
        <v>185</v>
      </c>
      <c r="N69" t="s">
        <v>26</v>
      </c>
      <c r="O69" t="s">
        <v>27</v>
      </c>
      <c r="P69">
        <v>1</v>
      </c>
      <c r="Q69" t="s">
        <v>28</v>
      </c>
      <c r="R69">
        <v>743</v>
      </c>
      <c r="S69" t="s">
        <v>45</v>
      </c>
      <c r="T69" t="s">
        <v>46</v>
      </c>
      <c r="U69">
        <v>110087</v>
      </c>
      <c r="V69" t="s">
        <v>31</v>
      </c>
      <c r="W69" t="b">
        <v>0</v>
      </c>
      <c r="X69" t="str">
        <f>CONCATENATE(Table1[[#This Row],[ship-city]]," -- ", Table1[[#This Row],[ship-postal-code]])</f>
        <v>NEW DELHI -- 110087</v>
      </c>
      <c r="Y69" t="str">
        <f>SUBSTITUTE(Table1[[#This Row],[city_pin_code]],"--"," ||")</f>
        <v>NEW DELHI  || 110087</v>
      </c>
    </row>
    <row r="70" spans="1:25" x14ac:dyDescent="0.3">
      <c r="A70">
        <v>67</v>
      </c>
      <c r="B70" t="s">
        <v>186</v>
      </c>
      <c r="C70">
        <v>8399604</v>
      </c>
      <c r="D70" t="s">
        <v>33</v>
      </c>
      <c r="E70">
        <v>31</v>
      </c>
      <c r="F70" t="str">
        <f t="shared" si="5"/>
        <v>Adults</v>
      </c>
      <c r="G70" s="11">
        <v>44899</v>
      </c>
      <c r="H70" s="11">
        <f>WEEKDAY(Table1[[#This Row],[Date]],2)</f>
        <v>7</v>
      </c>
      <c r="I70" s="9" t="str">
        <f>TEXT(Table1[[#This Row],[Date]],"dd")</f>
        <v>04</v>
      </c>
      <c r="J70" t="str">
        <f t="shared" si="6"/>
        <v>Dec</v>
      </c>
      <c r="K70" t="s">
        <v>23</v>
      </c>
      <c r="L70" t="s">
        <v>77</v>
      </c>
      <c r="M70" t="s">
        <v>187</v>
      </c>
      <c r="N70" t="s">
        <v>43</v>
      </c>
      <c r="O70" t="s">
        <v>36</v>
      </c>
      <c r="P70">
        <v>1</v>
      </c>
      <c r="Q70" t="s">
        <v>28</v>
      </c>
      <c r="R70">
        <v>363</v>
      </c>
      <c r="S70" t="s">
        <v>188</v>
      </c>
      <c r="T70" t="s">
        <v>93</v>
      </c>
      <c r="U70">
        <v>700028</v>
      </c>
      <c r="V70" t="s">
        <v>31</v>
      </c>
      <c r="W70" t="b">
        <v>0</v>
      </c>
      <c r="X70" t="str">
        <f>CONCATENATE(Table1[[#This Row],[ship-city]]," -- ", Table1[[#This Row],[ship-postal-code]])</f>
        <v>KOLKATA -- 700028</v>
      </c>
      <c r="Y70" t="str">
        <f>SUBSTITUTE(Table1[[#This Row],[city_pin_code]],"--"," ||")</f>
        <v>KOLKATA  || 700028</v>
      </c>
    </row>
    <row r="71" spans="1:25" x14ac:dyDescent="0.3">
      <c r="A71">
        <v>17</v>
      </c>
      <c r="B71" t="s">
        <v>189</v>
      </c>
      <c r="C71">
        <v>7039962</v>
      </c>
      <c r="D71" t="s">
        <v>22</v>
      </c>
      <c r="E71">
        <v>30</v>
      </c>
      <c r="F71" t="str">
        <f t="shared" si="5"/>
        <v>Adults</v>
      </c>
      <c r="G71" s="11">
        <v>44899</v>
      </c>
      <c r="H71" s="11">
        <f>WEEKDAY(Table1[[#This Row],[Date]],2)</f>
        <v>7</v>
      </c>
      <c r="I71" s="9" t="str">
        <f>TEXT(Table1[[#This Row],[Date]],"dd")</f>
        <v>04</v>
      </c>
      <c r="J71" t="str">
        <f t="shared" si="6"/>
        <v>Dec</v>
      </c>
      <c r="K71" t="s">
        <v>23</v>
      </c>
      <c r="L71" t="s">
        <v>65</v>
      </c>
      <c r="M71" t="s">
        <v>190</v>
      </c>
      <c r="N71" t="s">
        <v>35</v>
      </c>
      <c r="O71" t="s">
        <v>36</v>
      </c>
      <c r="P71">
        <v>1</v>
      </c>
      <c r="Q71" t="s">
        <v>28</v>
      </c>
      <c r="R71">
        <v>1115</v>
      </c>
      <c r="S71" t="s">
        <v>191</v>
      </c>
      <c r="T71" t="s">
        <v>75</v>
      </c>
      <c r="U71">
        <v>751022</v>
      </c>
      <c r="V71" t="s">
        <v>31</v>
      </c>
      <c r="W71" t="b">
        <v>0</v>
      </c>
      <c r="X71" t="str">
        <f>CONCATENATE(Table1[[#This Row],[ship-city]]," -- ", Table1[[#This Row],[ship-postal-code]])</f>
        <v>Bhubaneswar -- 751022</v>
      </c>
      <c r="Y71" t="str">
        <f>SUBSTITUTE(Table1[[#This Row],[city_pin_code]],"--"," ||")</f>
        <v>Bhubaneswar  || 751022</v>
      </c>
    </row>
    <row r="72" spans="1:25" x14ac:dyDescent="0.3">
      <c r="A72">
        <v>23</v>
      </c>
      <c r="B72" t="s">
        <v>192</v>
      </c>
      <c r="C72">
        <v>950590</v>
      </c>
      <c r="D72" t="s">
        <v>22</v>
      </c>
      <c r="E72">
        <v>30</v>
      </c>
      <c r="F72" t="str">
        <f t="shared" si="5"/>
        <v>Adults</v>
      </c>
      <c r="G72" s="11">
        <v>44899</v>
      </c>
      <c r="H72" s="11">
        <f>WEEKDAY(Table1[[#This Row],[Date]],2)</f>
        <v>7</v>
      </c>
      <c r="I72" s="9" t="str">
        <f>TEXT(Table1[[#This Row],[Date]],"dd")</f>
        <v>04</v>
      </c>
      <c r="J72" t="str">
        <f t="shared" si="6"/>
        <v>Dec</v>
      </c>
      <c r="K72" t="s">
        <v>23</v>
      </c>
      <c r="L72" t="s">
        <v>41</v>
      </c>
      <c r="M72" t="s">
        <v>193</v>
      </c>
      <c r="N72" t="s">
        <v>35</v>
      </c>
      <c r="O72" t="s">
        <v>116</v>
      </c>
      <c r="P72">
        <v>1</v>
      </c>
      <c r="Q72" t="s">
        <v>28</v>
      </c>
      <c r="R72">
        <v>575</v>
      </c>
      <c r="S72" t="s">
        <v>194</v>
      </c>
      <c r="T72" t="s">
        <v>63</v>
      </c>
      <c r="U72">
        <v>625014</v>
      </c>
      <c r="V72" t="s">
        <v>31</v>
      </c>
      <c r="W72" t="b">
        <v>0</v>
      </c>
      <c r="X72" t="str">
        <f>CONCATENATE(Table1[[#This Row],[ship-city]]," -- ", Table1[[#This Row],[ship-postal-code]])</f>
        <v>MADURAI -- 625014</v>
      </c>
      <c r="Y72" t="str">
        <f>SUBSTITUTE(Table1[[#This Row],[city_pin_code]],"--"," ||")</f>
        <v>MADURAI  || 625014</v>
      </c>
    </row>
    <row r="73" spans="1:25" x14ac:dyDescent="0.3">
      <c r="A73">
        <v>46</v>
      </c>
      <c r="B73" t="s">
        <v>195</v>
      </c>
      <c r="C73">
        <v>4087298</v>
      </c>
      <c r="D73" t="s">
        <v>33</v>
      </c>
      <c r="E73">
        <v>30</v>
      </c>
      <c r="F73" t="str">
        <f t="shared" si="5"/>
        <v>Adults</v>
      </c>
      <c r="G73" s="11">
        <v>44899</v>
      </c>
      <c r="H73" s="11">
        <f>WEEKDAY(Table1[[#This Row],[Date]],2)</f>
        <v>7</v>
      </c>
      <c r="I73" s="9" t="str">
        <f>TEXT(Table1[[#This Row],[Date]],"dd")</f>
        <v>04</v>
      </c>
      <c r="J73" t="str">
        <f t="shared" si="6"/>
        <v>Dec</v>
      </c>
      <c r="K73" t="s">
        <v>23</v>
      </c>
      <c r="L73" t="s">
        <v>77</v>
      </c>
      <c r="M73" t="s">
        <v>196</v>
      </c>
      <c r="N73" t="s">
        <v>35</v>
      </c>
      <c r="O73" t="s">
        <v>27</v>
      </c>
      <c r="P73">
        <v>1</v>
      </c>
      <c r="Q73" t="s">
        <v>28</v>
      </c>
      <c r="R73">
        <v>563</v>
      </c>
      <c r="S73" t="s">
        <v>197</v>
      </c>
      <c r="T73" t="s">
        <v>63</v>
      </c>
      <c r="U73">
        <v>620101</v>
      </c>
      <c r="V73" t="s">
        <v>31</v>
      </c>
      <c r="W73" t="b">
        <v>0</v>
      </c>
      <c r="X73" t="str">
        <f>CONCATENATE(Table1[[#This Row],[ship-city]]," -- ", Table1[[#This Row],[ship-postal-code]])</f>
        <v>TIRUCHIRAPPALLI -- 620101</v>
      </c>
      <c r="Y73" t="str">
        <f>SUBSTITUTE(Table1[[#This Row],[city_pin_code]],"--"," ||")</f>
        <v>TIRUCHIRAPPALLI  || 620101</v>
      </c>
    </row>
    <row r="74" spans="1:25" x14ac:dyDescent="0.3">
      <c r="A74">
        <v>81</v>
      </c>
      <c r="B74" t="s">
        <v>90</v>
      </c>
      <c r="C74">
        <v>8573929</v>
      </c>
      <c r="D74" t="s">
        <v>33</v>
      </c>
      <c r="E74">
        <v>30</v>
      </c>
      <c r="F74" t="str">
        <f t="shared" si="5"/>
        <v>Adults</v>
      </c>
      <c r="G74" s="11">
        <v>44899</v>
      </c>
      <c r="H74" s="11">
        <f>WEEKDAY(Table1[[#This Row],[Date]],2)</f>
        <v>7</v>
      </c>
      <c r="I74" s="9" t="str">
        <f>TEXT(Table1[[#This Row],[Date]],"dd")</f>
        <v>04</v>
      </c>
      <c r="J74" t="str">
        <f t="shared" si="6"/>
        <v>Dec</v>
      </c>
      <c r="K74" t="s">
        <v>23</v>
      </c>
      <c r="L74" t="s">
        <v>24</v>
      </c>
      <c r="M74" t="s">
        <v>198</v>
      </c>
      <c r="N74" t="s">
        <v>43</v>
      </c>
      <c r="O74" t="s">
        <v>27</v>
      </c>
      <c r="P74">
        <v>1</v>
      </c>
      <c r="Q74" t="s">
        <v>28</v>
      </c>
      <c r="R74">
        <v>458</v>
      </c>
      <c r="S74" t="s">
        <v>199</v>
      </c>
      <c r="T74" t="s">
        <v>30</v>
      </c>
      <c r="U74">
        <v>400097</v>
      </c>
      <c r="V74" t="s">
        <v>31</v>
      </c>
      <c r="W74" t="b">
        <v>0</v>
      </c>
      <c r="X74" t="str">
        <f>CONCATENATE(Table1[[#This Row],[ship-city]]," -- ", Table1[[#This Row],[ship-postal-code]])</f>
        <v>MUMBAI -- 400097</v>
      </c>
      <c r="Y74" t="str">
        <f>SUBSTITUTE(Table1[[#This Row],[city_pin_code]],"--"," ||")</f>
        <v>MUMBAI  || 400097</v>
      </c>
    </row>
    <row r="75" spans="1:25" x14ac:dyDescent="0.3">
      <c r="A75">
        <v>2</v>
      </c>
      <c r="B75" t="s">
        <v>254</v>
      </c>
      <c r="C75">
        <v>2183842</v>
      </c>
      <c r="D75" t="s">
        <v>33</v>
      </c>
      <c r="E75">
        <v>29</v>
      </c>
      <c r="F75" t="str">
        <f t="shared" si="5"/>
        <v>Teenager</v>
      </c>
      <c r="G75" s="11">
        <v>44899</v>
      </c>
      <c r="H75" s="11">
        <f>WEEKDAY(Table1[[#This Row],[Date]],2)</f>
        <v>7</v>
      </c>
      <c r="I75" s="9" t="str">
        <f>TEXT(Table1[[#This Row],[Date]],"dd")</f>
        <v>04</v>
      </c>
      <c r="J75" t="str">
        <f t="shared" si="6"/>
        <v>Dec</v>
      </c>
      <c r="K75" t="s">
        <v>23</v>
      </c>
      <c r="L75" t="s">
        <v>244</v>
      </c>
      <c r="M75" t="s">
        <v>255</v>
      </c>
      <c r="N75" t="s">
        <v>35</v>
      </c>
      <c r="O75" t="s">
        <v>61</v>
      </c>
      <c r="P75">
        <v>1</v>
      </c>
      <c r="Q75" t="s">
        <v>28</v>
      </c>
      <c r="R75">
        <v>1449</v>
      </c>
      <c r="S75" t="s">
        <v>68</v>
      </c>
      <c r="T75" t="s">
        <v>69</v>
      </c>
      <c r="U75">
        <v>122002</v>
      </c>
      <c r="V75" t="s">
        <v>31</v>
      </c>
      <c r="W75" t="b">
        <v>0</v>
      </c>
      <c r="X75" t="str">
        <f>CONCATENATE(Table1[[#This Row],[ship-city]]," -- ", Table1[[#This Row],[ship-postal-code]])</f>
        <v>GURUGRAM -- 122002</v>
      </c>
      <c r="Y75" t="str">
        <f>SUBSTITUTE(Table1[[#This Row],[city_pin_code]],"--"," ||")</f>
        <v>GURUGRAM  || 122002</v>
      </c>
    </row>
    <row r="76" spans="1:25" x14ac:dyDescent="0.3">
      <c r="A76">
        <v>57</v>
      </c>
      <c r="B76" t="s">
        <v>149</v>
      </c>
      <c r="C76">
        <v>9907523</v>
      </c>
      <c r="D76" t="s">
        <v>22</v>
      </c>
      <c r="E76">
        <v>27</v>
      </c>
      <c r="F76" t="str">
        <f t="shared" si="5"/>
        <v>Teenager</v>
      </c>
      <c r="G76" s="11">
        <v>44899</v>
      </c>
      <c r="H76" s="11">
        <f>WEEKDAY(Table1[[#This Row],[Date]],2)</f>
        <v>7</v>
      </c>
      <c r="I76" s="9" t="str">
        <f>TEXT(Table1[[#This Row],[Date]],"dd")</f>
        <v>04</v>
      </c>
      <c r="J76" t="str">
        <f t="shared" si="6"/>
        <v>Dec</v>
      </c>
      <c r="K76" t="s">
        <v>23</v>
      </c>
      <c r="L76" t="s">
        <v>77</v>
      </c>
      <c r="M76" t="s">
        <v>258</v>
      </c>
      <c r="N76" t="s">
        <v>35</v>
      </c>
      <c r="O76" t="s">
        <v>50</v>
      </c>
      <c r="P76">
        <v>1</v>
      </c>
      <c r="Q76" t="s">
        <v>28</v>
      </c>
      <c r="R76">
        <v>916</v>
      </c>
      <c r="S76" t="s">
        <v>259</v>
      </c>
      <c r="T76" t="s">
        <v>118</v>
      </c>
      <c r="U76">
        <v>228001</v>
      </c>
      <c r="V76" t="s">
        <v>31</v>
      </c>
      <c r="W76" t="b">
        <v>0</v>
      </c>
      <c r="X76" t="str">
        <f>CONCATENATE(Table1[[#This Row],[ship-city]]," -- ", Table1[[#This Row],[ship-postal-code]])</f>
        <v>SULTANPUR -- 228001</v>
      </c>
      <c r="Y76" t="str">
        <f>SUBSTITUTE(Table1[[#This Row],[city_pin_code]],"--"," ||")</f>
        <v>SULTANPUR  || 228001</v>
      </c>
    </row>
    <row r="77" spans="1:25" x14ac:dyDescent="0.3">
      <c r="A77">
        <v>51</v>
      </c>
      <c r="B77" t="s">
        <v>256</v>
      </c>
      <c r="C77">
        <v>4213846</v>
      </c>
      <c r="D77" t="s">
        <v>33</v>
      </c>
      <c r="E77">
        <v>27</v>
      </c>
      <c r="F77" t="str">
        <f t="shared" si="5"/>
        <v>Teenager</v>
      </c>
      <c r="G77" s="11">
        <v>44899</v>
      </c>
      <c r="H77" s="11">
        <f>WEEKDAY(Table1[[#This Row],[Date]],2)</f>
        <v>7</v>
      </c>
      <c r="I77" s="9" t="str">
        <f>TEXT(Table1[[#This Row],[Date]],"dd")</f>
        <v>04</v>
      </c>
      <c r="J77" t="str">
        <f t="shared" si="6"/>
        <v>Dec</v>
      </c>
      <c r="K77" t="s">
        <v>23</v>
      </c>
      <c r="L77" t="s">
        <v>77</v>
      </c>
      <c r="M77" t="s">
        <v>257</v>
      </c>
      <c r="N77" t="s">
        <v>35</v>
      </c>
      <c r="O77" t="s">
        <v>67</v>
      </c>
      <c r="P77">
        <v>1</v>
      </c>
      <c r="Q77" t="s">
        <v>28</v>
      </c>
      <c r="R77">
        <v>664</v>
      </c>
      <c r="S77" t="s">
        <v>155</v>
      </c>
      <c r="T77" t="s">
        <v>156</v>
      </c>
      <c r="U77">
        <v>500039</v>
      </c>
      <c r="V77" t="s">
        <v>31</v>
      </c>
      <c r="W77" t="b">
        <v>0</v>
      </c>
      <c r="X77" t="str">
        <f>CONCATENATE(Table1[[#This Row],[ship-city]]," -- ", Table1[[#This Row],[ship-postal-code]])</f>
        <v>HYDERABAD -- 500039</v>
      </c>
      <c r="Y77" t="str">
        <f>SUBSTITUTE(Table1[[#This Row],[city_pin_code]],"--"," ||")</f>
        <v>HYDERABAD  || 500039</v>
      </c>
    </row>
    <row r="78" spans="1:25" x14ac:dyDescent="0.3">
      <c r="A78">
        <v>71</v>
      </c>
      <c r="B78" t="s">
        <v>263</v>
      </c>
      <c r="C78">
        <v>6950860</v>
      </c>
      <c r="D78" t="s">
        <v>33</v>
      </c>
      <c r="E78">
        <v>26</v>
      </c>
      <c r="F78" t="str">
        <f t="shared" si="5"/>
        <v>Teenager</v>
      </c>
      <c r="G78" s="11">
        <v>44899</v>
      </c>
      <c r="H78" s="11">
        <f>WEEKDAY(Table1[[#This Row],[Date]],2)</f>
        <v>7</v>
      </c>
      <c r="I78" s="9" t="str">
        <f>TEXT(Table1[[#This Row],[Date]],"dd")</f>
        <v>04</v>
      </c>
      <c r="J78" t="str">
        <f t="shared" si="6"/>
        <v>Dec</v>
      </c>
      <c r="K78" t="s">
        <v>23</v>
      </c>
      <c r="L78" t="s">
        <v>77</v>
      </c>
      <c r="M78" t="s">
        <v>264</v>
      </c>
      <c r="N78" t="s">
        <v>87</v>
      </c>
      <c r="O78" t="s">
        <v>88</v>
      </c>
      <c r="P78">
        <v>1</v>
      </c>
      <c r="Q78" t="s">
        <v>28</v>
      </c>
      <c r="R78">
        <v>1075</v>
      </c>
      <c r="S78" t="s">
        <v>265</v>
      </c>
      <c r="T78" t="s">
        <v>266</v>
      </c>
      <c r="U78">
        <v>801113</v>
      </c>
      <c r="V78" t="s">
        <v>31</v>
      </c>
      <c r="W78" t="b">
        <v>0</v>
      </c>
      <c r="X78" t="str">
        <f>CONCATENATE(Table1[[#This Row],[ship-city]]," -- ", Table1[[#This Row],[ship-postal-code]])</f>
        <v>PATNA -- 801113</v>
      </c>
      <c r="Y78" t="str">
        <f>SUBSTITUTE(Table1[[#This Row],[city_pin_code]],"--"," ||")</f>
        <v>PATNA  || 801113</v>
      </c>
    </row>
    <row r="79" spans="1:25" x14ac:dyDescent="0.3">
      <c r="A79">
        <v>30</v>
      </c>
      <c r="B79" t="s">
        <v>260</v>
      </c>
      <c r="C79">
        <v>1326018</v>
      </c>
      <c r="D79" t="s">
        <v>22</v>
      </c>
      <c r="E79">
        <v>26</v>
      </c>
      <c r="F79" t="str">
        <f t="shared" si="5"/>
        <v>Teenager</v>
      </c>
      <c r="G79" s="11">
        <v>44899</v>
      </c>
      <c r="H79" s="11">
        <f>WEEKDAY(Table1[[#This Row],[Date]],2)</f>
        <v>7</v>
      </c>
      <c r="I79" s="9" t="str">
        <f>TEXT(Table1[[#This Row],[Date]],"dd")</f>
        <v>04</v>
      </c>
      <c r="J79" t="str">
        <f t="shared" si="6"/>
        <v>Dec</v>
      </c>
      <c r="K79" t="s">
        <v>23</v>
      </c>
      <c r="L79" t="s">
        <v>77</v>
      </c>
      <c r="M79" t="s">
        <v>261</v>
      </c>
      <c r="N79" t="s">
        <v>35</v>
      </c>
      <c r="O79" t="s">
        <v>50</v>
      </c>
      <c r="P79">
        <v>1</v>
      </c>
      <c r="Q79" t="s">
        <v>28</v>
      </c>
      <c r="R79">
        <v>759</v>
      </c>
      <c r="S79" t="s">
        <v>262</v>
      </c>
      <c r="T79" t="s">
        <v>118</v>
      </c>
      <c r="U79">
        <v>230304</v>
      </c>
      <c r="V79" t="s">
        <v>31</v>
      </c>
      <c r="W79" t="b">
        <v>0</v>
      </c>
      <c r="X79" t="str">
        <f>CONCATENATE(Table1[[#This Row],[ship-city]]," -- ", Table1[[#This Row],[ship-postal-code]])</f>
        <v>PRAYAGRAJ -- 230304</v>
      </c>
      <c r="Y79" t="str">
        <f>SUBSTITUTE(Table1[[#This Row],[city_pin_code]],"--"," ||")</f>
        <v>PRAYAGRAJ  || 230304</v>
      </c>
    </row>
    <row r="80" spans="1:25" x14ac:dyDescent="0.3">
      <c r="A80">
        <v>75</v>
      </c>
      <c r="B80" t="s">
        <v>267</v>
      </c>
      <c r="C80">
        <v>7814128</v>
      </c>
      <c r="D80" t="s">
        <v>33</v>
      </c>
      <c r="E80">
        <v>26</v>
      </c>
      <c r="F80" t="str">
        <f t="shared" si="5"/>
        <v>Teenager</v>
      </c>
      <c r="G80" s="11">
        <v>44899</v>
      </c>
      <c r="H80" s="11">
        <f>WEEKDAY(Table1[[#This Row],[Date]],2)</f>
        <v>7</v>
      </c>
      <c r="I80" s="9" t="str">
        <f>TEXT(Table1[[#This Row],[Date]],"dd")</f>
        <v>04</v>
      </c>
      <c r="J80" t="str">
        <f t="shared" si="6"/>
        <v>Dec</v>
      </c>
      <c r="K80" t="s">
        <v>23</v>
      </c>
      <c r="L80" t="s">
        <v>54</v>
      </c>
      <c r="M80" t="s">
        <v>268</v>
      </c>
      <c r="N80" t="s">
        <v>87</v>
      </c>
      <c r="O80" t="s">
        <v>88</v>
      </c>
      <c r="P80">
        <v>1</v>
      </c>
      <c r="Q80" t="s">
        <v>28</v>
      </c>
      <c r="R80">
        <v>476</v>
      </c>
      <c r="S80" t="s">
        <v>269</v>
      </c>
      <c r="T80" t="s">
        <v>30</v>
      </c>
      <c r="U80">
        <v>400705</v>
      </c>
      <c r="V80" t="s">
        <v>31</v>
      </c>
      <c r="W80" t="b">
        <v>0</v>
      </c>
      <c r="X80" t="str">
        <f>CONCATENATE(Table1[[#This Row],[ship-city]]," -- ", Table1[[#This Row],[ship-postal-code]])</f>
        <v>NAVI MUMBAI -- 400705</v>
      </c>
      <c r="Y80" t="str">
        <f>SUBSTITUTE(Table1[[#This Row],[city_pin_code]],"--"," ||")</f>
        <v>NAVI MUMBAI  || 400705</v>
      </c>
    </row>
    <row r="81" spans="1:25" x14ac:dyDescent="0.3">
      <c r="A81">
        <v>49</v>
      </c>
      <c r="B81" t="s">
        <v>270</v>
      </c>
      <c r="C81">
        <v>7917674</v>
      </c>
      <c r="D81" t="s">
        <v>33</v>
      </c>
      <c r="E81">
        <v>25</v>
      </c>
      <c r="F81" t="str">
        <f t="shared" si="5"/>
        <v>Teenager</v>
      </c>
      <c r="G81" s="11">
        <v>44899</v>
      </c>
      <c r="H81" s="11">
        <f>WEEKDAY(Table1[[#This Row],[Date]],2)</f>
        <v>7</v>
      </c>
      <c r="I81" s="9" t="str">
        <f>TEXT(Table1[[#This Row],[Date]],"dd")</f>
        <v>04</v>
      </c>
      <c r="J81" t="str">
        <f t="shared" si="6"/>
        <v>Dec</v>
      </c>
      <c r="K81" t="s">
        <v>23</v>
      </c>
      <c r="L81" t="s">
        <v>41</v>
      </c>
      <c r="M81" t="s">
        <v>271</v>
      </c>
      <c r="N81" t="s">
        <v>43</v>
      </c>
      <c r="O81" t="s">
        <v>67</v>
      </c>
      <c r="P81">
        <v>1</v>
      </c>
      <c r="Q81" t="s">
        <v>28</v>
      </c>
      <c r="R81">
        <v>292</v>
      </c>
      <c r="S81" t="s">
        <v>272</v>
      </c>
      <c r="T81" t="s">
        <v>118</v>
      </c>
      <c r="U81">
        <v>221010</v>
      </c>
      <c r="V81" t="s">
        <v>31</v>
      </c>
      <c r="W81" t="b">
        <v>0</v>
      </c>
      <c r="X81" t="str">
        <f>CONCATENATE(Table1[[#This Row],[ship-city]]," -- ", Table1[[#This Row],[ship-postal-code]])</f>
        <v>VARANASI -- 221010</v>
      </c>
      <c r="Y81" t="str">
        <f>SUBSTITUTE(Table1[[#This Row],[city_pin_code]],"--"," ||")</f>
        <v>VARANASI  || 221010</v>
      </c>
    </row>
    <row r="82" spans="1:25" x14ac:dyDescent="0.3">
      <c r="A82">
        <v>66</v>
      </c>
      <c r="B82" t="s">
        <v>275</v>
      </c>
      <c r="C82">
        <v>2130722</v>
      </c>
      <c r="D82" t="s">
        <v>33</v>
      </c>
      <c r="E82">
        <v>24</v>
      </c>
      <c r="F82" t="str">
        <f t="shared" si="5"/>
        <v>Teenager</v>
      </c>
      <c r="G82" s="11">
        <v>44899</v>
      </c>
      <c r="H82" s="11">
        <f>WEEKDAY(Table1[[#This Row],[Date]],2)</f>
        <v>7</v>
      </c>
      <c r="I82" s="9" t="str">
        <f>TEXT(Table1[[#This Row],[Date]],"dd")</f>
        <v>04</v>
      </c>
      <c r="J82" t="str">
        <f t="shared" si="6"/>
        <v>Dec</v>
      </c>
      <c r="K82" t="s">
        <v>23</v>
      </c>
      <c r="L82" t="s">
        <v>41</v>
      </c>
      <c r="M82" t="s">
        <v>276</v>
      </c>
      <c r="N82" t="s">
        <v>96</v>
      </c>
      <c r="O82" t="s">
        <v>44</v>
      </c>
      <c r="P82">
        <v>1</v>
      </c>
      <c r="Q82" t="s">
        <v>28</v>
      </c>
      <c r="R82">
        <v>563</v>
      </c>
      <c r="S82" t="s">
        <v>253</v>
      </c>
      <c r="T82" t="s">
        <v>214</v>
      </c>
      <c r="U82">
        <v>382470</v>
      </c>
      <c r="V82" t="s">
        <v>31</v>
      </c>
      <c r="W82" t="b">
        <v>0</v>
      </c>
      <c r="X82" t="str">
        <f>CONCATENATE(Table1[[#This Row],[ship-city]]," -- ", Table1[[#This Row],[ship-postal-code]])</f>
        <v>AHMEDABAD -- 382470</v>
      </c>
      <c r="Y82" t="str">
        <f>SUBSTITUTE(Table1[[#This Row],[city_pin_code]],"--"," ||")</f>
        <v>AHMEDABAD  || 382470</v>
      </c>
    </row>
    <row r="83" spans="1:25" x14ac:dyDescent="0.3">
      <c r="A83">
        <v>19</v>
      </c>
      <c r="B83" t="s">
        <v>273</v>
      </c>
      <c r="C83">
        <v>8974687</v>
      </c>
      <c r="D83" t="s">
        <v>22</v>
      </c>
      <c r="E83">
        <v>24</v>
      </c>
      <c r="F83" t="str">
        <f t="shared" si="5"/>
        <v>Teenager</v>
      </c>
      <c r="G83" s="11">
        <v>44899</v>
      </c>
      <c r="H83" s="11">
        <f>WEEKDAY(Table1[[#This Row],[Date]],2)</f>
        <v>7</v>
      </c>
      <c r="I83" s="9" t="str">
        <f>TEXT(Table1[[#This Row],[Date]],"dd")</f>
        <v>04</v>
      </c>
      <c r="J83" t="str">
        <f t="shared" si="6"/>
        <v>Dec</v>
      </c>
      <c r="K83" t="s">
        <v>23</v>
      </c>
      <c r="L83" t="s">
        <v>41</v>
      </c>
      <c r="M83" t="s">
        <v>274</v>
      </c>
      <c r="N83" t="s">
        <v>26</v>
      </c>
      <c r="O83" t="s">
        <v>27</v>
      </c>
      <c r="P83">
        <v>1</v>
      </c>
      <c r="Q83" t="s">
        <v>28</v>
      </c>
      <c r="R83">
        <v>473</v>
      </c>
      <c r="S83" t="s">
        <v>199</v>
      </c>
      <c r="T83" t="s">
        <v>30</v>
      </c>
      <c r="U83">
        <v>400097</v>
      </c>
      <c r="V83" t="s">
        <v>31</v>
      </c>
      <c r="W83" t="b">
        <v>0</v>
      </c>
      <c r="X83" t="str">
        <f>CONCATENATE(Table1[[#This Row],[ship-city]]," -- ", Table1[[#This Row],[ship-postal-code]])</f>
        <v>MUMBAI -- 400097</v>
      </c>
      <c r="Y83" t="str">
        <f>SUBSTITUTE(Table1[[#This Row],[city_pin_code]],"--"," ||")</f>
        <v>MUMBAI  || 400097</v>
      </c>
    </row>
    <row r="84" spans="1:25" x14ac:dyDescent="0.3">
      <c r="A84">
        <v>55</v>
      </c>
      <c r="B84" t="s">
        <v>278</v>
      </c>
      <c r="C84">
        <v>8874360</v>
      </c>
      <c r="D84" t="s">
        <v>22</v>
      </c>
      <c r="E84">
        <v>23</v>
      </c>
      <c r="F84" t="str">
        <f t="shared" si="5"/>
        <v>Teenager</v>
      </c>
      <c r="G84" s="11">
        <v>44899</v>
      </c>
      <c r="H84" s="11">
        <f>WEEKDAY(Table1[[#This Row],[Date]],2)</f>
        <v>7</v>
      </c>
      <c r="I84" s="9" t="str">
        <f>TEXT(Table1[[#This Row],[Date]],"dd")</f>
        <v>04</v>
      </c>
      <c r="J84" t="str">
        <f t="shared" si="6"/>
        <v>Dec</v>
      </c>
      <c r="K84" t="s">
        <v>23</v>
      </c>
      <c r="L84" t="s">
        <v>48</v>
      </c>
      <c r="M84" t="s">
        <v>279</v>
      </c>
      <c r="N84" t="s">
        <v>35</v>
      </c>
      <c r="O84" t="s">
        <v>27</v>
      </c>
      <c r="P84">
        <v>1</v>
      </c>
      <c r="Q84" t="s">
        <v>28</v>
      </c>
      <c r="R84">
        <v>1115</v>
      </c>
      <c r="S84" t="s">
        <v>45</v>
      </c>
      <c r="T84" t="s">
        <v>46</v>
      </c>
      <c r="U84">
        <v>110016</v>
      </c>
      <c r="V84" t="s">
        <v>31</v>
      </c>
      <c r="W84" t="b">
        <v>0</v>
      </c>
      <c r="X84" t="str">
        <f>CONCATENATE(Table1[[#This Row],[ship-city]]," -- ", Table1[[#This Row],[ship-postal-code]])</f>
        <v>NEW DELHI -- 110016</v>
      </c>
      <c r="Y84" t="str">
        <f>SUBSTITUTE(Table1[[#This Row],[city_pin_code]],"--"," ||")</f>
        <v>NEW DELHI  || 110016</v>
      </c>
    </row>
    <row r="85" spans="1:25" x14ac:dyDescent="0.3">
      <c r="A85">
        <v>73</v>
      </c>
      <c r="B85" t="s">
        <v>280</v>
      </c>
      <c r="C85">
        <v>6041386</v>
      </c>
      <c r="D85" t="s">
        <v>22</v>
      </c>
      <c r="E85">
        <v>23</v>
      </c>
      <c r="F85" t="str">
        <f t="shared" si="5"/>
        <v>Teenager</v>
      </c>
      <c r="G85" s="11">
        <v>44899</v>
      </c>
      <c r="H85" s="11">
        <f>WEEKDAY(Table1[[#This Row],[Date]],2)</f>
        <v>7</v>
      </c>
      <c r="I85" s="9" t="str">
        <f>TEXT(Table1[[#This Row],[Date]],"dd")</f>
        <v>04</v>
      </c>
      <c r="J85" t="str">
        <f t="shared" si="6"/>
        <v>Dec</v>
      </c>
      <c r="K85" t="s">
        <v>23</v>
      </c>
      <c r="L85" t="s">
        <v>24</v>
      </c>
      <c r="M85" t="s">
        <v>281</v>
      </c>
      <c r="N85" t="s">
        <v>35</v>
      </c>
      <c r="O85" t="s">
        <v>27</v>
      </c>
      <c r="P85">
        <v>1</v>
      </c>
      <c r="Q85" t="s">
        <v>28</v>
      </c>
      <c r="R85">
        <v>1072</v>
      </c>
      <c r="S85" t="s">
        <v>110</v>
      </c>
      <c r="T85" t="s">
        <v>30</v>
      </c>
      <c r="U85">
        <v>421201</v>
      </c>
      <c r="V85" t="s">
        <v>31</v>
      </c>
      <c r="W85" t="b">
        <v>0</v>
      </c>
      <c r="X85" t="str">
        <f>CONCATENATE(Table1[[#This Row],[ship-city]]," -- ", Table1[[#This Row],[ship-postal-code]])</f>
        <v>KALYAN -- 421201</v>
      </c>
      <c r="Y85" t="str">
        <f>SUBSTITUTE(Table1[[#This Row],[city_pin_code]],"--"," ||")</f>
        <v>KALYAN  || 421201</v>
      </c>
    </row>
    <row r="86" spans="1:25" x14ac:dyDescent="0.3">
      <c r="A86">
        <v>7</v>
      </c>
      <c r="B86" t="s">
        <v>21</v>
      </c>
      <c r="C86">
        <v>1298130</v>
      </c>
      <c r="D86" t="s">
        <v>33</v>
      </c>
      <c r="E86">
        <v>23</v>
      </c>
      <c r="F86" t="str">
        <f t="shared" si="5"/>
        <v>Teenager</v>
      </c>
      <c r="G86" s="11">
        <v>44899</v>
      </c>
      <c r="H86" s="11">
        <f>WEEKDAY(Table1[[#This Row],[Date]],2)</f>
        <v>7</v>
      </c>
      <c r="I86" s="9" t="str">
        <f>TEXT(Table1[[#This Row],[Date]],"dd")</f>
        <v>04</v>
      </c>
      <c r="J86" t="str">
        <f t="shared" si="6"/>
        <v>Dec</v>
      </c>
      <c r="K86" t="s">
        <v>23</v>
      </c>
      <c r="L86" t="s">
        <v>65</v>
      </c>
      <c r="M86" t="s">
        <v>277</v>
      </c>
      <c r="N86" t="s">
        <v>43</v>
      </c>
      <c r="O86" t="s">
        <v>27</v>
      </c>
      <c r="P86">
        <v>1</v>
      </c>
      <c r="Q86" t="s">
        <v>28</v>
      </c>
      <c r="R86">
        <v>735</v>
      </c>
      <c r="S86" t="s">
        <v>83</v>
      </c>
      <c r="T86" t="s">
        <v>84</v>
      </c>
      <c r="U86">
        <v>560029</v>
      </c>
      <c r="V86" t="s">
        <v>31</v>
      </c>
      <c r="W86" t="b">
        <v>0</v>
      </c>
      <c r="X86" t="str">
        <f>CONCATENATE(Table1[[#This Row],[ship-city]]," -- ", Table1[[#This Row],[ship-postal-code]])</f>
        <v>BENGALURU -- 560029</v>
      </c>
      <c r="Y86" t="str">
        <f>SUBSTITUTE(Table1[[#This Row],[city_pin_code]],"--"," ||")</f>
        <v>BENGALURU  || 560029</v>
      </c>
    </row>
    <row r="87" spans="1:25" x14ac:dyDescent="0.3">
      <c r="A87">
        <v>44</v>
      </c>
      <c r="B87" t="s">
        <v>282</v>
      </c>
      <c r="C87">
        <v>5673590</v>
      </c>
      <c r="D87" t="s">
        <v>33</v>
      </c>
      <c r="E87">
        <v>22</v>
      </c>
      <c r="F87" t="str">
        <f t="shared" si="5"/>
        <v>Teenager</v>
      </c>
      <c r="G87" s="11">
        <v>44899</v>
      </c>
      <c r="H87" s="11">
        <f>WEEKDAY(Table1[[#This Row],[Date]],2)</f>
        <v>7</v>
      </c>
      <c r="I87" s="9" t="str">
        <f>TEXT(Table1[[#This Row],[Date]],"dd")</f>
        <v>04</v>
      </c>
      <c r="J87" t="str">
        <f t="shared" si="6"/>
        <v>Dec</v>
      </c>
      <c r="K87" t="s">
        <v>23</v>
      </c>
      <c r="L87" t="s">
        <v>65</v>
      </c>
      <c r="M87" t="s">
        <v>283</v>
      </c>
      <c r="N87" t="s">
        <v>35</v>
      </c>
      <c r="O87" t="s">
        <v>36</v>
      </c>
      <c r="P87">
        <v>1</v>
      </c>
      <c r="Q87" t="s">
        <v>28</v>
      </c>
      <c r="R87">
        <v>648</v>
      </c>
      <c r="S87" t="s">
        <v>284</v>
      </c>
      <c r="T87" t="s">
        <v>69</v>
      </c>
      <c r="U87">
        <v>131001</v>
      </c>
      <c r="V87" t="s">
        <v>31</v>
      </c>
      <c r="W87" t="b">
        <v>0</v>
      </c>
      <c r="X87" t="str">
        <f>CONCATENATE(Table1[[#This Row],[ship-city]]," -- ", Table1[[#This Row],[ship-postal-code]])</f>
        <v>SONIPAT -- 131001</v>
      </c>
      <c r="Y87" t="str">
        <f>SUBSTITUTE(Table1[[#This Row],[city_pin_code]],"--"," ||")</f>
        <v>SONIPAT  || 131001</v>
      </c>
    </row>
    <row r="88" spans="1:25" x14ac:dyDescent="0.3">
      <c r="A88">
        <v>89</v>
      </c>
      <c r="B88" t="s">
        <v>285</v>
      </c>
      <c r="C88">
        <v>3641651</v>
      </c>
      <c r="D88" t="s">
        <v>22</v>
      </c>
      <c r="E88">
        <v>22</v>
      </c>
      <c r="F88" t="str">
        <f t="shared" si="5"/>
        <v>Teenager</v>
      </c>
      <c r="G88" s="11">
        <v>44899</v>
      </c>
      <c r="H88" s="11">
        <f>WEEKDAY(Table1[[#This Row],[Date]],2)</f>
        <v>7</v>
      </c>
      <c r="I88" s="9" t="str">
        <f>TEXT(Table1[[#This Row],[Date]],"dd")</f>
        <v>04</v>
      </c>
      <c r="J88" t="str">
        <f t="shared" si="6"/>
        <v>Dec</v>
      </c>
      <c r="K88" t="s">
        <v>23</v>
      </c>
      <c r="L88" t="s">
        <v>77</v>
      </c>
      <c r="M88" t="s">
        <v>286</v>
      </c>
      <c r="N88" t="s">
        <v>35</v>
      </c>
      <c r="O88" t="s">
        <v>61</v>
      </c>
      <c r="P88">
        <v>1</v>
      </c>
      <c r="Q88" t="s">
        <v>28</v>
      </c>
      <c r="R88">
        <v>573</v>
      </c>
      <c r="S88" t="s">
        <v>199</v>
      </c>
      <c r="T88" t="s">
        <v>30</v>
      </c>
      <c r="U88">
        <v>400098</v>
      </c>
      <c r="V88" t="s">
        <v>31</v>
      </c>
      <c r="W88" t="b">
        <v>0</v>
      </c>
      <c r="X88" t="str">
        <f>CONCATENATE(Table1[[#This Row],[ship-city]]," -- ", Table1[[#This Row],[ship-postal-code]])</f>
        <v>MUMBAI -- 400098</v>
      </c>
      <c r="Y88" t="str">
        <f>SUBSTITUTE(Table1[[#This Row],[city_pin_code]],"--"," ||")</f>
        <v>MUMBAI  || 400098</v>
      </c>
    </row>
    <row r="89" spans="1:25" x14ac:dyDescent="0.3">
      <c r="A89">
        <v>52</v>
      </c>
      <c r="B89" t="s">
        <v>287</v>
      </c>
      <c r="C89">
        <v>7381557</v>
      </c>
      <c r="D89" t="s">
        <v>33</v>
      </c>
      <c r="E89">
        <v>21</v>
      </c>
      <c r="F89" t="str">
        <f t="shared" si="5"/>
        <v>Teenager</v>
      </c>
      <c r="G89" s="11">
        <v>44899</v>
      </c>
      <c r="H89" s="11">
        <f>WEEKDAY(Table1[[#This Row],[Date]],2)</f>
        <v>7</v>
      </c>
      <c r="I89" s="9" t="str">
        <f>TEXT(Table1[[#This Row],[Date]],"dd")</f>
        <v>04</v>
      </c>
      <c r="J89" t="str">
        <f t="shared" si="6"/>
        <v>Dec</v>
      </c>
      <c r="K89" t="s">
        <v>23</v>
      </c>
      <c r="L89" t="s">
        <v>48</v>
      </c>
      <c r="M89" t="s">
        <v>216</v>
      </c>
      <c r="N89" t="s">
        <v>35</v>
      </c>
      <c r="O89" t="s">
        <v>67</v>
      </c>
      <c r="P89">
        <v>1</v>
      </c>
      <c r="Q89" t="s">
        <v>28</v>
      </c>
      <c r="R89">
        <v>1112</v>
      </c>
      <c r="S89" t="s">
        <v>288</v>
      </c>
      <c r="T89" t="s">
        <v>118</v>
      </c>
      <c r="U89">
        <v>211001</v>
      </c>
      <c r="V89" t="s">
        <v>31</v>
      </c>
      <c r="W89" t="b">
        <v>0</v>
      </c>
      <c r="X89" t="str">
        <f>CONCATENATE(Table1[[#This Row],[ship-city]]," -- ", Table1[[#This Row],[ship-postal-code]])</f>
        <v>Allahabad -- 211001</v>
      </c>
      <c r="Y89" t="str">
        <f>SUBSTITUTE(Table1[[#This Row],[city_pin_code]],"--"," ||")</f>
        <v>Allahabad  || 211001</v>
      </c>
    </row>
    <row r="90" spans="1:25" x14ac:dyDescent="0.3">
      <c r="A90">
        <v>78</v>
      </c>
      <c r="B90" t="s">
        <v>289</v>
      </c>
      <c r="C90">
        <v>2070545</v>
      </c>
      <c r="D90" t="s">
        <v>33</v>
      </c>
      <c r="E90">
        <v>21</v>
      </c>
      <c r="F90" t="str">
        <f t="shared" si="5"/>
        <v>Teenager</v>
      </c>
      <c r="G90" s="11">
        <v>44899</v>
      </c>
      <c r="H90" s="11">
        <f>WEEKDAY(Table1[[#This Row],[Date]],2)</f>
        <v>7</v>
      </c>
      <c r="I90" s="9" t="str">
        <f>TEXT(Table1[[#This Row],[Date]],"dd")</f>
        <v>04</v>
      </c>
      <c r="J90" t="str">
        <f t="shared" si="6"/>
        <v>Dec</v>
      </c>
      <c r="K90" t="s">
        <v>23</v>
      </c>
      <c r="L90" t="s">
        <v>24</v>
      </c>
      <c r="M90" t="s">
        <v>290</v>
      </c>
      <c r="N90" t="s">
        <v>35</v>
      </c>
      <c r="O90" t="s">
        <v>50</v>
      </c>
      <c r="P90">
        <v>1</v>
      </c>
      <c r="Q90" t="s">
        <v>28</v>
      </c>
      <c r="R90">
        <v>801</v>
      </c>
      <c r="S90" t="s">
        <v>291</v>
      </c>
      <c r="T90" t="s">
        <v>52</v>
      </c>
      <c r="U90">
        <v>334001</v>
      </c>
      <c r="V90" t="s">
        <v>31</v>
      </c>
      <c r="W90" t="b">
        <v>0</v>
      </c>
      <c r="X90" t="str">
        <f>CONCATENATE(Table1[[#This Row],[ship-city]]," -- ", Table1[[#This Row],[ship-postal-code]])</f>
        <v>BIKANER -- 334001</v>
      </c>
      <c r="Y90" t="str">
        <f>SUBSTITUTE(Table1[[#This Row],[city_pin_code]],"--"," ||")</f>
        <v>BIKANER  || 334001</v>
      </c>
    </row>
    <row r="91" spans="1:25" x14ac:dyDescent="0.3">
      <c r="A91">
        <v>4</v>
      </c>
      <c r="B91" t="s">
        <v>292</v>
      </c>
      <c r="C91">
        <v>7490807</v>
      </c>
      <c r="D91" t="s">
        <v>33</v>
      </c>
      <c r="E91">
        <v>20</v>
      </c>
      <c r="F91" t="str">
        <f t="shared" si="5"/>
        <v>Teenager</v>
      </c>
      <c r="G91" s="11">
        <v>44899</v>
      </c>
      <c r="H91" s="11">
        <f>WEEKDAY(Table1[[#This Row],[Date]],2)</f>
        <v>7</v>
      </c>
      <c r="I91" s="9" t="str">
        <f>TEXT(Table1[[#This Row],[Date]],"dd")</f>
        <v>04</v>
      </c>
      <c r="J91" t="str">
        <f t="shared" si="6"/>
        <v>Dec</v>
      </c>
      <c r="K91" t="s">
        <v>23</v>
      </c>
      <c r="L91" t="s">
        <v>77</v>
      </c>
      <c r="M91" t="s">
        <v>293</v>
      </c>
      <c r="N91" t="s">
        <v>35</v>
      </c>
      <c r="O91" t="s">
        <v>67</v>
      </c>
      <c r="P91">
        <v>1</v>
      </c>
      <c r="Q91" t="s">
        <v>28</v>
      </c>
      <c r="R91">
        <v>729</v>
      </c>
      <c r="S91" t="s">
        <v>294</v>
      </c>
      <c r="T91" t="s">
        <v>63</v>
      </c>
      <c r="U91">
        <v>613007</v>
      </c>
      <c r="V91" t="s">
        <v>31</v>
      </c>
      <c r="W91" t="b">
        <v>0</v>
      </c>
      <c r="X91" t="str">
        <f>CONCATENATE(Table1[[#This Row],[ship-city]]," -- ", Table1[[#This Row],[ship-postal-code]])</f>
        <v>THANJAVUR -- 613007</v>
      </c>
      <c r="Y91" t="str">
        <f>SUBSTITUTE(Table1[[#This Row],[city_pin_code]],"--"," ||")</f>
        <v>THANJAVUR  || 613007</v>
      </c>
    </row>
    <row r="92" spans="1:25" x14ac:dyDescent="0.3">
      <c r="A92">
        <v>28</v>
      </c>
      <c r="B92" t="s">
        <v>295</v>
      </c>
      <c r="C92">
        <v>986513</v>
      </c>
      <c r="D92" t="s">
        <v>22</v>
      </c>
      <c r="E92">
        <v>20</v>
      </c>
      <c r="F92" t="str">
        <f t="shared" si="5"/>
        <v>Teenager</v>
      </c>
      <c r="G92" s="11">
        <v>44899</v>
      </c>
      <c r="H92" s="11">
        <f>WEEKDAY(Table1[[#This Row],[Date]],2)</f>
        <v>7</v>
      </c>
      <c r="I92" s="9" t="str">
        <f>TEXT(Table1[[#This Row],[Date]],"dd")</f>
        <v>04</v>
      </c>
      <c r="J92" t="str">
        <f t="shared" si="6"/>
        <v>Dec</v>
      </c>
      <c r="K92" t="s">
        <v>23</v>
      </c>
      <c r="L92" t="s">
        <v>24</v>
      </c>
      <c r="M92" t="s">
        <v>296</v>
      </c>
      <c r="N92" t="s">
        <v>35</v>
      </c>
      <c r="O92" t="s">
        <v>116</v>
      </c>
      <c r="P92">
        <v>1</v>
      </c>
      <c r="Q92" t="s">
        <v>28</v>
      </c>
      <c r="R92">
        <v>563</v>
      </c>
      <c r="S92" t="s">
        <v>297</v>
      </c>
      <c r="T92" t="s">
        <v>298</v>
      </c>
      <c r="U92">
        <v>263153</v>
      </c>
      <c r="V92" t="s">
        <v>31</v>
      </c>
      <c r="W92" t="b">
        <v>0</v>
      </c>
      <c r="X92" t="str">
        <f>CONCATENATE(Table1[[#This Row],[ship-city]]," -- ", Table1[[#This Row],[ship-postal-code]])</f>
        <v>RUDRAPUR -- 263153</v>
      </c>
      <c r="Y92" t="str">
        <f>SUBSTITUTE(Table1[[#This Row],[city_pin_code]],"--"," ||")</f>
        <v>RUDRAPUR  || 263153</v>
      </c>
    </row>
    <row r="93" spans="1:25" x14ac:dyDescent="0.3">
      <c r="A93">
        <v>64</v>
      </c>
      <c r="B93" t="s">
        <v>299</v>
      </c>
      <c r="C93">
        <v>8169153</v>
      </c>
      <c r="D93" t="s">
        <v>33</v>
      </c>
      <c r="E93">
        <v>20</v>
      </c>
      <c r="F93" t="str">
        <f t="shared" si="5"/>
        <v>Teenager</v>
      </c>
      <c r="G93" s="11">
        <v>44899</v>
      </c>
      <c r="H93" s="11">
        <f>WEEKDAY(Table1[[#This Row],[Date]],2)</f>
        <v>7</v>
      </c>
      <c r="I93" s="9" t="str">
        <f>TEXT(Table1[[#This Row],[Date]],"dd")</f>
        <v>04</v>
      </c>
      <c r="J93" t="str">
        <f t="shared" si="6"/>
        <v>Dec</v>
      </c>
      <c r="K93" t="s">
        <v>23</v>
      </c>
      <c r="L93" t="s">
        <v>77</v>
      </c>
      <c r="M93" t="s">
        <v>300</v>
      </c>
      <c r="N93" t="s">
        <v>43</v>
      </c>
      <c r="O93" t="s">
        <v>61</v>
      </c>
      <c r="P93">
        <v>1</v>
      </c>
      <c r="Q93" t="s">
        <v>28</v>
      </c>
      <c r="R93">
        <v>399</v>
      </c>
      <c r="S93" t="s">
        <v>301</v>
      </c>
      <c r="T93" t="s">
        <v>84</v>
      </c>
      <c r="U93">
        <v>560054</v>
      </c>
      <c r="V93" t="s">
        <v>31</v>
      </c>
      <c r="W93" t="b">
        <v>0</v>
      </c>
      <c r="X93" t="str">
        <f>CONCATENATE(Table1[[#This Row],[ship-city]]," -- ", Table1[[#This Row],[ship-postal-code]])</f>
        <v>Bangalore -- 560054</v>
      </c>
      <c r="Y93" t="str">
        <f>SUBSTITUTE(Table1[[#This Row],[city_pin_code]],"--"," ||")</f>
        <v>Bangalore  || 560054</v>
      </c>
    </row>
    <row r="94" spans="1:25" x14ac:dyDescent="0.3">
      <c r="A94">
        <v>94</v>
      </c>
      <c r="B94" t="s">
        <v>302</v>
      </c>
      <c r="C94">
        <v>3542194</v>
      </c>
      <c r="D94" t="s">
        <v>33</v>
      </c>
      <c r="E94">
        <v>20</v>
      </c>
      <c r="F94" t="str">
        <f t="shared" si="5"/>
        <v>Teenager</v>
      </c>
      <c r="G94" s="11">
        <v>44899</v>
      </c>
      <c r="H94" s="11">
        <f>WEEKDAY(Table1[[#This Row],[Date]],2)</f>
        <v>7</v>
      </c>
      <c r="I94" s="9" t="str">
        <f>TEXT(Table1[[#This Row],[Date]],"dd")</f>
        <v>04</v>
      </c>
      <c r="J94" t="str">
        <f t="shared" si="6"/>
        <v>Dec</v>
      </c>
      <c r="K94" t="s">
        <v>23</v>
      </c>
      <c r="L94" t="s">
        <v>77</v>
      </c>
      <c r="M94" t="s">
        <v>303</v>
      </c>
      <c r="N94" t="s">
        <v>87</v>
      </c>
      <c r="O94" t="s">
        <v>88</v>
      </c>
      <c r="P94">
        <v>1</v>
      </c>
      <c r="Q94" t="s">
        <v>28</v>
      </c>
      <c r="R94">
        <v>307</v>
      </c>
      <c r="S94" t="s">
        <v>304</v>
      </c>
      <c r="T94" t="s">
        <v>38</v>
      </c>
      <c r="U94">
        <v>673524</v>
      </c>
      <c r="V94" t="s">
        <v>31</v>
      </c>
      <c r="W94" t="b">
        <v>0</v>
      </c>
      <c r="X94" t="str">
        <f>CONCATENATE(Table1[[#This Row],[ship-city]]," -- ", Table1[[#This Row],[ship-postal-code]])</f>
        <v>Perambra -- 673524</v>
      </c>
      <c r="Y94" t="str">
        <f>SUBSTITUTE(Table1[[#This Row],[city_pin_code]],"--"," ||")</f>
        <v>Perambra  || 673524</v>
      </c>
    </row>
    <row r="95" spans="1:25" x14ac:dyDescent="0.3">
      <c r="A95">
        <v>86</v>
      </c>
      <c r="B95" t="s">
        <v>308</v>
      </c>
      <c r="C95">
        <v>6468339</v>
      </c>
      <c r="D95" t="s">
        <v>22</v>
      </c>
      <c r="E95">
        <v>19</v>
      </c>
      <c r="F95" t="str">
        <f t="shared" si="5"/>
        <v>Teenager</v>
      </c>
      <c r="G95" s="11">
        <v>44899</v>
      </c>
      <c r="H95" s="11">
        <f>WEEKDAY(Table1[[#This Row],[Date]],2)</f>
        <v>7</v>
      </c>
      <c r="I95" s="9" t="str">
        <f>TEXT(Table1[[#This Row],[Date]],"dd")</f>
        <v>04</v>
      </c>
      <c r="J95" t="str">
        <f t="shared" si="6"/>
        <v>Dec</v>
      </c>
      <c r="K95" t="s">
        <v>23</v>
      </c>
      <c r="L95" t="s">
        <v>77</v>
      </c>
      <c r="M95" t="s">
        <v>309</v>
      </c>
      <c r="N95" t="s">
        <v>35</v>
      </c>
      <c r="O95" t="s">
        <v>50</v>
      </c>
      <c r="P95">
        <v>1</v>
      </c>
      <c r="Q95" t="s">
        <v>28</v>
      </c>
      <c r="R95">
        <v>1036</v>
      </c>
      <c r="S95" t="s">
        <v>199</v>
      </c>
      <c r="T95" t="s">
        <v>30</v>
      </c>
      <c r="U95">
        <v>400093</v>
      </c>
      <c r="V95" t="s">
        <v>31</v>
      </c>
      <c r="W95" t="b">
        <v>0</v>
      </c>
      <c r="X95" t="str">
        <f>CONCATENATE(Table1[[#This Row],[ship-city]]," -- ", Table1[[#This Row],[ship-postal-code]])</f>
        <v>MUMBAI -- 400093</v>
      </c>
      <c r="Y95" t="str">
        <f>SUBSTITUTE(Table1[[#This Row],[city_pin_code]],"--"," ||")</f>
        <v>MUMBAI  || 400093</v>
      </c>
    </row>
    <row r="96" spans="1:25" x14ac:dyDescent="0.3">
      <c r="A96">
        <v>24</v>
      </c>
      <c r="B96" t="s">
        <v>305</v>
      </c>
      <c r="C96">
        <v>3935670</v>
      </c>
      <c r="D96" t="s">
        <v>33</v>
      </c>
      <c r="E96">
        <v>19</v>
      </c>
      <c r="F96" t="str">
        <f t="shared" si="5"/>
        <v>Teenager</v>
      </c>
      <c r="G96" s="11">
        <v>44899</v>
      </c>
      <c r="H96" s="11">
        <f>WEEKDAY(Table1[[#This Row],[Date]],2)</f>
        <v>7</v>
      </c>
      <c r="I96" s="9" t="str">
        <f>TEXT(Table1[[#This Row],[Date]],"dd")</f>
        <v>04</v>
      </c>
      <c r="J96" t="str">
        <f t="shared" si="6"/>
        <v>Dec</v>
      </c>
      <c r="K96" t="s">
        <v>23</v>
      </c>
      <c r="L96" t="s">
        <v>244</v>
      </c>
      <c r="M96" t="s">
        <v>306</v>
      </c>
      <c r="N96" t="s">
        <v>35</v>
      </c>
      <c r="O96" t="s">
        <v>50</v>
      </c>
      <c r="P96">
        <v>1</v>
      </c>
      <c r="Q96" t="s">
        <v>28</v>
      </c>
      <c r="R96">
        <v>788</v>
      </c>
      <c r="S96" t="s">
        <v>307</v>
      </c>
      <c r="T96" t="s">
        <v>118</v>
      </c>
      <c r="U96">
        <v>250002</v>
      </c>
      <c r="V96" t="s">
        <v>31</v>
      </c>
      <c r="W96" t="b">
        <v>0</v>
      </c>
      <c r="X96" t="str">
        <f>CONCATENATE(Table1[[#This Row],[ship-city]]," -- ", Table1[[#This Row],[ship-postal-code]])</f>
        <v>Meerut -- 250002</v>
      </c>
      <c r="Y96" t="str">
        <f>SUBSTITUTE(Table1[[#This Row],[city_pin_code]],"--"," ||")</f>
        <v>Meerut  || 250002</v>
      </c>
    </row>
    <row r="97" spans="1:25" x14ac:dyDescent="0.3">
      <c r="A97">
        <v>99</v>
      </c>
      <c r="B97" t="s">
        <v>310</v>
      </c>
      <c r="C97">
        <v>294848</v>
      </c>
      <c r="D97" t="s">
        <v>33</v>
      </c>
      <c r="E97">
        <v>19</v>
      </c>
      <c r="F97" t="str">
        <f t="shared" si="5"/>
        <v>Teenager</v>
      </c>
      <c r="G97" s="11">
        <v>44899</v>
      </c>
      <c r="H97" s="11">
        <f>WEEKDAY(Table1[[#This Row],[Date]],2)</f>
        <v>7</v>
      </c>
      <c r="I97" s="9" t="str">
        <f>TEXT(Table1[[#This Row],[Date]],"dd")</f>
        <v>04</v>
      </c>
      <c r="J97" t="str">
        <f t="shared" si="6"/>
        <v>Dec</v>
      </c>
      <c r="K97" t="s">
        <v>23</v>
      </c>
      <c r="L97" t="s">
        <v>24</v>
      </c>
      <c r="M97" t="s">
        <v>311</v>
      </c>
      <c r="N97" t="s">
        <v>43</v>
      </c>
      <c r="O97" t="s">
        <v>27</v>
      </c>
      <c r="P97">
        <v>1</v>
      </c>
      <c r="Q97" t="s">
        <v>28</v>
      </c>
      <c r="R97">
        <v>376</v>
      </c>
      <c r="S97" t="s">
        <v>83</v>
      </c>
      <c r="T97" t="s">
        <v>84</v>
      </c>
      <c r="U97">
        <v>560075</v>
      </c>
      <c r="V97" t="s">
        <v>31</v>
      </c>
      <c r="W97" t="b">
        <v>0</v>
      </c>
      <c r="X97" t="str">
        <f>CONCATENATE(Table1[[#This Row],[ship-city]]," -- ", Table1[[#This Row],[ship-postal-code]])</f>
        <v>BENGALURU -- 560075</v>
      </c>
      <c r="Y97" t="str">
        <f>SUBSTITUTE(Table1[[#This Row],[city_pin_code]],"--"," ||")</f>
        <v>BENGALURU  || 560075</v>
      </c>
    </row>
    <row r="98" spans="1:25" x14ac:dyDescent="0.3">
      <c r="A98">
        <v>90</v>
      </c>
      <c r="B98" t="s">
        <v>316</v>
      </c>
      <c r="C98">
        <v>7662369</v>
      </c>
      <c r="D98" t="s">
        <v>33</v>
      </c>
      <c r="E98">
        <v>18</v>
      </c>
      <c r="F98" t="str">
        <f t="shared" ref="F98:F100" si="7">IF(E98&gt;=50,"Senior", IF(E98&gt;=30,"Adults","Teenager"))</f>
        <v>Teenager</v>
      </c>
      <c r="G98" s="11">
        <v>44899</v>
      </c>
      <c r="H98" s="11">
        <f>WEEKDAY(Table1[[#This Row],[Date]],2)</f>
        <v>7</v>
      </c>
      <c r="I98" s="9" t="str">
        <f>TEXT(Table1[[#This Row],[Date]],"dd")</f>
        <v>04</v>
      </c>
      <c r="J98" t="str">
        <f t="shared" ref="J98:J100" si="8">TEXT(G98,"mmm")</f>
        <v>Dec</v>
      </c>
      <c r="K98" t="s">
        <v>23</v>
      </c>
      <c r="L98" t="s">
        <v>41</v>
      </c>
      <c r="M98" t="s">
        <v>317</v>
      </c>
      <c r="N98" t="s">
        <v>35</v>
      </c>
      <c r="O98" t="s">
        <v>44</v>
      </c>
      <c r="P98">
        <v>1</v>
      </c>
      <c r="Q98" t="s">
        <v>28</v>
      </c>
      <c r="R98">
        <v>1163</v>
      </c>
      <c r="S98" t="s">
        <v>318</v>
      </c>
      <c r="T98" t="s">
        <v>210</v>
      </c>
      <c r="U98">
        <v>834008</v>
      </c>
      <c r="V98" t="s">
        <v>31</v>
      </c>
      <c r="W98" t="b">
        <v>0</v>
      </c>
      <c r="X98" t="str">
        <f>CONCATENATE(Table1[[#This Row],[ship-city]]," -- ", Table1[[#This Row],[ship-postal-code]])</f>
        <v>RANCHI -- 834008</v>
      </c>
      <c r="Y98" t="str">
        <f>SUBSTITUTE(Table1[[#This Row],[city_pin_code]],"--"," ||")</f>
        <v>RANCHI  || 834008</v>
      </c>
    </row>
    <row r="99" spans="1:25" x14ac:dyDescent="0.3">
      <c r="A99">
        <v>13</v>
      </c>
      <c r="B99" t="s">
        <v>312</v>
      </c>
      <c r="C99">
        <v>265357</v>
      </c>
      <c r="D99" t="s">
        <v>33</v>
      </c>
      <c r="E99">
        <v>18</v>
      </c>
      <c r="F99" t="str">
        <f t="shared" si="7"/>
        <v>Teenager</v>
      </c>
      <c r="G99" s="11">
        <v>44899</v>
      </c>
      <c r="H99" s="11">
        <f>WEEKDAY(Table1[[#This Row],[Date]],2)</f>
        <v>7</v>
      </c>
      <c r="I99" s="9" t="str">
        <f>TEXT(Table1[[#This Row],[Date]],"dd")</f>
        <v>04</v>
      </c>
      <c r="J99" t="str">
        <f t="shared" si="8"/>
        <v>Dec</v>
      </c>
      <c r="K99" t="s">
        <v>23</v>
      </c>
      <c r="L99" t="s">
        <v>77</v>
      </c>
      <c r="M99" t="s">
        <v>313</v>
      </c>
      <c r="N99" t="s">
        <v>35</v>
      </c>
      <c r="O99" t="s">
        <v>36</v>
      </c>
      <c r="P99">
        <v>1</v>
      </c>
      <c r="Q99" t="s">
        <v>28</v>
      </c>
      <c r="R99">
        <v>786</v>
      </c>
      <c r="S99" t="s">
        <v>136</v>
      </c>
      <c r="T99" t="s">
        <v>137</v>
      </c>
      <c r="U99">
        <v>781017</v>
      </c>
      <c r="V99" t="s">
        <v>31</v>
      </c>
      <c r="W99" t="b">
        <v>0</v>
      </c>
      <c r="X99" t="str">
        <f>CONCATENATE(Table1[[#This Row],[ship-city]]," -- ", Table1[[#This Row],[ship-postal-code]])</f>
        <v>GUWAHATI -- 781017</v>
      </c>
      <c r="Y99" t="str">
        <f>SUBSTITUTE(Table1[[#This Row],[city_pin_code]],"--"," ||")</f>
        <v>GUWAHATI  || 781017</v>
      </c>
    </row>
    <row r="100" spans="1:25" x14ac:dyDescent="0.3">
      <c r="A100">
        <v>16</v>
      </c>
      <c r="B100" t="s">
        <v>314</v>
      </c>
      <c r="C100">
        <v>7482261</v>
      </c>
      <c r="D100" t="s">
        <v>33</v>
      </c>
      <c r="E100">
        <v>18</v>
      </c>
      <c r="F100" t="str">
        <f t="shared" si="7"/>
        <v>Teenager</v>
      </c>
      <c r="G100" s="11">
        <v>44899</v>
      </c>
      <c r="H100" s="11">
        <f>WEEKDAY(Table1[[#This Row],[Date]],2)</f>
        <v>7</v>
      </c>
      <c r="I100" s="9" t="str">
        <f>TEXT(Table1[[#This Row],[Date]],"dd")</f>
        <v>04</v>
      </c>
      <c r="J100" t="str">
        <f t="shared" si="8"/>
        <v>Dec</v>
      </c>
      <c r="K100" t="s">
        <v>23</v>
      </c>
      <c r="L100" t="s">
        <v>54</v>
      </c>
      <c r="M100" t="s">
        <v>315</v>
      </c>
      <c r="N100" t="s">
        <v>96</v>
      </c>
      <c r="O100" t="s">
        <v>61</v>
      </c>
      <c r="P100">
        <v>1</v>
      </c>
      <c r="Q100" t="s">
        <v>28</v>
      </c>
      <c r="R100">
        <v>523</v>
      </c>
      <c r="S100" t="s">
        <v>45</v>
      </c>
      <c r="T100" t="s">
        <v>46</v>
      </c>
      <c r="U100">
        <v>110062</v>
      </c>
      <c r="V100" t="s">
        <v>31</v>
      </c>
      <c r="W100" t="b">
        <v>0</v>
      </c>
      <c r="X100" t="str">
        <f>CONCATENATE(Table1[[#This Row],[ship-city]]," -- ", Table1[[#This Row],[ship-postal-code]])</f>
        <v>NEW DELHI -- 110062</v>
      </c>
      <c r="Y100" t="str">
        <f>SUBSTITUTE(Table1[[#This Row],[city_pin_code]],"--"," ||")</f>
        <v>NEW DELHI  || 110062</v>
      </c>
    </row>
  </sheetData>
  <sortState ref="A2:W100">
    <sortCondition ref="F2:F100"/>
    <sortCondition descending="1" ref="R2:R100"/>
  </sortState>
  <dataConsolidate/>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9" sqref="B29"/>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6"/>
  <sheetViews>
    <sheetView workbookViewId="0">
      <selection activeCell="B21" sqref="B21"/>
    </sheetView>
  </sheetViews>
  <sheetFormatPr defaultRowHeight="14.4" x14ac:dyDescent="0.3"/>
  <cols>
    <col min="1" max="1" width="12.5546875" bestFit="1" customWidth="1"/>
    <col min="2" max="2" width="15" bestFit="1" customWidth="1"/>
  </cols>
  <sheetData>
    <row r="3" spans="1:2" x14ac:dyDescent="0.3">
      <c r="A3" s="2" t="s">
        <v>322</v>
      </c>
      <c r="B3" t="s">
        <v>323</v>
      </c>
    </row>
    <row r="4" spans="1:2" x14ac:dyDescent="0.3">
      <c r="A4" s="3" t="s">
        <v>22</v>
      </c>
      <c r="B4" s="4">
        <v>29</v>
      </c>
    </row>
    <row r="5" spans="1:2" x14ac:dyDescent="0.3">
      <c r="A5" s="3" t="s">
        <v>33</v>
      </c>
      <c r="B5" s="4">
        <v>70</v>
      </c>
    </row>
    <row r="6" spans="1:2" x14ac:dyDescent="0.3">
      <c r="A6" s="3" t="s">
        <v>319</v>
      </c>
      <c r="B6" s="4">
        <v>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26"/>
  <sheetViews>
    <sheetView workbookViewId="0">
      <selection activeCell="I5" sqref="I5"/>
    </sheetView>
  </sheetViews>
  <sheetFormatPr defaultRowHeight="14.4" x14ac:dyDescent="0.3"/>
  <cols>
    <col min="1" max="1" width="20" bestFit="1" customWidth="1"/>
    <col min="2" max="2" width="14.77734375" bestFit="1" customWidth="1"/>
    <col min="3" max="22" width="20.6640625" bestFit="1" customWidth="1"/>
    <col min="23" max="23" width="10.77734375" bestFit="1" customWidth="1"/>
  </cols>
  <sheetData>
    <row r="3" spans="1:2" x14ac:dyDescent="0.3">
      <c r="A3" s="2" t="s">
        <v>322</v>
      </c>
      <c r="B3" t="s">
        <v>326</v>
      </c>
    </row>
    <row r="4" spans="1:2" x14ac:dyDescent="0.3">
      <c r="A4" s="3" t="s">
        <v>130</v>
      </c>
      <c r="B4" s="4">
        <v>1</v>
      </c>
    </row>
    <row r="5" spans="1:2" x14ac:dyDescent="0.3">
      <c r="A5" s="3" t="s">
        <v>298</v>
      </c>
      <c r="B5" s="4">
        <v>1</v>
      </c>
    </row>
    <row r="6" spans="1:2" x14ac:dyDescent="0.3">
      <c r="A6" s="3" t="s">
        <v>237</v>
      </c>
      <c r="B6" s="4">
        <v>1</v>
      </c>
    </row>
    <row r="7" spans="1:2" x14ac:dyDescent="0.3">
      <c r="A7" s="3" t="s">
        <v>266</v>
      </c>
      <c r="B7" s="4">
        <v>1</v>
      </c>
    </row>
    <row r="8" spans="1:2" x14ac:dyDescent="0.3">
      <c r="A8" s="3" t="s">
        <v>324</v>
      </c>
      <c r="B8" s="4">
        <v>1</v>
      </c>
    </row>
    <row r="9" spans="1:2" x14ac:dyDescent="0.3">
      <c r="A9" s="3" t="s">
        <v>210</v>
      </c>
      <c r="B9" s="4">
        <v>2</v>
      </c>
    </row>
    <row r="10" spans="1:2" x14ac:dyDescent="0.3">
      <c r="A10" s="3" t="s">
        <v>152</v>
      </c>
      <c r="B10" s="4">
        <v>2</v>
      </c>
    </row>
    <row r="11" spans="1:2" x14ac:dyDescent="0.3">
      <c r="A11" s="3" t="s">
        <v>75</v>
      </c>
      <c r="B11" s="4">
        <v>2</v>
      </c>
    </row>
    <row r="12" spans="1:2" x14ac:dyDescent="0.3">
      <c r="A12" s="3" t="s">
        <v>137</v>
      </c>
      <c r="B12" s="4">
        <v>2</v>
      </c>
    </row>
    <row r="13" spans="1:2" x14ac:dyDescent="0.3">
      <c r="A13" s="3" t="s">
        <v>52</v>
      </c>
      <c r="B13" s="4">
        <v>2</v>
      </c>
    </row>
    <row r="14" spans="1:2" x14ac:dyDescent="0.3">
      <c r="A14" s="3" t="s">
        <v>113</v>
      </c>
      <c r="B14" s="4">
        <v>3</v>
      </c>
    </row>
    <row r="15" spans="1:2" x14ac:dyDescent="0.3">
      <c r="A15" s="3" t="s">
        <v>93</v>
      </c>
      <c r="B15" s="4">
        <v>3</v>
      </c>
    </row>
    <row r="16" spans="1:2" x14ac:dyDescent="0.3">
      <c r="A16" s="3" t="s">
        <v>80</v>
      </c>
      <c r="B16" s="4">
        <v>3</v>
      </c>
    </row>
    <row r="17" spans="1:2" x14ac:dyDescent="0.3">
      <c r="A17" s="3" t="s">
        <v>214</v>
      </c>
      <c r="B17" s="4">
        <v>4</v>
      </c>
    </row>
    <row r="18" spans="1:2" x14ac:dyDescent="0.3">
      <c r="A18" s="3" t="s">
        <v>38</v>
      </c>
      <c r="B18" s="4">
        <v>4</v>
      </c>
    </row>
    <row r="19" spans="1:2" x14ac:dyDescent="0.3">
      <c r="A19" s="3" t="s">
        <v>156</v>
      </c>
      <c r="B19" s="4">
        <v>6</v>
      </c>
    </row>
    <row r="20" spans="1:2" x14ac:dyDescent="0.3">
      <c r="A20" s="3" t="s">
        <v>46</v>
      </c>
      <c r="B20" s="4">
        <v>6</v>
      </c>
    </row>
    <row r="21" spans="1:2" x14ac:dyDescent="0.3">
      <c r="A21" s="3" t="s">
        <v>118</v>
      </c>
      <c r="B21" s="4">
        <v>8</v>
      </c>
    </row>
    <row r="22" spans="1:2" x14ac:dyDescent="0.3">
      <c r="A22" s="3" t="s">
        <v>69</v>
      </c>
      <c r="B22" s="4">
        <v>9</v>
      </c>
    </row>
    <row r="23" spans="1:2" x14ac:dyDescent="0.3">
      <c r="A23" s="3" t="s">
        <v>63</v>
      </c>
      <c r="B23" s="4">
        <v>11</v>
      </c>
    </row>
    <row r="24" spans="1:2" x14ac:dyDescent="0.3">
      <c r="A24" s="3" t="s">
        <v>84</v>
      </c>
      <c r="B24" s="4">
        <v>13</v>
      </c>
    </row>
    <row r="25" spans="1:2" x14ac:dyDescent="0.3">
      <c r="A25" s="3" t="s">
        <v>30</v>
      </c>
      <c r="B25" s="4">
        <v>14</v>
      </c>
    </row>
    <row r="26" spans="1:2" x14ac:dyDescent="0.3">
      <c r="A26" s="3" t="s">
        <v>319</v>
      </c>
      <c r="B26" s="4">
        <v>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topLeftCell="A16" workbookViewId="0">
      <selection activeCell="W3" sqref="W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4.4" x14ac:dyDescent="0.3"/>
  <sheetData>
    <row r="1" spans="1:5" x14ac:dyDescent="0.3">
      <c r="A1" s="5" t="s">
        <v>327</v>
      </c>
      <c r="B1" s="5" t="s">
        <v>328</v>
      </c>
      <c r="C1" s="5" t="s">
        <v>329</v>
      </c>
    </row>
    <row r="2" spans="1:5" x14ac:dyDescent="0.3">
      <c r="A2" s="6" t="s">
        <v>330</v>
      </c>
      <c r="B2" s="6">
        <v>100</v>
      </c>
      <c r="C2" s="6" t="s">
        <v>331</v>
      </c>
    </row>
    <row r="3" spans="1:5" x14ac:dyDescent="0.3">
      <c r="A3" s="6" t="s">
        <v>332</v>
      </c>
      <c r="B3" s="6">
        <v>150</v>
      </c>
      <c r="C3" s="6" t="s">
        <v>333</v>
      </c>
    </row>
    <row r="4" spans="1:5" x14ac:dyDescent="0.3">
      <c r="A4" s="6" t="s">
        <v>330</v>
      </c>
      <c r="B4" s="6">
        <v>200</v>
      </c>
      <c r="C4" s="6" t="s">
        <v>331</v>
      </c>
    </row>
    <row r="5" spans="1:5" x14ac:dyDescent="0.3">
      <c r="A5" s="6" t="s">
        <v>332</v>
      </c>
      <c r="B5" s="6">
        <v>120</v>
      </c>
      <c r="C5" s="6" t="s">
        <v>333</v>
      </c>
    </row>
    <row r="6" spans="1:5" x14ac:dyDescent="0.3">
      <c r="A6" s="6" t="s">
        <v>330</v>
      </c>
      <c r="B6" s="6">
        <v>180</v>
      </c>
      <c r="C6" s="6" t="s">
        <v>333</v>
      </c>
      <c r="E6">
        <f>SUMIFS(B2:B6, A2:A6, "A", C2:C6, "East")</f>
        <v>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23" sqref="D23"/>
    </sheetView>
  </sheetViews>
  <sheetFormatPr defaultRowHeight="14.4" x14ac:dyDescent="0.3"/>
  <cols>
    <col min="1" max="1" width="14.44140625" bestFit="1" customWidth="1"/>
    <col min="2" max="2" width="15.5546875" bestFit="1" customWidth="1"/>
    <col min="3" max="3" width="7.88671875" customWidth="1"/>
    <col min="4" max="4" width="7.21875" customWidth="1"/>
    <col min="5" max="5" width="7.77734375" customWidth="1"/>
    <col min="6" max="6" width="7.21875" customWidth="1"/>
    <col min="7" max="7" width="5" customWidth="1"/>
    <col min="8" max="8" width="6.5546875" customWidth="1"/>
    <col min="9" max="9" width="10.77734375" bestFit="1" customWidth="1"/>
  </cols>
  <sheetData>
    <row r="1" spans="1:9" x14ac:dyDescent="0.3">
      <c r="A1" s="2" t="s">
        <v>337</v>
      </c>
      <c r="B1" s="2" t="s">
        <v>325</v>
      </c>
    </row>
    <row r="2" spans="1:9" x14ac:dyDescent="0.3">
      <c r="A2" s="2" t="s">
        <v>322</v>
      </c>
      <c r="B2" t="s">
        <v>244</v>
      </c>
      <c r="C2" t="s">
        <v>77</v>
      </c>
      <c r="D2" t="s">
        <v>24</v>
      </c>
      <c r="E2" t="s">
        <v>65</v>
      </c>
      <c r="F2" t="s">
        <v>41</v>
      </c>
      <c r="G2" t="s">
        <v>54</v>
      </c>
      <c r="H2" t="s">
        <v>48</v>
      </c>
      <c r="I2" t="s">
        <v>319</v>
      </c>
    </row>
    <row r="3" spans="1:9" x14ac:dyDescent="0.3">
      <c r="A3" s="3" t="s">
        <v>334</v>
      </c>
      <c r="B3" s="4"/>
      <c r="C3" s="4">
        <v>8810</v>
      </c>
      <c r="D3" s="4">
        <v>3927</v>
      </c>
      <c r="E3" s="4">
        <v>2379</v>
      </c>
      <c r="F3" s="4">
        <v>12996</v>
      </c>
      <c r="G3" s="4">
        <v>1651</v>
      </c>
      <c r="H3" s="4">
        <v>4038</v>
      </c>
      <c r="I3" s="4">
        <v>33801</v>
      </c>
    </row>
    <row r="4" spans="1:9" x14ac:dyDescent="0.3">
      <c r="A4" s="3" t="s">
        <v>335</v>
      </c>
      <c r="B4" s="4">
        <v>595</v>
      </c>
      <c r="C4" s="4">
        <v>4170</v>
      </c>
      <c r="D4" s="4">
        <v>5306</v>
      </c>
      <c r="E4" s="4">
        <v>507</v>
      </c>
      <c r="F4" s="4">
        <v>2436</v>
      </c>
      <c r="G4" s="4"/>
      <c r="H4" s="4">
        <v>435</v>
      </c>
      <c r="I4" s="4">
        <v>13449</v>
      </c>
    </row>
    <row r="5" spans="1:9" x14ac:dyDescent="0.3">
      <c r="A5" s="3" t="s">
        <v>336</v>
      </c>
      <c r="B5" s="4">
        <v>2237</v>
      </c>
      <c r="C5" s="4">
        <v>7244</v>
      </c>
      <c r="D5" s="4">
        <v>2812</v>
      </c>
      <c r="E5" s="4">
        <v>1383</v>
      </c>
      <c r="F5" s="4">
        <v>2491</v>
      </c>
      <c r="G5" s="4">
        <v>999</v>
      </c>
      <c r="H5" s="4">
        <v>2227</v>
      </c>
      <c r="I5" s="4">
        <v>19393</v>
      </c>
    </row>
    <row r="6" spans="1:9" x14ac:dyDescent="0.3">
      <c r="A6" s="3" t="s">
        <v>319</v>
      </c>
      <c r="B6" s="4">
        <v>2832</v>
      </c>
      <c r="C6" s="4">
        <v>20224</v>
      </c>
      <c r="D6" s="4">
        <v>12045</v>
      </c>
      <c r="E6" s="4">
        <v>4269</v>
      </c>
      <c r="F6" s="4">
        <v>17923</v>
      </c>
      <c r="G6" s="4">
        <v>2650</v>
      </c>
      <c r="H6" s="4">
        <v>6700</v>
      </c>
      <c r="I6" s="4">
        <v>66643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B100"/>
  <sheetViews>
    <sheetView tabSelected="1" topLeftCell="C1" zoomScale="55" zoomScaleNormal="55" workbookViewId="0">
      <selection activeCell="C6" sqref="C6"/>
    </sheetView>
  </sheetViews>
  <sheetFormatPr defaultColWidth="13.21875" defaultRowHeight="14.4" x14ac:dyDescent="0.3"/>
  <cols>
    <col min="2" max="2" width="13.21875" style="8"/>
    <col min="4" max="4" width="13.21875" style="9"/>
    <col min="13" max="13" width="13.21875" style="8"/>
  </cols>
  <sheetData>
    <row r="1" spans="1:28" x14ac:dyDescent="0.3">
      <c r="A1" t="s">
        <v>3</v>
      </c>
      <c r="B1" s="8" t="s">
        <v>4</v>
      </c>
      <c r="C1" t="s">
        <v>5</v>
      </c>
      <c r="D1" s="9" t="s">
        <v>6</v>
      </c>
      <c r="E1" t="s">
        <v>7</v>
      </c>
      <c r="F1" t="s">
        <v>8</v>
      </c>
      <c r="G1" t="s">
        <v>9</v>
      </c>
      <c r="H1" t="s">
        <v>10</v>
      </c>
      <c r="I1" t="s">
        <v>11</v>
      </c>
      <c r="J1" t="s">
        <v>12</v>
      </c>
      <c r="K1" t="s">
        <v>13</v>
      </c>
      <c r="L1" t="s">
        <v>14</v>
      </c>
      <c r="M1" s="8" t="s">
        <v>15</v>
      </c>
      <c r="N1" t="s">
        <v>16</v>
      </c>
      <c r="O1" t="s">
        <v>17</v>
      </c>
      <c r="P1" t="s">
        <v>18</v>
      </c>
      <c r="Q1" t="s">
        <v>19</v>
      </c>
      <c r="R1" t="s">
        <v>20</v>
      </c>
      <c r="S1" t="s">
        <v>338</v>
      </c>
      <c r="T1" t="s">
        <v>339</v>
      </c>
      <c r="U1" t="s">
        <v>340</v>
      </c>
    </row>
    <row r="2" spans="1:28" x14ac:dyDescent="0.3">
      <c r="A2" t="s">
        <v>22</v>
      </c>
      <c r="B2" s="8">
        <v>55</v>
      </c>
      <c r="C2" t="str">
        <f t="shared" ref="C2:C33" si="0">IF(B2&gt;=50,"Senior", IF(B2&gt;=30,"Adults","Teenager"))</f>
        <v>Senior</v>
      </c>
      <c r="D2" s="9">
        <v>44899</v>
      </c>
      <c r="E2" t="str">
        <f t="shared" ref="E2:E33" si="1">TEXT(D2,"mmm")</f>
        <v>Dec</v>
      </c>
      <c r="F2" t="s">
        <v>23</v>
      </c>
      <c r="G2" t="s">
        <v>244</v>
      </c>
      <c r="H2" t="s">
        <v>245</v>
      </c>
      <c r="I2" t="s">
        <v>35</v>
      </c>
      <c r="J2" t="s">
        <v>67</v>
      </c>
      <c r="K2">
        <v>1</v>
      </c>
      <c r="L2" t="s">
        <v>28</v>
      </c>
      <c r="M2" s="8">
        <v>595</v>
      </c>
      <c r="N2" t="s">
        <v>246</v>
      </c>
      <c r="O2" t="s">
        <v>214</v>
      </c>
      <c r="P2">
        <v>392001</v>
      </c>
      <c r="Q2" t="s">
        <v>31</v>
      </c>
      <c r="R2" t="b">
        <v>0</v>
      </c>
      <c r="S2" t="b">
        <f t="shared" ref="S2:S33" si="2">AND(C2="Teenager",M2&gt;1000)</f>
        <v>0</v>
      </c>
      <c r="T2" t="b">
        <f t="shared" ref="T2:T33" si="3">OR(C2="Teenager",M2&gt;1000)</f>
        <v>0</v>
      </c>
      <c r="U2" t="str">
        <f t="shared" ref="U2:U33" si="4">IF(AND(C2="Teenager",M2&gt;1000),"10%","2%")</f>
        <v>2%</v>
      </c>
      <c r="X2" t="s">
        <v>321</v>
      </c>
      <c r="Y2" t="s">
        <v>320</v>
      </c>
      <c r="Z2" t="s">
        <v>341</v>
      </c>
      <c r="AA2" t="s">
        <v>342</v>
      </c>
      <c r="AB2" t="s">
        <v>343</v>
      </c>
    </row>
    <row r="3" spans="1:28" x14ac:dyDescent="0.3">
      <c r="A3" t="s">
        <v>33</v>
      </c>
      <c r="B3" s="8">
        <v>29</v>
      </c>
      <c r="C3" t="str">
        <f t="shared" si="0"/>
        <v>Teenager</v>
      </c>
      <c r="D3" s="9">
        <v>44899</v>
      </c>
      <c r="E3" t="str">
        <f t="shared" si="1"/>
        <v>Dec</v>
      </c>
      <c r="F3" t="s">
        <v>23</v>
      </c>
      <c r="G3" t="s">
        <v>244</v>
      </c>
      <c r="H3" t="s">
        <v>255</v>
      </c>
      <c r="I3" t="s">
        <v>35</v>
      </c>
      <c r="J3" t="s">
        <v>61</v>
      </c>
      <c r="K3">
        <v>1</v>
      </c>
      <c r="L3" t="s">
        <v>28</v>
      </c>
      <c r="M3" s="8">
        <v>1449</v>
      </c>
      <c r="N3" t="s">
        <v>68</v>
      </c>
      <c r="O3" t="s">
        <v>69</v>
      </c>
      <c r="P3">
        <v>122002</v>
      </c>
      <c r="Q3" t="s">
        <v>31</v>
      </c>
      <c r="R3" t="b">
        <v>0</v>
      </c>
      <c r="S3" t="b">
        <f t="shared" si="2"/>
        <v>1</v>
      </c>
      <c r="T3" t="b">
        <f t="shared" si="3"/>
        <v>1</v>
      </c>
      <c r="U3" t="str">
        <f t="shared" si="4"/>
        <v>10%</v>
      </c>
      <c r="X3" s="1">
        <f>SUM(M:M)</f>
        <v>66643</v>
      </c>
      <c r="Y3" s="1">
        <f>AVERAGE(M:M)</f>
        <v>673.16161616161617</v>
      </c>
      <c r="Z3">
        <f>MIN(M:M)</f>
        <v>292</v>
      </c>
      <c r="AA3">
        <f>MAX(M:M)</f>
        <v>1449</v>
      </c>
      <c r="AB3">
        <f>COUNT(M:M)</f>
        <v>99</v>
      </c>
    </row>
    <row r="4" spans="1:28" x14ac:dyDescent="0.3">
      <c r="A4" t="s">
        <v>33</v>
      </c>
      <c r="B4" s="8">
        <v>19</v>
      </c>
      <c r="C4" t="str">
        <f t="shared" si="0"/>
        <v>Teenager</v>
      </c>
      <c r="D4" s="9">
        <v>44899</v>
      </c>
      <c r="E4" t="str">
        <f t="shared" si="1"/>
        <v>Dec</v>
      </c>
      <c r="F4" t="s">
        <v>23</v>
      </c>
      <c r="G4" t="s">
        <v>244</v>
      </c>
      <c r="H4" t="s">
        <v>306</v>
      </c>
      <c r="I4" t="s">
        <v>35</v>
      </c>
      <c r="J4" t="s">
        <v>50</v>
      </c>
      <c r="K4">
        <v>1</v>
      </c>
      <c r="L4" t="s">
        <v>28</v>
      </c>
      <c r="M4" s="8">
        <v>788</v>
      </c>
      <c r="N4" t="s">
        <v>307</v>
      </c>
      <c r="O4" t="s">
        <v>118</v>
      </c>
      <c r="P4">
        <v>250002</v>
      </c>
      <c r="Q4" t="s">
        <v>31</v>
      </c>
      <c r="R4" t="b">
        <v>0</v>
      </c>
      <c r="S4" s="1" t="b">
        <f t="shared" si="2"/>
        <v>0</v>
      </c>
      <c r="T4" s="1" t="b">
        <f t="shared" si="3"/>
        <v>1</v>
      </c>
      <c r="U4" t="str">
        <f t="shared" si="4"/>
        <v>2%</v>
      </c>
      <c r="X4" s="1"/>
      <c r="Y4" s="1"/>
    </row>
    <row r="5" spans="1:28" x14ac:dyDescent="0.3">
      <c r="A5" t="s">
        <v>33</v>
      </c>
      <c r="B5" s="8">
        <v>76</v>
      </c>
      <c r="C5" t="str">
        <f t="shared" si="0"/>
        <v>Senior</v>
      </c>
      <c r="D5" s="9">
        <v>44899</v>
      </c>
      <c r="E5" t="str">
        <f t="shared" si="1"/>
        <v>Dec</v>
      </c>
      <c r="F5" t="s">
        <v>23</v>
      </c>
      <c r="G5" t="s">
        <v>77</v>
      </c>
      <c r="H5" t="s">
        <v>201</v>
      </c>
      <c r="I5" t="s">
        <v>43</v>
      </c>
      <c r="J5" t="s">
        <v>44</v>
      </c>
      <c r="K5">
        <v>1</v>
      </c>
      <c r="L5" t="s">
        <v>28</v>
      </c>
      <c r="M5" s="8">
        <v>517</v>
      </c>
      <c r="N5" t="s">
        <v>202</v>
      </c>
      <c r="O5" t="s">
        <v>38</v>
      </c>
      <c r="P5">
        <v>695018</v>
      </c>
      <c r="Q5" t="s">
        <v>31</v>
      </c>
      <c r="R5" t="b">
        <v>0</v>
      </c>
      <c r="S5" t="b">
        <f t="shared" si="2"/>
        <v>0</v>
      </c>
      <c r="T5" t="b">
        <f t="shared" si="3"/>
        <v>0</v>
      </c>
      <c r="U5" t="str">
        <f t="shared" si="4"/>
        <v>2%</v>
      </c>
      <c r="W5" t="s">
        <v>344</v>
      </c>
      <c r="X5" s="1" t="s">
        <v>345</v>
      </c>
      <c r="Y5" s="1" t="s">
        <v>346</v>
      </c>
    </row>
    <row r="6" spans="1:28" x14ac:dyDescent="0.3">
      <c r="A6" t="s">
        <v>33</v>
      </c>
      <c r="B6" s="8">
        <v>75</v>
      </c>
      <c r="C6" t="str">
        <f>IF(B6&gt;=50,"Senior", IF(B6&gt;=30,"Adults","Teenager"))</f>
        <v>Senior</v>
      </c>
      <c r="D6" s="9">
        <v>44899</v>
      </c>
      <c r="E6" t="str">
        <f t="shared" si="1"/>
        <v>Dec</v>
      </c>
      <c r="F6" t="s">
        <v>23</v>
      </c>
      <c r="G6" t="s">
        <v>77</v>
      </c>
      <c r="H6" t="s">
        <v>204</v>
      </c>
      <c r="I6" t="s">
        <v>43</v>
      </c>
      <c r="J6" t="s">
        <v>36</v>
      </c>
      <c r="K6">
        <v>1</v>
      </c>
      <c r="L6" t="s">
        <v>28</v>
      </c>
      <c r="M6" s="8">
        <v>385</v>
      </c>
      <c r="N6" t="s">
        <v>83</v>
      </c>
      <c r="O6" t="s">
        <v>84</v>
      </c>
      <c r="P6">
        <v>562149</v>
      </c>
      <c r="Q6" t="s">
        <v>31</v>
      </c>
      <c r="R6" t="b">
        <v>0</v>
      </c>
      <c r="S6" t="b">
        <f t="shared" si="2"/>
        <v>0</v>
      </c>
      <c r="T6" t="b">
        <f t="shared" si="3"/>
        <v>0</v>
      </c>
      <c r="U6" t="str">
        <f t="shared" si="4"/>
        <v>2%</v>
      </c>
      <c r="V6" t="s">
        <v>336</v>
      </c>
      <c r="W6" s="7">
        <f>SUMIF(C:C,V6,M:M)</f>
        <v>19393</v>
      </c>
      <c r="X6" s="7">
        <f>AVERAGEIF(C:C,V6,M:M)</f>
        <v>745.88461538461536</v>
      </c>
      <c r="Y6" s="7">
        <f>COUNTIF(C:C,V6)</f>
        <v>26</v>
      </c>
      <c r="Z6" s="7">
        <f>SUMIFS(M:M,C:C,V6,A:A,"MEN")</f>
        <v>6507</v>
      </c>
      <c r="AA6" s="7"/>
    </row>
    <row r="7" spans="1:28" x14ac:dyDescent="0.3">
      <c r="A7" t="s">
        <v>33</v>
      </c>
      <c r="B7" s="8">
        <v>66</v>
      </c>
      <c r="C7" t="str">
        <f t="shared" si="0"/>
        <v>Senior</v>
      </c>
      <c r="D7" s="9">
        <v>44899</v>
      </c>
      <c r="E7" t="str">
        <f t="shared" si="1"/>
        <v>Dec</v>
      </c>
      <c r="F7" t="s">
        <v>23</v>
      </c>
      <c r="G7" t="s">
        <v>77</v>
      </c>
      <c r="H7" t="s">
        <v>222</v>
      </c>
      <c r="I7" t="s">
        <v>43</v>
      </c>
      <c r="J7" t="s">
        <v>67</v>
      </c>
      <c r="K7">
        <v>1</v>
      </c>
      <c r="L7" t="s">
        <v>28</v>
      </c>
      <c r="M7" s="8">
        <v>517</v>
      </c>
      <c r="N7" t="s">
        <v>155</v>
      </c>
      <c r="O7" t="s">
        <v>156</v>
      </c>
      <c r="P7">
        <v>500090</v>
      </c>
      <c r="Q7" t="s">
        <v>31</v>
      </c>
      <c r="R7" t="b">
        <v>0</v>
      </c>
      <c r="S7" t="b">
        <f t="shared" si="2"/>
        <v>0</v>
      </c>
      <c r="T7" t="b">
        <f t="shared" si="3"/>
        <v>0</v>
      </c>
      <c r="U7" t="str">
        <f t="shared" si="4"/>
        <v>2%</v>
      </c>
      <c r="V7" s="7" t="s">
        <v>335</v>
      </c>
      <c r="W7" s="7">
        <f>SUMIF(C:C,V7,M:M)</f>
        <v>13449</v>
      </c>
      <c r="X7" s="7">
        <f>AVERAGEIF(C:C,V7,M:M)</f>
        <v>640.42857142857144</v>
      </c>
      <c r="Y7" s="7">
        <f>COUNTIF(C:C,V7)</f>
        <v>21</v>
      </c>
      <c r="Z7" s="7">
        <f>SUMIFS(M:M,C:C,V7,A:A,"MEN")</f>
        <v>3870</v>
      </c>
      <c r="AA7" s="7"/>
    </row>
    <row r="8" spans="1:28" x14ac:dyDescent="0.3">
      <c r="A8" t="s">
        <v>33</v>
      </c>
      <c r="B8" s="8">
        <v>62</v>
      </c>
      <c r="C8" t="str">
        <f t="shared" si="0"/>
        <v>Senior</v>
      </c>
      <c r="D8" s="9">
        <v>44899</v>
      </c>
      <c r="E8" t="str">
        <f t="shared" si="1"/>
        <v>Dec</v>
      </c>
      <c r="F8" t="s">
        <v>23</v>
      </c>
      <c r="G8" t="s">
        <v>77</v>
      </c>
      <c r="H8" t="s">
        <v>232</v>
      </c>
      <c r="I8" t="s">
        <v>35</v>
      </c>
      <c r="J8" t="s">
        <v>67</v>
      </c>
      <c r="K8">
        <v>1</v>
      </c>
      <c r="L8" t="s">
        <v>28</v>
      </c>
      <c r="M8" s="8">
        <v>899</v>
      </c>
      <c r="N8" t="s">
        <v>233</v>
      </c>
      <c r="O8" t="s">
        <v>69</v>
      </c>
      <c r="P8">
        <v>123029</v>
      </c>
      <c r="Q8" t="s">
        <v>31</v>
      </c>
      <c r="R8" t="b">
        <v>0</v>
      </c>
      <c r="S8" t="b">
        <f t="shared" si="2"/>
        <v>0</v>
      </c>
      <c r="T8" t="b">
        <f t="shared" si="3"/>
        <v>0</v>
      </c>
      <c r="U8" t="str">
        <f t="shared" si="4"/>
        <v>2%</v>
      </c>
      <c r="V8" s="7" t="s">
        <v>334</v>
      </c>
      <c r="W8" s="7">
        <f>SUMIF(C:C,V8,M:M)</f>
        <v>33801</v>
      </c>
      <c r="X8" s="7">
        <f>AVERAGEIF(C:C,V8,M:M)</f>
        <v>650.01923076923072</v>
      </c>
      <c r="Y8" s="7">
        <f>COUNTIF(C:C,V8)</f>
        <v>52</v>
      </c>
      <c r="Z8" s="7">
        <f>SUMIFS(M:M,C:C,V8,A:A,"MEN")</f>
        <v>12382</v>
      </c>
      <c r="AA8" s="7"/>
    </row>
    <row r="9" spans="1:28" x14ac:dyDescent="0.3">
      <c r="A9" t="s">
        <v>33</v>
      </c>
      <c r="B9" s="8">
        <v>52</v>
      </c>
      <c r="C9" t="str">
        <f t="shared" si="0"/>
        <v>Senior</v>
      </c>
      <c r="D9" s="9">
        <v>44899</v>
      </c>
      <c r="E9" t="str">
        <f t="shared" si="1"/>
        <v>Dec</v>
      </c>
      <c r="F9" t="s">
        <v>23</v>
      </c>
      <c r="G9" t="s">
        <v>77</v>
      </c>
      <c r="H9" t="s">
        <v>250</v>
      </c>
      <c r="I9" t="s">
        <v>35</v>
      </c>
      <c r="J9" t="s">
        <v>67</v>
      </c>
      <c r="K9">
        <v>1</v>
      </c>
      <c r="L9" t="s">
        <v>28</v>
      </c>
      <c r="M9" s="8">
        <v>967</v>
      </c>
      <c r="N9" t="s">
        <v>155</v>
      </c>
      <c r="O9" t="s">
        <v>156</v>
      </c>
      <c r="P9">
        <v>500098</v>
      </c>
      <c r="Q9" t="s">
        <v>31</v>
      </c>
      <c r="R9" t="b">
        <v>0</v>
      </c>
      <c r="S9" t="b">
        <f t="shared" si="2"/>
        <v>0</v>
      </c>
      <c r="T9" t="b">
        <f t="shared" si="3"/>
        <v>0</v>
      </c>
      <c r="U9" t="str">
        <f t="shared" si="4"/>
        <v>2%</v>
      </c>
      <c r="V9" s="7"/>
      <c r="W9" s="7"/>
      <c r="X9" s="7"/>
      <c r="Y9" s="7"/>
      <c r="Z9" s="7"/>
      <c r="AA9" s="7"/>
    </row>
    <row r="10" spans="1:28" x14ac:dyDescent="0.3">
      <c r="A10" t="s">
        <v>22</v>
      </c>
      <c r="B10" s="8">
        <v>52</v>
      </c>
      <c r="C10" t="str">
        <f t="shared" si="0"/>
        <v>Senior</v>
      </c>
      <c r="D10" s="9">
        <v>44899</v>
      </c>
      <c r="E10" t="str">
        <f t="shared" si="1"/>
        <v>Dec</v>
      </c>
      <c r="F10" t="s">
        <v>23</v>
      </c>
      <c r="G10" t="s">
        <v>77</v>
      </c>
      <c r="H10" t="s">
        <v>252</v>
      </c>
      <c r="I10" t="s">
        <v>26</v>
      </c>
      <c r="J10" t="s">
        <v>27</v>
      </c>
      <c r="K10">
        <v>1</v>
      </c>
      <c r="L10" t="s">
        <v>28</v>
      </c>
      <c r="M10" s="8">
        <v>885</v>
      </c>
      <c r="N10" t="s">
        <v>253</v>
      </c>
      <c r="O10" t="s">
        <v>214</v>
      </c>
      <c r="P10">
        <v>380058</v>
      </c>
      <c r="Q10" t="s">
        <v>31</v>
      </c>
      <c r="R10" t="b">
        <v>0</v>
      </c>
      <c r="S10" t="b">
        <f t="shared" si="2"/>
        <v>0</v>
      </c>
      <c r="T10" t="b">
        <f t="shared" si="3"/>
        <v>0</v>
      </c>
      <c r="U10" t="str">
        <f t="shared" si="4"/>
        <v>2%</v>
      </c>
      <c r="V10" s="7"/>
      <c r="W10" s="7"/>
      <c r="X10" s="7"/>
      <c r="Y10" s="7"/>
      <c r="Z10" s="7"/>
      <c r="AA10" s="7"/>
    </row>
    <row r="11" spans="1:28" x14ac:dyDescent="0.3">
      <c r="A11" t="s">
        <v>33</v>
      </c>
      <c r="B11" s="8">
        <v>46</v>
      </c>
      <c r="C11" t="str">
        <f t="shared" si="0"/>
        <v>Adults</v>
      </c>
      <c r="D11" s="9">
        <v>44899</v>
      </c>
      <c r="E11" t="str">
        <f t="shared" si="1"/>
        <v>Dec</v>
      </c>
      <c r="F11" t="s">
        <v>23</v>
      </c>
      <c r="G11" t="s">
        <v>77</v>
      </c>
      <c r="H11" t="s">
        <v>91</v>
      </c>
      <c r="I11" t="s">
        <v>43</v>
      </c>
      <c r="J11" t="s">
        <v>67</v>
      </c>
      <c r="K11">
        <v>1</v>
      </c>
      <c r="L11" t="s">
        <v>28</v>
      </c>
      <c r="M11" s="8">
        <v>729</v>
      </c>
      <c r="N11" t="s">
        <v>92</v>
      </c>
      <c r="O11" t="s">
        <v>93</v>
      </c>
      <c r="P11">
        <v>700082</v>
      </c>
      <c r="Q11" t="s">
        <v>31</v>
      </c>
      <c r="R11" t="b">
        <v>0</v>
      </c>
      <c r="S11" t="b">
        <f t="shared" si="2"/>
        <v>0</v>
      </c>
      <c r="T11" t="b">
        <f t="shared" si="3"/>
        <v>0</v>
      </c>
      <c r="U11" t="str">
        <f t="shared" si="4"/>
        <v>2%</v>
      </c>
      <c r="V11" s="7"/>
      <c r="W11" s="7"/>
      <c r="X11" s="7"/>
      <c r="Y11" s="7"/>
      <c r="Z11" s="7"/>
      <c r="AA11" s="7"/>
    </row>
    <row r="12" spans="1:28" x14ac:dyDescent="0.3">
      <c r="A12" t="s">
        <v>33</v>
      </c>
      <c r="B12" s="8">
        <v>46</v>
      </c>
      <c r="C12" t="str">
        <f t="shared" si="0"/>
        <v>Adults</v>
      </c>
      <c r="D12" s="9">
        <v>44899</v>
      </c>
      <c r="E12" t="str">
        <f t="shared" si="1"/>
        <v>Dec</v>
      </c>
      <c r="F12" t="s">
        <v>23</v>
      </c>
      <c r="G12" t="s">
        <v>77</v>
      </c>
      <c r="H12" t="s">
        <v>78</v>
      </c>
      <c r="I12" t="s">
        <v>35</v>
      </c>
      <c r="J12" t="s">
        <v>67</v>
      </c>
      <c r="K12">
        <v>1</v>
      </c>
      <c r="L12" t="s">
        <v>28</v>
      </c>
      <c r="M12" s="8">
        <v>545</v>
      </c>
      <c r="N12" t="s">
        <v>79</v>
      </c>
      <c r="O12" t="s">
        <v>80</v>
      </c>
      <c r="P12">
        <v>143001</v>
      </c>
      <c r="Q12" t="s">
        <v>31</v>
      </c>
      <c r="R12" t="b">
        <v>0</v>
      </c>
      <c r="S12" t="b">
        <f t="shared" si="2"/>
        <v>0</v>
      </c>
      <c r="T12" t="b">
        <f t="shared" si="3"/>
        <v>0</v>
      </c>
      <c r="U12" t="str">
        <f t="shared" si="4"/>
        <v>2%</v>
      </c>
      <c r="V12" s="7"/>
      <c r="W12" s="7"/>
      <c r="X12" s="7"/>
      <c r="Y12" s="7"/>
      <c r="Z12" s="7"/>
      <c r="AA12" s="7"/>
    </row>
    <row r="13" spans="1:28" x14ac:dyDescent="0.3">
      <c r="A13" t="s">
        <v>33</v>
      </c>
      <c r="B13" s="8">
        <v>42</v>
      </c>
      <c r="C13" t="str">
        <f t="shared" si="0"/>
        <v>Adults</v>
      </c>
      <c r="D13" s="9">
        <v>44899</v>
      </c>
      <c r="E13" t="str">
        <f t="shared" si="1"/>
        <v>Dec</v>
      </c>
      <c r="F13" t="s">
        <v>23</v>
      </c>
      <c r="G13" t="s">
        <v>77</v>
      </c>
      <c r="H13" t="s">
        <v>123</v>
      </c>
      <c r="I13" t="s">
        <v>43</v>
      </c>
      <c r="J13" t="s">
        <v>124</v>
      </c>
      <c r="K13">
        <v>1</v>
      </c>
      <c r="L13" t="s">
        <v>28</v>
      </c>
      <c r="M13" s="8">
        <v>764</v>
      </c>
      <c r="N13" t="s">
        <v>83</v>
      </c>
      <c r="O13" t="s">
        <v>84</v>
      </c>
      <c r="P13">
        <v>560103</v>
      </c>
      <c r="Q13" t="s">
        <v>31</v>
      </c>
      <c r="R13" t="b">
        <v>0</v>
      </c>
      <c r="S13" t="b">
        <f t="shared" si="2"/>
        <v>0</v>
      </c>
      <c r="T13" t="b">
        <f t="shared" si="3"/>
        <v>0</v>
      </c>
      <c r="U13" t="str">
        <f t="shared" si="4"/>
        <v>2%</v>
      </c>
      <c r="V13" s="7"/>
      <c r="W13" s="7"/>
      <c r="X13" s="7"/>
      <c r="Y13" s="7"/>
      <c r="Z13" s="7"/>
      <c r="AA13" s="7"/>
    </row>
    <row r="14" spans="1:28" x14ac:dyDescent="0.3">
      <c r="A14" t="s">
        <v>33</v>
      </c>
      <c r="B14" s="8">
        <v>41</v>
      </c>
      <c r="C14" t="str">
        <f t="shared" si="0"/>
        <v>Adults</v>
      </c>
      <c r="D14" s="9">
        <v>44899</v>
      </c>
      <c r="E14" t="str">
        <f t="shared" si="1"/>
        <v>Dec</v>
      </c>
      <c r="F14" t="s">
        <v>23</v>
      </c>
      <c r="G14" t="s">
        <v>77</v>
      </c>
      <c r="H14" t="s">
        <v>126</v>
      </c>
      <c r="I14" t="s">
        <v>43</v>
      </c>
      <c r="J14" t="s">
        <v>36</v>
      </c>
      <c r="K14">
        <v>1</v>
      </c>
      <c r="L14" t="s">
        <v>28</v>
      </c>
      <c r="M14" s="8">
        <v>449</v>
      </c>
      <c r="N14" t="s">
        <v>127</v>
      </c>
      <c r="O14" t="s">
        <v>38</v>
      </c>
      <c r="P14">
        <v>670309</v>
      </c>
      <c r="Q14" t="s">
        <v>31</v>
      </c>
      <c r="R14" t="b">
        <v>0</v>
      </c>
      <c r="S14" t="b">
        <f t="shared" si="2"/>
        <v>0</v>
      </c>
      <c r="T14" t="b">
        <f t="shared" si="3"/>
        <v>0</v>
      </c>
      <c r="U14" t="str">
        <f t="shared" si="4"/>
        <v>2%</v>
      </c>
    </row>
    <row r="15" spans="1:28" x14ac:dyDescent="0.3">
      <c r="A15" t="s">
        <v>22</v>
      </c>
      <c r="B15" s="8">
        <v>40</v>
      </c>
      <c r="C15" t="str">
        <f t="shared" si="0"/>
        <v>Adults</v>
      </c>
      <c r="D15" s="9">
        <v>44899</v>
      </c>
      <c r="E15" t="str">
        <f t="shared" si="1"/>
        <v>Dec</v>
      </c>
      <c r="F15" t="s">
        <v>23</v>
      </c>
      <c r="G15" t="s">
        <v>77</v>
      </c>
      <c r="H15" t="s">
        <v>25</v>
      </c>
      <c r="I15" t="s">
        <v>26</v>
      </c>
      <c r="J15" t="s">
        <v>27</v>
      </c>
      <c r="K15">
        <v>1</v>
      </c>
      <c r="L15" t="s">
        <v>28</v>
      </c>
      <c r="M15" s="8">
        <v>715</v>
      </c>
      <c r="N15" t="s">
        <v>132</v>
      </c>
      <c r="O15" t="s">
        <v>133</v>
      </c>
      <c r="P15">
        <v>744302</v>
      </c>
      <c r="Q15" t="s">
        <v>31</v>
      </c>
      <c r="R15" t="b">
        <v>0</v>
      </c>
      <c r="S15" t="b">
        <f t="shared" si="2"/>
        <v>0</v>
      </c>
      <c r="T15" t="b">
        <f t="shared" si="3"/>
        <v>0</v>
      </c>
      <c r="U15" t="str">
        <f t="shared" si="4"/>
        <v>2%</v>
      </c>
    </row>
    <row r="16" spans="1:28" x14ac:dyDescent="0.3">
      <c r="A16" t="s">
        <v>33</v>
      </c>
      <c r="B16" s="8">
        <v>39</v>
      </c>
      <c r="C16" t="str">
        <f t="shared" si="0"/>
        <v>Adults</v>
      </c>
      <c r="D16" s="9">
        <v>44899</v>
      </c>
      <c r="E16" t="str">
        <f t="shared" si="1"/>
        <v>Dec</v>
      </c>
      <c r="F16" t="s">
        <v>23</v>
      </c>
      <c r="G16" t="s">
        <v>77</v>
      </c>
      <c r="H16" t="s">
        <v>140</v>
      </c>
      <c r="I16" t="s">
        <v>96</v>
      </c>
      <c r="J16" t="s">
        <v>44</v>
      </c>
      <c r="K16">
        <v>1</v>
      </c>
      <c r="L16" t="s">
        <v>28</v>
      </c>
      <c r="M16" s="8">
        <v>545</v>
      </c>
      <c r="N16" t="s">
        <v>56</v>
      </c>
      <c r="O16" t="s">
        <v>30</v>
      </c>
      <c r="P16">
        <v>411051</v>
      </c>
      <c r="Q16" t="s">
        <v>31</v>
      </c>
      <c r="R16" t="b">
        <v>0</v>
      </c>
      <c r="S16" t="b">
        <f t="shared" si="2"/>
        <v>0</v>
      </c>
      <c r="T16" t="b">
        <f t="shared" si="3"/>
        <v>0</v>
      </c>
      <c r="U16" t="str">
        <f t="shared" si="4"/>
        <v>2%</v>
      </c>
    </row>
    <row r="17" spans="1:21" x14ac:dyDescent="0.3">
      <c r="A17" t="s">
        <v>33</v>
      </c>
      <c r="B17" s="8">
        <v>38</v>
      </c>
      <c r="C17" t="str">
        <f t="shared" si="0"/>
        <v>Adults</v>
      </c>
      <c r="D17" s="9">
        <v>44899</v>
      </c>
      <c r="E17" t="str">
        <f t="shared" si="1"/>
        <v>Dec</v>
      </c>
      <c r="F17" t="s">
        <v>23</v>
      </c>
      <c r="G17" t="s">
        <v>77</v>
      </c>
      <c r="H17" t="s">
        <v>150</v>
      </c>
      <c r="I17" t="s">
        <v>87</v>
      </c>
      <c r="J17" t="s">
        <v>88</v>
      </c>
      <c r="K17">
        <v>1</v>
      </c>
      <c r="L17" t="s">
        <v>28</v>
      </c>
      <c r="M17" s="8">
        <v>737</v>
      </c>
      <c r="N17" t="s">
        <v>151</v>
      </c>
      <c r="O17" t="s">
        <v>152</v>
      </c>
      <c r="P17">
        <v>483501</v>
      </c>
      <c r="Q17" t="s">
        <v>31</v>
      </c>
      <c r="R17" t="b">
        <v>0</v>
      </c>
      <c r="S17" t="b">
        <f t="shared" si="2"/>
        <v>0</v>
      </c>
      <c r="T17" t="b">
        <f t="shared" si="3"/>
        <v>0</v>
      </c>
      <c r="U17" t="str">
        <f t="shared" si="4"/>
        <v>2%</v>
      </c>
    </row>
    <row r="18" spans="1:21" x14ac:dyDescent="0.3">
      <c r="A18" t="s">
        <v>22</v>
      </c>
      <c r="B18" s="8">
        <v>37</v>
      </c>
      <c r="C18" t="str">
        <f t="shared" si="0"/>
        <v>Adults</v>
      </c>
      <c r="D18" s="9">
        <v>44899</v>
      </c>
      <c r="E18" t="str">
        <f t="shared" si="1"/>
        <v>Dec</v>
      </c>
      <c r="F18" t="s">
        <v>23</v>
      </c>
      <c r="G18" t="s">
        <v>77</v>
      </c>
      <c r="H18" t="s">
        <v>161</v>
      </c>
      <c r="I18" t="s">
        <v>35</v>
      </c>
      <c r="J18" t="s">
        <v>44</v>
      </c>
      <c r="K18">
        <v>1</v>
      </c>
      <c r="L18" t="s">
        <v>28</v>
      </c>
      <c r="M18" s="8">
        <v>856</v>
      </c>
      <c r="N18" t="s">
        <v>62</v>
      </c>
      <c r="O18" t="s">
        <v>63</v>
      </c>
      <c r="P18">
        <v>600119</v>
      </c>
      <c r="Q18" t="s">
        <v>31</v>
      </c>
      <c r="R18" t="b">
        <v>0</v>
      </c>
      <c r="S18" t="b">
        <f t="shared" si="2"/>
        <v>0</v>
      </c>
      <c r="T18" t="b">
        <f t="shared" si="3"/>
        <v>0</v>
      </c>
      <c r="U18" t="str">
        <f t="shared" si="4"/>
        <v>2%</v>
      </c>
    </row>
    <row r="19" spans="1:21" x14ac:dyDescent="0.3">
      <c r="A19" t="s">
        <v>33</v>
      </c>
      <c r="B19" s="8">
        <v>37</v>
      </c>
      <c r="C19" t="str">
        <f t="shared" si="0"/>
        <v>Adults</v>
      </c>
      <c r="D19" s="9">
        <v>44899</v>
      </c>
      <c r="E19" t="str">
        <f t="shared" si="1"/>
        <v>Dec</v>
      </c>
      <c r="F19" t="s">
        <v>23</v>
      </c>
      <c r="G19" t="s">
        <v>77</v>
      </c>
      <c r="H19" t="s">
        <v>154</v>
      </c>
      <c r="I19" t="s">
        <v>35</v>
      </c>
      <c r="J19" t="s">
        <v>67</v>
      </c>
      <c r="K19">
        <v>1</v>
      </c>
      <c r="L19" t="s">
        <v>28</v>
      </c>
      <c r="M19" s="8">
        <v>612</v>
      </c>
      <c r="N19" t="s">
        <v>155</v>
      </c>
      <c r="O19" t="s">
        <v>156</v>
      </c>
      <c r="P19">
        <v>500060</v>
      </c>
      <c r="Q19" t="s">
        <v>31</v>
      </c>
      <c r="R19" t="b">
        <v>0</v>
      </c>
      <c r="S19" t="b">
        <f t="shared" si="2"/>
        <v>0</v>
      </c>
      <c r="T19" t="b">
        <f t="shared" si="3"/>
        <v>0</v>
      </c>
      <c r="U19" t="str">
        <f t="shared" si="4"/>
        <v>2%</v>
      </c>
    </row>
    <row r="20" spans="1:21" x14ac:dyDescent="0.3">
      <c r="A20" t="s">
        <v>33</v>
      </c>
      <c r="B20" s="8">
        <v>37</v>
      </c>
      <c r="C20" t="str">
        <f t="shared" si="0"/>
        <v>Adults</v>
      </c>
      <c r="D20" s="9">
        <v>44899</v>
      </c>
      <c r="E20" t="str">
        <f t="shared" si="1"/>
        <v>Dec</v>
      </c>
      <c r="F20" t="s">
        <v>163</v>
      </c>
      <c r="G20" t="s">
        <v>77</v>
      </c>
      <c r="H20" t="s">
        <v>164</v>
      </c>
      <c r="I20" t="s">
        <v>43</v>
      </c>
      <c r="J20" t="s">
        <v>44</v>
      </c>
      <c r="K20">
        <v>1</v>
      </c>
      <c r="L20" t="s">
        <v>28</v>
      </c>
      <c r="M20" s="8">
        <v>382</v>
      </c>
      <c r="N20" t="s">
        <v>165</v>
      </c>
      <c r="O20" t="s">
        <v>30</v>
      </c>
      <c r="P20">
        <v>441701</v>
      </c>
      <c r="Q20" t="s">
        <v>31</v>
      </c>
      <c r="R20" t="b">
        <v>0</v>
      </c>
      <c r="S20" t="b">
        <f t="shared" si="2"/>
        <v>0</v>
      </c>
      <c r="T20" t="b">
        <f t="shared" si="3"/>
        <v>0</v>
      </c>
      <c r="U20" t="str">
        <f t="shared" si="4"/>
        <v>2%</v>
      </c>
    </row>
    <row r="21" spans="1:21" x14ac:dyDescent="0.3">
      <c r="A21" t="s">
        <v>33</v>
      </c>
      <c r="B21" s="8">
        <v>35</v>
      </c>
      <c r="C21" t="str">
        <f t="shared" si="0"/>
        <v>Adults</v>
      </c>
      <c r="D21" s="9">
        <v>44899</v>
      </c>
      <c r="E21" t="str">
        <f t="shared" si="1"/>
        <v>Dec</v>
      </c>
      <c r="F21" t="s">
        <v>23</v>
      </c>
      <c r="G21" t="s">
        <v>77</v>
      </c>
      <c r="H21" t="s">
        <v>170</v>
      </c>
      <c r="I21" t="s">
        <v>43</v>
      </c>
      <c r="J21" t="s">
        <v>36</v>
      </c>
      <c r="K21">
        <v>1</v>
      </c>
      <c r="L21" t="s">
        <v>28</v>
      </c>
      <c r="M21" s="8">
        <v>399</v>
      </c>
      <c r="N21" t="s">
        <v>68</v>
      </c>
      <c r="O21" t="s">
        <v>69</v>
      </c>
      <c r="P21">
        <v>122001</v>
      </c>
      <c r="Q21" t="s">
        <v>31</v>
      </c>
      <c r="R21" t="b">
        <v>0</v>
      </c>
      <c r="S21" t="b">
        <f t="shared" si="2"/>
        <v>0</v>
      </c>
      <c r="T21" t="b">
        <f t="shared" si="3"/>
        <v>0</v>
      </c>
      <c r="U21" t="str">
        <f t="shared" si="4"/>
        <v>2%</v>
      </c>
    </row>
    <row r="22" spans="1:21" x14ac:dyDescent="0.3">
      <c r="A22" t="s">
        <v>33</v>
      </c>
      <c r="B22" s="8">
        <v>33</v>
      </c>
      <c r="C22" t="str">
        <f t="shared" si="0"/>
        <v>Adults</v>
      </c>
      <c r="D22" s="9">
        <v>44899</v>
      </c>
      <c r="E22" t="str">
        <f t="shared" si="1"/>
        <v>Dec</v>
      </c>
      <c r="F22" t="s">
        <v>23</v>
      </c>
      <c r="G22" t="s">
        <v>77</v>
      </c>
      <c r="H22" t="s">
        <v>177</v>
      </c>
      <c r="I22" t="s">
        <v>43</v>
      </c>
      <c r="J22" t="s">
        <v>61</v>
      </c>
      <c r="K22">
        <v>1</v>
      </c>
      <c r="L22" t="s">
        <v>28</v>
      </c>
      <c r="M22" s="8">
        <v>449</v>
      </c>
      <c r="N22" t="s">
        <v>178</v>
      </c>
      <c r="O22" t="s">
        <v>84</v>
      </c>
      <c r="P22">
        <v>581320</v>
      </c>
      <c r="Q22" t="s">
        <v>31</v>
      </c>
      <c r="R22" t="b">
        <v>0</v>
      </c>
      <c r="S22" t="b">
        <f t="shared" si="2"/>
        <v>0</v>
      </c>
      <c r="T22" t="b">
        <f t="shared" si="3"/>
        <v>0</v>
      </c>
      <c r="U22" t="str">
        <f t="shared" si="4"/>
        <v>2%</v>
      </c>
    </row>
    <row r="23" spans="1:21" x14ac:dyDescent="0.3">
      <c r="A23" t="s">
        <v>22</v>
      </c>
      <c r="B23" s="8">
        <v>32</v>
      </c>
      <c r="C23" t="str">
        <f t="shared" si="0"/>
        <v>Adults</v>
      </c>
      <c r="D23" s="9">
        <v>44899</v>
      </c>
      <c r="E23" t="str">
        <f t="shared" si="1"/>
        <v>Dec</v>
      </c>
      <c r="F23" t="s">
        <v>23</v>
      </c>
      <c r="G23" t="s">
        <v>77</v>
      </c>
      <c r="H23" t="s">
        <v>180</v>
      </c>
      <c r="I23" t="s">
        <v>35</v>
      </c>
      <c r="J23" t="s">
        <v>50</v>
      </c>
      <c r="K23">
        <v>1</v>
      </c>
      <c r="L23" t="s">
        <v>28</v>
      </c>
      <c r="M23" s="8">
        <v>702</v>
      </c>
      <c r="N23" t="s">
        <v>181</v>
      </c>
      <c r="O23" t="s">
        <v>84</v>
      </c>
      <c r="P23">
        <v>560095</v>
      </c>
      <c r="Q23" t="s">
        <v>31</v>
      </c>
      <c r="R23" t="b">
        <v>0</v>
      </c>
      <c r="S23" t="b">
        <f t="shared" si="2"/>
        <v>0</v>
      </c>
      <c r="T23" t="b">
        <f t="shared" si="3"/>
        <v>0</v>
      </c>
      <c r="U23" t="str">
        <f t="shared" si="4"/>
        <v>2%</v>
      </c>
    </row>
    <row r="24" spans="1:21" x14ac:dyDescent="0.3">
      <c r="A24" t="s">
        <v>33</v>
      </c>
      <c r="B24" s="8">
        <v>31</v>
      </c>
      <c r="C24" t="str">
        <f t="shared" si="0"/>
        <v>Adults</v>
      </c>
      <c r="D24" s="9">
        <v>44899</v>
      </c>
      <c r="E24" t="str">
        <f t="shared" si="1"/>
        <v>Dec</v>
      </c>
      <c r="F24" t="s">
        <v>23</v>
      </c>
      <c r="G24" t="s">
        <v>77</v>
      </c>
      <c r="H24" t="s">
        <v>187</v>
      </c>
      <c r="I24" t="s">
        <v>43</v>
      </c>
      <c r="J24" t="s">
        <v>36</v>
      </c>
      <c r="K24">
        <v>1</v>
      </c>
      <c r="L24" t="s">
        <v>28</v>
      </c>
      <c r="M24" s="8">
        <v>363</v>
      </c>
      <c r="N24" t="s">
        <v>188</v>
      </c>
      <c r="O24" t="s">
        <v>93</v>
      </c>
      <c r="P24">
        <v>700028</v>
      </c>
      <c r="Q24" t="s">
        <v>31</v>
      </c>
      <c r="R24" t="b">
        <v>0</v>
      </c>
      <c r="S24" t="b">
        <f t="shared" si="2"/>
        <v>0</v>
      </c>
      <c r="T24" t="b">
        <f t="shared" si="3"/>
        <v>0</v>
      </c>
      <c r="U24" t="str">
        <f t="shared" si="4"/>
        <v>2%</v>
      </c>
    </row>
    <row r="25" spans="1:21" x14ac:dyDescent="0.3">
      <c r="A25" t="s">
        <v>33</v>
      </c>
      <c r="B25" s="8">
        <v>30</v>
      </c>
      <c r="C25" t="str">
        <f t="shared" si="0"/>
        <v>Adults</v>
      </c>
      <c r="D25" s="9">
        <v>44899</v>
      </c>
      <c r="E25" t="str">
        <f t="shared" si="1"/>
        <v>Dec</v>
      </c>
      <c r="F25" t="s">
        <v>23</v>
      </c>
      <c r="G25" t="s">
        <v>77</v>
      </c>
      <c r="H25" t="s">
        <v>196</v>
      </c>
      <c r="I25" t="s">
        <v>35</v>
      </c>
      <c r="J25" t="s">
        <v>27</v>
      </c>
      <c r="K25">
        <v>1</v>
      </c>
      <c r="L25" t="s">
        <v>28</v>
      </c>
      <c r="M25" s="8">
        <v>563</v>
      </c>
      <c r="N25" t="s">
        <v>197</v>
      </c>
      <c r="O25" t="s">
        <v>63</v>
      </c>
      <c r="P25">
        <v>620101</v>
      </c>
      <c r="Q25" t="s">
        <v>31</v>
      </c>
      <c r="R25" t="b">
        <v>0</v>
      </c>
      <c r="S25" t="b">
        <f t="shared" si="2"/>
        <v>0</v>
      </c>
      <c r="T25" t="b">
        <f t="shared" si="3"/>
        <v>0</v>
      </c>
      <c r="U25" t="str">
        <f t="shared" si="4"/>
        <v>2%</v>
      </c>
    </row>
    <row r="26" spans="1:21" x14ac:dyDescent="0.3">
      <c r="A26" t="s">
        <v>22</v>
      </c>
      <c r="B26" s="8">
        <v>27</v>
      </c>
      <c r="C26" t="str">
        <f t="shared" si="0"/>
        <v>Teenager</v>
      </c>
      <c r="D26" s="9">
        <v>44899</v>
      </c>
      <c r="E26" t="str">
        <f t="shared" si="1"/>
        <v>Dec</v>
      </c>
      <c r="F26" t="s">
        <v>23</v>
      </c>
      <c r="G26" t="s">
        <v>77</v>
      </c>
      <c r="H26" t="s">
        <v>258</v>
      </c>
      <c r="I26" t="s">
        <v>35</v>
      </c>
      <c r="J26" t="s">
        <v>50</v>
      </c>
      <c r="K26">
        <v>1</v>
      </c>
      <c r="L26" t="s">
        <v>28</v>
      </c>
      <c r="M26" s="8">
        <v>916</v>
      </c>
      <c r="N26" t="s">
        <v>259</v>
      </c>
      <c r="O26" t="s">
        <v>118</v>
      </c>
      <c r="P26">
        <v>228001</v>
      </c>
      <c r="Q26" t="s">
        <v>31</v>
      </c>
      <c r="R26" t="b">
        <v>0</v>
      </c>
      <c r="S26" t="b">
        <f t="shared" si="2"/>
        <v>0</v>
      </c>
      <c r="T26" t="b">
        <f t="shared" si="3"/>
        <v>1</v>
      </c>
      <c r="U26" t="str">
        <f t="shared" si="4"/>
        <v>2%</v>
      </c>
    </row>
    <row r="27" spans="1:21" x14ac:dyDescent="0.3">
      <c r="A27" t="s">
        <v>33</v>
      </c>
      <c r="B27" s="8">
        <v>27</v>
      </c>
      <c r="C27" t="str">
        <f t="shared" si="0"/>
        <v>Teenager</v>
      </c>
      <c r="D27" s="9">
        <v>44899</v>
      </c>
      <c r="E27" t="str">
        <f t="shared" si="1"/>
        <v>Dec</v>
      </c>
      <c r="F27" t="s">
        <v>23</v>
      </c>
      <c r="G27" t="s">
        <v>77</v>
      </c>
      <c r="H27" t="s">
        <v>257</v>
      </c>
      <c r="I27" t="s">
        <v>35</v>
      </c>
      <c r="J27" t="s">
        <v>67</v>
      </c>
      <c r="K27">
        <v>1</v>
      </c>
      <c r="L27" t="s">
        <v>28</v>
      </c>
      <c r="M27" s="8">
        <v>664</v>
      </c>
      <c r="N27" t="s">
        <v>155</v>
      </c>
      <c r="O27" t="s">
        <v>156</v>
      </c>
      <c r="P27">
        <v>500039</v>
      </c>
      <c r="Q27" t="s">
        <v>31</v>
      </c>
      <c r="R27" t="b">
        <v>0</v>
      </c>
      <c r="S27" t="b">
        <f t="shared" si="2"/>
        <v>0</v>
      </c>
      <c r="T27" t="b">
        <f t="shared" si="3"/>
        <v>1</v>
      </c>
      <c r="U27" t="str">
        <f t="shared" si="4"/>
        <v>2%</v>
      </c>
    </row>
    <row r="28" spans="1:21" x14ac:dyDescent="0.3">
      <c r="A28" t="s">
        <v>33</v>
      </c>
      <c r="B28" s="8">
        <v>26</v>
      </c>
      <c r="C28" t="str">
        <f t="shared" si="0"/>
        <v>Teenager</v>
      </c>
      <c r="D28" s="9">
        <v>44899</v>
      </c>
      <c r="E28" t="str">
        <f t="shared" si="1"/>
        <v>Dec</v>
      </c>
      <c r="F28" t="s">
        <v>23</v>
      </c>
      <c r="G28" t="s">
        <v>77</v>
      </c>
      <c r="H28" t="s">
        <v>264</v>
      </c>
      <c r="I28" t="s">
        <v>87</v>
      </c>
      <c r="J28" t="s">
        <v>88</v>
      </c>
      <c r="K28">
        <v>1</v>
      </c>
      <c r="L28" t="s">
        <v>28</v>
      </c>
      <c r="M28" s="8">
        <v>1075</v>
      </c>
      <c r="N28" t="s">
        <v>265</v>
      </c>
      <c r="O28" t="s">
        <v>266</v>
      </c>
      <c r="P28">
        <v>801113</v>
      </c>
      <c r="Q28" t="s">
        <v>31</v>
      </c>
      <c r="R28" t="b">
        <v>0</v>
      </c>
      <c r="S28" t="b">
        <f t="shared" si="2"/>
        <v>1</v>
      </c>
      <c r="T28" t="b">
        <f t="shared" si="3"/>
        <v>1</v>
      </c>
      <c r="U28" t="str">
        <f t="shared" si="4"/>
        <v>10%</v>
      </c>
    </row>
    <row r="29" spans="1:21" x14ac:dyDescent="0.3">
      <c r="A29" t="s">
        <v>22</v>
      </c>
      <c r="B29" s="8">
        <v>26</v>
      </c>
      <c r="C29" t="str">
        <f t="shared" si="0"/>
        <v>Teenager</v>
      </c>
      <c r="D29" s="9">
        <v>44899</v>
      </c>
      <c r="E29" t="str">
        <f t="shared" si="1"/>
        <v>Dec</v>
      </c>
      <c r="F29" t="s">
        <v>23</v>
      </c>
      <c r="G29" t="s">
        <v>77</v>
      </c>
      <c r="H29" t="s">
        <v>261</v>
      </c>
      <c r="I29" t="s">
        <v>35</v>
      </c>
      <c r="J29" t="s">
        <v>50</v>
      </c>
      <c r="K29">
        <v>1</v>
      </c>
      <c r="L29" t="s">
        <v>28</v>
      </c>
      <c r="M29" s="8">
        <v>759</v>
      </c>
      <c r="N29" t="s">
        <v>262</v>
      </c>
      <c r="O29" t="s">
        <v>118</v>
      </c>
      <c r="P29">
        <v>230304</v>
      </c>
      <c r="Q29" t="s">
        <v>31</v>
      </c>
      <c r="R29" t="b">
        <v>0</v>
      </c>
      <c r="S29" t="b">
        <f t="shared" si="2"/>
        <v>0</v>
      </c>
      <c r="T29" t="b">
        <f t="shared" si="3"/>
        <v>1</v>
      </c>
      <c r="U29" t="str">
        <f t="shared" si="4"/>
        <v>2%</v>
      </c>
    </row>
    <row r="30" spans="1:21" x14ac:dyDescent="0.3">
      <c r="A30" t="s">
        <v>22</v>
      </c>
      <c r="B30" s="8">
        <v>22</v>
      </c>
      <c r="C30" t="str">
        <f t="shared" si="0"/>
        <v>Teenager</v>
      </c>
      <c r="D30" s="9">
        <v>44899</v>
      </c>
      <c r="E30" t="str">
        <f t="shared" si="1"/>
        <v>Dec</v>
      </c>
      <c r="F30" t="s">
        <v>23</v>
      </c>
      <c r="G30" t="s">
        <v>77</v>
      </c>
      <c r="H30" t="s">
        <v>286</v>
      </c>
      <c r="I30" t="s">
        <v>35</v>
      </c>
      <c r="J30" t="s">
        <v>61</v>
      </c>
      <c r="K30">
        <v>1</v>
      </c>
      <c r="L30" t="s">
        <v>28</v>
      </c>
      <c r="M30" s="8">
        <v>573</v>
      </c>
      <c r="N30" t="s">
        <v>199</v>
      </c>
      <c r="O30" t="s">
        <v>30</v>
      </c>
      <c r="P30">
        <v>400098</v>
      </c>
      <c r="Q30" t="s">
        <v>31</v>
      </c>
      <c r="R30" t="b">
        <v>0</v>
      </c>
      <c r="S30" t="b">
        <f t="shared" si="2"/>
        <v>0</v>
      </c>
      <c r="T30" t="b">
        <f t="shared" si="3"/>
        <v>1</v>
      </c>
      <c r="U30" t="str">
        <f t="shared" si="4"/>
        <v>2%</v>
      </c>
    </row>
    <row r="31" spans="1:21" x14ac:dyDescent="0.3">
      <c r="A31" t="s">
        <v>33</v>
      </c>
      <c r="B31" s="8">
        <v>20</v>
      </c>
      <c r="C31" t="str">
        <f t="shared" si="0"/>
        <v>Teenager</v>
      </c>
      <c r="D31" s="9">
        <v>44899</v>
      </c>
      <c r="E31" t="str">
        <f t="shared" si="1"/>
        <v>Dec</v>
      </c>
      <c r="F31" t="s">
        <v>23</v>
      </c>
      <c r="G31" t="s">
        <v>77</v>
      </c>
      <c r="H31" t="s">
        <v>293</v>
      </c>
      <c r="I31" t="s">
        <v>35</v>
      </c>
      <c r="J31" t="s">
        <v>67</v>
      </c>
      <c r="K31">
        <v>1</v>
      </c>
      <c r="L31" t="s">
        <v>28</v>
      </c>
      <c r="M31" s="8">
        <v>729</v>
      </c>
      <c r="N31" t="s">
        <v>294</v>
      </c>
      <c r="O31" t="s">
        <v>63</v>
      </c>
      <c r="P31">
        <v>613007</v>
      </c>
      <c r="Q31" t="s">
        <v>31</v>
      </c>
      <c r="R31" t="b">
        <v>0</v>
      </c>
      <c r="S31" t="b">
        <f t="shared" si="2"/>
        <v>0</v>
      </c>
      <c r="T31" t="b">
        <f t="shared" si="3"/>
        <v>1</v>
      </c>
      <c r="U31" t="str">
        <f t="shared" si="4"/>
        <v>2%</v>
      </c>
    </row>
    <row r="32" spans="1:21" x14ac:dyDescent="0.3">
      <c r="A32" t="s">
        <v>33</v>
      </c>
      <c r="B32" s="8">
        <v>20</v>
      </c>
      <c r="C32" t="str">
        <f t="shared" si="0"/>
        <v>Teenager</v>
      </c>
      <c r="D32" s="9">
        <v>44899</v>
      </c>
      <c r="E32" t="str">
        <f t="shared" si="1"/>
        <v>Dec</v>
      </c>
      <c r="F32" t="s">
        <v>23</v>
      </c>
      <c r="G32" t="s">
        <v>77</v>
      </c>
      <c r="H32" t="s">
        <v>300</v>
      </c>
      <c r="I32" t="s">
        <v>43</v>
      </c>
      <c r="J32" t="s">
        <v>61</v>
      </c>
      <c r="K32">
        <v>1</v>
      </c>
      <c r="L32" t="s">
        <v>28</v>
      </c>
      <c r="M32" s="8">
        <v>399</v>
      </c>
      <c r="N32" t="s">
        <v>301</v>
      </c>
      <c r="O32" t="s">
        <v>84</v>
      </c>
      <c r="P32">
        <v>560054</v>
      </c>
      <c r="Q32" t="s">
        <v>31</v>
      </c>
      <c r="R32" t="b">
        <v>0</v>
      </c>
      <c r="S32" t="b">
        <f t="shared" si="2"/>
        <v>0</v>
      </c>
      <c r="T32" t="b">
        <f t="shared" si="3"/>
        <v>1</v>
      </c>
      <c r="U32" t="str">
        <f t="shared" si="4"/>
        <v>2%</v>
      </c>
    </row>
    <row r="33" spans="1:21" x14ac:dyDescent="0.3">
      <c r="A33" t="s">
        <v>33</v>
      </c>
      <c r="B33" s="8">
        <v>20</v>
      </c>
      <c r="C33" t="str">
        <f t="shared" si="0"/>
        <v>Teenager</v>
      </c>
      <c r="D33" s="9">
        <v>44899</v>
      </c>
      <c r="E33" t="str">
        <f t="shared" si="1"/>
        <v>Dec</v>
      </c>
      <c r="F33" t="s">
        <v>23</v>
      </c>
      <c r="G33" t="s">
        <v>77</v>
      </c>
      <c r="H33" t="s">
        <v>303</v>
      </c>
      <c r="I33" t="s">
        <v>87</v>
      </c>
      <c r="J33" t="s">
        <v>88</v>
      </c>
      <c r="K33">
        <v>1</v>
      </c>
      <c r="L33" t="s">
        <v>28</v>
      </c>
      <c r="M33" s="8">
        <v>307</v>
      </c>
      <c r="N33" t="s">
        <v>304</v>
      </c>
      <c r="O33" t="s">
        <v>38</v>
      </c>
      <c r="P33">
        <v>673524</v>
      </c>
      <c r="Q33" t="s">
        <v>31</v>
      </c>
      <c r="R33" t="b">
        <v>0</v>
      </c>
      <c r="S33" t="b">
        <f t="shared" si="2"/>
        <v>0</v>
      </c>
      <c r="T33" t="b">
        <f t="shared" si="3"/>
        <v>1</v>
      </c>
      <c r="U33" t="str">
        <f t="shared" si="4"/>
        <v>2%</v>
      </c>
    </row>
    <row r="34" spans="1:21" x14ac:dyDescent="0.3">
      <c r="A34" t="s">
        <v>22</v>
      </c>
      <c r="B34" s="8">
        <v>19</v>
      </c>
      <c r="C34" t="str">
        <f t="shared" ref="C34:C65" si="5">IF(B34&gt;=50,"Senior", IF(B34&gt;=30,"Adults","Teenager"))</f>
        <v>Teenager</v>
      </c>
      <c r="D34" s="9">
        <v>44899</v>
      </c>
      <c r="E34" t="str">
        <f t="shared" ref="E34:E65" si="6">TEXT(D34,"mmm")</f>
        <v>Dec</v>
      </c>
      <c r="F34" t="s">
        <v>23</v>
      </c>
      <c r="G34" t="s">
        <v>77</v>
      </c>
      <c r="H34" t="s">
        <v>309</v>
      </c>
      <c r="I34" t="s">
        <v>35</v>
      </c>
      <c r="J34" t="s">
        <v>50</v>
      </c>
      <c r="K34">
        <v>1</v>
      </c>
      <c r="L34" t="s">
        <v>28</v>
      </c>
      <c r="M34" s="8">
        <v>1036</v>
      </c>
      <c r="N34" t="s">
        <v>199</v>
      </c>
      <c r="O34" t="s">
        <v>30</v>
      </c>
      <c r="P34">
        <v>400093</v>
      </c>
      <c r="Q34" t="s">
        <v>31</v>
      </c>
      <c r="R34" t="b">
        <v>0</v>
      </c>
      <c r="S34" t="b">
        <f t="shared" ref="S34:S65" si="7">AND(C34="Teenager",M34&gt;1000)</f>
        <v>1</v>
      </c>
      <c r="T34" t="b">
        <f t="shared" ref="T34:T65" si="8">OR(C34="Teenager",M34&gt;1000)</f>
        <v>1</v>
      </c>
      <c r="U34" t="str">
        <f t="shared" ref="U34:U65" si="9">IF(AND(C34="Teenager",M34&gt;1000),"10%","2%")</f>
        <v>10%</v>
      </c>
    </row>
    <row r="35" spans="1:21" x14ac:dyDescent="0.3">
      <c r="A35" t="s">
        <v>33</v>
      </c>
      <c r="B35" s="8">
        <v>18</v>
      </c>
      <c r="C35" t="str">
        <f t="shared" si="5"/>
        <v>Teenager</v>
      </c>
      <c r="D35" s="9">
        <v>44899</v>
      </c>
      <c r="E35" t="str">
        <f t="shared" si="6"/>
        <v>Dec</v>
      </c>
      <c r="F35" t="s">
        <v>23</v>
      </c>
      <c r="G35" t="s">
        <v>77</v>
      </c>
      <c r="H35" t="s">
        <v>313</v>
      </c>
      <c r="I35" t="s">
        <v>35</v>
      </c>
      <c r="J35" t="s">
        <v>36</v>
      </c>
      <c r="K35">
        <v>1</v>
      </c>
      <c r="L35" t="s">
        <v>28</v>
      </c>
      <c r="M35" s="8">
        <v>786</v>
      </c>
      <c r="N35" t="s">
        <v>136</v>
      </c>
      <c r="O35" t="s">
        <v>137</v>
      </c>
      <c r="P35">
        <v>781017</v>
      </c>
      <c r="Q35" t="s">
        <v>31</v>
      </c>
      <c r="R35" t="b">
        <v>0</v>
      </c>
      <c r="S35" t="b">
        <f t="shared" si="7"/>
        <v>0</v>
      </c>
      <c r="T35" t="b">
        <f t="shared" si="8"/>
        <v>1</v>
      </c>
      <c r="U35" t="str">
        <f t="shared" si="9"/>
        <v>2%</v>
      </c>
    </row>
    <row r="36" spans="1:21" x14ac:dyDescent="0.3">
      <c r="A36" t="s">
        <v>22</v>
      </c>
      <c r="B36" s="8">
        <v>77</v>
      </c>
      <c r="C36" t="str">
        <f t="shared" si="5"/>
        <v>Senior</v>
      </c>
      <c r="D36" s="9">
        <v>44899</v>
      </c>
      <c r="E36" t="str">
        <f t="shared" si="6"/>
        <v>Dec</v>
      </c>
      <c r="F36" t="s">
        <v>23</v>
      </c>
      <c r="G36" t="s">
        <v>24</v>
      </c>
      <c r="H36" t="s">
        <v>25</v>
      </c>
      <c r="I36" t="s">
        <v>26</v>
      </c>
      <c r="J36" t="s">
        <v>27</v>
      </c>
      <c r="K36">
        <v>1</v>
      </c>
      <c r="L36" t="s">
        <v>28</v>
      </c>
      <c r="M36" s="8">
        <v>735</v>
      </c>
      <c r="N36" t="s">
        <v>62</v>
      </c>
      <c r="O36" t="s">
        <v>63</v>
      </c>
      <c r="P36">
        <v>600103</v>
      </c>
      <c r="Q36" t="s">
        <v>31</v>
      </c>
      <c r="R36" t="b">
        <v>0</v>
      </c>
      <c r="S36" t="b">
        <f t="shared" si="7"/>
        <v>0</v>
      </c>
      <c r="T36" t="b">
        <f t="shared" si="8"/>
        <v>0</v>
      </c>
      <c r="U36" t="str">
        <f t="shared" si="9"/>
        <v>2%</v>
      </c>
    </row>
    <row r="37" spans="1:21" x14ac:dyDescent="0.3">
      <c r="A37" t="s">
        <v>22</v>
      </c>
      <c r="B37" s="8">
        <v>75</v>
      </c>
      <c r="C37" t="str">
        <f t="shared" si="5"/>
        <v>Senior</v>
      </c>
      <c r="D37" s="9">
        <v>44899</v>
      </c>
      <c r="E37" t="str">
        <f t="shared" si="6"/>
        <v>Dec</v>
      </c>
      <c r="F37" t="s">
        <v>23</v>
      </c>
      <c r="G37" t="s">
        <v>24</v>
      </c>
      <c r="H37" t="s">
        <v>206</v>
      </c>
      <c r="I37" t="s">
        <v>35</v>
      </c>
      <c r="J37" t="s">
        <v>116</v>
      </c>
      <c r="K37">
        <v>1</v>
      </c>
      <c r="L37" t="s">
        <v>28</v>
      </c>
      <c r="M37" s="8">
        <v>988</v>
      </c>
      <c r="N37" t="s">
        <v>199</v>
      </c>
      <c r="O37" t="s">
        <v>30</v>
      </c>
      <c r="P37">
        <v>400063</v>
      </c>
      <c r="Q37" t="s">
        <v>31</v>
      </c>
      <c r="R37" t="b">
        <v>0</v>
      </c>
      <c r="S37" t="b">
        <f t="shared" si="7"/>
        <v>0</v>
      </c>
      <c r="T37" t="b">
        <f t="shared" si="8"/>
        <v>0</v>
      </c>
      <c r="U37" t="str">
        <f t="shared" si="9"/>
        <v>2%</v>
      </c>
    </row>
    <row r="38" spans="1:21" x14ac:dyDescent="0.3">
      <c r="A38" t="s">
        <v>33</v>
      </c>
      <c r="B38" s="8">
        <v>73</v>
      </c>
      <c r="C38" t="str">
        <f t="shared" si="5"/>
        <v>Senior</v>
      </c>
      <c r="D38" s="9">
        <v>44899</v>
      </c>
      <c r="E38" t="str">
        <f t="shared" si="6"/>
        <v>Dec</v>
      </c>
      <c r="F38" t="s">
        <v>23</v>
      </c>
      <c r="G38" t="s">
        <v>24</v>
      </c>
      <c r="H38" t="s">
        <v>212</v>
      </c>
      <c r="I38" t="s">
        <v>35</v>
      </c>
      <c r="J38" t="s">
        <v>61</v>
      </c>
      <c r="K38">
        <v>1</v>
      </c>
      <c r="L38" t="s">
        <v>28</v>
      </c>
      <c r="M38" s="8">
        <v>650</v>
      </c>
      <c r="N38" t="s">
        <v>213</v>
      </c>
      <c r="O38" t="s">
        <v>214</v>
      </c>
      <c r="P38">
        <v>390021</v>
      </c>
      <c r="Q38" t="s">
        <v>31</v>
      </c>
      <c r="R38" t="b">
        <v>0</v>
      </c>
      <c r="S38" t="b">
        <f t="shared" si="7"/>
        <v>0</v>
      </c>
      <c r="T38" t="b">
        <f t="shared" si="8"/>
        <v>0</v>
      </c>
      <c r="U38" t="str">
        <f t="shared" si="9"/>
        <v>2%</v>
      </c>
    </row>
    <row r="39" spans="1:21" x14ac:dyDescent="0.3">
      <c r="A39" t="s">
        <v>33</v>
      </c>
      <c r="B39" s="8">
        <v>72</v>
      </c>
      <c r="C39" t="str">
        <f t="shared" si="5"/>
        <v>Senior</v>
      </c>
      <c r="D39" s="9">
        <v>44899</v>
      </c>
      <c r="E39" t="str">
        <f t="shared" si="6"/>
        <v>Dec</v>
      </c>
      <c r="F39" t="s">
        <v>23</v>
      </c>
      <c r="G39" t="s">
        <v>24</v>
      </c>
      <c r="H39" t="s">
        <v>216</v>
      </c>
      <c r="I39" t="s">
        <v>35</v>
      </c>
      <c r="J39" t="s">
        <v>67</v>
      </c>
      <c r="K39">
        <v>1</v>
      </c>
      <c r="L39" t="s">
        <v>28</v>
      </c>
      <c r="M39" s="8">
        <v>969</v>
      </c>
      <c r="N39" t="s">
        <v>102</v>
      </c>
      <c r="O39" t="s">
        <v>80</v>
      </c>
      <c r="P39">
        <v>160062</v>
      </c>
      <c r="Q39" t="s">
        <v>31</v>
      </c>
      <c r="R39" t="b">
        <v>0</v>
      </c>
      <c r="S39" t="b">
        <f t="shared" si="7"/>
        <v>0</v>
      </c>
      <c r="T39" t="b">
        <f t="shared" si="8"/>
        <v>0</v>
      </c>
      <c r="U39" t="str">
        <f t="shared" si="9"/>
        <v>2%</v>
      </c>
    </row>
    <row r="40" spans="1:21" x14ac:dyDescent="0.3">
      <c r="A40" t="s">
        <v>33</v>
      </c>
      <c r="B40" s="8">
        <v>64</v>
      </c>
      <c r="C40" t="str">
        <f t="shared" si="5"/>
        <v>Senior</v>
      </c>
      <c r="D40" s="9">
        <v>44899</v>
      </c>
      <c r="E40" t="str">
        <f t="shared" si="6"/>
        <v>Dec</v>
      </c>
      <c r="F40" t="s">
        <v>23</v>
      </c>
      <c r="G40" t="s">
        <v>24</v>
      </c>
      <c r="H40" t="s">
        <v>224</v>
      </c>
      <c r="I40" t="s">
        <v>35</v>
      </c>
      <c r="J40" t="s">
        <v>44</v>
      </c>
      <c r="K40">
        <v>1</v>
      </c>
      <c r="L40" t="s">
        <v>28</v>
      </c>
      <c r="M40" s="8">
        <v>999</v>
      </c>
      <c r="N40" t="s">
        <v>225</v>
      </c>
      <c r="O40" t="s">
        <v>113</v>
      </c>
      <c r="P40">
        <v>524002</v>
      </c>
      <c r="Q40" t="s">
        <v>31</v>
      </c>
      <c r="R40" t="b">
        <v>0</v>
      </c>
      <c r="S40" t="b">
        <f t="shared" si="7"/>
        <v>0</v>
      </c>
      <c r="T40" t="b">
        <f t="shared" si="8"/>
        <v>0</v>
      </c>
      <c r="U40" t="str">
        <f t="shared" si="9"/>
        <v>2%</v>
      </c>
    </row>
    <row r="41" spans="1:21" x14ac:dyDescent="0.3">
      <c r="A41" t="s">
        <v>33</v>
      </c>
      <c r="B41" s="8">
        <v>62</v>
      </c>
      <c r="C41" t="str">
        <f t="shared" si="5"/>
        <v>Senior</v>
      </c>
      <c r="D41" s="9">
        <v>44899</v>
      </c>
      <c r="E41" t="str">
        <f t="shared" si="6"/>
        <v>Dec</v>
      </c>
      <c r="F41" t="s">
        <v>23</v>
      </c>
      <c r="G41" t="s">
        <v>24</v>
      </c>
      <c r="H41" t="s">
        <v>229</v>
      </c>
      <c r="I41" t="s">
        <v>96</v>
      </c>
      <c r="J41" t="s">
        <v>36</v>
      </c>
      <c r="K41">
        <v>1</v>
      </c>
      <c r="L41" t="s">
        <v>28</v>
      </c>
      <c r="M41" s="8">
        <v>484</v>
      </c>
      <c r="N41" t="s">
        <v>230</v>
      </c>
      <c r="O41" t="s">
        <v>84</v>
      </c>
      <c r="P41">
        <v>577004</v>
      </c>
      <c r="Q41" t="s">
        <v>31</v>
      </c>
      <c r="R41" t="b">
        <v>0</v>
      </c>
      <c r="S41" t="b">
        <f t="shared" si="7"/>
        <v>0</v>
      </c>
      <c r="T41" t="b">
        <f t="shared" si="8"/>
        <v>0</v>
      </c>
      <c r="U41" t="str">
        <f t="shared" si="9"/>
        <v>2%</v>
      </c>
    </row>
    <row r="42" spans="1:21" x14ac:dyDescent="0.3">
      <c r="A42" t="s">
        <v>33</v>
      </c>
      <c r="B42" s="8">
        <v>55</v>
      </c>
      <c r="C42" t="str">
        <f t="shared" si="5"/>
        <v>Senior</v>
      </c>
      <c r="D42" s="9">
        <v>44899</v>
      </c>
      <c r="E42" t="str">
        <f t="shared" si="6"/>
        <v>Dec</v>
      </c>
      <c r="F42" t="s">
        <v>23</v>
      </c>
      <c r="G42" t="s">
        <v>24</v>
      </c>
      <c r="H42" t="s">
        <v>248</v>
      </c>
      <c r="I42" t="s">
        <v>43</v>
      </c>
      <c r="J42" t="s">
        <v>67</v>
      </c>
      <c r="K42">
        <v>1</v>
      </c>
      <c r="L42" t="s">
        <v>28</v>
      </c>
      <c r="M42" s="8">
        <v>481</v>
      </c>
      <c r="N42" t="s">
        <v>62</v>
      </c>
      <c r="O42" t="s">
        <v>63</v>
      </c>
      <c r="P42">
        <v>600077</v>
      </c>
      <c r="Q42" t="s">
        <v>31</v>
      </c>
      <c r="R42" t="b">
        <v>0</v>
      </c>
      <c r="S42" t="b">
        <f t="shared" si="7"/>
        <v>0</v>
      </c>
      <c r="T42" t="b">
        <f t="shared" si="8"/>
        <v>0</v>
      </c>
      <c r="U42" t="str">
        <f t="shared" si="9"/>
        <v>2%</v>
      </c>
    </row>
    <row r="43" spans="1:21" x14ac:dyDescent="0.3">
      <c r="A43" t="s">
        <v>33</v>
      </c>
      <c r="B43" s="8">
        <v>49</v>
      </c>
      <c r="C43" t="str">
        <f t="shared" si="5"/>
        <v>Adults</v>
      </c>
      <c r="D43" s="9">
        <v>44899</v>
      </c>
      <c r="E43" t="str">
        <f t="shared" si="6"/>
        <v>Dec</v>
      </c>
      <c r="F43" t="s">
        <v>23</v>
      </c>
      <c r="G43" t="s">
        <v>24</v>
      </c>
      <c r="H43" t="s">
        <v>34</v>
      </c>
      <c r="I43" t="s">
        <v>35</v>
      </c>
      <c r="J43" t="s">
        <v>36</v>
      </c>
      <c r="K43">
        <v>1</v>
      </c>
      <c r="L43" t="s">
        <v>28</v>
      </c>
      <c r="M43" s="8">
        <v>969</v>
      </c>
      <c r="N43" t="s">
        <v>37</v>
      </c>
      <c r="O43" t="s">
        <v>38</v>
      </c>
      <c r="P43">
        <v>695141</v>
      </c>
      <c r="Q43" t="s">
        <v>31</v>
      </c>
      <c r="R43" t="b">
        <v>0</v>
      </c>
      <c r="S43" t="b">
        <f t="shared" si="7"/>
        <v>0</v>
      </c>
      <c r="T43" t="b">
        <f t="shared" si="8"/>
        <v>0</v>
      </c>
      <c r="U43" t="str">
        <f t="shared" si="9"/>
        <v>2%</v>
      </c>
    </row>
    <row r="44" spans="1:21" x14ac:dyDescent="0.3">
      <c r="A44" t="s">
        <v>22</v>
      </c>
      <c r="B44" s="8">
        <v>49</v>
      </c>
      <c r="C44" t="str">
        <f t="shared" si="5"/>
        <v>Adults</v>
      </c>
      <c r="D44" s="9">
        <v>44899</v>
      </c>
      <c r="E44" t="str">
        <f t="shared" si="6"/>
        <v>Dec</v>
      </c>
      <c r="F44" t="s">
        <v>23</v>
      </c>
      <c r="G44" t="s">
        <v>24</v>
      </c>
      <c r="H44" t="s">
        <v>25</v>
      </c>
      <c r="I44" t="s">
        <v>26</v>
      </c>
      <c r="J44" t="s">
        <v>27</v>
      </c>
      <c r="K44">
        <v>1</v>
      </c>
      <c r="L44" t="s">
        <v>28</v>
      </c>
      <c r="M44" s="8">
        <v>735</v>
      </c>
      <c r="N44" t="s">
        <v>29</v>
      </c>
      <c r="O44" t="s">
        <v>30</v>
      </c>
      <c r="P44">
        <v>416436</v>
      </c>
      <c r="Q44" t="s">
        <v>31</v>
      </c>
      <c r="R44" t="b">
        <v>0</v>
      </c>
      <c r="S44" t="b">
        <f t="shared" si="7"/>
        <v>0</v>
      </c>
      <c r="T44" t="b">
        <f t="shared" si="8"/>
        <v>0</v>
      </c>
      <c r="U44" t="str">
        <f t="shared" si="9"/>
        <v>2%</v>
      </c>
    </row>
    <row r="45" spans="1:21" x14ac:dyDescent="0.3">
      <c r="A45" t="s">
        <v>33</v>
      </c>
      <c r="B45" s="8">
        <v>48</v>
      </c>
      <c r="C45" t="str">
        <f t="shared" si="5"/>
        <v>Adults</v>
      </c>
      <c r="D45" s="9">
        <v>44899</v>
      </c>
      <c r="E45" t="str">
        <f t="shared" si="6"/>
        <v>Dec</v>
      </c>
      <c r="F45" t="s">
        <v>23</v>
      </c>
      <c r="G45" t="s">
        <v>24</v>
      </c>
      <c r="H45" t="s">
        <v>60</v>
      </c>
      <c r="I45" t="s">
        <v>35</v>
      </c>
      <c r="J45" t="s">
        <v>61</v>
      </c>
      <c r="K45">
        <v>1</v>
      </c>
      <c r="L45" t="s">
        <v>28</v>
      </c>
      <c r="M45" s="8">
        <v>429</v>
      </c>
      <c r="N45" t="s">
        <v>62</v>
      </c>
      <c r="O45" t="s">
        <v>63</v>
      </c>
      <c r="P45">
        <v>600051</v>
      </c>
      <c r="Q45" t="s">
        <v>31</v>
      </c>
      <c r="R45" t="b">
        <v>0</v>
      </c>
      <c r="S45" t="b">
        <f t="shared" si="7"/>
        <v>0</v>
      </c>
      <c r="T45" t="b">
        <f t="shared" si="8"/>
        <v>0</v>
      </c>
      <c r="U45" t="str">
        <f t="shared" si="9"/>
        <v>2%</v>
      </c>
    </row>
    <row r="46" spans="1:21" x14ac:dyDescent="0.3">
      <c r="A46" t="s">
        <v>22</v>
      </c>
      <c r="B46" s="8">
        <v>39</v>
      </c>
      <c r="C46" t="str">
        <f t="shared" si="5"/>
        <v>Adults</v>
      </c>
      <c r="D46" s="9">
        <v>44899</v>
      </c>
      <c r="E46" t="str">
        <f t="shared" si="6"/>
        <v>Dec</v>
      </c>
      <c r="F46" t="s">
        <v>23</v>
      </c>
      <c r="G46" t="s">
        <v>24</v>
      </c>
      <c r="H46" t="s">
        <v>139</v>
      </c>
      <c r="I46" t="s">
        <v>26</v>
      </c>
      <c r="J46" t="s">
        <v>61</v>
      </c>
      <c r="K46">
        <v>1</v>
      </c>
      <c r="L46" t="s">
        <v>28</v>
      </c>
      <c r="M46" s="8">
        <v>599</v>
      </c>
      <c r="N46" t="s">
        <v>83</v>
      </c>
      <c r="O46" t="s">
        <v>84</v>
      </c>
      <c r="P46">
        <v>560061</v>
      </c>
      <c r="Q46" t="s">
        <v>31</v>
      </c>
      <c r="R46" t="b">
        <v>0</v>
      </c>
      <c r="S46" t="b">
        <f t="shared" si="7"/>
        <v>0</v>
      </c>
      <c r="T46" t="b">
        <f t="shared" si="8"/>
        <v>0</v>
      </c>
      <c r="U46" t="str">
        <f t="shared" si="9"/>
        <v>2%</v>
      </c>
    </row>
    <row r="47" spans="1:21" x14ac:dyDescent="0.3">
      <c r="A47" t="s">
        <v>33</v>
      </c>
      <c r="B47" s="8">
        <v>32</v>
      </c>
      <c r="C47" t="str">
        <f t="shared" si="5"/>
        <v>Adults</v>
      </c>
      <c r="D47" s="9">
        <v>44899</v>
      </c>
      <c r="E47" t="str">
        <f t="shared" si="6"/>
        <v>Dec</v>
      </c>
      <c r="F47" t="s">
        <v>23</v>
      </c>
      <c r="G47" t="s">
        <v>24</v>
      </c>
      <c r="H47" t="s">
        <v>183</v>
      </c>
      <c r="I47" t="s">
        <v>35</v>
      </c>
      <c r="J47" t="s">
        <v>61</v>
      </c>
      <c r="K47">
        <v>1</v>
      </c>
      <c r="L47" t="s">
        <v>28</v>
      </c>
      <c r="M47" s="8">
        <v>737</v>
      </c>
      <c r="N47" t="s">
        <v>155</v>
      </c>
      <c r="O47" t="s">
        <v>156</v>
      </c>
      <c r="P47">
        <v>500020</v>
      </c>
      <c r="Q47" t="s">
        <v>31</v>
      </c>
      <c r="R47" t="b">
        <v>0</v>
      </c>
      <c r="S47" t="b">
        <f t="shared" si="7"/>
        <v>0</v>
      </c>
      <c r="T47" t="b">
        <f t="shared" si="8"/>
        <v>0</v>
      </c>
      <c r="U47" t="str">
        <f t="shared" si="9"/>
        <v>2%</v>
      </c>
    </row>
    <row r="48" spans="1:21" x14ac:dyDescent="0.3">
      <c r="A48" t="s">
        <v>33</v>
      </c>
      <c r="B48" s="8">
        <v>30</v>
      </c>
      <c r="C48" t="str">
        <f t="shared" si="5"/>
        <v>Adults</v>
      </c>
      <c r="D48" s="9">
        <v>44899</v>
      </c>
      <c r="E48" t="str">
        <f t="shared" si="6"/>
        <v>Dec</v>
      </c>
      <c r="F48" t="s">
        <v>23</v>
      </c>
      <c r="G48" t="s">
        <v>24</v>
      </c>
      <c r="H48" t="s">
        <v>198</v>
      </c>
      <c r="I48" t="s">
        <v>43</v>
      </c>
      <c r="J48" t="s">
        <v>27</v>
      </c>
      <c r="K48">
        <v>1</v>
      </c>
      <c r="L48" t="s">
        <v>28</v>
      </c>
      <c r="M48" s="8">
        <v>458</v>
      </c>
      <c r="N48" t="s">
        <v>199</v>
      </c>
      <c r="O48" t="s">
        <v>30</v>
      </c>
      <c r="P48">
        <v>400097</v>
      </c>
      <c r="Q48" t="s">
        <v>31</v>
      </c>
      <c r="R48" t="b">
        <v>0</v>
      </c>
      <c r="S48" t="b">
        <f t="shared" si="7"/>
        <v>0</v>
      </c>
      <c r="T48" t="b">
        <f t="shared" si="8"/>
        <v>0</v>
      </c>
      <c r="U48" t="str">
        <f t="shared" si="9"/>
        <v>2%</v>
      </c>
    </row>
    <row r="49" spans="1:21" x14ac:dyDescent="0.3">
      <c r="A49" t="s">
        <v>22</v>
      </c>
      <c r="B49" s="8">
        <v>23</v>
      </c>
      <c r="C49" t="str">
        <f t="shared" si="5"/>
        <v>Teenager</v>
      </c>
      <c r="D49" s="9">
        <v>44899</v>
      </c>
      <c r="E49" t="str">
        <f t="shared" si="6"/>
        <v>Dec</v>
      </c>
      <c r="F49" t="s">
        <v>23</v>
      </c>
      <c r="G49" t="s">
        <v>24</v>
      </c>
      <c r="H49" t="s">
        <v>281</v>
      </c>
      <c r="I49" t="s">
        <v>35</v>
      </c>
      <c r="J49" t="s">
        <v>27</v>
      </c>
      <c r="K49">
        <v>1</v>
      </c>
      <c r="L49" t="s">
        <v>28</v>
      </c>
      <c r="M49" s="8">
        <v>1072</v>
      </c>
      <c r="N49" t="s">
        <v>110</v>
      </c>
      <c r="O49" t="s">
        <v>30</v>
      </c>
      <c r="P49">
        <v>421201</v>
      </c>
      <c r="Q49" t="s">
        <v>31</v>
      </c>
      <c r="R49" t="b">
        <v>0</v>
      </c>
      <c r="S49" t="b">
        <f t="shared" si="7"/>
        <v>1</v>
      </c>
      <c r="T49" t="b">
        <f t="shared" si="8"/>
        <v>1</v>
      </c>
      <c r="U49" t="str">
        <f t="shared" si="9"/>
        <v>10%</v>
      </c>
    </row>
    <row r="50" spans="1:21" x14ac:dyDescent="0.3">
      <c r="A50" t="s">
        <v>33</v>
      </c>
      <c r="B50" s="8">
        <v>21</v>
      </c>
      <c r="C50" t="str">
        <f t="shared" si="5"/>
        <v>Teenager</v>
      </c>
      <c r="D50" s="9">
        <v>44899</v>
      </c>
      <c r="E50" t="str">
        <f t="shared" si="6"/>
        <v>Dec</v>
      </c>
      <c r="F50" t="s">
        <v>23</v>
      </c>
      <c r="G50" t="s">
        <v>24</v>
      </c>
      <c r="H50" t="s">
        <v>290</v>
      </c>
      <c r="I50" t="s">
        <v>35</v>
      </c>
      <c r="J50" t="s">
        <v>50</v>
      </c>
      <c r="K50">
        <v>1</v>
      </c>
      <c r="L50" t="s">
        <v>28</v>
      </c>
      <c r="M50" s="8">
        <v>801</v>
      </c>
      <c r="N50" t="s">
        <v>291</v>
      </c>
      <c r="O50" t="s">
        <v>52</v>
      </c>
      <c r="P50">
        <v>334001</v>
      </c>
      <c r="Q50" t="s">
        <v>31</v>
      </c>
      <c r="R50" t="b">
        <v>0</v>
      </c>
      <c r="S50" t="b">
        <f t="shared" si="7"/>
        <v>0</v>
      </c>
      <c r="T50" t="b">
        <f t="shared" si="8"/>
        <v>1</v>
      </c>
      <c r="U50" t="str">
        <f t="shared" si="9"/>
        <v>2%</v>
      </c>
    </row>
    <row r="51" spans="1:21" x14ac:dyDescent="0.3">
      <c r="A51" t="s">
        <v>22</v>
      </c>
      <c r="B51" s="8">
        <v>20</v>
      </c>
      <c r="C51" t="str">
        <f t="shared" si="5"/>
        <v>Teenager</v>
      </c>
      <c r="D51" s="9">
        <v>44899</v>
      </c>
      <c r="E51" t="str">
        <f t="shared" si="6"/>
        <v>Dec</v>
      </c>
      <c r="F51" t="s">
        <v>23</v>
      </c>
      <c r="G51" t="s">
        <v>24</v>
      </c>
      <c r="H51" t="s">
        <v>296</v>
      </c>
      <c r="I51" t="s">
        <v>35</v>
      </c>
      <c r="J51" t="s">
        <v>116</v>
      </c>
      <c r="K51">
        <v>1</v>
      </c>
      <c r="L51" t="s">
        <v>28</v>
      </c>
      <c r="M51" s="8">
        <v>563</v>
      </c>
      <c r="N51" t="s">
        <v>297</v>
      </c>
      <c r="O51" t="s">
        <v>298</v>
      </c>
      <c r="P51">
        <v>263153</v>
      </c>
      <c r="Q51" t="s">
        <v>31</v>
      </c>
      <c r="R51" t="b">
        <v>0</v>
      </c>
      <c r="S51" t="b">
        <f t="shared" si="7"/>
        <v>0</v>
      </c>
      <c r="T51" t="b">
        <f t="shared" si="8"/>
        <v>1</v>
      </c>
      <c r="U51" t="str">
        <f t="shared" si="9"/>
        <v>2%</v>
      </c>
    </row>
    <row r="52" spans="1:21" x14ac:dyDescent="0.3">
      <c r="A52" t="s">
        <v>33</v>
      </c>
      <c r="B52" s="8">
        <v>19</v>
      </c>
      <c r="C52" t="str">
        <f t="shared" si="5"/>
        <v>Teenager</v>
      </c>
      <c r="D52" s="9">
        <v>44899</v>
      </c>
      <c r="E52" t="str">
        <f t="shared" si="6"/>
        <v>Dec</v>
      </c>
      <c r="F52" t="s">
        <v>23</v>
      </c>
      <c r="G52" t="s">
        <v>24</v>
      </c>
      <c r="H52" t="s">
        <v>311</v>
      </c>
      <c r="I52" t="s">
        <v>43</v>
      </c>
      <c r="J52" t="s">
        <v>27</v>
      </c>
      <c r="K52">
        <v>1</v>
      </c>
      <c r="L52" t="s">
        <v>28</v>
      </c>
      <c r="M52" s="8">
        <v>376</v>
      </c>
      <c r="N52" t="s">
        <v>83</v>
      </c>
      <c r="O52" t="s">
        <v>84</v>
      </c>
      <c r="P52">
        <v>560075</v>
      </c>
      <c r="Q52" t="s">
        <v>31</v>
      </c>
      <c r="R52" t="b">
        <v>0</v>
      </c>
      <c r="S52" t="b">
        <f t="shared" si="7"/>
        <v>0</v>
      </c>
      <c r="T52" t="b">
        <f t="shared" si="8"/>
        <v>1</v>
      </c>
      <c r="U52" t="str">
        <f t="shared" si="9"/>
        <v>2%</v>
      </c>
    </row>
    <row r="53" spans="1:21" x14ac:dyDescent="0.3">
      <c r="A53" t="s">
        <v>33</v>
      </c>
      <c r="B53" s="8">
        <v>58</v>
      </c>
      <c r="C53" t="str">
        <f t="shared" si="5"/>
        <v>Senior</v>
      </c>
      <c r="D53" s="9">
        <v>44899</v>
      </c>
      <c r="E53" t="str">
        <f t="shared" si="6"/>
        <v>Dec</v>
      </c>
      <c r="F53" t="s">
        <v>23</v>
      </c>
      <c r="G53" t="s">
        <v>65</v>
      </c>
      <c r="H53" t="s">
        <v>242</v>
      </c>
      <c r="I53" t="s">
        <v>35</v>
      </c>
      <c r="J53" t="s">
        <v>27</v>
      </c>
      <c r="K53">
        <v>1</v>
      </c>
      <c r="L53" t="s">
        <v>28</v>
      </c>
      <c r="M53" s="8">
        <v>507</v>
      </c>
      <c r="N53" t="s">
        <v>155</v>
      </c>
      <c r="O53" t="s">
        <v>156</v>
      </c>
      <c r="P53">
        <v>500008</v>
      </c>
      <c r="Q53" t="s">
        <v>31</v>
      </c>
      <c r="R53" t="b">
        <v>0</v>
      </c>
      <c r="S53" t="b">
        <f t="shared" si="7"/>
        <v>0</v>
      </c>
      <c r="T53" t="b">
        <f t="shared" si="8"/>
        <v>0</v>
      </c>
      <c r="U53" t="str">
        <f t="shared" si="9"/>
        <v>2%</v>
      </c>
    </row>
    <row r="54" spans="1:21" x14ac:dyDescent="0.3">
      <c r="A54" t="s">
        <v>33</v>
      </c>
      <c r="B54" s="8">
        <v>48</v>
      </c>
      <c r="C54" t="str">
        <f t="shared" si="5"/>
        <v>Adults</v>
      </c>
      <c r="D54" s="9">
        <v>44899</v>
      </c>
      <c r="E54" t="str">
        <f t="shared" si="6"/>
        <v>Dec</v>
      </c>
      <c r="F54" t="s">
        <v>23</v>
      </c>
      <c r="G54" t="s">
        <v>65</v>
      </c>
      <c r="H54" t="s">
        <v>66</v>
      </c>
      <c r="I54" t="s">
        <v>43</v>
      </c>
      <c r="J54" t="s">
        <v>67</v>
      </c>
      <c r="K54">
        <v>1</v>
      </c>
      <c r="L54" t="s">
        <v>28</v>
      </c>
      <c r="M54" s="8">
        <v>631</v>
      </c>
      <c r="N54" t="s">
        <v>68</v>
      </c>
      <c r="O54" t="s">
        <v>69</v>
      </c>
      <c r="P54">
        <v>122002</v>
      </c>
      <c r="Q54" t="s">
        <v>31</v>
      </c>
      <c r="R54" t="b">
        <v>0</v>
      </c>
      <c r="S54" t="b">
        <f t="shared" si="7"/>
        <v>0</v>
      </c>
      <c r="T54" t="b">
        <f t="shared" si="8"/>
        <v>0</v>
      </c>
      <c r="U54" t="str">
        <f t="shared" si="9"/>
        <v>2%</v>
      </c>
    </row>
    <row r="55" spans="1:21" x14ac:dyDescent="0.3">
      <c r="A55" t="s">
        <v>22</v>
      </c>
      <c r="B55" s="8">
        <v>47</v>
      </c>
      <c r="C55" t="str">
        <f t="shared" si="5"/>
        <v>Adults</v>
      </c>
      <c r="D55" s="9">
        <v>44899</v>
      </c>
      <c r="E55" t="str">
        <f t="shared" si="6"/>
        <v>Dec</v>
      </c>
      <c r="F55" t="s">
        <v>23</v>
      </c>
      <c r="G55" t="s">
        <v>65</v>
      </c>
      <c r="H55" t="s">
        <v>71</v>
      </c>
      <c r="I55" t="s">
        <v>35</v>
      </c>
      <c r="J55" t="s">
        <v>36</v>
      </c>
      <c r="K55">
        <v>1</v>
      </c>
      <c r="L55" t="s">
        <v>28</v>
      </c>
      <c r="M55" s="8">
        <v>633</v>
      </c>
      <c r="N55" t="s">
        <v>62</v>
      </c>
      <c r="O55" t="s">
        <v>63</v>
      </c>
      <c r="P55">
        <v>600066</v>
      </c>
      <c r="Q55" t="s">
        <v>31</v>
      </c>
      <c r="R55" t="b">
        <v>0</v>
      </c>
      <c r="S55" t="b">
        <f t="shared" si="7"/>
        <v>0</v>
      </c>
      <c r="T55" t="b">
        <f t="shared" si="8"/>
        <v>0</v>
      </c>
      <c r="U55" t="str">
        <f t="shared" si="9"/>
        <v>2%</v>
      </c>
    </row>
    <row r="56" spans="1:21" x14ac:dyDescent="0.3">
      <c r="A56" t="s">
        <v>22</v>
      </c>
      <c r="B56" s="8">
        <v>30</v>
      </c>
      <c r="C56" t="str">
        <f t="shared" si="5"/>
        <v>Adults</v>
      </c>
      <c r="D56" s="9">
        <v>44899</v>
      </c>
      <c r="E56" t="str">
        <f t="shared" si="6"/>
        <v>Dec</v>
      </c>
      <c r="F56" t="s">
        <v>23</v>
      </c>
      <c r="G56" t="s">
        <v>65</v>
      </c>
      <c r="H56" t="s">
        <v>190</v>
      </c>
      <c r="I56" t="s">
        <v>35</v>
      </c>
      <c r="J56" t="s">
        <v>36</v>
      </c>
      <c r="K56">
        <v>1</v>
      </c>
      <c r="L56" t="s">
        <v>28</v>
      </c>
      <c r="M56" s="8">
        <v>1115</v>
      </c>
      <c r="N56" t="s">
        <v>191</v>
      </c>
      <c r="O56" t="s">
        <v>75</v>
      </c>
      <c r="P56">
        <v>751022</v>
      </c>
      <c r="Q56" t="s">
        <v>31</v>
      </c>
      <c r="R56" t="b">
        <v>0</v>
      </c>
      <c r="S56" t="b">
        <f t="shared" si="7"/>
        <v>0</v>
      </c>
      <c r="T56" t="b">
        <f t="shared" si="8"/>
        <v>1</v>
      </c>
      <c r="U56" t="str">
        <f t="shared" si="9"/>
        <v>2%</v>
      </c>
    </row>
    <row r="57" spans="1:21" x14ac:dyDescent="0.3">
      <c r="A57" t="s">
        <v>33</v>
      </c>
      <c r="B57" s="8">
        <v>23</v>
      </c>
      <c r="C57" t="str">
        <f t="shared" si="5"/>
        <v>Teenager</v>
      </c>
      <c r="D57" s="9">
        <v>44899</v>
      </c>
      <c r="E57" t="str">
        <f t="shared" si="6"/>
        <v>Dec</v>
      </c>
      <c r="F57" t="s">
        <v>23</v>
      </c>
      <c r="G57" t="s">
        <v>65</v>
      </c>
      <c r="H57" t="s">
        <v>277</v>
      </c>
      <c r="I57" t="s">
        <v>43</v>
      </c>
      <c r="J57" t="s">
        <v>27</v>
      </c>
      <c r="K57">
        <v>1</v>
      </c>
      <c r="L57" t="s">
        <v>28</v>
      </c>
      <c r="M57" s="8">
        <v>735</v>
      </c>
      <c r="N57" t="s">
        <v>83</v>
      </c>
      <c r="O57" t="s">
        <v>84</v>
      </c>
      <c r="P57">
        <v>560029</v>
      </c>
      <c r="Q57" t="s">
        <v>31</v>
      </c>
      <c r="R57" t="b">
        <v>0</v>
      </c>
      <c r="S57" t="b">
        <f t="shared" si="7"/>
        <v>0</v>
      </c>
      <c r="T57" t="b">
        <f t="shared" si="8"/>
        <v>1</v>
      </c>
      <c r="U57" t="str">
        <f t="shared" si="9"/>
        <v>2%</v>
      </c>
    </row>
    <row r="58" spans="1:21" x14ac:dyDescent="0.3">
      <c r="A58" t="s">
        <v>33</v>
      </c>
      <c r="B58" s="8">
        <v>22</v>
      </c>
      <c r="C58" t="str">
        <f t="shared" si="5"/>
        <v>Teenager</v>
      </c>
      <c r="D58" s="9">
        <v>44899</v>
      </c>
      <c r="E58" t="str">
        <f t="shared" si="6"/>
        <v>Dec</v>
      </c>
      <c r="F58" t="s">
        <v>23</v>
      </c>
      <c r="G58" t="s">
        <v>65</v>
      </c>
      <c r="H58" t="s">
        <v>283</v>
      </c>
      <c r="I58" t="s">
        <v>35</v>
      </c>
      <c r="J58" t="s">
        <v>36</v>
      </c>
      <c r="K58">
        <v>1</v>
      </c>
      <c r="L58" t="s">
        <v>28</v>
      </c>
      <c r="M58" s="8">
        <v>648</v>
      </c>
      <c r="N58" t="s">
        <v>284</v>
      </c>
      <c r="O58" t="s">
        <v>69</v>
      </c>
      <c r="P58">
        <v>131001</v>
      </c>
      <c r="Q58" t="s">
        <v>31</v>
      </c>
      <c r="R58" t="b">
        <v>0</v>
      </c>
      <c r="S58" t="b">
        <f t="shared" si="7"/>
        <v>0</v>
      </c>
      <c r="T58" t="b">
        <f t="shared" si="8"/>
        <v>1</v>
      </c>
      <c r="U58" t="str">
        <f t="shared" si="9"/>
        <v>2%</v>
      </c>
    </row>
    <row r="59" spans="1:21" x14ac:dyDescent="0.3">
      <c r="A59" t="s">
        <v>22</v>
      </c>
      <c r="B59" s="8">
        <v>75</v>
      </c>
      <c r="C59" t="str">
        <f t="shared" si="5"/>
        <v>Senior</v>
      </c>
      <c r="D59" s="9">
        <v>44899</v>
      </c>
      <c r="E59" t="str">
        <f t="shared" si="6"/>
        <v>Dec</v>
      </c>
      <c r="F59" t="s">
        <v>23</v>
      </c>
      <c r="G59" t="s">
        <v>41</v>
      </c>
      <c r="H59" t="s">
        <v>208</v>
      </c>
      <c r="I59" t="s">
        <v>35</v>
      </c>
      <c r="J59" t="s">
        <v>44</v>
      </c>
      <c r="K59">
        <v>1</v>
      </c>
      <c r="L59" t="s">
        <v>28</v>
      </c>
      <c r="M59" s="8">
        <v>667</v>
      </c>
      <c r="N59" t="s">
        <v>209</v>
      </c>
      <c r="O59" t="s">
        <v>210</v>
      </c>
      <c r="P59">
        <v>827001</v>
      </c>
      <c r="Q59" t="s">
        <v>31</v>
      </c>
      <c r="R59" t="b">
        <v>0</v>
      </c>
      <c r="S59" t="b">
        <f t="shared" si="7"/>
        <v>0</v>
      </c>
      <c r="T59" t="b">
        <f t="shared" si="8"/>
        <v>0</v>
      </c>
      <c r="U59" t="str">
        <f t="shared" si="9"/>
        <v>2%</v>
      </c>
    </row>
    <row r="60" spans="1:21" x14ac:dyDescent="0.3">
      <c r="A60" t="s">
        <v>33</v>
      </c>
      <c r="B60" s="8">
        <v>67</v>
      </c>
      <c r="C60" t="str">
        <f t="shared" si="5"/>
        <v>Senior</v>
      </c>
      <c r="D60" s="9">
        <v>44899</v>
      </c>
      <c r="E60" t="str">
        <f t="shared" si="6"/>
        <v>Dec</v>
      </c>
      <c r="F60" t="s">
        <v>23</v>
      </c>
      <c r="G60" t="s">
        <v>41</v>
      </c>
      <c r="H60" t="s">
        <v>220</v>
      </c>
      <c r="I60" t="s">
        <v>35</v>
      </c>
      <c r="J60" t="s">
        <v>44</v>
      </c>
      <c r="K60">
        <v>1</v>
      </c>
      <c r="L60" t="s">
        <v>28</v>
      </c>
      <c r="M60" s="8">
        <v>453</v>
      </c>
      <c r="N60" t="s">
        <v>188</v>
      </c>
      <c r="O60" t="s">
        <v>93</v>
      </c>
      <c r="P60">
        <v>700029</v>
      </c>
      <c r="Q60" t="s">
        <v>31</v>
      </c>
      <c r="R60" t="b">
        <v>0</v>
      </c>
      <c r="S60" t="b">
        <f t="shared" si="7"/>
        <v>0</v>
      </c>
      <c r="T60" t="b">
        <f t="shared" si="8"/>
        <v>0</v>
      </c>
      <c r="U60" t="str">
        <f t="shared" si="9"/>
        <v>2%</v>
      </c>
    </row>
    <row r="61" spans="1:21" x14ac:dyDescent="0.3">
      <c r="A61" t="s">
        <v>33</v>
      </c>
      <c r="B61" s="8">
        <v>62</v>
      </c>
      <c r="C61" t="str">
        <f t="shared" si="5"/>
        <v>Senior</v>
      </c>
      <c r="D61" s="9">
        <v>44899</v>
      </c>
      <c r="E61" t="str">
        <f t="shared" si="6"/>
        <v>Dec</v>
      </c>
      <c r="F61" t="s">
        <v>23</v>
      </c>
      <c r="G61" t="s">
        <v>41</v>
      </c>
      <c r="H61" t="s">
        <v>227</v>
      </c>
      <c r="I61" t="s">
        <v>43</v>
      </c>
      <c r="J61" t="s">
        <v>27</v>
      </c>
      <c r="K61">
        <v>1</v>
      </c>
      <c r="L61" t="s">
        <v>28</v>
      </c>
      <c r="M61" s="8">
        <v>544</v>
      </c>
      <c r="N61" t="s">
        <v>68</v>
      </c>
      <c r="O61" t="s">
        <v>69</v>
      </c>
      <c r="P61">
        <v>122001</v>
      </c>
      <c r="Q61" t="s">
        <v>31</v>
      </c>
      <c r="R61" t="b">
        <v>0</v>
      </c>
      <c r="S61" t="b">
        <f t="shared" si="7"/>
        <v>0</v>
      </c>
      <c r="T61" t="b">
        <f t="shared" si="8"/>
        <v>0</v>
      </c>
      <c r="U61" t="str">
        <f t="shared" si="9"/>
        <v>2%</v>
      </c>
    </row>
    <row r="62" spans="1:21" x14ac:dyDescent="0.3">
      <c r="A62" t="s">
        <v>33</v>
      </c>
      <c r="B62" s="8">
        <v>60</v>
      </c>
      <c r="C62" t="str">
        <f t="shared" si="5"/>
        <v>Senior</v>
      </c>
      <c r="D62" s="9">
        <v>44899</v>
      </c>
      <c r="E62" t="str">
        <f t="shared" si="6"/>
        <v>Dec</v>
      </c>
      <c r="F62" t="s">
        <v>23</v>
      </c>
      <c r="G62" t="s">
        <v>41</v>
      </c>
      <c r="H62" t="s">
        <v>235</v>
      </c>
      <c r="I62" t="s">
        <v>43</v>
      </c>
      <c r="J62" t="s">
        <v>44</v>
      </c>
      <c r="K62">
        <v>1</v>
      </c>
      <c r="L62" t="s">
        <v>28</v>
      </c>
      <c r="M62" s="8">
        <v>427</v>
      </c>
      <c r="N62" t="s">
        <v>236</v>
      </c>
      <c r="O62" t="s">
        <v>237</v>
      </c>
      <c r="P62">
        <v>177005</v>
      </c>
      <c r="Q62" t="s">
        <v>31</v>
      </c>
      <c r="R62" t="b">
        <v>0</v>
      </c>
      <c r="S62" t="b">
        <f t="shared" si="7"/>
        <v>0</v>
      </c>
      <c r="T62" t="b">
        <f t="shared" si="8"/>
        <v>0</v>
      </c>
      <c r="U62" t="str">
        <f t="shared" si="9"/>
        <v>2%</v>
      </c>
    </row>
    <row r="63" spans="1:21" x14ac:dyDescent="0.3">
      <c r="A63" t="s">
        <v>33</v>
      </c>
      <c r="B63" s="8">
        <v>59</v>
      </c>
      <c r="C63" t="str">
        <f t="shared" si="5"/>
        <v>Senior</v>
      </c>
      <c r="D63" s="9">
        <v>44899</v>
      </c>
      <c r="E63" t="str">
        <f t="shared" si="6"/>
        <v>Dec</v>
      </c>
      <c r="F63" t="s">
        <v>108</v>
      </c>
      <c r="G63" t="s">
        <v>41</v>
      </c>
      <c r="H63" t="s">
        <v>239</v>
      </c>
      <c r="I63" t="s">
        <v>43</v>
      </c>
      <c r="J63" t="s">
        <v>67</v>
      </c>
      <c r="K63">
        <v>1</v>
      </c>
      <c r="L63" t="s">
        <v>28</v>
      </c>
      <c r="M63" s="8">
        <v>345</v>
      </c>
      <c r="N63" t="s">
        <v>240</v>
      </c>
      <c r="O63" t="s">
        <v>118</v>
      </c>
      <c r="P63">
        <v>201304</v>
      </c>
      <c r="Q63" t="s">
        <v>31</v>
      </c>
      <c r="R63" t="b">
        <v>0</v>
      </c>
      <c r="S63" t="b">
        <f t="shared" si="7"/>
        <v>0</v>
      </c>
      <c r="T63" t="b">
        <f t="shared" si="8"/>
        <v>0</v>
      </c>
      <c r="U63" t="str">
        <f t="shared" si="9"/>
        <v>2%</v>
      </c>
    </row>
    <row r="64" spans="1:21" x14ac:dyDescent="0.3">
      <c r="A64" t="s">
        <v>33</v>
      </c>
      <c r="B64" s="8">
        <v>49</v>
      </c>
      <c r="C64" t="str">
        <f t="shared" si="5"/>
        <v>Adults</v>
      </c>
      <c r="D64" s="9">
        <v>44899</v>
      </c>
      <c r="E64" t="str">
        <f t="shared" si="6"/>
        <v>Dec</v>
      </c>
      <c r="F64" t="s">
        <v>40</v>
      </c>
      <c r="G64" t="s">
        <v>41</v>
      </c>
      <c r="H64" t="s">
        <v>42</v>
      </c>
      <c r="I64" t="s">
        <v>43</v>
      </c>
      <c r="J64" t="s">
        <v>44</v>
      </c>
      <c r="K64">
        <v>1</v>
      </c>
      <c r="L64" t="s">
        <v>28</v>
      </c>
      <c r="M64" s="8">
        <v>322</v>
      </c>
      <c r="N64" t="s">
        <v>45</v>
      </c>
      <c r="O64" t="s">
        <v>46</v>
      </c>
      <c r="P64">
        <v>110084</v>
      </c>
      <c r="Q64" t="s">
        <v>31</v>
      </c>
      <c r="R64" t="b">
        <v>0</v>
      </c>
      <c r="S64" t="b">
        <f t="shared" si="7"/>
        <v>0</v>
      </c>
      <c r="T64" t="b">
        <f t="shared" si="8"/>
        <v>0</v>
      </c>
      <c r="U64" t="str">
        <f t="shared" si="9"/>
        <v>2%</v>
      </c>
    </row>
    <row r="65" spans="1:21" x14ac:dyDescent="0.3">
      <c r="A65" t="s">
        <v>22</v>
      </c>
      <c r="B65" s="8">
        <v>48</v>
      </c>
      <c r="C65" t="str">
        <f t="shared" si="5"/>
        <v>Adults</v>
      </c>
      <c r="D65" s="9">
        <v>44899</v>
      </c>
      <c r="E65" t="str">
        <f t="shared" si="6"/>
        <v>Dec</v>
      </c>
      <c r="F65" t="s">
        <v>23</v>
      </c>
      <c r="G65" t="s">
        <v>41</v>
      </c>
      <c r="H65" t="s">
        <v>58</v>
      </c>
      <c r="I65" t="s">
        <v>35</v>
      </c>
      <c r="J65" t="s">
        <v>44</v>
      </c>
      <c r="K65">
        <v>1</v>
      </c>
      <c r="L65" t="s">
        <v>28</v>
      </c>
      <c r="M65" s="8">
        <v>852</v>
      </c>
      <c r="N65" t="s">
        <v>56</v>
      </c>
      <c r="O65" t="s">
        <v>30</v>
      </c>
      <c r="P65">
        <v>411021</v>
      </c>
      <c r="Q65" t="s">
        <v>31</v>
      </c>
      <c r="R65" t="b">
        <v>0</v>
      </c>
      <c r="S65" t="b">
        <f t="shared" si="7"/>
        <v>0</v>
      </c>
      <c r="T65" t="b">
        <f t="shared" si="8"/>
        <v>0</v>
      </c>
      <c r="U65" t="str">
        <f t="shared" si="9"/>
        <v>2%</v>
      </c>
    </row>
    <row r="66" spans="1:21" x14ac:dyDescent="0.3">
      <c r="A66" t="s">
        <v>33</v>
      </c>
      <c r="B66" s="8">
        <v>46</v>
      </c>
      <c r="C66" t="str">
        <f t="shared" ref="C66:C97" si="10">IF(B66&gt;=50,"Senior", IF(B66&gt;=30,"Adults","Teenager"))</f>
        <v>Adults</v>
      </c>
      <c r="D66" s="9">
        <v>44899</v>
      </c>
      <c r="E66" t="str">
        <f t="shared" ref="E66:E97" si="11">TEXT(D66,"mmm")</f>
        <v>Dec</v>
      </c>
      <c r="F66" t="s">
        <v>23</v>
      </c>
      <c r="G66" t="s">
        <v>41</v>
      </c>
      <c r="H66" t="s">
        <v>82</v>
      </c>
      <c r="I66" t="s">
        <v>35</v>
      </c>
      <c r="J66" t="s">
        <v>44</v>
      </c>
      <c r="K66">
        <v>1</v>
      </c>
      <c r="L66" t="s">
        <v>28</v>
      </c>
      <c r="M66" s="8">
        <v>833</v>
      </c>
      <c r="N66" t="s">
        <v>83</v>
      </c>
      <c r="O66" t="s">
        <v>84</v>
      </c>
      <c r="P66">
        <v>562107</v>
      </c>
      <c r="Q66" t="s">
        <v>31</v>
      </c>
      <c r="R66" t="b">
        <v>0</v>
      </c>
      <c r="S66" t="b">
        <f t="shared" ref="S66:S100" si="12">AND(C66="Teenager",M66&gt;1000)</f>
        <v>0</v>
      </c>
      <c r="T66" t="b">
        <f t="shared" ref="T66:T100" si="13">OR(C66="Teenager",M66&gt;1000)</f>
        <v>0</v>
      </c>
      <c r="U66" t="str">
        <f t="shared" ref="U66:U100" si="14">IF(AND(C66="Teenager",M66&gt;1000),"10%","2%")</f>
        <v>2%</v>
      </c>
    </row>
    <row r="67" spans="1:21" x14ac:dyDescent="0.3">
      <c r="A67" t="s">
        <v>33</v>
      </c>
      <c r="B67" s="8">
        <v>46</v>
      </c>
      <c r="C67" t="str">
        <f t="shared" si="10"/>
        <v>Adults</v>
      </c>
      <c r="D67" s="9">
        <v>44899</v>
      </c>
      <c r="E67" t="str">
        <f t="shared" si="11"/>
        <v>Dec</v>
      </c>
      <c r="F67" t="s">
        <v>23</v>
      </c>
      <c r="G67" t="s">
        <v>41</v>
      </c>
      <c r="H67" t="s">
        <v>86</v>
      </c>
      <c r="I67" t="s">
        <v>87</v>
      </c>
      <c r="J67" t="s">
        <v>88</v>
      </c>
      <c r="K67">
        <v>1</v>
      </c>
      <c r="L67" t="s">
        <v>28</v>
      </c>
      <c r="M67" s="8">
        <v>685</v>
      </c>
      <c r="N67" t="s">
        <v>89</v>
      </c>
      <c r="O67" t="s">
        <v>69</v>
      </c>
      <c r="P67">
        <v>134116</v>
      </c>
      <c r="Q67" t="s">
        <v>31</v>
      </c>
      <c r="R67" t="b">
        <v>0</v>
      </c>
      <c r="S67" t="b">
        <f t="shared" si="12"/>
        <v>0</v>
      </c>
      <c r="T67" t="b">
        <f t="shared" si="13"/>
        <v>0</v>
      </c>
      <c r="U67" t="str">
        <f t="shared" si="14"/>
        <v>2%</v>
      </c>
    </row>
    <row r="68" spans="1:21" x14ac:dyDescent="0.3">
      <c r="A68" t="s">
        <v>22</v>
      </c>
      <c r="B68" s="8">
        <v>45</v>
      </c>
      <c r="C68" t="str">
        <f t="shared" si="10"/>
        <v>Adults</v>
      </c>
      <c r="D68" s="9">
        <v>44899</v>
      </c>
      <c r="E68" t="str">
        <f t="shared" si="11"/>
        <v>Dec</v>
      </c>
      <c r="F68" t="s">
        <v>23</v>
      </c>
      <c r="G68" t="s">
        <v>41</v>
      </c>
      <c r="H68" t="s">
        <v>99</v>
      </c>
      <c r="I68" t="s">
        <v>35</v>
      </c>
      <c r="J68" t="s">
        <v>36</v>
      </c>
      <c r="K68">
        <v>1</v>
      </c>
      <c r="L68" t="s">
        <v>28</v>
      </c>
      <c r="M68" s="8">
        <v>597</v>
      </c>
      <c r="N68" t="s">
        <v>83</v>
      </c>
      <c r="O68" t="s">
        <v>84</v>
      </c>
      <c r="P68">
        <v>560021</v>
      </c>
      <c r="Q68" t="s">
        <v>31</v>
      </c>
      <c r="R68" t="b">
        <v>0</v>
      </c>
      <c r="S68" t="b">
        <f t="shared" si="12"/>
        <v>0</v>
      </c>
      <c r="T68" t="b">
        <f t="shared" si="13"/>
        <v>0</v>
      </c>
      <c r="U68" t="str">
        <f t="shared" si="14"/>
        <v>2%</v>
      </c>
    </row>
    <row r="69" spans="1:21" x14ac:dyDescent="0.3">
      <c r="A69" t="s">
        <v>33</v>
      </c>
      <c r="B69" s="8">
        <v>45</v>
      </c>
      <c r="C69" t="str">
        <f t="shared" si="10"/>
        <v>Adults</v>
      </c>
      <c r="D69" s="9">
        <v>44899</v>
      </c>
      <c r="E69" t="str">
        <f t="shared" si="11"/>
        <v>Dec</v>
      </c>
      <c r="F69" t="s">
        <v>23</v>
      </c>
      <c r="G69" t="s">
        <v>41</v>
      </c>
      <c r="H69" t="s">
        <v>95</v>
      </c>
      <c r="I69" t="s">
        <v>96</v>
      </c>
      <c r="J69" t="s">
        <v>67</v>
      </c>
      <c r="K69">
        <v>1</v>
      </c>
      <c r="L69" t="s">
        <v>28</v>
      </c>
      <c r="M69" s="8">
        <v>399</v>
      </c>
      <c r="N69" t="s">
        <v>97</v>
      </c>
      <c r="O69" t="s">
        <v>63</v>
      </c>
      <c r="P69">
        <v>631003</v>
      </c>
      <c r="Q69" t="s">
        <v>31</v>
      </c>
      <c r="R69" t="b">
        <v>0</v>
      </c>
      <c r="S69" t="b">
        <f t="shared" si="12"/>
        <v>0</v>
      </c>
      <c r="T69" t="b">
        <f t="shared" si="13"/>
        <v>0</v>
      </c>
      <c r="U69" t="str">
        <f t="shared" si="14"/>
        <v>2%</v>
      </c>
    </row>
    <row r="70" spans="1:21" x14ac:dyDescent="0.3">
      <c r="A70" t="s">
        <v>33</v>
      </c>
      <c r="B70" s="8">
        <v>44</v>
      </c>
      <c r="C70" t="str">
        <f t="shared" si="10"/>
        <v>Adults</v>
      </c>
      <c r="D70" s="9">
        <v>44899</v>
      </c>
      <c r="E70" t="str">
        <f t="shared" si="11"/>
        <v>Dec</v>
      </c>
      <c r="F70" t="s">
        <v>23</v>
      </c>
      <c r="G70" t="s">
        <v>41</v>
      </c>
      <c r="H70" t="s">
        <v>106</v>
      </c>
      <c r="I70" t="s">
        <v>35</v>
      </c>
      <c r="J70" t="s">
        <v>50</v>
      </c>
      <c r="K70">
        <v>1</v>
      </c>
      <c r="L70" t="s">
        <v>28</v>
      </c>
      <c r="M70" s="8">
        <v>1115</v>
      </c>
      <c r="N70" t="s">
        <v>56</v>
      </c>
      <c r="O70" t="s">
        <v>30</v>
      </c>
      <c r="P70">
        <v>412207</v>
      </c>
      <c r="Q70" t="s">
        <v>31</v>
      </c>
      <c r="R70" t="b">
        <v>0</v>
      </c>
      <c r="S70" t="b">
        <f t="shared" si="12"/>
        <v>0</v>
      </c>
      <c r="T70" t="b">
        <f t="shared" si="13"/>
        <v>1</v>
      </c>
      <c r="U70" t="str">
        <f t="shared" si="14"/>
        <v>2%</v>
      </c>
    </row>
    <row r="71" spans="1:21" x14ac:dyDescent="0.3">
      <c r="A71" t="s">
        <v>22</v>
      </c>
      <c r="B71" s="8">
        <v>44</v>
      </c>
      <c r="C71" t="str">
        <f t="shared" si="10"/>
        <v>Adults</v>
      </c>
      <c r="D71" s="9">
        <v>44899</v>
      </c>
      <c r="E71" t="str">
        <f t="shared" si="11"/>
        <v>Dec</v>
      </c>
      <c r="F71" t="s">
        <v>23</v>
      </c>
      <c r="G71" t="s">
        <v>41</v>
      </c>
      <c r="H71" t="s">
        <v>104</v>
      </c>
      <c r="I71" t="s">
        <v>35</v>
      </c>
      <c r="J71" t="s">
        <v>67</v>
      </c>
      <c r="K71">
        <v>1</v>
      </c>
      <c r="L71" t="s">
        <v>28</v>
      </c>
      <c r="M71" s="8">
        <v>911</v>
      </c>
      <c r="N71" t="s">
        <v>83</v>
      </c>
      <c r="O71" t="s">
        <v>84</v>
      </c>
      <c r="P71">
        <v>562125</v>
      </c>
      <c r="Q71" t="s">
        <v>31</v>
      </c>
      <c r="R71" t="b">
        <v>0</v>
      </c>
      <c r="S71" t="b">
        <f t="shared" si="12"/>
        <v>0</v>
      </c>
      <c r="T71" t="b">
        <f t="shared" si="13"/>
        <v>0</v>
      </c>
      <c r="U71" t="str">
        <f t="shared" si="14"/>
        <v>2%</v>
      </c>
    </row>
    <row r="72" spans="1:21" x14ac:dyDescent="0.3">
      <c r="A72" t="s">
        <v>33</v>
      </c>
      <c r="B72" s="8">
        <v>44</v>
      </c>
      <c r="C72" t="str">
        <f t="shared" si="10"/>
        <v>Adults</v>
      </c>
      <c r="D72" s="9">
        <v>44899</v>
      </c>
      <c r="E72" t="str">
        <f t="shared" si="11"/>
        <v>Dec</v>
      </c>
      <c r="F72" t="s">
        <v>108</v>
      </c>
      <c r="G72" t="s">
        <v>41</v>
      </c>
      <c r="H72" t="s">
        <v>109</v>
      </c>
      <c r="I72" t="s">
        <v>43</v>
      </c>
      <c r="J72" t="s">
        <v>36</v>
      </c>
      <c r="K72">
        <v>1</v>
      </c>
      <c r="L72" t="s">
        <v>28</v>
      </c>
      <c r="M72" s="8">
        <v>399</v>
      </c>
      <c r="N72" t="s">
        <v>110</v>
      </c>
      <c r="O72" t="s">
        <v>30</v>
      </c>
      <c r="P72">
        <v>421306</v>
      </c>
      <c r="Q72" t="s">
        <v>31</v>
      </c>
      <c r="R72" t="b">
        <v>0</v>
      </c>
      <c r="S72" t="b">
        <f t="shared" si="12"/>
        <v>0</v>
      </c>
      <c r="T72" t="b">
        <f t="shared" si="13"/>
        <v>0</v>
      </c>
      <c r="U72" t="str">
        <f t="shared" si="14"/>
        <v>2%</v>
      </c>
    </row>
    <row r="73" spans="1:21" x14ac:dyDescent="0.3">
      <c r="A73" t="s">
        <v>33</v>
      </c>
      <c r="B73" s="8">
        <v>44</v>
      </c>
      <c r="C73" t="str">
        <f t="shared" si="10"/>
        <v>Adults</v>
      </c>
      <c r="D73" s="9">
        <v>44899</v>
      </c>
      <c r="E73" t="str">
        <f t="shared" si="11"/>
        <v>Dec</v>
      </c>
      <c r="F73" t="s">
        <v>23</v>
      </c>
      <c r="G73" t="s">
        <v>41</v>
      </c>
      <c r="H73" t="s">
        <v>101</v>
      </c>
      <c r="I73" t="s">
        <v>43</v>
      </c>
      <c r="J73" t="s">
        <v>27</v>
      </c>
      <c r="K73">
        <v>1</v>
      </c>
      <c r="L73" t="s">
        <v>28</v>
      </c>
      <c r="M73" s="8">
        <v>376</v>
      </c>
      <c r="N73" t="s">
        <v>102</v>
      </c>
      <c r="O73" t="s">
        <v>80</v>
      </c>
      <c r="P73">
        <v>140301</v>
      </c>
      <c r="Q73" t="s">
        <v>31</v>
      </c>
      <c r="R73" t="b">
        <v>0</v>
      </c>
      <c r="S73" t="b">
        <f t="shared" si="12"/>
        <v>0</v>
      </c>
      <c r="T73" t="b">
        <f t="shared" si="13"/>
        <v>0</v>
      </c>
      <c r="U73" t="str">
        <f t="shared" si="14"/>
        <v>2%</v>
      </c>
    </row>
    <row r="74" spans="1:21" x14ac:dyDescent="0.3">
      <c r="A74" t="s">
        <v>33</v>
      </c>
      <c r="B74" s="8">
        <v>43</v>
      </c>
      <c r="C74" t="str">
        <f t="shared" si="10"/>
        <v>Adults</v>
      </c>
      <c r="D74" s="9">
        <v>44899</v>
      </c>
      <c r="E74" t="str">
        <f t="shared" si="11"/>
        <v>Dec</v>
      </c>
      <c r="F74" t="s">
        <v>23</v>
      </c>
      <c r="G74" t="s">
        <v>41</v>
      </c>
      <c r="H74" t="s">
        <v>111</v>
      </c>
      <c r="I74" t="s">
        <v>43</v>
      </c>
      <c r="J74" t="s">
        <v>61</v>
      </c>
      <c r="K74">
        <v>1</v>
      </c>
      <c r="L74" t="s">
        <v>28</v>
      </c>
      <c r="M74" s="8">
        <v>771</v>
      </c>
      <c r="N74" t="s">
        <v>112</v>
      </c>
      <c r="O74" t="s">
        <v>113</v>
      </c>
      <c r="P74">
        <v>520002</v>
      </c>
      <c r="Q74" t="s">
        <v>31</v>
      </c>
      <c r="R74" t="b">
        <v>0</v>
      </c>
      <c r="S74" t="b">
        <f t="shared" si="12"/>
        <v>0</v>
      </c>
      <c r="T74" t="b">
        <f t="shared" si="13"/>
        <v>0</v>
      </c>
      <c r="U74" t="str">
        <f t="shared" si="14"/>
        <v>2%</v>
      </c>
    </row>
    <row r="75" spans="1:21" x14ac:dyDescent="0.3">
      <c r="A75" t="s">
        <v>33</v>
      </c>
      <c r="B75" s="8">
        <v>41</v>
      </c>
      <c r="C75" t="str">
        <f t="shared" si="10"/>
        <v>Adults</v>
      </c>
      <c r="D75" s="9">
        <v>44899</v>
      </c>
      <c r="E75" t="str">
        <f t="shared" si="11"/>
        <v>Dec</v>
      </c>
      <c r="F75" t="s">
        <v>23</v>
      </c>
      <c r="G75" t="s">
        <v>41</v>
      </c>
      <c r="H75" t="s">
        <v>129</v>
      </c>
      <c r="I75" t="s">
        <v>35</v>
      </c>
      <c r="J75" t="s">
        <v>50</v>
      </c>
      <c r="K75">
        <v>1</v>
      </c>
      <c r="L75" t="s">
        <v>28</v>
      </c>
      <c r="M75" s="8">
        <v>967</v>
      </c>
      <c r="N75" t="s">
        <v>130</v>
      </c>
      <c r="O75" t="s">
        <v>130</v>
      </c>
      <c r="P75">
        <v>160036</v>
      </c>
      <c r="Q75" t="s">
        <v>31</v>
      </c>
      <c r="R75" t="b">
        <v>0</v>
      </c>
      <c r="S75" t="b">
        <f t="shared" si="12"/>
        <v>0</v>
      </c>
      <c r="T75" t="b">
        <f t="shared" si="13"/>
        <v>0</v>
      </c>
      <c r="U75" t="str">
        <f t="shared" si="14"/>
        <v>2%</v>
      </c>
    </row>
    <row r="76" spans="1:21" x14ac:dyDescent="0.3">
      <c r="A76" t="s">
        <v>22</v>
      </c>
      <c r="B76" s="8">
        <v>39</v>
      </c>
      <c r="C76" t="str">
        <f t="shared" si="10"/>
        <v>Adults</v>
      </c>
      <c r="D76" s="9">
        <v>44899</v>
      </c>
      <c r="E76" t="str">
        <f t="shared" si="11"/>
        <v>Dec</v>
      </c>
      <c r="F76" t="s">
        <v>23</v>
      </c>
      <c r="G76" t="s">
        <v>41</v>
      </c>
      <c r="H76" t="s">
        <v>135</v>
      </c>
      <c r="I76" t="s">
        <v>35</v>
      </c>
      <c r="J76" t="s">
        <v>36</v>
      </c>
      <c r="K76">
        <v>1</v>
      </c>
      <c r="L76" t="s">
        <v>28</v>
      </c>
      <c r="M76" s="8">
        <v>1238</v>
      </c>
      <c r="N76" t="s">
        <v>136</v>
      </c>
      <c r="O76" t="s">
        <v>137</v>
      </c>
      <c r="P76">
        <v>781020</v>
      </c>
      <c r="Q76" t="s">
        <v>31</v>
      </c>
      <c r="R76" t="b">
        <v>0</v>
      </c>
      <c r="S76" t="b">
        <f t="shared" si="12"/>
        <v>0</v>
      </c>
      <c r="T76" t="b">
        <f t="shared" si="13"/>
        <v>1</v>
      </c>
      <c r="U76" t="str">
        <f t="shared" si="14"/>
        <v>2%</v>
      </c>
    </row>
    <row r="77" spans="1:21" x14ac:dyDescent="0.3">
      <c r="A77" t="s">
        <v>22</v>
      </c>
      <c r="B77" s="8">
        <v>39</v>
      </c>
      <c r="C77" t="str">
        <f t="shared" si="10"/>
        <v>Adults</v>
      </c>
      <c r="D77" s="9">
        <v>44899</v>
      </c>
      <c r="E77" t="str">
        <f t="shared" si="11"/>
        <v>Dec</v>
      </c>
      <c r="F77" t="s">
        <v>23</v>
      </c>
      <c r="G77" t="s">
        <v>41</v>
      </c>
      <c r="H77" t="s">
        <v>142</v>
      </c>
      <c r="I77" t="s">
        <v>35</v>
      </c>
      <c r="J77" t="s">
        <v>50</v>
      </c>
      <c r="K77">
        <v>1</v>
      </c>
      <c r="L77" t="s">
        <v>28</v>
      </c>
      <c r="M77" s="8">
        <v>698</v>
      </c>
      <c r="N77" t="s">
        <v>143</v>
      </c>
      <c r="O77" t="s">
        <v>118</v>
      </c>
      <c r="P77">
        <v>272175</v>
      </c>
      <c r="Q77" t="s">
        <v>31</v>
      </c>
      <c r="R77" t="b">
        <v>0</v>
      </c>
      <c r="S77" t="b">
        <f t="shared" si="12"/>
        <v>0</v>
      </c>
      <c r="T77" t="b">
        <f t="shared" si="13"/>
        <v>0</v>
      </c>
      <c r="U77" t="str">
        <f t="shared" si="14"/>
        <v>2%</v>
      </c>
    </row>
    <row r="78" spans="1:21" x14ac:dyDescent="0.3">
      <c r="A78" t="s">
        <v>33</v>
      </c>
      <c r="B78" s="8">
        <v>39</v>
      </c>
      <c r="C78" t="str">
        <f t="shared" si="10"/>
        <v>Adults</v>
      </c>
      <c r="D78" s="9">
        <v>44899</v>
      </c>
      <c r="E78" t="str">
        <f t="shared" si="11"/>
        <v>Dec</v>
      </c>
      <c r="F78" t="s">
        <v>23</v>
      </c>
      <c r="G78" t="s">
        <v>41</v>
      </c>
      <c r="H78" t="s">
        <v>145</v>
      </c>
      <c r="I78" t="s">
        <v>43</v>
      </c>
      <c r="J78" t="s">
        <v>36</v>
      </c>
      <c r="K78">
        <v>1</v>
      </c>
      <c r="L78" t="s">
        <v>28</v>
      </c>
      <c r="M78" s="8">
        <v>481</v>
      </c>
      <c r="N78" t="s">
        <v>68</v>
      </c>
      <c r="O78" t="s">
        <v>69</v>
      </c>
      <c r="P78">
        <v>122001</v>
      </c>
      <c r="Q78" t="s">
        <v>31</v>
      </c>
      <c r="R78" t="b">
        <v>0</v>
      </c>
      <c r="S78" t="b">
        <f t="shared" si="12"/>
        <v>0</v>
      </c>
      <c r="T78" t="b">
        <f t="shared" si="13"/>
        <v>0</v>
      </c>
      <c r="U78" t="str">
        <f t="shared" si="14"/>
        <v>2%</v>
      </c>
    </row>
    <row r="79" spans="1:21" x14ac:dyDescent="0.3">
      <c r="A79" t="s">
        <v>33</v>
      </c>
      <c r="B79" s="8">
        <v>36</v>
      </c>
      <c r="C79" t="str">
        <f t="shared" si="10"/>
        <v>Adults</v>
      </c>
      <c r="D79" s="9">
        <v>44899</v>
      </c>
      <c r="E79" t="str">
        <f t="shared" si="11"/>
        <v>Dec</v>
      </c>
      <c r="F79" t="s">
        <v>23</v>
      </c>
      <c r="G79" t="s">
        <v>41</v>
      </c>
      <c r="H79" t="s">
        <v>167</v>
      </c>
      <c r="I79" t="s">
        <v>43</v>
      </c>
      <c r="J79" t="s">
        <v>27</v>
      </c>
      <c r="K79">
        <v>1</v>
      </c>
      <c r="L79" t="s">
        <v>28</v>
      </c>
      <c r="M79" s="8">
        <v>563</v>
      </c>
      <c r="N79" t="s">
        <v>45</v>
      </c>
      <c r="O79" t="s">
        <v>46</v>
      </c>
      <c r="P79">
        <v>110084</v>
      </c>
      <c r="Q79" t="s">
        <v>31</v>
      </c>
      <c r="R79" t="b">
        <v>0</v>
      </c>
      <c r="S79" t="b">
        <f t="shared" si="12"/>
        <v>0</v>
      </c>
      <c r="T79" t="b">
        <f t="shared" si="13"/>
        <v>0</v>
      </c>
      <c r="U79" t="str">
        <f t="shared" si="14"/>
        <v>2%</v>
      </c>
    </row>
    <row r="80" spans="1:21" x14ac:dyDescent="0.3">
      <c r="A80" t="s">
        <v>33</v>
      </c>
      <c r="B80" s="8">
        <v>36</v>
      </c>
      <c r="C80" t="str">
        <f t="shared" si="10"/>
        <v>Adults</v>
      </c>
      <c r="D80" s="9">
        <v>44899</v>
      </c>
      <c r="E80" t="str">
        <f t="shared" si="11"/>
        <v>Dec</v>
      </c>
      <c r="F80" t="s">
        <v>23</v>
      </c>
      <c r="G80" t="s">
        <v>41</v>
      </c>
      <c r="H80" t="s">
        <v>126</v>
      </c>
      <c r="I80" t="s">
        <v>43</v>
      </c>
      <c r="J80" t="s">
        <v>36</v>
      </c>
      <c r="K80">
        <v>1</v>
      </c>
      <c r="L80" t="s">
        <v>28</v>
      </c>
      <c r="M80" s="8">
        <v>471</v>
      </c>
      <c r="N80" t="s">
        <v>168</v>
      </c>
      <c r="O80" t="s">
        <v>113</v>
      </c>
      <c r="P80">
        <v>530003</v>
      </c>
      <c r="Q80" t="s">
        <v>31</v>
      </c>
      <c r="R80" t="b">
        <v>0</v>
      </c>
      <c r="S80" t="b">
        <f t="shared" si="12"/>
        <v>0</v>
      </c>
      <c r="T80" t="b">
        <f t="shared" si="13"/>
        <v>0</v>
      </c>
      <c r="U80" t="str">
        <f t="shared" si="14"/>
        <v>2%</v>
      </c>
    </row>
    <row r="81" spans="1:21" x14ac:dyDescent="0.3">
      <c r="A81" t="s">
        <v>22</v>
      </c>
      <c r="B81" s="8">
        <v>31</v>
      </c>
      <c r="C81" t="str">
        <f t="shared" si="10"/>
        <v>Adults</v>
      </c>
      <c r="D81" s="9">
        <v>44899</v>
      </c>
      <c r="E81" t="str">
        <f t="shared" si="11"/>
        <v>Dec</v>
      </c>
      <c r="F81" t="s">
        <v>163</v>
      </c>
      <c r="G81" t="s">
        <v>41</v>
      </c>
      <c r="H81" t="s">
        <v>185</v>
      </c>
      <c r="I81" t="s">
        <v>26</v>
      </c>
      <c r="J81" t="s">
        <v>27</v>
      </c>
      <c r="K81">
        <v>1</v>
      </c>
      <c r="L81" t="s">
        <v>28</v>
      </c>
      <c r="M81" s="8">
        <v>743</v>
      </c>
      <c r="N81" t="s">
        <v>45</v>
      </c>
      <c r="O81" t="s">
        <v>46</v>
      </c>
      <c r="P81">
        <v>110087</v>
      </c>
      <c r="Q81" t="s">
        <v>31</v>
      </c>
      <c r="R81" t="b">
        <v>0</v>
      </c>
      <c r="S81" t="b">
        <f t="shared" si="12"/>
        <v>0</v>
      </c>
      <c r="T81" t="b">
        <f t="shared" si="13"/>
        <v>0</v>
      </c>
      <c r="U81" t="str">
        <f t="shared" si="14"/>
        <v>2%</v>
      </c>
    </row>
    <row r="82" spans="1:21" x14ac:dyDescent="0.3">
      <c r="A82" t="s">
        <v>22</v>
      </c>
      <c r="B82" s="8">
        <v>30</v>
      </c>
      <c r="C82" t="str">
        <f t="shared" si="10"/>
        <v>Adults</v>
      </c>
      <c r="D82" s="9">
        <v>44899</v>
      </c>
      <c r="E82" t="str">
        <f t="shared" si="11"/>
        <v>Dec</v>
      </c>
      <c r="F82" t="s">
        <v>23</v>
      </c>
      <c r="G82" t="s">
        <v>41</v>
      </c>
      <c r="H82" t="s">
        <v>193</v>
      </c>
      <c r="I82" t="s">
        <v>35</v>
      </c>
      <c r="J82" t="s">
        <v>116</v>
      </c>
      <c r="K82">
        <v>1</v>
      </c>
      <c r="L82" t="s">
        <v>28</v>
      </c>
      <c r="M82" s="8">
        <v>575</v>
      </c>
      <c r="N82" t="s">
        <v>194</v>
      </c>
      <c r="O82" t="s">
        <v>63</v>
      </c>
      <c r="P82">
        <v>625014</v>
      </c>
      <c r="Q82" t="s">
        <v>31</v>
      </c>
      <c r="R82" t="b">
        <v>0</v>
      </c>
      <c r="S82" t="b">
        <f t="shared" si="12"/>
        <v>0</v>
      </c>
      <c r="T82" t="b">
        <f t="shared" si="13"/>
        <v>0</v>
      </c>
      <c r="U82" t="str">
        <f t="shared" si="14"/>
        <v>2%</v>
      </c>
    </row>
    <row r="83" spans="1:21" x14ac:dyDescent="0.3">
      <c r="A83" t="s">
        <v>33</v>
      </c>
      <c r="B83" s="8">
        <v>25</v>
      </c>
      <c r="C83" t="str">
        <f t="shared" si="10"/>
        <v>Teenager</v>
      </c>
      <c r="D83" s="9">
        <v>44899</v>
      </c>
      <c r="E83" t="str">
        <f t="shared" si="11"/>
        <v>Dec</v>
      </c>
      <c r="F83" t="s">
        <v>23</v>
      </c>
      <c r="G83" t="s">
        <v>41</v>
      </c>
      <c r="H83" t="s">
        <v>271</v>
      </c>
      <c r="I83" t="s">
        <v>43</v>
      </c>
      <c r="J83" t="s">
        <v>67</v>
      </c>
      <c r="K83">
        <v>1</v>
      </c>
      <c r="L83" t="s">
        <v>28</v>
      </c>
      <c r="M83" s="8">
        <v>292</v>
      </c>
      <c r="N83" t="s">
        <v>272</v>
      </c>
      <c r="O83" t="s">
        <v>118</v>
      </c>
      <c r="P83">
        <v>221010</v>
      </c>
      <c r="Q83" t="s">
        <v>31</v>
      </c>
      <c r="R83" t="b">
        <v>0</v>
      </c>
      <c r="S83" t="b">
        <f t="shared" si="12"/>
        <v>0</v>
      </c>
      <c r="T83" t="b">
        <f t="shared" si="13"/>
        <v>1</v>
      </c>
      <c r="U83" t="str">
        <f t="shared" si="14"/>
        <v>2%</v>
      </c>
    </row>
    <row r="84" spans="1:21" x14ac:dyDescent="0.3">
      <c r="A84" t="s">
        <v>33</v>
      </c>
      <c r="B84" s="8">
        <v>24</v>
      </c>
      <c r="C84" t="str">
        <f t="shared" si="10"/>
        <v>Teenager</v>
      </c>
      <c r="D84" s="9">
        <v>44899</v>
      </c>
      <c r="E84" t="str">
        <f t="shared" si="11"/>
        <v>Dec</v>
      </c>
      <c r="F84" t="s">
        <v>23</v>
      </c>
      <c r="G84" t="s">
        <v>41</v>
      </c>
      <c r="H84" t="s">
        <v>276</v>
      </c>
      <c r="I84" t="s">
        <v>96</v>
      </c>
      <c r="J84" t="s">
        <v>44</v>
      </c>
      <c r="K84">
        <v>1</v>
      </c>
      <c r="L84" t="s">
        <v>28</v>
      </c>
      <c r="M84" s="8">
        <v>563</v>
      </c>
      <c r="N84" t="s">
        <v>253</v>
      </c>
      <c r="O84" t="s">
        <v>214</v>
      </c>
      <c r="P84">
        <v>382470</v>
      </c>
      <c r="Q84" t="s">
        <v>31</v>
      </c>
      <c r="R84" t="b">
        <v>0</v>
      </c>
      <c r="S84" t="b">
        <f t="shared" si="12"/>
        <v>0</v>
      </c>
      <c r="T84" t="b">
        <f t="shared" si="13"/>
        <v>1</v>
      </c>
      <c r="U84" t="str">
        <f t="shared" si="14"/>
        <v>2%</v>
      </c>
    </row>
    <row r="85" spans="1:21" x14ac:dyDescent="0.3">
      <c r="A85" t="s">
        <v>22</v>
      </c>
      <c r="B85" s="8">
        <v>24</v>
      </c>
      <c r="C85" t="str">
        <f t="shared" si="10"/>
        <v>Teenager</v>
      </c>
      <c r="D85" s="9">
        <v>44899</v>
      </c>
      <c r="E85" t="str">
        <f t="shared" si="11"/>
        <v>Dec</v>
      </c>
      <c r="F85" t="s">
        <v>23</v>
      </c>
      <c r="G85" t="s">
        <v>41</v>
      </c>
      <c r="H85" t="s">
        <v>274</v>
      </c>
      <c r="I85" t="s">
        <v>26</v>
      </c>
      <c r="J85" t="s">
        <v>27</v>
      </c>
      <c r="K85">
        <v>1</v>
      </c>
      <c r="L85" t="s">
        <v>28</v>
      </c>
      <c r="M85" s="8">
        <v>473</v>
      </c>
      <c r="N85" t="s">
        <v>199</v>
      </c>
      <c r="O85" t="s">
        <v>30</v>
      </c>
      <c r="P85">
        <v>400097</v>
      </c>
      <c r="Q85" t="s">
        <v>31</v>
      </c>
      <c r="R85" t="b">
        <v>0</v>
      </c>
      <c r="S85" t="b">
        <f t="shared" si="12"/>
        <v>0</v>
      </c>
      <c r="T85" t="b">
        <f t="shared" si="13"/>
        <v>1</v>
      </c>
      <c r="U85" t="str">
        <f t="shared" si="14"/>
        <v>2%</v>
      </c>
    </row>
    <row r="86" spans="1:21" x14ac:dyDescent="0.3">
      <c r="A86" t="s">
        <v>33</v>
      </c>
      <c r="B86" s="8">
        <v>18</v>
      </c>
      <c r="C86" t="str">
        <f t="shared" si="10"/>
        <v>Teenager</v>
      </c>
      <c r="D86" s="9">
        <v>44899</v>
      </c>
      <c r="E86" t="str">
        <f t="shared" si="11"/>
        <v>Dec</v>
      </c>
      <c r="F86" t="s">
        <v>23</v>
      </c>
      <c r="G86" t="s">
        <v>41</v>
      </c>
      <c r="H86" t="s">
        <v>317</v>
      </c>
      <c r="I86" t="s">
        <v>35</v>
      </c>
      <c r="J86" t="s">
        <v>44</v>
      </c>
      <c r="K86">
        <v>1</v>
      </c>
      <c r="L86" t="s">
        <v>28</v>
      </c>
      <c r="M86" s="8">
        <v>1163</v>
      </c>
      <c r="N86" t="s">
        <v>318</v>
      </c>
      <c r="O86" t="s">
        <v>210</v>
      </c>
      <c r="P86">
        <v>834008</v>
      </c>
      <c r="Q86" t="s">
        <v>31</v>
      </c>
      <c r="R86" t="b">
        <v>0</v>
      </c>
      <c r="S86" t="b">
        <f t="shared" si="12"/>
        <v>1</v>
      </c>
      <c r="T86" t="b">
        <f t="shared" si="13"/>
        <v>1</v>
      </c>
      <c r="U86" t="str">
        <f t="shared" si="14"/>
        <v>10%</v>
      </c>
    </row>
    <row r="87" spans="1:21" x14ac:dyDescent="0.3">
      <c r="A87" t="s">
        <v>33</v>
      </c>
      <c r="B87" s="8">
        <v>48</v>
      </c>
      <c r="C87" t="str">
        <f t="shared" si="10"/>
        <v>Adults</v>
      </c>
      <c r="D87" s="9">
        <v>44899</v>
      </c>
      <c r="E87" t="str">
        <f t="shared" si="11"/>
        <v>Dec</v>
      </c>
      <c r="F87" t="s">
        <v>23</v>
      </c>
      <c r="G87" t="s">
        <v>54</v>
      </c>
      <c r="H87" t="s">
        <v>55</v>
      </c>
      <c r="I87" t="s">
        <v>43</v>
      </c>
      <c r="J87" t="s">
        <v>44</v>
      </c>
      <c r="K87">
        <v>1</v>
      </c>
      <c r="L87" t="s">
        <v>28</v>
      </c>
      <c r="M87" s="8">
        <v>487</v>
      </c>
      <c r="N87" t="s">
        <v>56</v>
      </c>
      <c r="O87" t="s">
        <v>30</v>
      </c>
      <c r="P87">
        <v>411014</v>
      </c>
      <c r="Q87" t="s">
        <v>31</v>
      </c>
      <c r="R87" t="b">
        <v>0</v>
      </c>
      <c r="S87" t="b">
        <f t="shared" si="12"/>
        <v>0</v>
      </c>
      <c r="T87" t="b">
        <f t="shared" si="13"/>
        <v>0</v>
      </c>
      <c r="U87" t="str">
        <f t="shared" si="14"/>
        <v>2%</v>
      </c>
    </row>
    <row r="88" spans="1:21" x14ac:dyDescent="0.3">
      <c r="A88" t="s">
        <v>33</v>
      </c>
      <c r="B88" s="8">
        <v>43</v>
      </c>
      <c r="C88" t="str">
        <f t="shared" si="10"/>
        <v>Adults</v>
      </c>
      <c r="D88" s="9">
        <v>44899</v>
      </c>
      <c r="E88" t="str">
        <f t="shared" si="11"/>
        <v>Dec</v>
      </c>
      <c r="F88" t="s">
        <v>23</v>
      </c>
      <c r="G88" t="s">
        <v>54</v>
      </c>
      <c r="H88" t="s">
        <v>115</v>
      </c>
      <c r="I88" t="s">
        <v>35</v>
      </c>
      <c r="J88" t="s">
        <v>116</v>
      </c>
      <c r="K88">
        <v>1</v>
      </c>
      <c r="L88" t="s">
        <v>28</v>
      </c>
      <c r="M88" s="8">
        <v>1164</v>
      </c>
      <c r="N88" t="s">
        <v>117</v>
      </c>
      <c r="O88" t="s">
        <v>118</v>
      </c>
      <c r="P88">
        <v>226024</v>
      </c>
      <c r="Q88" t="s">
        <v>31</v>
      </c>
      <c r="R88" t="b">
        <v>0</v>
      </c>
      <c r="S88" t="b">
        <f t="shared" si="12"/>
        <v>0</v>
      </c>
      <c r="T88" t="b">
        <f t="shared" si="13"/>
        <v>1</v>
      </c>
      <c r="U88" t="str">
        <f t="shared" si="14"/>
        <v>2%</v>
      </c>
    </row>
    <row r="89" spans="1:21" x14ac:dyDescent="0.3">
      <c r="A89" t="s">
        <v>33</v>
      </c>
      <c r="B89" s="8">
        <v>26</v>
      </c>
      <c r="C89" t="str">
        <f t="shared" si="10"/>
        <v>Teenager</v>
      </c>
      <c r="D89" s="9">
        <v>44899</v>
      </c>
      <c r="E89" t="str">
        <f t="shared" si="11"/>
        <v>Dec</v>
      </c>
      <c r="F89" t="s">
        <v>23</v>
      </c>
      <c r="G89" t="s">
        <v>54</v>
      </c>
      <c r="H89" t="s">
        <v>268</v>
      </c>
      <c r="I89" t="s">
        <v>87</v>
      </c>
      <c r="J89" t="s">
        <v>88</v>
      </c>
      <c r="K89">
        <v>1</v>
      </c>
      <c r="L89" t="s">
        <v>28</v>
      </c>
      <c r="M89" s="8">
        <v>476</v>
      </c>
      <c r="N89" t="s">
        <v>269</v>
      </c>
      <c r="O89" t="s">
        <v>30</v>
      </c>
      <c r="P89">
        <v>400705</v>
      </c>
      <c r="Q89" t="s">
        <v>31</v>
      </c>
      <c r="R89" t="b">
        <v>0</v>
      </c>
      <c r="S89" t="b">
        <f t="shared" si="12"/>
        <v>0</v>
      </c>
      <c r="T89" t="b">
        <f t="shared" si="13"/>
        <v>1</v>
      </c>
      <c r="U89" t="str">
        <f t="shared" si="14"/>
        <v>2%</v>
      </c>
    </row>
    <row r="90" spans="1:21" x14ac:dyDescent="0.3">
      <c r="A90" t="s">
        <v>33</v>
      </c>
      <c r="B90" s="8">
        <v>18</v>
      </c>
      <c r="C90" t="str">
        <f t="shared" si="10"/>
        <v>Teenager</v>
      </c>
      <c r="D90" s="9">
        <v>44899</v>
      </c>
      <c r="E90" t="str">
        <f t="shared" si="11"/>
        <v>Dec</v>
      </c>
      <c r="F90" t="s">
        <v>23</v>
      </c>
      <c r="G90" t="s">
        <v>54</v>
      </c>
      <c r="H90" t="s">
        <v>315</v>
      </c>
      <c r="I90" t="s">
        <v>96</v>
      </c>
      <c r="J90" t="s">
        <v>61</v>
      </c>
      <c r="K90">
        <v>1</v>
      </c>
      <c r="L90" t="s">
        <v>28</v>
      </c>
      <c r="M90" s="8">
        <v>523</v>
      </c>
      <c r="N90" t="s">
        <v>45</v>
      </c>
      <c r="O90" t="s">
        <v>46</v>
      </c>
      <c r="P90">
        <v>110062</v>
      </c>
      <c r="Q90" t="s">
        <v>31</v>
      </c>
      <c r="R90" t="b">
        <v>0</v>
      </c>
      <c r="S90" t="b">
        <f t="shared" si="12"/>
        <v>0</v>
      </c>
      <c r="T90" t="b">
        <f t="shared" si="13"/>
        <v>1</v>
      </c>
      <c r="U90" t="str">
        <f t="shared" si="14"/>
        <v>2%</v>
      </c>
    </row>
    <row r="91" spans="1:21" x14ac:dyDescent="0.3">
      <c r="A91" t="s">
        <v>33</v>
      </c>
      <c r="B91" s="8">
        <v>70</v>
      </c>
      <c r="C91" t="str">
        <f t="shared" si="10"/>
        <v>Senior</v>
      </c>
      <c r="D91" s="9">
        <v>44899</v>
      </c>
      <c r="E91" t="str">
        <f t="shared" si="11"/>
        <v>Dec</v>
      </c>
      <c r="F91" t="s">
        <v>23</v>
      </c>
      <c r="G91" t="s">
        <v>48</v>
      </c>
      <c r="H91" t="s">
        <v>218</v>
      </c>
      <c r="I91" t="s">
        <v>43</v>
      </c>
      <c r="J91" t="s">
        <v>67</v>
      </c>
      <c r="K91">
        <v>1</v>
      </c>
      <c r="L91" t="s">
        <v>28</v>
      </c>
      <c r="M91" s="8">
        <v>435</v>
      </c>
      <c r="N91" t="s">
        <v>68</v>
      </c>
      <c r="O91" t="s">
        <v>69</v>
      </c>
      <c r="P91">
        <v>122001</v>
      </c>
      <c r="Q91" t="s">
        <v>31</v>
      </c>
      <c r="R91" t="b">
        <v>0</v>
      </c>
      <c r="S91" t="b">
        <f t="shared" si="12"/>
        <v>0</v>
      </c>
      <c r="T91" t="b">
        <f t="shared" si="13"/>
        <v>0</v>
      </c>
      <c r="U91" t="str">
        <f t="shared" si="14"/>
        <v>2%</v>
      </c>
    </row>
    <row r="92" spans="1:21" x14ac:dyDescent="0.3">
      <c r="A92" t="s">
        <v>33</v>
      </c>
      <c r="B92" s="8">
        <v>48</v>
      </c>
      <c r="C92" t="str">
        <f t="shared" si="10"/>
        <v>Adults</v>
      </c>
      <c r="D92" s="9">
        <v>44899</v>
      </c>
      <c r="E92" t="str">
        <f t="shared" si="11"/>
        <v>Dec</v>
      </c>
      <c r="F92" t="s">
        <v>23</v>
      </c>
      <c r="G92" t="s">
        <v>48</v>
      </c>
      <c r="H92" t="s">
        <v>49</v>
      </c>
      <c r="I92" t="s">
        <v>35</v>
      </c>
      <c r="J92" t="s">
        <v>50</v>
      </c>
      <c r="K92">
        <v>1</v>
      </c>
      <c r="L92" t="s">
        <v>28</v>
      </c>
      <c r="M92" s="8">
        <v>563</v>
      </c>
      <c r="N92" t="s">
        <v>51</v>
      </c>
      <c r="O92" t="s">
        <v>52</v>
      </c>
      <c r="P92">
        <v>307001</v>
      </c>
      <c r="Q92" t="s">
        <v>31</v>
      </c>
      <c r="R92" t="b">
        <v>0</v>
      </c>
      <c r="S92" t="b">
        <f t="shared" si="12"/>
        <v>0</v>
      </c>
      <c r="T92" t="b">
        <f t="shared" si="13"/>
        <v>0</v>
      </c>
      <c r="U92" t="str">
        <f t="shared" si="14"/>
        <v>2%</v>
      </c>
    </row>
    <row r="93" spans="1:21" x14ac:dyDescent="0.3">
      <c r="A93" t="s">
        <v>22</v>
      </c>
      <c r="B93" s="8">
        <v>47</v>
      </c>
      <c r="C93" t="str">
        <f t="shared" si="10"/>
        <v>Adults</v>
      </c>
      <c r="D93" s="9">
        <v>44899</v>
      </c>
      <c r="E93" t="str">
        <f t="shared" si="11"/>
        <v>Dec</v>
      </c>
      <c r="F93" t="s">
        <v>23</v>
      </c>
      <c r="G93" t="s">
        <v>48</v>
      </c>
      <c r="H93" t="s">
        <v>73</v>
      </c>
      <c r="I93" t="s">
        <v>26</v>
      </c>
      <c r="J93" t="s">
        <v>44</v>
      </c>
      <c r="K93">
        <v>1</v>
      </c>
      <c r="L93" t="s">
        <v>28</v>
      </c>
      <c r="M93" s="8">
        <v>855</v>
      </c>
      <c r="N93" t="s">
        <v>74</v>
      </c>
      <c r="O93" t="s">
        <v>75</v>
      </c>
      <c r="P93">
        <v>752069</v>
      </c>
      <c r="Q93" t="s">
        <v>31</v>
      </c>
      <c r="R93" t="b">
        <v>0</v>
      </c>
      <c r="S93" t="b">
        <f t="shared" si="12"/>
        <v>0</v>
      </c>
      <c r="T93" t="b">
        <f t="shared" si="13"/>
        <v>0</v>
      </c>
      <c r="U93" t="str">
        <f t="shared" si="14"/>
        <v>2%</v>
      </c>
    </row>
    <row r="94" spans="1:21" x14ac:dyDescent="0.3">
      <c r="A94" t="s">
        <v>33</v>
      </c>
      <c r="B94" s="8">
        <v>43</v>
      </c>
      <c r="C94" t="str">
        <f t="shared" si="10"/>
        <v>Adults</v>
      </c>
      <c r="D94" s="9">
        <v>44899</v>
      </c>
      <c r="E94" t="str">
        <f t="shared" si="11"/>
        <v>Dec</v>
      </c>
      <c r="F94" t="s">
        <v>23</v>
      </c>
      <c r="G94" t="s">
        <v>48</v>
      </c>
      <c r="H94" t="s">
        <v>120</v>
      </c>
      <c r="I94" t="s">
        <v>96</v>
      </c>
      <c r="J94" t="s">
        <v>44</v>
      </c>
      <c r="K94">
        <v>1</v>
      </c>
      <c r="L94" t="s">
        <v>28</v>
      </c>
      <c r="M94" s="8">
        <v>540</v>
      </c>
      <c r="N94" t="s">
        <v>121</v>
      </c>
      <c r="O94" t="s">
        <v>46</v>
      </c>
      <c r="P94">
        <v>110017</v>
      </c>
      <c r="Q94" t="s">
        <v>31</v>
      </c>
      <c r="R94" t="b">
        <v>0</v>
      </c>
      <c r="S94" t="b">
        <f t="shared" si="12"/>
        <v>0</v>
      </c>
      <c r="T94" t="b">
        <f t="shared" si="13"/>
        <v>0</v>
      </c>
      <c r="U94" t="str">
        <f t="shared" si="14"/>
        <v>2%</v>
      </c>
    </row>
    <row r="95" spans="1:21" x14ac:dyDescent="0.3">
      <c r="A95" t="s">
        <v>33</v>
      </c>
      <c r="B95" s="8">
        <v>38</v>
      </c>
      <c r="C95" t="str">
        <f t="shared" si="10"/>
        <v>Adults</v>
      </c>
      <c r="D95" s="9">
        <v>44899</v>
      </c>
      <c r="E95" t="str">
        <f t="shared" si="11"/>
        <v>Dec</v>
      </c>
      <c r="F95" t="s">
        <v>23</v>
      </c>
      <c r="G95" t="s">
        <v>48</v>
      </c>
      <c r="H95" t="s">
        <v>147</v>
      </c>
      <c r="I95" t="s">
        <v>43</v>
      </c>
      <c r="J95" t="s">
        <v>67</v>
      </c>
      <c r="K95">
        <v>1</v>
      </c>
      <c r="L95" t="s">
        <v>28</v>
      </c>
      <c r="M95" s="8">
        <v>301</v>
      </c>
      <c r="N95" t="s">
        <v>148</v>
      </c>
      <c r="O95" t="s">
        <v>63</v>
      </c>
      <c r="P95">
        <v>636007</v>
      </c>
      <c r="Q95" t="s">
        <v>31</v>
      </c>
      <c r="R95" t="b">
        <v>0</v>
      </c>
      <c r="S95" t="b">
        <f t="shared" si="12"/>
        <v>0</v>
      </c>
      <c r="T95" t="b">
        <f t="shared" si="13"/>
        <v>0</v>
      </c>
      <c r="U95" t="str">
        <f t="shared" si="14"/>
        <v>2%</v>
      </c>
    </row>
    <row r="96" spans="1:21" x14ac:dyDescent="0.3">
      <c r="A96" t="s">
        <v>33</v>
      </c>
      <c r="B96" s="8">
        <v>37</v>
      </c>
      <c r="C96" t="str">
        <f t="shared" si="10"/>
        <v>Adults</v>
      </c>
      <c r="D96" s="9">
        <v>44899</v>
      </c>
      <c r="E96" t="str">
        <f t="shared" si="11"/>
        <v>Dec</v>
      </c>
      <c r="F96" t="s">
        <v>23</v>
      </c>
      <c r="G96" t="s">
        <v>48</v>
      </c>
      <c r="H96" t="s">
        <v>158</v>
      </c>
      <c r="I96" t="s">
        <v>43</v>
      </c>
      <c r="J96" t="s">
        <v>27</v>
      </c>
      <c r="K96">
        <v>1</v>
      </c>
      <c r="L96" t="s">
        <v>28</v>
      </c>
      <c r="M96" s="8">
        <v>533</v>
      </c>
      <c r="N96" t="s">
        <v>159</v>
      </c>
      <c r="O96" t="s">
        <v>152</v>
      </c>
      <c r="P96">
        <v>452014</v>
      </c>
      <c r="Q96" t="s">
        <v>31</v>
      </c>
      <c r="R96" t="b">
        <v>0</v>
      </c>
      <c r="S96" t="b">
        <f t="shared" si="12"/>
        <v>0</v>
      </c>
      <c r="T96" t="b">
        <f t="shared" si="13"/>
        <v>0</v>
      </c>
      <c r="U96" t="str">
        <f t="shared" si="14"/>
        <v>2%</v>
      </c>
    </row>
    <row r="97" spans="1:21" x14ac:dyDescent="0.3">
      <c r="A97" t="s">
        <v>22</v>
      </c>
      <c r="B97" s="8">
        <v>35</v>
      </c>
      <c r="C97" t="str">
        <f t="shared" si="10"/>
        <v>Adults</v>
      </c>
      <c r="D97" s="9">
        <v>44899</v>
      </c>
      <c r="E97" t="str">
        <f t="shared" si="11"/>
        <v>Dec</v>
      </c>
      <c r="F97" t="s">
        <v>23</v>
      </c>
      <c r="G97" t="s">
        <v>48</v>
      </c>
      <c r="H97" t="s">
        <v>172</v>
      </c>
      <c r="I97" t="s">
        <v>35</v>
      </c>
      <c r="J97" t="s">
        <v>67</v>
      </c>
      <c r="K97">
        <v>1</v>
      </c>
      <c r="L97" t="s">
        <v>28</v>
      </c>
      <c r="M97" s="8">
        <v>558</v>
      </c>
      <c r="N97" t="s">
        <v>173</v>
      </c>
      <c r="O97" t="s">
        <v>84</v>
      </c>
      <c r="P97">
        <v>574118</v>
      </c>
      <c r="Q97" t="s">
        <v>31</v>
      </c>
      <c r="R97" t="b">
        <v>0</v>
      </c>
      <c r="S97" t="b">
        <f t="shared" si="12"/>
        <v>0</v>
      </c>
      <c r="T97" t="b">
        <f t="shared" si="13"/>
        <v>0</v>
      </c>
      <c r="U97" t="str">
        <f t="shared" si="14"/>
        <v>2%</v>
      </c>
    </row>
    <row r="98" spans="1:21" x14ac:dyDescent="0.3">
      <c r="A98" t="s">
        <v>33</v>
      </c>
      <c r="B98" s="8">
        <v>34</v>
      </c>
      <c r="C98" t="str">
        <f t="shared" ref="C98:C100" si="15">IF(B98&gt;=50,"Senior", IF(B98&gt;=30,"Adults","Teenager"))</f>
        <v>Adults</v>
      </c>
      <c r="D98" s="9">
        <v>44899</v>
      </c>
      <c r="E98" t="str">
        <f t="shared" ref="E98:E100" si="16">TEXT(D98,"mmm")</f>
        <v>Dec</v>
      </c>
      <c r="F98" t="s">
        <v>23</v>
      </c>
      <c r="G98" t="s">
        <v>48</v>
      </c>
      <c r="H98" t="s">
        <v>175</v>
      </c>
      <c r="I98" t="s">
        <v>43</v>
      </c>
      <c r="J98" t="s">
        <v>116</v>
      </c>
      <c r="K98">
        <v>1</v>
      </c>
      <c r="L98" t="s">
        <v>28</v>
      </c>
      <c r="M98" s="8">
        <v>688</v>
      </c>
      <c r="N98" t="s">
        <v>62</v>
      </c>
      <c r="O98" t="s">
        <v>63</v>
      </c>
      <c r="P98">
        <v>600061</v>
      </c>
      <c r="Q98" t="s">
        <v>31</v>
      </c>
      <c r="R98" t="b">
        <v>0</v>
      </c>
      <c r="S98" t="b">
        <f t="shared" si="12"/>
        <v>0</v>
      </c>
      <c r="T98" t="b">
        <f t="shared" si="13"/>
        <v>0</v>
      </c>
      <c r="U98" t="str">
        <f t="shared" si="14"/>
        <v>2%</v>
      </c>
    </row>
    <row r="99" spans="1:21" x14ac:dyDescent="0.3">
      <c r="A99" t="s">
        <v>22</v>
      </c>
      <c r="B99" s="8">
        <v>23</v>
      </c>
      <c r="C99" t="str">
        <f t="shared" si="15"/>
        <v>Teenager</v>
      </c>
      <c r="D99" s="9">
        <v>44899</v>
      </c>
      <c r="E99" t="str">
        <f t="shared" si="16"/>
        <v>Dec</v>
      </c>
      <c r="F99" t="s">
        <v>23</v>
      </c>
      <c r="G99" t="s">
        <v>48</v>
      </c>
      <c r="H99" t="s">
        <v>279</v>
      </c>
      <c r="I99" t="s">
        <v>35</v>
      </c>
      <c r="J99" t="s">
        <v>27</v>
      </c>
      <c r="K99">
        <v>1</v>
      </c>
      <c r="L99" t="s">
        <v>28</v>
      </c>
      <c r="M99" s="8">
        <v>1115</v>
      </c>
      <c r="N99" t="s">
        <v>45</v>
      </c>
      <c r="O99" t="s">
        <v>46</v>
      </c>
      <c r="P99">
        <v>110016</v>
      </c>
      <c r="Q99" t="s">
        <v>31</v>
      </c>
      <c r="R99" t="b">
        <v>0</v>
      </c>
      <c r="S99" t="b">
        <f t="shared" si="12"/>
        <v>1</v>
      </c>
      <c r="T99" t="b">
        <f t="shared" si="13"/>
        <v>1</v>
      </c>
      <c r="U99" t="str">
        <f t="shared" si="14"/>
        <v>10%</v>
      </c>
    </row>
    <row r="100" spans="1:21" x14ac:dyDescent="0.3">
      <c r="A100" t="s">
        <v>33</v>
      </c>
      <c r="B100" s="8">
        <v>21</v>
      </c>
      <c r="C100" t="str">
        <f t="shared" si="15"/>
        <v>Teenager</v>
      </c>
      <c r="D100" s="9">
        <v>44899</v>
      </c>
      <c r="E100" t="str">
        <f t="shared" si="16"/>
        <v>Dec</v>
      </c>
      <c r="F100" t="s">
        <v>23</v>
      </c>
      <c r="G100" t="s">
        <v>48</v>
      </c>
      <c r="H100" t="s">
        <v>216</v>
      </c>
      <c r="I100" t="s">
        <v>35</v>
      </c>
      <c r="J100" t="s">
        <v>67</v>
      </c>
      <c r="K100">
        <v>1</v>
      </c>
      <c r="L100" t="s">
        <v>28</v>
      </c>
      <c r="M100" s="8">
        <v>1112</v>
      </c>
      <c r="N100" t="s">
        <v>288</v>
      </c>
      <c r="O100" t="s">
        <v>118</v>
      </c>
      <c r="P100">
        <v>211001</v>
      </c>
      <c r="Q100" t="s">
        <v>31</v>
      </c>
      <c r="R100" t="b">
        <v>0</v>
      </c>
      <c r="S100" t="b">
        <f t="shared" si="12"/>
        <v>1</v>
      </c>
      <c r="T100" t="b">
        <f t="shared" si="13"/>
        <v>1</v>
      </c>
      <c r="U100" t="str">
        <f t="shared" si="14"/>
        <v>10%</v>
      </c>
    </row>
  </sheetData>
  <sortState ref="A1:AB100">
    <sortCondition ref="G1"/>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Sheet4</vt:lpstr>
      <vt:lpstr>Sheet6</vt:lpstr>
      <vt:lpstr>Sheet7</vt:lpstr>
      <vt:lpstr>Sheet8</vt:lpstr>
      <vt:lpstr>Sheet9</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Rahish</dc:creator>
  <cp:lastModifiedBy>Rahish</cp:lastModifiedBy>
  <dcterms:created xsi:type="dcterms:W3CDTF">2024-06-29T12:25:27Z</dcterms:created>
  <dcterms:modified xsi:type="dcterms:W3CDTF">2024-07-11T05:53:26Z</dcterms:modified>
</cp:coreProperties>
</file>