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13_ncr:1_{4F1A3F3B-B50B-4915-8F82-884F433F97BC}" xr6:coauthVersionLast="47" xr6:coauthVersionMax="47" xr10:uidLastSave="{00000000-0000-0000-0000-000000000000}"/>
  <bookViews>
    <workbookView xWindow="-108" yWindow="-108" windowWidth="23256" windowHeight="12456" activeTab="1" xr2:uid="{B1B534AD-5134-4F20-A31A-83CDB62FB82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1" i="2" l="1"/>
  <c r="B252" i="2"/>
  <c r="B253" i="2"/>
  <c r="B254" i="2"/>
  <c r="B250" i="2"/>
  <c r="B256" i="2"/>
  <c r="B235" i="2"/>
  <c r="C225" i="2"/>
  <c r="B225" i="2"/>
  <c r="C224" i="2"/>
  <c r="B224" i="2"/>
  <c r="C205" i="2"/>
  <c r="C206" i="2"/>
  <c r="C207" i="2"/>
  <c r="C208" i="2"/>
  <c r="C209" i="2"/>
  <c r="C210" i="2"/>
  <c r="C211" i="2"/>
  <c r="C212" i="2"/>
  <c r="C213" i="2"/>
  <c r="C204" i="2"/>
  <c r="C203" i="2"/>
  <c r="C186" i="2"/>
  <c r="C187" i="2"/>
  <c r="C188" i="2"/>
  <c r="C189" i="2"/>
  <c r="C190" i="2"/>
  <c r="C191" i="2"/>
  <c r="C192" i="2"/>
  <c r="C193" i="2"/>
  <c r="C194" i="2"/>
  <c r="C185" i="2"/>
  <c r="C184" i="2"/>
  <c r="C172" i="2"/>
  <c r="C173" i="2"/>
  <c r="C174" i="2"/>
  <c r="C175" i="2"/>
  <c r="C176" i="2"/>
  <c r="C177" i="2"/>
  <c r="C178" i="2"/>
  <c r="C179" i="2"/>
  <c r="C171" i="2"/>
  <c r="C170" i="2"/>
  <c r="A164" i="2"/>
  <c r="B153" i="2"/>
  <c r="B137" i="2"/>
  <c r="C119" i="2"/>
  <c r="B119" i="2"/>
  <c r="C117" i="2"/>
  <c r="C121" i="2" s="1"/>
  <c r="B117" i="2"/>
  <c r="B121" i="2" s="1"/>
  <c r="C115" i="2"/>
  <c r="B115" i="2"/>
  <c r="C103" i="2"/>
  <c r="B103" i="2"/>
  <c r="C101" i="2"/>
  <c r="B101" i="2"/>
  <c r="C99" i="2"/>
  <c r="B99" i="2"/>
  <c r="C90" i="2"/>
  <c r="B90" i="2"/>
  <c r="C88" i="2"/>
  <c r="B88" i="2"/>
  <c r="B79" i="2"/>
  <c r="B73" i="2"/>
  <c r="D65" i="2"/>
  <c r="D62" i="2"/>
  <c r="C53" i="2"/>
  <c r="C54" i="2"/>
  <c r="C55" i="2"/>
  <c r="C56" i="2"/>
  <c r="C57" i="2"/>
  <c r="C58" i="2"/>
  <c r="C59" i="2"/>
  <c r="C52" i="2"/>
  <c r="E53" i="2"/>
  <c r="D66" i="2" s="1"/>
  <c r="E54" i="2"/>
  <c r="E55" i="2"/>
  <c r="E56" i="2"/>
  <c r="E57" i="2"/>
  <c r="E58" i="2"/>
  <c r="E59" i="2"/>
  <c r="D53" i="2"/>
  <c r="D54" i="2"/>
  <c r="D55" i="2"/>
  <c r="D56" i="2"/>
  <c r="D57" i="2"/>
  <c r="D58" i="2"/>
  <c r="D59" i="2"/>
  <c r="D52" i="2"/>
  <c r="E52" i="2"/>
  <c r="B52" i="2"/>
  <c r="B39" i="2"/>
  <c r="B34" i="2"/>
  <c r="B29" i="2"/>
  <c r="B25" i="2"/>
  <c r="B23" i="2"/>
  <c r="B17" i="2"/>
  <c r="B9" i="2"/>
  <c r="D63" i="2" l="1"/>
  <c r="F52" i="2"/>
  <c r="B53" i="2" s="1"/>
  <c r="F53" i="2" s="1"/>
  <c r="B54" i="2" s="1"/>
  <c r="F54" i="2"/>
  <c r="B55" i="2" s="1"/>
  <c r="F55" i="2" s="1"/>
  <c r="B56" i="2" s="1"/>
  <c r="F56" i="2" s="1"/>
  <c r="B57" i="2" s="1"/>
  <c r="F57" i="2" s="1"/>
  <c r="B58" i="2" s="1"/>
  <c r="F58" i="2" s="1"/>
  <c r="B59" i="2" s="1"/>
  <c r="F59" i="2" s="1"/>
</calcChain>
</file>

<file path=xl/sharedStrings.xml><?xml version="1.0" encoding="utf-8"?>
<sst xmlns="http://schemas.openxmlformats.org/spreadsheetml/2006/main" count="133" uniqueCount="65">
  <si>
    <t xml:space="preserve">PV (rate, nper, pmt, [fv ], [type]) </t>
  </si>
  <si>
    <t>Price</t>
  </si>
  <si>
    <t>Interest Rate</t>
  </si>
  <si>
    <t>No. of Payments</t>
  </si>
  <si>
    <t>Payment</t>
  </si>
  <si>
    <t>Payment at end of each year</t>
  </si>
  <si>
    <t>PV</t>
  </si>
  <si>
    <t>Payment at beginning  of each year</t>
  </si>
  <si>
    <t>Use PMT function to calculate EMI</t>
  </si>
  <si>
    <t>Rate per Annum</t>
  </si>
  <si>
    <t>Rate per Month</t>
  </si>
  <si>
    <t>Term</t>
  </si>
  <si>
    <t>No. of Monthly Payments</t>
  </si>
  <si>
    <t>Loan Amount (PV)</t>
  </si>
  <si>
    <t>FV</t>
  </si>
  <si>
    <t>type</t>
  </si>
  <si>
    <t>EMI</t>
  </si>
  <si>
    <t>Loan Amount(PV)</t>
  </si>
  <si>
    <t>Month</t>
  </si>
  <si>
    <t>Beginning Balance</t>
  </si>
  <si>
    <t>Interest</t>
  </si>
  <si>
    <t>Principal</t>
  </si>
  <si>
    <t>Ending Balance</t>
  </si>
  <si>
    <t>Interest paid between 2nd and 3rd Months</t>
  </si>
  <si>
    <t>Principal paid between 2nd and 3rd Months</t>
  </si>
  <si>
    <t>Loan Amount</t>
  </si>
  <si>
    <t xml:space="preserve">No. of Monthly Payments </t>
  </si>
  <si>
    <t>Cash Flows</t>
  </si>
  <si>
    <t>Time</t>
  </si>
  <si>
    <t>Total</t>
  </si>
  <si>
    <t>Investment 1</t>
  </si>
  <si>
    <t>Investment 2</t>
  </si>
  <si>
    <t xml:space="preserve">NPV (End Year) </t>
  </si>
  <si>
    <t>Investment2</t>
  </si>
  <si>
    <t>NPV (End Year)</t>
  </si>
  <si>
    <t>NPV (Beg. Year)</t>
  </si>
  <si>
    <t>NPV (Middle Year)</t>
  </si>
  <si>
    <t>Date</t>
  </si>
  <si>
    <t>Cash flows</t>
  </si>
  <si>
    <t>Net Present Value</t>
  </si>
  <si>
    <t>NPV</t>
  </si>
  <si>
    <t>IRR</t>
  </si>
  <si>
    <t>Guess</t>
  </si>
  <si>
    <t>Year</t>
  </si>
  <si>
    <t>Project A</t>
  </si>
  <si>
    <t>Project B</t>
  </si>
  <si>
    <t>XIRR</t>
  </si>
  <si>
    <t>Modified IRR (MIRR)</t>
  </si>
  <si>
    <t>Finance Rate</t>
  </si>
  <si>
    <t>Reinvestment Rate</t>
  </si>
  <si>
    <t>Discount Rate</t>
  </si>
  <si>
    <t>MIRR</t>
  </si>
  <si>
    <t>IRR of Irregularly Spaced Cash Flows (XIRR)</t>
  </si>
  <si>
    <t>Cash Flows Patterns and IRR</t>
  </si>
  <si>
    <t>No IRRs</t>
  </si>
  <si>
    <t>Multiple IRRs</t>
  </si>
  <si>
    <t>Unique IRR</t>
  </si>
  <si>
    <t>Internal Rate of Return (IRR)</t>
  </si>
  <si>
    <t>Cash Flows at Irregular Intervals</t>
  </si>
  <si>
    <t>Cash Flows in the Middle of the Year</t>
  </si>
  <si>
    <t>Cash Flows at the Beginning of the Year</t>
  </si>
  <si>
    <t>Decisions on Investments</t>
  </si>
  <si>
    <t>Calculating Term of Loan</t>
  </si>
  <si>
    <t>Calculating Interest Rate</t>
  </si>
  <si>
    <t>Monthly Payment of Principal and Interest on a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</si>
</sst>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44" formatCode="_ &quot;₹&quot;\ * #,##0.00_ ;_ &quot;₹&quot;\ * \-#,##0.00_ ;_ &quot;₹&quot;\ * &quot;-&quot;??_ ;_ @_ "/>
    <numFmt numFmtId="43" formatCode="_ * #,##0.00_ ;_ * \-#,##0.00_ ;_ * &quot;-&quot;??_ ;_ @_ "/>
    <numFmt numFmtId="164" formatCode="_-[$$-409]* #,##0.00_ ;_-[$$-409]* \-#,##0.00\ ;_-[$$-409]* &quot;-&quot;??_ ;_-@_ "/>
  </numFmts>
  <fonts count="6" x14ac:knownFonts="1">
    <font>
      <sz val="11"/>
      <color theme="1"/>
      <name val="Calibri"/>
      <family val="2"/>
      <scheme val="minor"/>
    </font>
    <font>
      <b/>
      <sz val="11"/>
      <color theme="1"/>
      <name val="Calibri"/>
      <family val="2"/>
      <scheme val="minor"/>
    </font>
    <font>
      <b/>
      <sz val="16"/>
      <color rgb="FF000000"/>
      <name val="Calibri"/>
      <family val="2"/>
      <scheme val="minor"/>
    </font>
    <font>
      <sz val="11"/>
      <color theme="1"/>
      <name val="Calibri"/>
      <family val="2"/>
      <scheme val="minor"/>
    </font>
    <font>
      <b/>
      <sz val="20"/>
      <color rgb="FF000000"/>
      <name val="Calibri"/>
      <family val="2"/>
      <scheme val="minor"/>
    </font>
    <font>
      <b/>
      <sz val="18"/>
      <color rgb="FF00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32">
    <xf numFmtId="0" fontId="0" fillId="0" borderId="0" xfId="0"/>
    <xf numFmtId="0" fontId="2" fillId="0" borderId="0" xfId="0" applyFont="1"/>
    <xf numFmtId="8" fontId="0" fillId="0" borderId="0" xfId="0" applyNumberFormat="1"/>
    <xf numFmtId="0" fontId="0" fillId="0" borderId="1" xfId="0" applyBorder="1"/>
    <xf numFmtId="8" fontId="0" fillId="0" borderId="1" xfId="0" applyNumberFormat="1" applyBorder="1"/>
    <xf numFmtId="0" fontId="0" fillId="0" borderId="1" xfId="0" applyBorder="1" applyAlignment="1">
      <alignment horizontal="center"/>
    </xf>
    <xf numFmtId="0" fontId="1" fillId="0" borderId="1" xfId="0" applyFont="1" applyBorder="1"/>
    <xf numFmtId="1" fontId="1" fillId="0" borderId="1" xfId="0" applyNumberFormat="1" applyFont="1" applyBorder="1"/>
    <xf numFmtId="0" fontId="0" fillId="0" borderId="1" xfId="0" applyNumberFormat="1" applyBorder="1"/>
    <xf numFmtId="2" fontId="0" fillId="0" borderId="1" xfId="0" applyNumberFormat="1" applyBorder="1" applyAlignment="1">
      <alignment horizontal="center"/>
    </xf>
    <xf numFmtId="2" fontId="0" fillId="0" borderId="1" xfId="0" applyNumberFormat="1" applyBorder="1"/>
    <xf numFmtId="9" fontId="0" fillId="0" borderId="1" xfId="0" applyNumberFormat="1" applyBorder="1"/>
    <xf numFmtId="1" fontId="0" fillId="0" borderId="1" xfId="1" applyNumberFormat="1" applyFont="1" applyBorder="1"/>
    <xf numFmtId="2" fontId="0" fillId="0" borderId="0" xfId="0" applyNumberFormat="1"/>
    <xf numFmtId="14" fontId="0" fillId="0" borderId="0" xfId="0" applyNumberFormat="1"/>
    <xf numFmtId="14" fontId="0" fillId="0" borderId="1" xfId="0" applyNumberFormat="1" applyBorder="1"/>
    <xf numFmtId="0" fontId="0" fillId="0" borderId="2" xfId="0" applyBorder="1"/>
    <xf numFmtId="10" fontId="0" fillId="0" borderId="1" xfId="0" applyNumberFormat="1" applyBorder="1"/>
    <xf numFmtId="9" fontId="0" fillId="0" borderId="1" xfId="3" applyFont="1" applyBorder="1"/>
    <xf numFmtId="10" fontId="0" fillId="0" borderId="1" xfId="3" applyNumberFormat="1" applyFont="1" applyBorder="1"/>
    <xf numFmtId="0" fontId="4" fillId="0" borderId="0" xfId="0" applyFont="1"/>
    <xf numFmtId="164" fontId="0" fillId="0" borderId="1" xfId="0" applyNumberFormat="1" applyBorder="1"/>
    <xf numFmtId="0" fontId="5" fillId="0" borderId="0" xfId="0" applyFont="1"/>
    <xf numFmtId="0" fontId="1" fillId="0" borderId="2" xfId="0" applyFont="1" applyBorder="1" applyAlignment="1">
      <alignment horizontal="center"/>
    </xf>
    <xf numFmtId="0" fontId="1"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0" fontId="0" fillId="0" borderId="1" xfId="2" applyNumberFormat="1" applyFont="1" applyBorder="1"/>
    <xf numFmtId="0" fontId="0" fillId="0" borderId="4" xfId="0" applyBorder="1" applyAlignment="1">
      <alignment horizontal="center"/>
    </xf>
    <xf numFmtId="2" fontId="0" fillId="0" borderId="2" xfId="0" applyNumberFormat="1" applyBorder="1" applyAlignment="1">
      <alignment horizontal="center"/>
    </xf>
    <xf numFmtId="2" fontId="0" fillId="0" borderId="4" xfId="0" applyNumberFormat="1" applyBorder="1" applyAlignment="1">
      <alignment horizontal="center"/>
    </xf>
    <xf numFmtId="2" fontId="0" fillId="0" borderId="3" xfId="0" applyNumberForma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66700" y="952491"/>
          <a:ext cx="17345025" cy="21804630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1"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1</xdr:col>
      <xdr:colOff>68580</xdr:colOff>
      <xdr:row>50</xdr:row>
      <xdr:rowOff>51435</xdr:rowOff>
    </xdr:from>
    <xdr:to>
      <xdr:col>7</xdr:col>
      <xdr:colOff>440055</xdr:colOff>
      <xdr:row>71</xdr:row>
      <xdr:rowOff>137160</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8180" y="9195435"/>
          <a:ext cx="4029075" cy="392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556260</xdr:colOff>
      <xdr:row>75</xdr:row>
      <xdr:rowOff>175260</xdr:rowOff>
    </xdr:from>
    <xdr:to>
      <xdr:col>7</xdr:col>
      <xdr:colOff>99060</xdr:colOff>
      <xdr:row>96</xdr:row>
      <xdr:rowOff>40005</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6260" y="13891260"/>
          <a:ext cx="3810000" cy="370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394335</xdr:colOff>
      <xdr:row>127</xdr:row>
      <xdr:rowOff>45720</xdr:rowOff>
    </xdr:from>
    <xdr:to>
      <xdr:col>10</xdr:col>
      <xdr:colOff>13335</xdr:colOff>
      <xdr:row>144</xdr:row>
      <xdr:rowOff>26670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4335" y="23271480"/>
          <a:ext cx="5715000" cy="308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419100</xdr:colOff>
      <xdr:row>155</xdr:row>
      <xdr:rowOff>72390</xdr:rowOff>
    </xdr:from>
    <xdr:to>
      <xdr:col>8</xdr:col>
      <xdr:colOff>476250</xdr:colOff>
      <xdr:row>172</xdr:row>
      <xdr:rowOff>93345</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 y="28418790"/>
          <a:ext cx="4933950" cy="3129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361950</xdr:colOff>
      <xdr:row>185</xdr:row>
      <xdr:rowOff>165735</xdr:rowOff>
    </xdr:from>
    <xdr:to>
      <xdr:col>7</xdr:col>
      <xdr:colOff>390525</xdr:colOff>
      <xdr:row>197</xdr:row>
      <xdr:rowOff>175260</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1950" y="33998535"/>
          <a:ext cx="4295775" cy="2204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321945</xdr:colOff>
      <xdr:row>202</xdr:row>
      <xdr:rowOff>156210</xdr:rowOff>
    </xdr:from>
    <xdr:to>
      <xdr:col>7</xdr:col>
      <xdr:colOff>398145</xdr:colOff>
      <xdr:row>216</xdr:row>
      <xdr:rowOff>70485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21945" y="37097970"/>
          <a:ext cx="4343400" cy="2474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398145</xdr:colOff>
      <xdr:row>223</xdr:row>
      <xdr:rowOff>83817</xdr:rowOff>
    </xdr:from>
    <xdr:to>
      <xdr:col>13</xdr:col>
      <xdr:colOff>465415</xdr:colOff>
      <xdr:row>241</xdr:row>
      <xdr:rowOff>64767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8145" y="40866057"/>
          <a:ext cx="7992070" cy="3272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289560</xdr:colOff>
      <xdr:row>248</xdr:row>
      <xdr:rowOff>110486</xdr:rowOff>
    </xdr:from>
    <xdr:to>
      <xdr:col>13</xdr:col>
      <xdr:colOff>559284</xdr:colOff>
      <xdr:row>262</xdr:row>
      <xdr:rowOff>32381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89560" y="45464726"/>
          <a:ext cx="8194524" cy="2482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277</xdr:row>
      <xdr:rowOff>135255</xdr:rowOff>
    </xdr:from>
    <xdr:to>
      <xdr:col>10</xdr:col>
      <xdr:colOff>85725</xdr:colOff>
      <xdr:row>298</xdr:row>
      <xdr:rowOff>40005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6725" y="50793015"/>
          <a:ext cx="5715000" cy="3745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531495</xdr:colOff>
      <xdr:row>303</xdr:row>
      <xdr:rowOff>121920</xdr:rowOff>
    </xdr:from>
    <xdr:to>
      <xdr:col>10</xdr:col>
      <xdr:colOff>150495</xdr:colOff>
      <xdr:row>324</xdr:row>
      <xdr:rowOff>180975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31495" y="55534560"/>
          <a:ext cx="5715000" cy="389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441960</xdr:colOff>
      <xdr:row>339</xdr:row>
      <xdr:rowOff>74295</xdr:rowOff>
    </xdr:from>
    <xdr:to>
      <xdr:col>8</xdr:col>
      <xdr:colOff>432435</xdr:colOff>
      <xdr:row>348</xdr:row>
      <xdr:rowOff>7620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41960" y="62070615"/>
          <a:ext cx="4867275"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388620</xdr:colOff>
      <xdr:row>353</xdr:row>
      <xdr:rowOff>173355</xdr:rowOff>
    </xdr:from>
    <xdr:to>
      <xdr:col>9</xdr:col>
      <xdr:colOff>169545</xdr:colOff>
      <xdr:row>365</xdr:row>
      <xdr:rowOff>163830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88620" y="64729995"/>
          <a:ext cx="5267325" cy="2185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74295</xdr:colOff>
      <xdr:row>375</xdr:row>
      <xdr:rowOff>87630</xdr:rowOff>
    </xdr:from>
    <xdr:to>
      <xdr:col>18</xdr:col>
      <xdr:colOff>64770</xdr:colOff>
      <xdr:row>384</xdr:row>
      <xdr:rowOff>87630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170295" y="68667630"/>
          <a:ext cx="4867275" cy="164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375</xdr:row>
      <xdr:rowOff>76200</xdr:rowOff>
    </xdr:from>
    <xdr:to>
      <xdr:col>8</xdr:col>
      <xdr:colOff>542925</xdr:colOff>
      <xdr:row>386</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7620</xdr:colOff>
      <xdr:row>414</xdr:row>
      <xdr:rowOff>175260</xdr:rowOff>
    </xdr:from>
    <xdr:to>
      <xdr:col>20</xdr:col>
      <xdr:colOff>36195</xdr:colOff>
      <xdr:row>428</xdr:row>
      <xdr:rowOff>118110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322820" y="75887580"/>
          <a:ext cx="4905375" cy="2503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xdr:colOff>
      <xdr:row>414</xdr:row>
      <xdr:rowOff>93345</xdr:rowOff>
    </xdr:from>
    <xdr:to>
      <xdr:col>10</xdr:col>
      <xdr:colOff>262890</xdr:colOff>
      <xdr:row>429</xdr:row>
      <xdr:rowOff>180975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43890" y="75805665"/>
          <a:ext cx="5715000" cy="2830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445</xdr:row>
      <xdr:rowOff>95250</xdr:rowOff>
    </xdr:from>
    <xdr:to>
      <xdr:col>8</xdr:col>
      <xdr:colOff>561975</xdr:colOff>
      <xdr:row>460</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445770</xdr:colOff>
      <xdr:row>463</xdr:row>
      <xdr:rowOff>100965</xdr:rowOff>
    </xdr:from>
    <xdr:to>
      <xdr:col>10</xdr:col>
      <xdr:colOff>398145</xdr:colOff>
      <xdr:row>480</xdr:row>
      <xdr:rowOff>158115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55370" y="84774405"/>
          <a:ext cx="5438775" cy="316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493395</xdr:colOff>
      <xdr:row>462</xdr:row>
      <xdr:rowOff>110490</xdr:rowOff>
    </xdr:from>
    <xdr:to>
      <xdr:col>20</xdr:col>
      <xdr:colOff>112395</xdr:colOff>
      <xdr:row>480</xdr:row>
      <xdr:rowOff>177165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198995" y="84601050"/>
          <a:ext cx="5105400" cy="3358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428625</xdr:colOff>
      <xdr:row>492</xdr:row>
      <xdr:rowOff>80010</xdr:rowOff>
    </xdr:from>
    <xdr:to>
      <xdr:col>10</xdr:col>
      <xdr:colOff>123825</xdr:colOff>
      <xdr:row>511</xdr:row>
      <xdr:rowOff>80010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038225" y="9005697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253365</xdr:colOff>
      <xdr:row>542</xdr:row>
      <xdr:rowOff>135255</xdr:rowOff>
    </xdr:from>
    <xdr:to>
      <xdr:col>9</xdr:col>
      <xdr:colOff>320040</xdr:colOff>
      <xdr:row>563</xdr:row>
      <xdr:rowOff>68580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62965" y="99256215"/>
          <a:ext cx="4943475" cy="3773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41910</xdr:colOff>
      <xdr:row>605</xdr:row>
      <xdr:rowOff>13335</xdr:rowOff>
    </xdr:from>
    <xdr:to>
      <xdr:col>9</xdr:col>
      <xdr:colOff>137160</xdr:colOff>
      <xdr:row>623</xdr:row>
      <xdr:rowOff>53340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61110" y="11065573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363855</xdr:colOff>
      <xdr:row>602</xdr:row>
      <xdr:rowOff>175260</xdr:rowOff>
    </xdr:from>
    <xdr:to>
      <xdr:col>19</xdr:col>
      <xdr:colOff>421005</xdr:colOff>
      <xdr:row>623</xdr:row>
      <xdr:rowOff>97155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288655" y="110269020"/>
          <a:ext cx="3714750" cy="376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657</xdr:row>
      <xdr:rowOff>55245</xdr:rowOff>
    </xdr:from>
    <xdr:to>
      <xdr:col>8</xdr:col>
      <xdr:colOff>238125</xdr:colOff>
      <xdr:row>677</xdr:row>
      <xdr:rowOff>83820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120207405"/>
          <a:ext cx="4505325"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483870</xdr:colOff>
      <xdr:row>657</xdr:row>
      <xdr:rowOff>3810</xdr:rowOff>
    </xdr:from>
    <xdr:to>
      <xdr:col>14</xdr:col>
      <xdr:colOff>350520</xdr:colOff>
      <xdr:row>677</xdr:row>
      <xdr:rowOff>62865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360670" y="120155970"/>
          <a:ext cx="3524250" cy="371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575310</xdr:colOff>
      <xdr:row>709</xdr:row>
      <xdr:rowOff>102870</xdr:rowOff>
    </xdr:from>
    <xdr:to>
      <xdr:col>8</xdr:col>
      <xdr:colOff>108585</xdr:colOff>
      <xdr:row>728</xdr:row>
      <xdr:rowOff>36195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75310" y="129764790"/>
          <a:ext cx="4410075" cy="3408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542925</xdr:colOff>
      <xdr:row>710</xdr:row>
      <xdr:rowOff>152400</xdr:rowOff>
    </xdr:from>
    <xdr:to>
      <xdr:col>18</xdr:col>
      <xdr:colOff>447675</xdr:colOff>
      <xdr:row>725</xdr:row>
      <xdr:rowOff>150495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029325" y="129997200"/>
          <a:ext cx="5391150" cy="2741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314325</xdr:colOff>
      <xdr:row>749</xdr:row>
      <xdr:rowOff>146685</xdr:rowOff>
    </xdr:from>
    <xdr:to>
      <xdr:col>10</xdr:col>
      <xdr:colOff>161925</xdr:colOff>
      <xdr:row>769</xdr:row>
      <xdr:rowOff>32385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23925" y="13712380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15240</xdr:colOff>
      <xdr:row>750</xdr:row>
      <xdr:rowOff>32385</xdr:rowOff>
    </xdr:from>
    <xdr:to>
      <xdr:col>17</xdr:col>
      <xdr:colOff>34290</xdr:colOff>
      <xdr:row>770</xdr:row>
      <xdr:rowOff>62865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720840" y="137192385"/>
          <a:ext cx="3676650" cy="3688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798</xdr:row>
      <xdr:rowOff>137160</xdr:rowOff>
    </xdr:from>
    <xdr:to>
      <xdr:col>10</xdr:col>
      <xdr:colOff>581025</xdr:colOff>
      <xdr:row>815</xdr:row>
      <xdr:rowOff>137160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962025" y="146075400"/>
          <a:ext cx="5715000" cy="3108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823</xdr:row>
      <xdr:rowOff>140970</xdr:rowOff>
    </xdr:from>
    <xdr:to>
      <xdr:col>7</xdr:col>
      <xdr:colOff>238125</xdr:colOff>
      <xdr:row>843</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790575" y="1506512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xdr:colOff>
      <xdr:row>848</xdr:row>
      <xdr:rowOff>59055</xdr:rowOff>
    </xdr:from>
    <xdr:to>
      <xdr:col>7</xdr:col>
      <xdr:colOff>165735</xdr:colOff>
      <xdr:row>868</xdr:row>
      <xdr:rowOff>59055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51585" y="15514129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516255</xdr:colOff>
      <xdr:row>877</xdr:row>
      <xdr:rowOff>127635</xdr:rowOff>
    </xdr:from>
    <xdr:to>
      <xdr:col>8</xdr:col>
      <xdr:colOff>249555</xdr:colOff>
      <xdr:row>896</xdr:row>
      <xdr:rowOff>156210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516255" y="1605133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123825</xdr:colOff>
      <xdr:row>903</xdr:row>
      <xdr:rowOff>165735</xdr:rowOff>
    </xdr:from>
    <xdr:to>
      <xdr:col>8</xdr:col>
      <xdr:colOff>200025</xdr:colOff>
      <xdr:row>923</xdr:row>
      <xdr:rowOff>49530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43025" y="16530637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462915</xdr:colOff>
      <xdr:row>932</xdr:row>
      <xdr:rowOff>112395</xdr:rowOff>
    </xdr:from>
    <xdr:to>
      <xdr:col>7</xdr:col>
      <xdr:colOff>539115</xdr:colOff>
      <xdr:row>951</xdr:row>
      <xdr:rowOff>179070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72515" y="17055655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988</xdr:row>
      <xdr:rowOff>19050</xdr:rowOff>
    </xdr:from>
    <xdr:to>
      <xdr:col>7</xdr:col>
      <xdr:colOff>238125</xdr:colOff>
      <xdr:row>995</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434340</xdr:colOff>
      <xdr:row>1021</xdr:row>
      <xdr:rowOff>167640</xdr:rowOff>
    </xdr:from>
    <xdr:to>
      <xdr:col>15</xdr:col>
      <xdr:colOff>53340</xdr:colOff>
      <xdr:row>1040</xdr:row>
      <xdr:rowOff>15240</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701540" y="186888120"/>
          <a:ext cx="4495800" cy="3322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491490</xdr:colOff>
      <xdr:row>1082</xdr:row>
      <xdr:rowOff>100965</xdr:rowOff>
    </xdr:from>
    <xdr:to>
      <xdr:col>10</xdr:col>
      <xdr:colOff>34290</xdr:colOff>
      <xdr:row>1095</xdr:row>
      <xdr:rowOff>167640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2320290" y="197977125"/>
          <a:ext cx="3810000" cy="2444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287655</xdr:colOff>
      <xdr:row>1096</xdr:row>
      <xdr:rowOff>20955</xdr:rowOff>
    </xdr:from>
    <xdr:to>
      <xdr:col>17</xdr:col>
      <xdr:colOff>392430</xdr:colOff>
      <xdr:row>1097</xdr:row>
      <xdr:rowOff>175260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212455" y="200457435"/>
          <a:ext cx="2543175" cy="337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371475</xdr:colOff>
      <xdr:row>1116</xdr:row>
      <xdr:rowOff>114300</xdr:rowOff>
    </xdr:from>
    <xdr:to>
      <xdr:col>15</xdr:col>
      <xdr:colOff>85725</xdr:colOff>
      <xdr:row>1134</xdr:row>
      <xdr:rowOff>154305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857875" y="204208380"/>
          <a:ext cx="33718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1116</xdr:row>
      <xdr:rowOff>139065</xdr:rowOff>
    </xdr:from>
    <xdr:to>
      <xdr:col>8</xdr:col>
      <xdr:colOff>66675</xdr:colOff>
      <xdr:row>1136</xdr:row>
      <xdr:rowOff>139065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4233145"/>
          <a:ext cx="4486275"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20955</xdr:colOff>
      <xdr:row>1140</xdr:row>
      <xdr:rowOff>11430</xdr:rowOff>
    </xdr:from>
    <xdr:to>
      <xdr:col>7</xdr:col>
      <xdr:colOff>154305</xdr:colOff>
      <xdr:row>1160</xdr:row>
      <xdr:rowOff>118110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240155" y="208494630"/>
          <a:ext cx="3181350" cy="3764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942975"/>
          <a:ext cx="10544175" cy="819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4D0B-6C16-4722-B9B7-B803456D5A54}">
  <dimension ref="A12"/>
  <sheetViews>
    <sheetView topLeftCell="A292" workbookViewId="0">
      <selection activeCell="A12" sqref="A12:XFD12"/>
    </sheetView>
  </sheetViews>
  <sheetFormatPr defaultRowHeight="14.4" x14ac:dyDescent="0.3"/>
  <sheetData>
    <row r="12" customFormat="1"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5D2C-8808-4F7D-B919-BF609A0AD111}">
  <dimension ref="A2:F256"/>
  <sheetViews>
    <sheetView tabSelected="1" topLeftCell="A229" workbookViewId="0">
      <selection activeCell="D66" sqref="D66:F66"/>
    </sheetView>
  </sheetViews>
  <sheetFormatPr defaultRowHeight="14.4" x14ac:dyDescent="0.3"/>
  <cols>
    <col min="1" max="1" width="37.77734375" customWidth="1"/>
    <col min="2" max="2" width="16.44140625" customWidth="1"/>
    <col min="3" max="3" width="11.109375" customWidth="1"/>
    <col min="4" max="4" width="11.109375" bestFit="1" customWidth="1"/>
    <col min="5" max="5" width="12.5546875" bestFit="1" customWidth="1"/>
    <col min="6" max="6" width="13.6640625" customWidth="1"/>
  </cols>
  <sheetData>
    <row r="2" spans="1:2" ht="21" x14ac:dyDescent="0.4">
      <c r="A2" s="1" t="s">
        <v>0</v>
      </c>
    </row>
    <row r="4" spans="1:2" x14ac:dyDescent="0.3">
      <c r="A4" s="6" t="s">
        <v>1</v>
      </c>
      <c r="B4" s="6">
        <v>32000</v>
      </c>
    </row>
    <row r="5" spans="1:2" x14ac:dyDescent="0.3">
      <c r="A5" s="6" t="s">
        <v>2</v>
      </c>
      <c r="B5" s="6">
        <v>0.13</v>
      </c>
    </row>
    <row r="6" spans="1:2" x14ac:dyDescent="0.3">
      <c r="A6" s="6" t="s">
        <v>3</v>
      </c>
      <c r="B6" s="6">
        <v>8</v>
      </c>
    </row>
    <row r="7" spans="1:2" x14ac:dyDescent="0.3">
      <c r="A7" s="6" t="s">
        <v>4</v>
      </c>
      <c r="B7" s="6">
        <v>-6000</v>
      </c>
    </row>
    <row r="8" spans="1:2" x14ac:dyDescent="0.3">
      <c r="A8" s="23" t="s">
        <v>5</v>
      </c>
      <c r="B8" s="24"/>
    </row>
    <row r="9" spans="1:2" x14ac:dyDescent="0.3">
      <c r="A9" s="6" t="s">
        <v>6</v>
      </c>
      <c r="B9" s="7">
        <f>PV(B5,B6,B7)</f>
        <v>28792.621766665405</v>
      </c>
    </row>
    <row r="12" spans="1:2" x14ac:dyDescent="0.3">
      <c r="A12" s="6" t="s">
        <v>1</v>
      </c>
      <c r="B12" s="6">
        <v>32000</v>
      </c>
    </row>
    <row r="13" spans="1:2" x14ac:dyDescent="0.3">
      <c r="A13" s="6" t="s">
        <v>2</v>
      </c>
      <c r="B13" s="6">
        <v>0.13</v>
      </c>
    </row>
    <row r="14" spans="1:2" x14ac:dyDescent="0.3">
      <c r="A14" s="6" t="s">
        <v>3</v>
      </c>
      <c r="B14" s="6">
        <v>8</v>
      </c>
    </row>
    <row r="15" spans="1:2" x14ac:dyDescent="0.3">
      <c r="A15" s="6" t="s">
        <v>4</v>
      </c>
      <c r="B15" s="6">
        <v>-6000</v>
      </c>
    </row>
    <row r="16" spans="1:2" x14ac:dyDescent="0.3">
      <c r="A16" s="23" t="s">
        <v>7</v>
      </c>
      <c r="B16" s="24"/>
    </row>
    <row r="17" spans="1:4" x14ac:dyDescent="0.3">
      <c r="A17" s="6" t="s">
        <v>6</v>
      </c>
      <c r="B17" s="7">
        <f>PV(B13,B14,B15,,1)</f>
        <v>32535.662596331898</v>
      </c>
    </row>
    <row r="18" spans="1:4" x14ac:dyDescent="0.3">
      <c r="D18" s="2"/>
    </row>
    <row r="20" spans="1:4" ht="21" x14ac:dyDescent="0.4">
      <c r="A20" s="1" t="s">
        <v>8</v>
      </c>
    </row>
    <row r="22" spans="1:4" x14ac:dyDescent="0.3">
      <c r="A22" s="3" t="s">
        <v>9</v>
      </c>
      <c r="B22" s="3">
        <v>0.12</v>
      </c>
    </row>
    <row r="23" spans="1:4" x14ac:dyDescent="0.3">
      <c r="A23" s="3" t="s">
        <v>10</v>
      </c>
      <c r="B23" s="3">
        <f>B22/12</f>
        <v>0.01</v>
      </c>
    </row>
    <row r="24" spans="1:4" x14ac:dyDescent="0.3">
      <c r="A24" s="3" t="s">
        <v>11</v>
      </c>
      <c r="B24" s="3">
        <v>25</v>
      </c>
    </row>
    <row r="25" spans="1:4" x14ac:dyDescent="0.3">
      <c r="A25" s="3" t="s">
        <v>12</v>
      </c>
      <c r="B25" s="3">
        <f>B24*12</f>
        <v>300</v>
      </c>
    </row>
    <row r="26" spans="1:4" x14ac:dyDescent="0.3">
      <c r="A26" s="3" t="s">
        <v>13</v>
      </c>
      <c r="B26" s="3">
        <v>5000000</v>
      </c>
    </row>
    <row r="27" spans="1:4" x14ac:dyDescent="0.3">
      <c r="A27" s="3" t="s">
        <v>14</v>
      </c>
      <c r="B27" s="3">
        <v>0</v>
      </c>
    </row>
    <row r="28" spans="1:4" x14ac:dyDescent="0.3">
      <c r="A28" s="3" t="s">
        <v>15</v>
      </c>
      <c r="B28" s="3">
        <v>1</v>
      </c>
    </row>
    <row r="29" spans="1:4" x14ac:dyDescent="0.3">
      <c r="A29" s="3" t="s">
        <v>16</v>
      </c>
      <c r="B29" s="8">
        <f>PMT(B23,B25,B26,B27,B28)</f>
        <v>-52139.809019684551</v>
      </c>
    </row>
    <row r="32" spans="1:4" ht="21" x14ac:dyDescent="0.4">
      <c r="A32" s="1" t="s">
        <v>64</v>
      </c>
    </row>
    <row r="33" spans="1:2" x14ac:dyDescent="0.3">
      <c r="A33" s="3" t="s">
        <v>9</v>
      </c>
      <c r="B33" s="3">
        <v>0.16</v>
      </c>
    </row>
    <row r="34" spans="1:2" x14ac:dyDescent="0.3">
      <c r="A34" s="3" t="s">
        <v>10</v>
      </c>
      <c r="B34" s="3">
        <f>B33/12</f>
        <v>1.3333333333333334E-2</v>
      </c>
    </row>
    <row r="35" spans="1:2" x14ac:dyDescent="0.3">
      <c r="A35" s="3" t="s">
        <v>12</v>
      </c>
      <c r="B35" s="3">
        <v>8</v>
      </c>
    </row>
    <row r="36" spans="1:2" x14ac:dyDescent="0.3">
      <c r="A36" s="3" t="s">
        <v>17</v>
      </c>
      <c r="B36" s="3">
        <v>100000</v>
      </c>
    </row>
    <row r="37" spans="1:2" x14ac:dyDescent="0.3">
      <c r="A37" s="3" t="s">
        <v>14</v>
      </c>
      <c r="B37" s="3">
        <v>0</v>
      </c>
    </row>
    <row r="38" spans="1:2" x14ac:dyDescent="0.3">
      <c r="A38" s="3" t="s">
        <v>15</v>
      </c>
      <c r="B38" s="3">
        <v>0</v>
      </c>
    </row>
    <row r="39" spans="1:2" x14ac:dyDescent="0.3">
      <c r="A39" s="3" t="s">
        <v>16</v>
      </c>
      <c r="B39" s="4">
        <f>PMT(B34,B35,B36,B37,B38)</f>
        <v>-13261.587371330586</v>
      </c>
    </row>
    <row r="42" spans="1:2" x14ac:dyDescent="0.3">
      <c r="A42" s="3" t="s">
        <v>10</v>
      </c>
      <c r="B42" s="3">
        <v>1.2999999999999999E-2</v>
      </c>
    </row>
    <row r="43" spans="1:2" x14ac:dyDescent="0.3">
      <c r="A43" s="3" t="s">
        <v>12</v>
      </c>
      <c r="B43" s="3">
        <v>8</v>
      </c>
    </row>
    <row r="44" spans="1:2" x14ac:dyDescent="0.3">
      <c r="A44" s="3" t="s">
        <v>13</v>
      </c>
      <c r="B44" s="3">
        <v>100000</v>
      </c>
    </row>
    <row r="45" spans="1:2" x14ac:dyDescent="0.3">
      <c r="A45" s="3" t="s">
        <v>14</v>
      </c>
      <c r="B45" s="3">
        <v>0</v>
      </c>
    </row>
    <row r="46" spans="1:2" x14ac:dyDescent="0.3">
      <c r="A46" s="3" t="s">
        <v>15</v>
      </c>
      <c r="B46" s="3">
        <v>0</v>
      </c>
    </row>
    <row r="47" spans="1:2" x14ac:dyDescent="0.3">
      <c r="A47" s="3" t="s">
        <v>16</v>
      </c>
      <c r="B47" s="3">
        <v>-13242.27</v>
      </c>
    </row>
    <row r="51" spans="1:6" x14ac:dyDescent="0.3">
      <c r="A51" s="5" t="s">
        <v>18</v>
      </c>
      <c r="B51" s="5" t="s">
        <v>19</v>
      </c>
      <c r="C51" s="5" t="s">
        <v>16</v>
      </c>
      <c r="D51" s="5" t="s">
        <v>20</v>
      </c>
      <c r="E51" s="5" t="s">
        <v>21</v>
      </c>
      <c r="F51" s="5" t="s">
        <v>22</v>
      </c>
    </row>
    <row r="52" spans="1:6" x14ac:dyDescent="0.3">
      <c r="A52" s="5">
        <v>1</v>
      </c>
      <c r="B52" s="9">
        <f>B44</f>
        <v>100000</v>
      </c>
      <c r="C52" s="9">
        <f>-$B$47</f>
        <v>13242.27</v>
      </c>
      <c r="D52" s="9">
        <f>-IPMT($B$42,A52,$B$43,$B$44,,$B$46)</f>
        <v>1300</v>
      </c>
      <c r="E52" s="9">
        <f>-PPMT($B$42,A52,$B$43,$B$44,,$B$46)</f>
        <v>11942.267163680835</v>
      </c>
      <c r="F52" s="9">
        <f>B52-E52</f>
        <v>88057.732836319163</v>
      </c>
    </row>
    <row r="53" spans="1:6" x14ac:dyDescent="0.3">
      <c r="A53" s="5">
        <v>2</v>
      </c>
      <c r="B53" s="9">
        <f>F52</f>
        <v>88057.732836319163</v>
      </c>
      <c r="C53" s="9">
        <f t="shared" ref="C53:C59" si="0">-$B$47</f>
        <v>13242.27</v>
      </c>
      <c r="D53" s="9">
        <f t="shared" ref="D53:D59" si="1">-IPMT($B$42,A53,$B$43,$B$44,,$B$46)</f>
        <v>1144.7505268721491</v>
      </c>
      <c r="E53" s="9">
        <f t="shared" ref="E53:E59" si="2">-PPMT($B$42,A53,$B$43,$B$44,,$B$46)</f>
        <v>12097.516636808687</v>
      </c>
      <c r="F53" s="9">
        <f>B53-E53</f>
        <v>75960.216199510469</v>
      </c>
    </row>
    <row r="54" spans="1:6" x14ac:dyDescent="0.3">
      <c r="A54" s="5">
        <v>3</v>
      </c>
      <c r="B54" s="9">
        <f t="shared" ref="B54:B59" si="3">F53</f>
        <v>75960.216199510469</v>
      </c>
      <c r="C54" s="9">
        <f t="shared" si="0"/>
        <v>13242.27</v>
      </c>
      <c r="D54" s="9">
        <f t="shared" si="1"/>
        <v>987.48281059363603</v>
      </c>
      <c r="E54" s="9">
        <f t="shared" si="2"/>
        <v>12254.7843530872</v>
      </c>
      <c r="F54" s="9">
        <f t="shared" ref="F54:F59" si="4">B54-E54</f>
        <v>63705.431846423271</v>
      </c>
    </row>
    <row r="55" spans="1:6" x14ac:dyDescent="0.3">
      <c r="A55" s="5">
        <v>4</v>
      </c>
      <c r="B55" s="9">
        <f t="shared" si="3"/>
        <v>63705.431846423271</v>
      </c>
      <c r="C55" s="9">
        <f t="shared" si="0"/>
        <v>13242.27</v>
      </c>
      <c r="D55" s="9">
        <f t="shared" si="1"/>
        <v>828.17061400350269</v>
      </c>
      <c r="E55" s="9">
        <f t="shared" si="2"/>
        <v>12414.096549677333</v>
      </c>
      <c r="F55" s="9">
        <f t="shared" si="4"/>
        <v>51291.335296745936</v>
      </c>
    </row>
    <row r="56" spans="1:6" x14ac:dyDescent="0.3">
      <c r="A56" s="5">
        <v>5</v>
      </c>
      <c r="B56" s="9">
        <f t="shared" si="3"/>
        <v>51291.335296745936</v>
      </c>
      <c r="C56" s="9">
        <f t="shared" si="0"/>
        <v>13242.27</v>
      </c>
      <c r="D56" s="9">
        <f t="shared" si="1"/>
        <v>666.78735885769731</v>
      </c>
      <c r="E56" s="9">
        <f t="shared" si="2"/>
        <v>12575.479804823137</v>
      </c>
      <c r="F56" s="9">
        <f t="shared" si="4"/>
        <v>38715.855491922797</v>
      </c>
    </row>
    <row r="57" spans="1:6" x14ac:dyDescent="0.3">
      <c r="A57" s="5">
        <v>6</v>
      </c>
      <c r="B57" s="9">
        <f t="shared" si="3"/>
        <v>38715.855491922797</v>
      </c>
      <c r="C57" s="9">
        <f t="shared" si="0"/>
        <v>13242.27</v>
      </c>
      <c r="D57" s="9">
        <f t="shared" si="1"/>
        <v>503.30612139499652</v>
      </c>
      <c r="E57" s="9">
        <f t="shared" si="2"/>
        <v>12738.961042285839</v>
      </c>
      <c r="F57" s="9">
        <f t="shared" si="4"/>
        <v>25976.894449636959</v>
      </c>
    </row>
    <row r="58" spans="1:6" x14ac:dyDescent="0.3">
      <c r="A58" s="5">
        <v>7</v>
      </c>
      <c r="B58" s="9">
        <f t="shared" si="3"/>
        <v>25976.894449636959</v>
      </c>
      <c r="C58" s="9">
        <f t="shared" si="0"/>
        <v>13242.27</v>
      </c>
      <c r="D58" s="9">
        <f t="shared" si="1"/>
        <v>337.69962784528065</v>
      </c>
      <c r="E58" s="9">
        <f t="shared" si="2"/>
        <v>12904.567535835553</v>
      </c>
      <c r="F58" s="9">
        <f t="shared" si="4"/>
        <v>13072.326913801406</v>
      </c>
    </row>
    <row r="59" spans="1:6" x14ac:dyDescent="0.3">
      <c r="A59" s="5">
        <v>8</v>
      </c>
      <c r="B59" s="9">
        <f t="shared" si="3"/>
        <v>13072.326913801406</v>
      </c>
      <c r="C59" s="9">
        <f t="shared" si="0"/>
        <v>13242.27</v>
      </c>
      <c r="D59" s="9">
        <f t="shared" si="1"/>
        <v>169.94024987941845</v>
      </c>
      <c r="E59" s="9">
        <f t="shared" si="2"/>
        <v>13072.326913801417</v>
      </c>
      <c r="F59" s="9">
        <f t="shared" si="4"/>
        <v>0</v>
      </c>
    </row>
    <row r="61" spans="1:6" x14ac:dyDescent="0.3">
      <c r="A61" s="3" t="s">
        <v>10</v>
      </c>
      <c r="B61" s="3">
        <v>1.2999999999999999E-2</v>
      </c>
      <c r="D61" s="3" t="s">
        <v>23</v>
      </c>
      <c r="E61" s="3"/>
      <c r="F61" s="3"/>
    </row>
    <row r="62" spans="1:6" x14ac:dyDescent="0.3">
      <c r="A62" s="3" t="s">
        <v>12</v>
      </c>
      <c r="B62" s="3">
        <v>8</v>
      </c>
      <c r="D62" s="25">
        <f>-CUMIPMT(B61,B62,B63,2,3,B65)</f>
        <v>2132.2333374657865</v>
      </c>
      <c r="E62" s="28"/>
      <c r="F62" s="26"/>
    </row>
    <row r="63" spans="1:6" x14ac:dyDescent="0.3">
      <c r="A63" s="3" t="s">
        <v>13</v>
      </c>
      <c r="B63" s="3">
        <v>100000</v>
      </c>
      <c r="D63" s="29">
        <f>D53+D54</f>
        <v>2132.2333374657851</v>
      </c>
      <c r="E63" s="30"/>
      <c r="F63" s="31"/>
    </row>
    <row r="64" spans="1:6" x14ac:dyDescent="0.3">
      <c r="A64" s="3" t="s">
        <v>14</v>
      </c>
      <c r="B64" s="3">
        <v>0</v>
      </c>
      <c r="D64" s="3" t="s">
        <v>24</v>
      </c>
      <c r="E64" s="3"/>
      <c r="F64" s="3"/>
    </row>
    <row r="65" spans="1:6" x14ac:dyDescent="0.3">
      <c r="A65" s="3" t="s">
        <v>15</v>
      </c>
      <c r="B65" s="3">
        <v>0</v>
      </c>
      <c r="D65" s="25">
        <f>-CUMPRINC(B61,B62,B63,2,3,B65)</f>
        <v>24352.300989895884</v>
      </c>
      <c r="E65" s="28"/>
      <c r="F65" s="26"/>
    </row>
    <row r="66" spans="1:6" x14ac:dyDescent="0.3">
      <c r="A66" s="3" t="s">
        <v>16</v>
      </c>
      <c r="B66" s="3">
        <v>-13242.27</v>
      </c>
      <c r="D66" s="29">
        <f>E53+E54</f>
        <v>24352.300989895884</v>
      </c>
      <c r="E66" s="30"/>
      <c r="F66" s="31"/>
    </row>
    <row r="68" spans="1:6" ht="23.4" x14ac:dyDescent="0.45">
      <c r="A68" s="22" t="s">
        <v>63</v>
      </c>
    </row>
    <row r="70" spans="1:6" x14ac:dyDescent="0.3">
      <c r="A70" s="3" t="s">
        <v>25</v>
      </c>
      <c r="B70" s="3">
        <v>100000</v>
      </c>
    </row>
    <row r="71" spans="1:6" x14ac:dyDescent="0.3">
      <c r="A71" s="3" t="s">
        <v>26</v>
      </c>
      <c r="B71" s="3">
        <v>15</v>
      </c>
    </row>
    <row r="72" spans="1:6" x14ac:dyDescent="0.3">
      <c r="A72" s="3" t="s">
        <v>16</v>
      </c>
      <c r="B72" s="3">
        <v>-12000</v>
      </c>
    </row>
    <row r="73" spans="1:6" x14ac:dyDescent="0.3">
      <c r="A73" s="3" t="s">
        <v>20</v>
      </c>
      <c r="B73" s="11">
        <f>RATE(B71,B72,B70,,0,)</f>
        <v>8.4417979849311348E-2</v>
      </c>
    </row>
    <row r="75" spans="1:6" ht="21" x14ac:dyDescent="0.4">
      <c r="A75" s="1" t="s">
        <v>62</v>
      </c>
    </row>
    <row r="76" spans="1:6" x14ac:dyDescent="0.3">
      <c r="A76" s="3" t="s">
        <v>25</v>
      </c>
      <c r="B76" s="3">
        <v>100000</v>
      </c>
    </row>
    <row r="77" spans="1:6" x14ac:dyDescent="0.3">
      <c r="A77" s="3" t="s">
        <v>20</v>
      </c>
      <c r="B77" s="3">
        <v>0.1</v>
      </c>
    </row>
    <row r="78" spans="1:6" x14ac:dyDescent="0.3">
      <c r="A78" s="3" t="s">
        <v>16</v>
      </c>
      <c r="B78" s="3">
        <v>-15000</v>
      </c>
    </row>
    <row r="79" spans="1:6" x14ac:dyDescent="0.3">
      <c r="A79" s="3" t="s">
        <v>12</v>
      </c>
      <c r="B79" s="12">
        <f>NPER(B77,B78,B76,,0)</f>
        <v>11.526704607247604</v>
      </c>
    </row>
    <row r="81" spans="1:3" ht="23.4" x14ac:dyDescent="0.45">
      <c r="A81" s="22" t="s">
        <v>61</v>
      </c>
    </row>
    <row r="82" spans="1:3" x14ac:dyDescent="0.3">
      <c r="A82" s="3" t="s">
        <v>2</v>
      </c>
      <c r="B82" s="3">
        <v>0.2</v>
      </c>
      <c r="C82" s="3"/>
    </row>
    <row r="83" spans="1:3" x14ac:dyDescent="0.3">
      <c r="A83" s="3"/>
      <c r="B83" s="25" t="s">
        <v>27</v>
      </c>
      <c r="C83" s="26"/>
    </row>
    <row r="84" spans="1:3" x14ac:dyDescent="0.3">
      <c r="A84" s="3" t="s">
        <v>28</v>
      </c>
      <c r="B84" s="3" t="s">
        <v>30</v>
      </c>
      <c r="C84" s="3" t="s">
        <v>31</v>
      </c>
    </row>
    <row r="85" spans="1:3" x14ac:dyDescent="0.3">
      <c r="A85" s="3">
        <v>1</v>
      </c>
      <c r="B85" s="3">
        <v>-10000</v>
      </c>
      <c r="C85" s="3">
        <v>-5000</v>
      </c>
    </row>
    <row r="86" spans="1:3" x14ac:dyDescent="0.3">
      <c r="A86" s="3">
        <v>2</v>
      </c>
      <c r="B86" s="3">
        <v>25000</v>
      </c>
      <c r="C86" s="3">
        <v>20000</v>
      </c>
    </row>
    <row r="87" spans="1:3" x14ac:dyDescent="0.3">
      <c r="A87" s="3">
        <v>3</v>
      </c>
      <c r="B87" s="3">
        <v>-7000</v>
      </c>
      <c r="C87" s="3">
        <v>-8000</v>
      </c>
    </row>
    <row r="88" spans="1:3" x14ac:dyDescent="0.3">
      <c r="A88" s="3" t="s">
        <v>29</v>
      </c>
      <c r="B88" s="3">
        <f>SUM(B85:B87)</f>
        <v>8000</v>
      </c>
      <c r="C88" s="3">
        <f>SUM(C85:C87)</f>
        <v>7000</v>
      </c>
    </row>
    <row r="90" spans="1:3" x14ac:dyDescent="0.3">
      <c r="A90" s="3" t="s">
        <v>32</v>
      </c>
      <c r="B90" s="10">
        <f>NPV(B82,B85:B87)</f>
        <v>4976.851851851854</v>
      </c>
      <c r="C90" s="10">
        <f>NPV(B82,C85:C87)</f>
        <v>5092.592592592594</v>
      </c>
    </row>
    <row r="92" spans="1:3" ht="21" x14ac:dyDescent="0.4">
      <c r="A92" s="1" t="s">
        <v>60</v>
      </c>
    </row>
    <row r="93" spans="1:3" x14ac:dyDescent="0.3">
      <c r="A93" s="3" t="s">
        <v>2</v>
      </c>
      <c r="B93" s="3">
        <v>0.2</v>
      </c>
      <c r="C93" s="3"/>
    </row>
    <row r="94" spans="1:3" x14ac:dyDescent="0.3">
      <c r="A94" s="3"/>
      <c r="B94" s="25" t="s">
        <v>27</v>
      </c>
      <c r="C94" s="26"/>
    </row>
    <row r="95" spans="1:3" x14ac:dyDescent="0.3">
      <c r="A95" s="3" t="s">
        <v>28</v>
      </c>
      <c r="B95" s="3" t="s">
        <v>30</v>
      </c>
      <c r="C95" s="3" t="s">
        <v>33</v>
      </c>
    </row>
    <row r="96" spans="1:3" x14ac:dyDescent="0.3">
      <c r="A96" s="3">
        <v>1</v>
      </c>
      <c r="B96" s="3">
        <v>-10000</v>
      </c>
      <c r="C96" s="3">
        <v>-5000</v>
      </c>
    </row>
    <row r="97" spans="1:3" x14ac:dyDescent="0.3">
      <c r="A97" s="3">
        <v>2</v>
      </c>
      <c r="B97" s="3">
        <v>25000</v>
      </c>
      <c r="C97" s="3">
        <v>20000</v>
      </c>
    </row>
    <row r="98" spans="1:3" x14ac:dyDescent="0.3">
      <c r="A98" s="3">
        <v>3</v>
      </c>
      <c r="B98" s="3">
        <v>-7000</v>
      </c>
      <c r="C98" s="3">
        <v>-8000</v>
      </c>
    </row>
    <row r="99" spans="1:3" x14ac:dyDescent="0.3">
      <c r="A99" s="3" t="s">
        <v>29</v>
      </c>
      <c r="B99" s="3">
        <f>SUM(B96:B98)</f>
        <v>8000</v>
      </c>
      <c r="C99" s="3">
        <f>SUM(C96:C98)</f>
        <v>7000</v>
      </c>
    </row>
    <row r="101" spans="1:3" x14ac:dyDescent="0.3">
      <c r="A101" s="3" t="s">
        <v>34</v>
      </c>
      <c r="B101" s="10">
        <f>NPV(B93,B96:B98)</f>
        <v>4976.851851851854</v>
      </c>
      <c r="C101" s="10">
        <f>NPV(B93,C96:C98)</f>
        <v>5092.592592592594</v>
      </c>
    </row>
    <row r="102" spans="1:3" x14ac:dyDescent="0.3">
      <c r="B102" s="13"/>
      <c r="C102" s="13"/>
    </row>
    <row r="103" spans="1:3" x14ac:dyDescent="0.3">
      <c r="A103" s="3" t="s">
        <v>35</v>
      </c>
      <c r="B103" s="10">
        <f>B96+NPV(B93,B97:B98)</f>
        <v>5972.2222222222208</v>
      </c>
      <c r="C103" s="10">
        <f>C96+NPV(B93,C97:C98)</f>
        <v>6111.1111111111113</v>
      </c>
    </row>
    <row r="107" spans="1:3" ht="21" x14ac:dyDescent="0.4">
      <c r="A107" s="1" t="s">
        <v>59</v>
      </c>
    </row>
    <row r="109" spans="1:3" x14ac:dyDescent="0.3">
      <c r="A109" s="3" t="s">
        <v>2</v>
      </c>
      <c r="B109" s="3">
        <v>0.2</v>
      </c>
      <c r="C109" s="3"/>
    </row>
    <row r="110" spans="1:3" x14ac:dyDescent="0.3">
      <c r="A110" s="3"/>
      <c r="B110" s="25" t="s">
        <v>27</v>
      </c>
      <c r="C110" s="26"/>
    </row>
    <row r="111" spans="1:3" x14ac:dyDescent="0.3">
      <c r="A111" s="3" t="s">
        <v>28</v>
      </c>
      <c r="B111" s="3" t="s">
        <v>30</v>
      </c>
      <c r="C111" s="3" t="s">
        <v>33</v>
      </c>
    </row>
    <row r="112" spans="1:3" x14ac:dyDescent="0.3">
      <c r="A112" s="3">
        <v>1</v>
      </c>
      <c r="B112" s="3">
        <v>-10000</v>
      </c>
      <c r="C112" s="3">
        <v>-5000</v>
      </c>
    </row>
    <row r="113" spans="1:3" x14ac:dyDescent="0.3">
      <c r="A113" s="3">
        <v>2</v>
      </c>
      <c r="B113" s="3">
        <v>25000</v>
      </c>
      <c r="C113" s="3">
        <v>20000</v>
      </c>
    </row>
    <row r="114" spans="1:3" x14ac:dyDescent="0.3">
      <c r="A114" s="3">
        <v>3</v>
      </c>
      <c r="B114" s="3">
        <v>-7000</v>
      </c>
      <c r="C114" s="3">
        <v>-8000</v>
      </c>
    </row>
    <row r="115" spans="1:3" x14ac:dyDescent="0.3">
      <c r="A115" s="3" t="s">
        <v>29</v>
      </c>
      <c r="B115" s="3">
        <f>SUM(B112:B114)</f>
        <v>8000</v>
      </c>
      <c r="C115" s="3">
        <f>SUM(C112:C114)</f>
        <v>7000</v>
      </c>
    </row>
    <row r="117" spans="1:3" x14ac:dyDescent="0.3">
      <c r="A117" s="3" t="s">
        <v>34</v>
      </c>
      <c r="B117" s="10">
        <f>NPV(B109,B112:B114)</f>
        <v>4976.851851851854</v>
      </c>
      <c r="C117" s="10">
        <f>NPV(B109,C112:C114)</f>
        <v>5092.592592592594</v>
      </c>
    </row>
    <row r="118" spans="1:3" x14ac:dyDescent="0.3">
      <c r="B118" s="13"/>
      <c r="C118" s="13"/>
    </row>
    <row r="119" spans="1:3" x14ac:dyDescent="0.3">
      <c r="A119" s="3" t="s">
        <v>35</v>
      </c>
      <c r="B119" s="10">
        <f>B112+NPV(B109,B113:B114)</f>
        <v>5972.2222222222208</v>
      </c>
      <c r="C119" s="10">
        <f>C112+NPV(B109,C113:C114)</f>
        <v>6111.1111111111113</v>
      </c>
    </row>
    <row r="121" spans="1:3" x14ac:dyDescent="0.3">
      <c r="A121" s="3" t="s">
        <v>36</v>
      </c>
      <c r="B121" s="10">
        <f>SQRT(1+B109)*B117</f>
        <v>5451.8680492412386</v>
      </c>
      <c r="C121" s="10">
        <f>SQRT(1+B109)*C117</f>
        <v>5578.6556782933594</v>
      </c>
    </row>
    <row r="126" spans="1:3" x14ac:dyDescent="0.3">
      <c r="A126" s="3" t="s">
        <v>2</v>
      </c>
      <c r="B126" s="3">
        <v>0.2</v>
      </c>
    </row>
    <row r="127" spans="1:3" x14ac:dyDescent="0.3">
      <c r="A127" s="3" t="s">
        <v>37</v>
      </c>
      <c r="B127" s="3" t="s">
        <v>38</v>
      </c>
    </row>
    <row r="128" spans="1:3" x14ac:dyDescent="0.3">
      <c r="A128" s="15">
        <v>42536</v>
      </c>
      <c r="B128" s="3">
        <v>5000</v>
      </c>
    </row>
    <row r="129" spans="1:2" x14ac:dyDescent="0.3">
      <c r="A129" s="15">
        <v>42657</v>
      </c>
      <c r="B129" s="3">
        <v>5143</v>
      </c>
    </row>
    <row r="130" spans="1:2" x14ac:dyDescent="0.3">
      <c r="A130" s="15">
        <v>42855</v>
      </c>
      <c r="B130" s="3">
        <v>8838</v>
      </c>
    </row>
    <row r="131" spans="1:2" x14ac:dyDescent="0.3">
      <c r="A131" s="15">
        <v>42684</v>
      </c>
      <c r="B131" s="3">
        <v>-4893</v>
      </c>
    </row>
    <row r="132" spans="1:2" x14ac:dyDescent="0.3">
      <c r="A132" s="15">
        <v>42629</v>
      </c>
      <c r="B132" s="3">
        <v>-2134</v>
      </c>
    </row>
    <row r="133" spans="1:2" x14ac:dyDescent="0.3">
      <c r="A133" s="15">
        <v>42843</v>
      </c>
      <c r="B133" s="3">
        <v>8047</v>
      </c>
    </row>
    <row r="134" spans="1:2" x14ac:dyDescent="0.3">
      <c r="A134" s="15">
        <v>42609</v>
      </c>
      <c r="B134" s="3">
        <v>3908</v>
      </c>
    </row>
    <row r="135" spans="1:2" x14ac:dyDescent="0.3">
      <c r="A135" s="15">
        <v>42568</v>
      </c>
      <c r="B135" s="3">
        <v>-4007</v>
      </c>
    </row>
    <row r="137" spans="1:2" x14ac:dyDescent="0.3">
      <c r="A137" s="10" t="s">
        <v>39</v>
      </c>
      <c r="B137" s="10">
        <f>XNPV(B126,B128:B135,A128:A135)</f>
        <v>17523.654500894841</v>
      </c>
    </row>
    <row r="139" spans="1:2" ht="21" x14ac:dyDescent="0.4">
      <c r="A139" s="1" t="s">
        <v>58</v>
      </c>
    </row>
    <row r="141" spans="1:2" x14ac:dyDescent="0.3">
      <c r="A141" s="3" t="s">
        <v>2</v>
      </c>
      <c r="B141" s="3">
        <v>0.2</v>
      </c>
    </row>
    <row r="142" spans="1:2" x14ac:dyDescent="0.3">
      <c r="A142" s="3" t="s">
        <v>37</v>
      </c>
      <c r="B142" s="3" t="s">
        <v>38</v>
      </c>
    </row>
    <row r="143" spans="1:2" x14ac:dyDescent="0.3">
      <c r="A143" s="14">
        <v>42078</v>
      </c>
      <c r="B143">
        <v>0</v>
      </c>
    </row>
    <row r="144" spans="1:2" x14ac:dyDescent="0.3">
      <c r="A144" s="15">
        <v>42536</v>
      </c>
      <c r="B144" s="3">
        <v>5000</v>
      </c>
    </row>
    <row r="145" spans="1:3" x14ac:dyDescent="0.3">
      <c r="A145" s="15">
        <v>42657</v>
      </c>
      <c r="B145" s="3">
        <v>5143</v>
      </c>
    </row>
    <row r="146" spans="1:3" x14ac:dyDescent="0.3">
      <c r="A146" s="15">
        <v>42855</v>
      </c>
      <c r="B146" s="3">
        <v>8838</v>
      </c>
    </row>
    <row r="147" spans="1:3" x14ac:dyDescent="0.3">
      <c r="A147" s="15">
        <v>42684</v>
      </c>
      <c r="B147" s="3">
        <v>-4893</v>
      </c>
    </row>
    <row r="148" spans="1:3" x14ac:dyDescent="0.3">
      <c r="A148" s="15">
        <v>42629</v>
      </c>
      <c r="B148" s="3">
        <v>-2134</v>
      </c>
    </row>
    <row r="149" spans="1:3" x14ac:dyDescent="0.3">
      <c r="A149" s="15">
        <v>42843</v>
      </c>
      <c r="B149" s="3">
        <v>8047</v>
      </c>
    </row>
    <row r="150" spans="1:3" x14ac:dyDescent="0.3">
      <c r="A150" s="15">
        <v>42609</v>
      </c>
      <c r="B150" s="3">
        <v>3908</v>
      </c>
    </row>
    <row r="151" spans="1:3" x14ac:dyDescent="0.3">
      <c r="A151" s="15">
        <v>42568</v>
      </c>
      <c r="B151" s="3">
        <v>-4007</v>
      </c>
    </row>
    <row r="153" spans="1:3" x14ac:dyDescent="0.3">
      <c r="A153" s="3" t="s">
        <v>39</v>
      </c>
      <c r="B153" s="10">
        <f>XNPV(B141,B143:B151,A143:A151)</f>
        <v>13940.183426721771</v>
      </c>
    </row>
    <row r="155" spans="1:3" ht="21" x14ac:dyDescent="0.4">
      <c r="A155" s="1" t="s">
        <v>57</v>
      </c>
    </row>
    <row r="157" spans="1:3" x14ac:dyDescent="0.3">
      <c r="A157" s="16" t="s">
        <v>27</v>
      </c>
      <c r="B157" s="3" t="s">
        <v>2</v>
      </c>
      <c r="C157" s="3" t="s">
        <v>40</v>
      </c>
    </row>
    <row r="158" spans="1:3" x14ac:dyDescent="0.3">
      <c r="A158" s="16">
        <v>10000</v>
      </c>
      <c r="B158" s="17">
        <v>0.08</v>
      </c>
      <c r="C158" s="3">
        <v>304.95</v>
      </c>
    </row>
    <row r="159" spans="1:3" x14ac:dyDescent="0.3">
      <c r="A159" s="16">
        <v>-5000</v>
      </c>
      <c r="B159" s="3">
        <v>8.5</v>
      </c>
      <c r="C159" s="3">
        <v>242</v>
      </c>
    </row>
    <row r="160" spans="1:3" x14ac:dyDescent="0.3">
      <c r="A160" s="16">
        <v>-8500</v>
      </c>
      <c r="B160" s="3">
        <v>9</v>
      </c>
      <c r="C160" s="3">
        <v>180.8</v>
      </c>
    </row>
    <row r="161" spans="1:3" x14ac:dyDescent="0.3">
      <c r="A161" s="16">
        <v>2000</v>
      </c>
      <c r="B161" s="3">
        <v>9.5</v>
      </c>
      <c r="C161" s="3">
        <v>120.54</v>
      </c>
    </row>
    <row r="162" spans="1:3" x14ac:dyDescent="0.3">
      <c r="B162" s="3">
        <v>10</v>
      </c>
      <c r="C162" s="3">
        <v>61.47</v>
      </c>
    </row>
    <row r="163" spans="1:3" x14ac:dyDescent="0.3">
      <c r="A163" s="3" t="s">
        <v>41</v>
      </c>
      <c r="B163" s="3">
        <v>10.53</v>
      </c>
      <c r="C163" s="3">
        <v>0.12</v>
      </c>
    </row>
    <row r="164" spans="1:3" x14ac:dyDescent="0.3">
      <c r="A164" s="27">
        <f>IRR(A158:A161)</f>
        <v>0.1053100591867342</v>
      </c>
      <c r="B164" s="3">
        <v>11</v>
      </c>
      <c r="C164" s="3">
        <v>53.23</v>
      </c>
    </row>
    <row r="165" spans="1:3" x14ac:dyDescent="0.3">
      <c r="B165" s="3">
        <v>11.5</v>
      </c>
      <c r="C165" s="3">
        <v>108.91</v>
      </c>
    </row>
    <row r="166" spans="1:3" x14ac:dyDescent="0.3">
      <c r="B166" s="3">
        <v>12</v>
      </c>
      <c r="C166" s="3">
        <v>163.51</v>
      </c>
    </row>
    <row r="168" spans="1:3" ht="23.4" x14ac:dyDescent="0.45">
      <c r="A168" s="22" t="s">
        <v>56</v>
      </c>
    </row>
    <row r="169" spans="1:3" x14ac:dyDescent="0.3">
      <c r="A169" s="16" t="s">
        <v>27</v>
      </c>
      <c r="B169" s="3" t="s">
        <v>42</v>
      </c>
      <c r="C169" s="3" t="s">
        <v>41</v>
      </c>
    </row>
    <row r="170" spans="1:3" x14ac:dyDescent="0.3">
      <c r="A170" s="16">
        <v>10000</v>
      </c>
      <c r="B170" s="18">
        <v>0.05</v>
      </c>
      <c r="C170" s="19">
        <f>IRR(A170:A173)</f>
        <v>0.1053100591867342</v>
      </c>
    </row>
    <row r="171" spans="1:3" x14ac:dyDescent="0.3">
      <c r="A171" s="16">
        <v>-5000</v>
      </c>
      <c r="B171" s="18">
        <v>0.15</v>
      </c>
      <c r="C171" s="19">
        <f>IRR($A$170:$A$173,B171)</f>
        <v>0.10531005918673553</v>
      </c>
    </row>
    <row r="172" spans="1:3" x14ac:dyDescent="0.3">
      <c r="A172" s="16">
        <v>-8500</v>
      </c>
      <c r="B172" s="18">
        <v>0.2</v>
      </c>
      <c r="C172" s="19">
        <f t="shared" ref="C172:C179" si="5">IRR($A$170:$A$173,B172)</f>
        <v>0.10531005918672065</v>
      </c>
    </row>
    <row r="173" spans="1:3" x14ac:dyDescent="0.3">
      <c r="A173" s="16">
        <v>2000</v>
      </c>
      <c r="B173" s="18">
        <v>0.25</v>
      </c>
      <c r="C173" s="19">
        <f t="shared" si="5"/>
        <v>0.10531005918632652</v>
      </c>
    </row>
    <row r="174" spans="1:3" x14ac:dyDescent="0.3">
      <c r="B174" s="18">
        <v>0.3</v>
      </c>
      <c r="C174" s="19">
        <f t="shared" si="5"/>
        <v>0.10531005918673553</v>
      </c>
    </row>
    <row r="175" spans="1:3" x14ac:dyDescent="0.3">
      <c r="B175" s="18">
        <v>0.35</v>
      </c>
      <c r="C175" s="19">
        <f t="shared" si="5"/>
        <v>0.10531005918673553</v>
      </c>
    </row>
    <row r="176" spans="1:3" x14ac:dyDescent="0.3">
      <c r="B176" s="18">
        <v>0.4</v>
      </c>
      <c r="C176" s="19">
        <f t="shared" si="5"/>
        <v>0.10531005918673553</v>
      </c>
    </row>
    <row r="177" spans="1:3" x14ac:dyDescent="0.3">
      <c r="B177" s="18">
        <v>0.45</v>
      </c>
      <c r="C177" s="19">
        <f t="shared" si="5"/>
        <v>0.10531005918673575</v>
      </c>
    </row>
    <row r="178" spans="1:3" x14ac:dyDescent="0.3">
      <c r="B178" s="18">
        <v>0.5</v>
      </c>
      <c r="C178" s="19">
        <f t="shared" si="5"/>
        <v>0.10531005918673619</v>
      </c>
    </row>
    <row r="179" spans="1:3" x14ac:dyDescent="0.3">
      <c r="B179" s="18">
        <v>0.55000000000000004</v>
      </c>
      <c r="C179" s="19">
        <f t="shared" si="5"/>
        <v>0.1053100591867373</v>
      </c>
    </row>
    <row r="181" spans="1:3" ht="25.8" x14ac:dyDescent="0.5">
      <c r="A181" s="20" t="s">
        <v>55</v>
      </c>
    </row>
    <row r="183" spans="1:3" x14ac:dyDescent="0.3">
      <c r="A183" s="16" t="s">
        <v>27</v>
      </c>
      <c r="B183" s="3" t="s">
        <v>42</v>
      </c>
      <c r="C183" s="3" t="s">
        <v>41</v>
      </c>
    </row>
    <row r="184" spans="1:3" x14ac:dyDescent="0.3">
      <c r="A184" s="16">
        <v>-20000</v>
      </c>
      <c r="B184" s="3"/>
      <c r="C184" s="19">
        <f>IRR(A184:A187)</f>
        <v>-9.5909414154996986E-2</v>
      </c>
    </row>
    <row r="185" spans="1:3" x14ac:dyDescent="0.3">
      <c r="A185" s="16">
        <v>82000</v>
      </c>
      <c r="B185" s="18">
        <v>0.15</v>
      </c>
      <c r="C185" s="17">
        <f>IRR($A$184:$A$187,B185)</f>
        <v>-9.5909414155059047E-2</v>
      </c>
    </row>
    <row r="186" spans="1:3" x14ac:dyDescent="0.3">
      <c r="A186" s="16">
        <v>-60000</v>
      </c>
      <c r="B186" s="18">
        <v>0.2</v>
      </c>
      <c r="C186" s="17">
        <f t="shared" ref="C186:C194" si="6">IRR($A$184:$A$187,B186)</f>
        <v>-9.5909414154996986E-2</v>
      </c>
    </row>
    <row r="187" spans="1:3" x14ac:dyDescent="0.3">
      <c r="A187" s="16">
        <v>2000</v>
      </c>
      <c r="B187" s="18">
        <v>0.25</v>
      </c>
      <c r="C187" s="17">
        <f t="shared" si="6"/>
        <v>-9.5909414153667494E-2</v>
      </c>
    </row>
    <row r="188" spans="1:3" x14ac:dyDescent="0.3">
      <c r="B188" s="18">
        <v>0.3</v>
      </c>
      <c r="C188" s="17">
        <f t="shared" si="6"/>
        <v>-9.590941415486065E-2</v>
      </c>
    </row>
    <row r="189" spans="1:3" x14ac:dyDescent="0.3">
      <c r="B189" s="18">
        <v>0.35</v>
      </c>
      <c r="C189" s="17">
        <f t="shared" si="6"/>
        <v>-9.5909414154996986E-2</v>
      </c>
    </row>
    <row r="190" spans="1:3" x14ac:dyDescent="0.3">
      <c r="B190" s="18">
        <v>0.4</v>
      </c>
      <c r="C190" s="17">
        <f t="shared" si="6"/>
        <v>-9.5909414154997874E-2</v>
      </c>
    </row>
    <row r="191" spans="1:3" x14ac:dyDescent="0.3">
      <c r="B191" s="18">
        <v>0.45</v>
      </c>
      <c r="C191" s="17">
        <f t="shared" si="6"/>
        <v>2.160916914048538</v>
      </c>
    </row>
    <row r="192" spans="1:3" x14ac:dyDescent="0.3">
      <c r="B192" s="18">
        <v>0.5</v>
      </c>
      <c r="C192" s="17">
        <f t="shared" si="6"/>
        <v>2.1609169140534945</v>
      </c>
    </row>
    <row r="193" spans="1:3" x14ac:dyDescent="0.3">
      <c r="B193" s="18">
        <v>0.55000000000000004</v>
      </c>
      <c r="C193" s="17">
        <f t="shared" si="6"/>
        <v>2.1609169140387743</v>
      </c>
    </row>
    <row r="194" spans="1:3" x14ac:dyDescent="0.3">
      <c r="B194" s="18">
        <v>0.6</v>
      </c>
      <c r="C194" s="17">
        <f t="shared" si="6"/>
        <v>2.1609169140492739</v>
      </c>
    </row>
    <row r="196" spans="1:3" x14ac:dyDescent="0.3">
      <c r="B196" s="3" t="s">
        <v>41</v>
      </c>
      <c r="C196" s="3" t="s">
        <v>40</v>
      </c>
    </row>
    <row r="197" spans="1:3" x14ac:dyDescent="0.3">
      <c r="B197" s="17">
        <v>-9.5899999999999999E-2</v>
      </c>
      <c r="C197" s="3">
        <v>0</v>
      </c>
    </row>
    <row r="198" spans="1:3" x14ac:dyDescent="0.3">
      <c r="B198" s="17">
        <v>2.1608999999999998</v>
      </c>
      <c r="C198" s="3">
        <v>0</v>
      </c>
    </row>
    <row r="200" spans="1:3" ht="21" x14ac:dyDescent="0.4">
      <c r="A200" s="1" t="s">
        <v>54</v>
      </c>
    </row>
    <row r="202" spans="1:3" x14ac:dyDescent="0.3">
      <c r="A202" s="16" t="s">
        <v>27</v>
      </c>
      <c r="B202" s="3" t="s">
        <v>42</v>
      </c>
      <c r="C202" s="3" t="s">
        <v>41</v>
      </c>
    </row>
    <row r="203" spans="1:3" x14ac:dyDescent="0.3">
      <c r="A203" s="16">
        <v>10000</v>
      </c>
      <c r="B203" s="3"/>
      <c r="C203" s="11" t="e">
        <f>IRR(A203:A206)</f>
        <v>#NUM!</v>
      </c>
    </row>
    <row r="204" spans="1:3" x14ac:dyDescent="0.3">
      <c r="A204" s="16">
        <v>-5000</v>
      </c>
      <c r="B204" s="3">
        <v>0.05</v>
      </c>
      <c r="C204" s="11" t="e">
        <f>IRR($A$203:$A$206,B204)</f>
        <v>#NUM!</v>
      </c>
    </row>
    <row r="205" spans="1:3" x14ac:dyDescent="0.3">
      <c r="A205" s="16">
        <v>8500</v>
      </c>
      <c r="B205" s="3">
        <v>0.15</v>
      </c>
      <c r="C205" s="11" t="e">
        <f t="shared" ref="C205:C213" si="7">IRR($A$203:$A$206,B205)</f>
        <v>#NUM!</v>
      </c>
    </row>
    <row r="206" spans="1:3" x14ac:dyDescent="0.3">
      <c r="A206" s="16">
        <v>2000</v>
      </c>
      <c r="B206" s="3">
        <v>0.2</v>
      </c>
      <c r="C206" s="11" t="e">
        <f t="shared" si="7"/>
        <v>#NUM!</v>
      </c>
    </row>
    <row r="207" spans="1:3" x14ac:dyDescent="0.3">
      <c r="B207" s="3">
        <v>0.25</v>
      </c>
      <c r="C207" s="11" t="e">
        <f t="shared" si="7"/>
        <v>#NUM!</v>
      </c>
    </row>
    <row r="208" spans="1:3" x14ac:dyDescent="0.3">
      <c r="B208" s="3">
        <v>0.3</v>
      </c>
      <c r="C208" s="11" t="e">
        <f t="shared" si="7"/>
        <v>#NUM!</v>
      </c>
    </row>
    <row r="209" spans="1:3" x14ac:dyDescent="0.3">
      <c r="B209" s="3">
        <v>0.35</v>
      </c>
      <c r="C209" s="11" t="e">
        <f t="shared" si="7"/>
        <v>#NUM!</v>
      </c>
    </row>
    <row r="210" spans="1:3" x14ac:dyDescent="0.3">
      <c r="B210" s="3">
        <v>0.4</v>
      </c>
      <c r="C210" s="11" t="e">
        <f t="shared" si="7"/>
        <v>#NUM!</v>
      </c>
    </row>
    <row r="211" spans="1:3" x14ac:dyDescent="0.3">
      <c r="B211" s="3">
        <v>0.45</v>
      </c>
      <c r="C211" s="11" t="e">
        <f t="shared" si="7"/>
        <v>#NUM!</v>
      </c>
    </row>
    <row r="212" spans="1:3" x14ac:dyDescent="0.3">
      <c r="B212" s="3">
        <v>0.5</v>
      </c>
      <c r="C212" s="11" t="e">
        <f t="shared" si="7"/>
        <v>#NUM!</v>
      </c>
    </row>
    <row r="213" spans="1:3" x14ac:dyDescent="0.3">
      <c r="B213" s="3">
        <v>0.55000000000000004</v>
      </c>
      <c r="C213" s="11" t="e">
        <f t="shared" si="7"/>
        <v>#NUM!</v>
      </c>
    </row>
    <row r="215" spans="1:3" ht="21" x14ac:dyDescent="0.4">
      <c r="A215" s="1" t="s">
        <v>53</v>
      </c>
    </row>
    <row r="217" spans="1:3" x14ac:dyDescent="0.3">
      <c r="A217" s="3" t="s">
        <v>43</v>
      </c>
      <c r="B217" s="3" t="s">
        <v>44</v>
      </c>
      <c r="C217" s="3" t="s">
        <v>45</v>
      </c>
    </row>
    <row r="218" spans="1:3" x14ac:dyDescent="0.3">
      <c r="A218" s="3">
        <v>0</v>
      </c>
      <c r="B218" s="3">
        <v>-1000</v>
      </c>
      <c r="C218" s="3">
        <v>-1000</v>
      </c>
    </row>
    <row r="219" spans="1:3" x14ac:dyDescent="0.3">
      <c r="A219" s="3">
        <v>1</v>
      </c>
      <c r="B219" s="3">
        <v>0</v>
      </c>
      <c r="C219" s="3">
        <v>400</v>
      </c>
    </row>
    <row r="220" spans="1:3" x14ac:dyDescent="0.3">
      <c r="A220" s="3">
        <v>2</v>
      </c>
      <c r="B220" s="3">
        <v>200</v>
      </c>
      <c r="C220" s="3">
        <v>400</v>
      </c>
    </row>
    <row r="221" spans="1:3" x14ac:dyDescent="0.3">
      <c r="A221" s="3">
        <v>3</v>
      </c>
      <c r="B221" s="3">
        <v>300</v>
      </c>
      <c r="C221" s="3">
        <v>300</v>
      </c>
    </row>
    <row r="222" spans="1:3" x14ac:dyDescent="0.3">
      <c r="A222" s="3">
        <v>4</v>
      </c>
      <c r="B222" s="3">
        <v>500</v>
      </c>
      <c r="C222" s="3">
        <v>300</v>
      </c>
    </row>
    <row r="223" spans="1:3" x14ac:dyDescent="0.3">
      <c r="A223" s="3">
        <v>5</v>
      </c>
      <c r="B223" s="3">
        <v>900</v>
      </c>
      <c r="C223" s="3">
        <v>200</v>
      </c>
    </row>
    <row r="224" spans="1:3" x14ac:dyDescent="0.3">
      <c r="A224" s="3" t="s">
        <v>41</v>
      </c>
      <c r="B224" s="11">
        <f>IRR(B218:B223)</f>
        <v>0.17318426166949052</v>
      </c>
      <c r="C224" s="11">
        <f>IRR(C218:C223)</f>
        <v>0.20494783010707418</v>
      </c>
    </row>
    <row r="225" spans="1:3" x14ac:dyDescent="0.3">
      <c r="A225" s="3" t="s">
        <v>40</v>
      </c>
      <c r="B225" s="4">
        <f>NPV(0.02,B218:B223)</f>
        <v>737.26558673714896</v>
      </c>
      <c r="C225" s="4">
        <f>NPV(0.02,C218:C223)</f>
        <v>507.47143664543427</v>
      </c>
    </row>
    <row r="227" spans="1:3" ht="21" x14ac:dyDescent="0.4">
      <c r="A227" s="1" t="s">
        <v>52</v>
      </c>
    </row>
    <row r="229" spans="1:3" x14ac:dyDescent="0.3">
      <c r="A229" s="3" t="s">
        <v>37</v>
      </c>
      <c r="B229" s="3" t="s">
        <v>27</v>
      </c>
    </row>
    <row r="230" spans="1:3" x14ac:dyDescent="0.3">
      <c r="A230" s="15">
        <v>42102</v>
      </c>
      <c r="B230" s="3">
        <v>-10000</v>
      </c>
    </row>
    <row r="231" spans="1:3" x14ac:dyDescent="0.3">
      <c r="A231" s="15">
        <v>42231</v>
      </c>
      <c r="B231" s="3">
        <v>4000</v>
      </c>
    </row>
    <row r="232" spans="1:3" x14ac:dyDescent="0.3">
      <c r="A232" s="15">
        <v>42444</v>
      </c>
      <c r="B232" s="3">
        <v>3000</v>
      </c>
    </row>
    <row r="233" spans="1:3" x14ac:dyDescent="0.3">
      <c r="A233" s="15">
        <v>42485</v>
      </c>
      <c r="B233" s="3">
        <v>5000</v>
      </c>
    </row>
    <row r="235" spans="1:3" x14ac:dyDescent="0.3">
      <c r="A235" s="3" t="s">
        <v>46</v>
      </c>
      <c r="B235" s="19">
        <f>XIRR(B230:B233,A230:A233)</f>
        <v>0.26418331265449524</v>
      </c>
    </row>
    <row r="239" spans="1:3" ht="25.8" x14ac:dyDescent="0.5">
      <c r="A239" s="20" t="s">
        <v>47</v>
      </c>
    </row>
    <row r="241" spans="1:2" x14ac:dyDescent="0.3">
      <c r="A241" s="3" t="s">
        <v>48</v>
      </c>
      <c r="B241" s="18">
        <v>0.1</v>
      </c>
    </row>
    <row r="242" spans="1:2" x14ac:dyDescent="0.3">
      <c r="A242" s="3" t="s">
        <v>49</v>
      </c>
      <c r="B242" s="18">
        <v>0.12</v>
      </c>
    </row>
    <row r="244" spans="1:2" x14ac:dyDescent="0.3">
      <c r="A244" s="3" t="s">
        <v>43</v>
      </c>
      <c r="B244" s="3" t="s">
        <v>27</v>
      </c>
    </row>
    <row r="245" spans="1:2" x14ac:dyDescent="0.3">
      <c r="A245" s="3">
        <v>0</v>
      </c>
      <c r="B245" s="3">
        <v>-1.6</v>
      </c>
    </row>
    <row r="246" spans="1:2" x14ac:dyDescent="0.3">
      <c r="A246" s="3">
        <v>1</v>
      </c>
      <c r="B246" s="3">
        <v>10</v>
      </c>
    </row>
    <row r="247" spans="1:2" x14ac:dyDescent="0.3">
      <c r="A247" s="3">
        <v>2</v>
      </c>
      <c r="B247" s="3">
        <v>-10</v>
      </c>
    </row>
    <row r="249" spans="1:2" x14ac:dyDescent="0.3">
      <c r="A249" s="3" t="s">
        <v>50</v>
      </c>
      <c r="B249" s="3" t="s">
        <v>40</v>
      </c>
    </row>
    <row r="250" spans="1:2" x14ac:dyDescent="0.3">
      <c r="A250" s="18">
        <v>0.1</v>
      </c>
      <c r="B250" s="21">
        <f>-NPV(A250,$B$245:$B$247)</f>
        <v>0.70323065364387649</v>
      </c>
    </row>
    <row r="251" spans="1:2" x14ac:dyDescent="0.3">
      <c r="A251" s="18">
        <v>0.25</v>
      </c>
      <c r="B251" s="8">
        <f t="shared" ref="B251:B254" si="8">-NPV(A251,$B$245:$B$247)</f>
        <v>0</v>
      </c>
    </row>
    <row r="252" spans="1:2" x14ac:dyDescent="0.3">
      <c r="A252" s="18">
        <v>1.1000000000000001</v>
      </c>
      <c r="B252" s="21">
        <f t="shared" si="8"/>
        <v>-0.42587193607601764</v>
      </c>
    </row>
    <row r="253" spans="1:2" x14ac:dyDescent="0.3">
      <c r="A253" s="18">
        <v>4</v>
      </c>
      <c r="B253" s="21">
        <f t="shared" si="8"/>
        <v>2.2204460492503132E-17</v>
      </c>
    </row>
    <row r="254" spans="1:2" x14ac:dyDescent="0.3">
      <c r="A254" s="18">
        <v>5</v>
      </c>
      <c r="B254" s="21">
        <f t="shared" si="8"/>
        <v>3.5185185185185187E-2</v>
      </c>
    </row>
    <row r="256" spans="1:2" x14ac:dyDescent="0.3">
      <c r="A256" s="3" t="s">
        <v>51</v>
      </c>
      <c r="B256" s="11">
        <f>MIRR(B245:B247,B241,B242)</f>
        <v>6.554621671065064E-2</v>
      </c>
    </row>
  </sheetData>
  <mergeCells count="9">
    <mergeCell ref="D62:F62"/>
    <mergeCell ref="D63:F63"/>
    <mergeCell ref="D65:F65"/>
    <mergeCell ref="D66:F66"/>
    <mergeCell ref="A8:B8"/>
    <mergeCell ref="A16:B16"/>
    <mergeCell ref="B83:C83"/>
    <mergeCell ref="B94:C94"/>
    <mergeCell ref="B110:C1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shahista shaikh</cp:lastModifiedBy>
  <dcterms:created xsi:type="dcterms:W3CDTF">2023-06-15T04:20:27Z</dcterms:created>
  <dcterms:modified xsi:type="dcterms:W3CDTF">2024-02-08T11:41:31Z</dcterms:modified>
</cp:coreProperties>
</file>