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studentsrowan-my.sharepoint.com/personal/shahkr85_students_rowan_edu/Documents/9. Fall 2022/VLSI/Project/"/>
    </mc:Choice>
  </mc:AlternateContent>
  <xr:revisionPtr revIDLastSave="956" documentId="11_F25DC773A252ABDACC1048893959481A5BDE58E8" xr6:coauthVersionLast="47" xr6:coauthVersionMax="47" xr10:uidLastSave="{714A4CE3-D3B8-44AC-9921-352F2129D76B}"/>
  <bookViews>
    <workbookView xWindow="-120" yWindow="-120" windowWidth="38640" windowHeight="21120" activeTab="2" xr2:uid="{00000000-000D-0000-FFFF-FFFF00000000}"/>
  </bookViews>
  <sheets>
    <sheet name="Design 1" sheetId="1" r:id="rId1"/>
    <sheet name="Design 2" sheetId="2" r:id="rId2"/>
    <sheet name="Design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K25" i="1"/>
  <c r="K24" i="1"/>
  <c r="K23" i="1"/>
  <c r="K22" i="1"/>
  <c r="K21" i="1"/>
  <c r="S21" i="1"/>
  <c r="R22" i="1"/>
  <c r="R23" i="1"/>
  <c r="R24" i="1"/>
  <c r="R21" i="1"/>
  <c r="Q22" i="1"/>
  <c r="Q23" i="1"/>
  <c r="Q24" i="1"/>
  <c r="Q21" i="1"/>
  <c r="P22" i="1"/>
  <c r="P23" i="1"/>
  <c r="P24" i="1"/>
  <c r="P21" i="1"/>
  <c r="N24" i="1"/>
  <c r="N23" i="1"/>
  <c r="N22" i="1"/>
  <c r="O24" i="1"/>
  <c r="O23" i="1"/>
  <c r="O22" i="1"/>
  <c r="O21" i="1"/>
  <c r="N21" i="1"/>
  <c r="C21" i="1"/>
  <c r="F41" i="1"/>
  <c r="I41" i="1"/>
  <c r="I40" i="1"/>
  <c r="D9" i="3"/>
  <c r="D8" i="3"/>
  <c r="B9" i="3"/>
  <c r="B8" i="3"/>
  <c r="B6" i="3"/>
  <c r="D13" i="3"/>
  <c r="C13" i="3"/>
  <c r="B13" i="3"/>
  <c r="D12" i="3"/>
  <c r="C12" i="3"/>
  <c r="B12" i="3"/>
  <c r="D11" i="3"/>
  <c r="C11" i="3"/>
  <c r="B11" i="3"/>
  <c r="D10" i="3"/>
  <c r="C10" i="3"/>
  <c r="C9" i="3"/>
  <c r="G3" i="3"/>
  <c r="C8" i="3"/>
  <c r="I12" i="3" s="1"/>
  <c r="B5" i="3"/>
  <c r="B10" i="3" s="1"/>
  <c r="B4" i="3"/>
  <c r="I3" i="3"/>
  <c r="H3" i="3"/>
  <c r="B3" i="3"/>
  <c r="D11" i="2"/>
  <c r="D10" i="2"/>
  <c r="D9" i="2"/>
  <c r="D8" i="2"/>
  <c r="G3" i="2" s="1"/>
  <c r="B11" i="2"/>
  <c r="B9" i="2"/>
  <c r="B8" i="2"/>
  <c r="F3" i="2" s="1"/>
  <c r="B5" i="2"/>
  <c r="B10" i="2" s="1"/>
  <c r="B4" i="2"/>
  <c r="D13" i="2"/>
  <c r="C13" i="2"/>
  <c r="B13" i="2"/>
  <c r="D12" i="2"/>
  <c r="C12" i="2"/>
  <c r="B12" i="2"/>
  <c r="C11" i="2"/>
  <c r="C10" i="2"/>
  <c r="C9" i="2"/>
  <c r="C8" i="2"/>
  <c r="I3" i="2" s="1"/>
  <c r="B3" i="2"/>
  <c r="O35" i="1"/>
  <c r="O34" i="1"/>
  <c r="O33" i="1"/>
  <c r="O32" i="1"/>
  <c r="O31" i="1"/>
  <c r="O30" i="1"/>
  <c r="F40" i="1"/>
  <c r="G35" i="1"/>
  <c r="G34" i="1"/>
  <c r="G33" i="1"/>
  <c r="G32" i="1"/>
  <c r="G31" i="1"/>
  <c r="G30" i="1"/>
  <c r="I26" i="1"/>
  <c r="I25" i="1"/>
  <c r="H26" i="1"/>
  <c r="H25" i="1"/>
  <c r="D26" i="1"/>
  <c r="D25" i="1"/>
  <c r="D24" i="1"/>
  <c r="D23" i="1"/>
  <c r="D22" i="1"/>
  <c r="D21" i="1"/>
  <c r="C26" i="1"/>
  <c r="C25" i="1"/>
  <c r="E25" i="1" s="1"/>
  <c r="D13" i="1"/>
  <c r="D12" i="1"/>
  <c r="D11" i="1"/>
  <c r="D10" i="1"/>
  <c r="D9" i="1"/>
  <c r="D8" i="1"/>
  <c r="C13" i="1"/>
  <c r="C12" i="1"/>
  <c r="C11" i="1"/>
  <c r="C10" i="1"/>
  <c r="C9" i="1"/>
  <c r="C8" i="1"/>
  <c r="B13" i="1"/>
  <c r="F12" i="1" s="1"/>
  <c r="B12" i="1"/>
  <c r="B11" i="1"/>
  <c r="B10" i="1"/>
  <c r="B9" i="1"/>
  <c r="B8" i="1"/>
  <c r="B5" i="1"/>
  <c r="B4" i="1"/>
  <c r="B3" i="1"/>
  <c r="J40" i="1" l="1"/>
  <c r="N42" i="1" s="1"/>
  <c r="J41" i="1"/>
  <c r="N44" i="1" s="1"/>
  <c r="I12" i="1"/>
  <c r="O36" i="1"/>
  <c r="N43" i="1" s="1"/>
  <c r="F3" i="1"/>
  <c r="E26" i="1"/>
  <c r="G26" i="1" s="1"/>
  <c r="G3" i="1"/>
  <c r="I3" i="1"/>
  <c r="F3" i="3"/>
  <c r="J3" i="3" s="1"/>
  <c r="F12" i="3"/>
  <c r="H3" i="2"/>
  <c r="I12" i="2"/>
  <c r="J3" i="2"/>
  <c r="F12" i="2"/>
  <c r="G36" i="1"/>
  <c r="N41" i="1" s="1"/>
  <c r="H3" i="1"/>
  <c r="F25" i="1"/>
  <c r="G25" i="1"/>
  <c r="F26" i="1" l="1"/>
  <c r="J3" i="1"/>
  <c r="K3" i="3"/>
  <c r="P3" i="3"/>
  <c r="P3" i="2"/>
  <c r="K3" i="2"/>
  <c r="K3" i="1" l="1"/>
  <c r="P3" i="1"/>
  <c r="L3" i="3"/>
  <c r="O3" i="3" s="1"/>
  <c r="M3" i="3"/>
  <c r="L3" i="2"/>
  <c r="O3" i="2" s="1"/>
  <c r="M3" i="2"/>
  <c r="L3" i="1" l="1"/>
  <c r="O3" i="1" s="1"/>
  <c r="M3" i="1"/>
  <c r="G12" i="3"/>
  <c r="M4" i="3"/>
  <c r="M5" i="3" s="1"/>
  <c r="M6" i="3" s="1"/>
  <c r="M7" i="3" s="1"/>
  <c r="M4" i="2"/>
  <c r="M5" i="2" s="1"/>
  <c r="M6" i="2" s="1"/>
  <c r="M7" i="2" s="1"/>
  <c r="G12" i="2"/>
  <c r="G12" i="1" l="1"/>
  <c r="M4" i="1"/>
  <c r="M5" i="1" s="1"/>
  <c r="M6" i="1" s="1"/>
  <c r="M7" i="1" s="1"/>
  <c r="M8" i="3"/>
  <c r="H12" i="3"/>
  <c r="J12" i="3"/>
  <c r="H12" i="2"/>
  <c r="J12" i="2" s="1"/>
  <c r="M8" i="2"/>
  <c r="H12" i="1" l="1"/>
  <c r="M8" i="1"/>
  <c r="J12" i="1"/>
  <c r="P12" i="1" s="1"/>
  <c r="K12" i="3"/>
  <c r="P12" i="3"/>
  <c r="K12" i="2"/>
  <c r="P12" i="2"/>
  <c r="K12" i="1" l="1"/>
  <c r="M12" i="3"/>
  <c r="M13" i="3" s="1"/>
  <c r="M14" i="3" s="1"/>
  <c r="M15" i="3" s="1"/>
  <c r="M16" i="3" s="1"/>
  <c r="M17" i="3" s="1"/>
  <c r="L12" i="3"/>
  <c r="O12" i="3" s="1"/>
  <c r="L12" i="2"/>
  <c r="O12" i="2" s="1"/>
  <c r="M12" i="2"/>
  <c r="M12" i="1" l="1"/>
  <c r="L12" i="1"/>
  <c r="O12" i="1" s="1"/>
  <c r="N40" i="1" s="1"/>
  <c r="M13" i="2"/>
  <c r="M13" i="1" l="1"/>
  <c r="M14" i="2"/>
  <c r="E21" i="1" l="1"/>
  <c r="C22" i="1"/>
  <c r="M14" i="1"/>
  <c r="M15" i="2"/>
  <c r="C23" i="1" l="1"/>
  <c r="M15" i="1"/>
  <c r="E22" i="1"/>
  <c r="F21" i="1"/>
  <c r="H21" i="1" s="1"/>
  <c r="G21" i="1"/>
  <c r="I21" i="1" s="1"/>
  <c r="M16" i="2"/>
  <c r="M17" i="2" s="1"/>
  <c r="F22" i="1" l="1"/>
  <c r="G22" i="1"/>
  <c r="M16" i="1"/>
  <c r="M17" i="1" s="1"/>
  <c r="C24" i="1"/>
  <c r="E23" i="1"/>
  <c r="E24" i="1" l="1"/>
  <c r="G23" i="1"/>
  <c r="I23" i="1" s="1"/>
  <c r="F23" i="1"/>
  <c r="H23" i="1" s="1"/>
  <c r="I22" i="1"/>
  <c r="H22" i="1"/>
  <c r="F24" i="1" l="1"/>
  <c r="G24" i="1"/>
  <c r="I24" i="1" l="1"/>
  <c r="H24" i="1"/>
</calcChain>
</file>

<file path=xl/sharedStrings.xml><?xml version="1.0" encoding="utf-8"?>
<sst xmlns="http://schemas.openxmlformats.org/spreadsheetml/2006/main" count="269" uniqueCount="77">
  <si>
    <t>Gate Type</t>
  </si>
  <si>
    <t>Inverter</t>
  </si>
  <si>
    <t>2NAND</t>
  </si>
  <si>
    <t>3NAND</t>
  </si>
  <si>
    <t>Logical Effort</t>
  </si>
  <si>
    <t>Parasitic Delay</t>
  </si>
  <si>
    <t>Logical Effort g</t>
  </si>
  <si>
    <t>Individual Gate Default Specifications</t>
  </si>
  <si>
    <t>Logical Effort G</t>
  </si>
  <si>
    <t>Electrical Effort H</t>
  </si>
  <si>
    <t>Best Stage Effort f</t>
  </si>
  <si>
    <t>Path Effort F</t>
  </si>
  <si>
    <t>Parasitic Delay P</t>
  </si>
  <si>
    <t>Branching Effort B</t>
  </si>
  <si>
    <t>Delay D</t>
  </si>
  <si>
    <t>Sizing</t>
  </si>
  <si>
    <t>Stage</t>
  </si>
  <si>
    <t>Z</t>
  </si>
  <si>
    <t>Y</t>
  </si>
  <si>
    <t>X</t>
  </si>
  <si>
    <t>W</t>
  </si>
  <si>
    <t>V</t>
  </si>
  <si>
    <t>U</t>
  </si>
  <si>
    <t>Worst Path, Design Calculations: Sizing Iteration 1</t>
  </si>
  <si>
    <t>Worst Path, Design Calculations: Sizing Iteration 2</t>
  </si>
  <si>
    <t>Gate</t>
  </si>
  <si>
    <t>Gate Ratio</t>
  </si>
  <si>
    <t>Input Cap Cin</t>
  </si>
  <si>
    <t>INV</t>
  </si>
  <si>
    <t>Input Cap</t>
  </si>
  <si>
    <t>Fall Time (ps)</t>
  </si>
  <si>
    <t>Rise Time (ps)</t>
  </si>
  <si>
    <t>PDF (ps)</t>
  </si>
  <si>
    <t>PDR (ps)</t>
  </si>
  <si>
    <t>APD (ps)</t>
  </si>
  <si>
    <t>Yes</t>
  </si>
  <si>
    <t>No</t>
  </si>
  <si>
    <t>PMOS</t>
  </si>
  <si>
    <t>NMOS</t>
  </si>
  <si>
    <t>Total (sum) =</t>
  </si>
  <si>
    <t>Type</t>
  </si>
  <si>
    <t>Simulation Delays of Full Circuits</t>
  </si>
  <si>
    <t>Schematic Delay Simulations</t>
  </si>
  <si>
    <t>Schematic</t>
  </si>
  <si>
    <t>Delay (ns)</t>
  </si>
  <si>
    <t>Layout Delay Simulations</t>
  </si>
  <si>
    <t>Load capacitor (fF)</t>
  </si>
  <si>
    <t>Fold?</t>
  </si>
  <si>
    <t>Best Number of Stages</t>
  </si>
  <si>
    <t>2NOR</t>
  </si>
  <si>
    <t>3NOR</t>
  </si>
  <si>
    <t>Delay Comparison</t>
  </si>
  <si>
    <t>Calculation</t>
  </si>
  <si>
    <t>Source</t>
  </si>
  <si>
    <t>Schematic: Sums</t>
  </si>
  <si>
    <t>Schematic: Full</t>
  </si>
  <si>
    <t>Layout: Sums</t>
  </si>
  <si>
    <t>Layout: Snap-together</t>
  </si>
  <si>
    <t>PMOS (After Folding)</t>
  </si>
  <si>
    <t>NMOS (After Folding)</t>
  </si>
  <si>
    <t>Unit Cap</t>
  </si>
  <si>
    <t>PDF Master (ns)</t>
  </si>
  <si>
    <t>PDR Master (ns)</t>
  </si>
  <si>
    <t>APD Master (ns)</t>
  </si>
  <si>
    <t>PDF Slave (ns)</t>
  </si>
  <si>
    <t>PDR Slave (ns)</t>
  </si>
  <si>
    <t>ADP Slave (ns)</t>
  </si>
  <si>
    <t>ADP Total (ns)</t>
  </si>
  <si>
    <t>Sizing Optimization</t>
  </si>
  <si>
    <t>Extracted</t>
  </si>
  <si>
    <t>Master Clock</t>
  </si>
  <si>
    <t>Slave Clock</t>
  </si>
  <si>
    <t>Preset</t>
  </si>
  <si>
    <t>Clear</t>
  </si>
  <si>
    <t>Non-Path Inverter Sizing</t>
  </si>
  <si>
    <t>PMOS (rounded)</t>
  </si>
  <si>
    <t>NMOS (rounded)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</si>
</sst>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7" borderId="0" xfId="0" applyNumberFormat="1" applyFill="1"/>
    <xf numFmtId="0" fontId="0" fillId="10" borderId="0" xfId="0" applyFill="1"/>
    <xf numFmtId="0" fontId="0" fillId="11" borderId="0" xfId="0" applyFill="1"/>
    <xf numFmtId="0" fontId="0" fillId="4" borderId="0" xfId="0" applyFill="1"/>
    <xf numFmtId="0" fontId="0" fillId="12" borderId="0" xfId="0" applyFill="1"/>
    <xf numFmtId="0" fontId="0" fillId="1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952501</xdr:colOff>
      <xdr:row>30</xdr:row>
      <xdr:rowOff>44824</xdr:rowOff>
    </xdr:from>
    <xdr:to>
      <xdr:col>25</xdr:col>
      <xdr:colOff>302468</xdr:colOff>
      <xdr:row>44</xdr:row>
      <xdr:rowOff>140460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ACEFE3-ACAA-63D3-5FA8-1129AC9FD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02854" y="5759824"/>
          <a:ext cx="7373379" cy="27626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56029</xdr:rowOff>
    </xdr:from>
    <xdr:to>
      <xdr:col>8</xdr:col>
      <xdr:colOff>290710</xdr:colOff>
      <xdr:row>31</xdr:row>
      <xdr:rowOff>85033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764E08-90B1-F531-5ECA-BE6099DB3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13529"/>
          <a:ext cx="7440063" cy="30770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123265</xdr:rowOff>
    </xdr:from>
    <xdr:to>
      <xdr:col>7</xdr:col>
      <xdr:colOff>1043157</xdr:colOff>
      <xdr:row>31</xdr:row>
      <xdr:rowOff>9374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051052-A4AC-5814-D5B4-641C92AB6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80765"/>
          <a:ext cx="7240010" cy="29341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zoomScale="85" zoomScaleNormal="85" workbookViewId="0">
      <selection activeCell="B42" sqref="B42"/>
    </sheetView>
  </sheetViews>
  <sheetFormatPr defaultRowHeight="15" x14ac:dyDescent="0.25"/>
  <cols>
    <col min="1" max="1" width="10.5703125" customWidth="1"/>
    <col min="2" max="2" width="12.85546875" customWidth="1"/>
    <col min="3" max="3" width="14.5703125" customWidth="1"/>
    <col min="4" max="4" width="16" customWidth="1"/>
    <col min="5" max="5" width="15.140625" customWidth="1"/>
    <col min="6" max="6" width="16.140625" customWidth="1"/>
    <col min="7" max="7" width="15.42578125" customWidth="1"/>
    <col min="8" max="8" width="19.42578125" customWidth="1"/>
    <col min="9" max="9" width="19.85546875" customWidth="1"/>
    <col min="10" max="10" width="13.7109375" customWidth="1"/>
    <col min="11" max="11" width="16.85546875" customWidth="1"/>
    <col min="12" max="12" width="12.140625" customWidth="1"/>
    <col min="13" max="13" width="21.140625" customWidth="1"/>
    <col min="14" max="14" width="12.85546875" customWidth="1"/>
    <col min="15" max="15" width="10.28515625" customWidth="1"/>
    <col min="16" max="16" width="21.85546875" customWidth="1"/>
    <col min="17" max="17" width="9.140625" customWidth="1"/>
    <col min="18" max="18" width="11" customWidth="1"/>
    <col min="19" max="19" width="16.42578125" customWidth="1"/>
    <col min="20" max="20" width="16.5703125" customWidth="1"/>
  </cols>
  <sheetData>
    <row r="1" spans="1:16" x14ac:dyDescent="0.25">
      <c r="A1" s="14" t="s">
        <v>7</v>
      </c>
      <c r="B1" s="14"/>
      <c r="C1" s="14"/>
      <c r="D1" s="14"/>
      <c r="F1" s="15" t="s">
        <v>23</v>
      </c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1" t="s">
        <v>0</v>
      </c>
      <c r="B2" s="1" t="s">
        <v>6</v>
      </c>
      <c r="C2" s="1" t="s">
        <v>5</v>
      </c>
      <c r="D2" s="1" t="s">
        <v>29</v>
      </c>
      <c r="F2" s="3" t="s">
        <v>8</v>
      </c>
      <c r="G2" s="3" t="s">
        <v>9</v>
      </c>
      <c r="H2" s="3" t="s">
        <v>13</v>
      </c>
      <c r="I2" s="3" t="s">
        <v>12</v>
      </c>
      <c r="J2" s="3" t="s">
        <v>11</v>
      </c>
      <c r="K2" s="3" t="s">
        <v>10</v>
      </c>
      <c r="L2" s="3" t="s">
        <v>14</v>
      </c>
      <c r="M2" s="3" t="s">
        <v>29</v>
      </c>
      <c r="N2" s="3" t="s">
        <v>16</v>
      </c>
      <c r="O2" s="3" t="s">
        <v>44</v>
      </c>
      <c r="P2" s="3" t="s">
        <v>48</v>
      </c>
    </row>
    <row r="3" spans="1:16" x14ac:dyDescent="0.25">
      <c r="A3" t="s">
        <v>1</v>
      </c>
      <c r="B3">
        <f>1</f>
        <v>1</v>
      </c>
      <c r="C3">
        <v>1</v>
      </c>
      <c r="D3">
        <v>3</v>
      </c>
      <c r="F3">
        <f>PRODUCT(B8:B13)</f>
        <v>3.9506172839506171</v>
      </c>
      <c r="G3">
        <f>(45+D8)/D13</f>
        <v>16.333333333333332</v>
      </c>
      <c r="H3">
        <f>((D12+D11)/D12)*((D9+D10)/D9)</f>
        <v>5.25</v>
      </c>
      <c r="I3">
        <f>SUM(C8:C13)</f>
        <v>11</v>
      </c>
      <c r="J3">
        <f>PRODUCT(F3:H3)</f>
        <v>338.76543209876542</v>
      </c>
      <c r="K3">
        <f>J3^(1/6)</f>
        <v>2.6402791614145715</v>
      </c>
      <c r="L3">
        <f>6*K3+I3</f>
        <v>26.841674968487428</v>
      </c>
      <c r="M3">
        <f>(45*B8)/(K3-B8)</f>
        <v>45.90855926147114</v>
      </c>
      <c r="N3" s="2" t="s">
        <v>17</v>
      </c>
      <c r="O3">
        <f>(L3*60)*0.001</f>
        <v>1.6105004981092457</v>
      </c>
      <c r="P3">
        <f>LOG(J3,3.59)</f>
        <v>4.5576011337089009</v>
      </c>
    </row>
    <row r="4" spans="1:16" x14ac:dyDescent="0.25">
      <c r="A4" t="s">
        <v>2</v>
      </c>
      <c r="B4">
        <f>4/3</f>
        <v>1.3333333333333333</v>
      </c>
      <c r="C4">
        <v>2</v>
      </c>
      <c r="D4">
        <v>4</v>
      </c>
      <c r="M4">
        <f>(M3*B9)/K3</f>
        <v>23.183689529190996</v>
      </c>
      <c r="N4" s="2" t="s">
        <v>18</v>
      </c>
    </row>
    <row r="5" spans="1:16" x14ac:dyDescent="0.25">
      <c r="A5" t="s">
        <v>3</v>
      </c>
      <c r="B5">
        <f>5/3</f>
        <v>1.6666666666666667</v>
      </c>
      <c r="C5">
        <v>3</v>
      </c>
      <c r="D5">
        <v>5</v>
      </c>
      <c r="M5">
        <f>(M4*B10)/(K3-B10)</f>
        <v>39.686715974877146</v>
      </c>
      <c r="N5" s="2" t="s">
        <v>19</v>
      </c>
    </row>
    <row r="6" spans="1:16" x14ac:dyDescent="0.25">
      <c r="M6">
        <f>(M5*B11)/K3</f>
        <v>20.041676680690767</v>
      </c>
      <c r="N6" s="2" t="s">
        <v>20</v>
      </c>
    </row>
    <row r="7" spans="1:16" x14ac:dyDescent="0.25">
      <c r="A7" s="4" t="s">
        <v>16</v>
      </c>
      <c r="B7" s="4" t="s">
        <v>4</v>
      </c>
      <c r="C7" s="4" t="s">
        <v>5</v>
      </c>
      <c r="D7" s="4" t="s">
        <v>29</v>
      </c>
      <c r="M7">
        <f>(M6*B12)/K3</f>
        <v>7.5907415297529068</v>
      </c>
      <c r="N7" s="2" t="s">
        <v>21</v>
      </c>
    </row>
    <row r="8" spans="1:16" x14ac:dyDescent="0.25">
      <c r="A8" t="s">
        <v>17</v>
      </c>
      <c r="B8">
        <f>4/3</f>
        <v>1.3333333333333333</v>
      </c>
      <c r="C8">
        <f>2</f>
        <v>2</v>
      </c>
      <c r="D8">
        <f>4</f>
        <v>4</v>
      </c>
      <c r="M8">
        <f>(M7+M6)*B12/K3</f>
        <v>10.465718403670303</v>
      </c>
      <c r="N8" s="2" t="s">
        <v>22</v>
      </c>
    </row>
    <row r="9" spans="1:16" x14ac:dyDescent="0.25">
      <c r="A9" t="s">
        <v>18</v>
      </c>
      <c r="B9">
        <f>4/3</f>
        <v>1.3333333333333333</v>
      </c>
      <c r="C9">
        <f>2</f>
        <v>2</v>
      </c>
      <c r="D9">
        <f>4</f>
        <v>4</v>
      </c>
    </row>
    <row r="10" spans="1:16" x14ac:dyDescent="0.25">
      <c r="A10" t="s">
        <v>19</v>
      </c>
      <c r="B10">
        <f>5/3</f>
        <v>1.6666666666666667</v>
      </c>
      <c r="C10">
        <f>3</f>
        <v>3</v>
      </c>
      <c r="D10">
        <f>5</f>
        <v>5</v>
      </c>
      <c r="F10" s="15" t="s">
        <v>24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1:16" x14ac:dyDescent="0.25">
      <c r="A11" t="s">
        <v>20</v>
      </c>
      <c r="B11">
        <f>4/3</f>
        <v>1.3333333333333333</v>
      </c>
      <c r="C11">
        <f>2</f>
        <v>2</v>
      </c>
      <c r="D11">
        <f>4</f>
        <v>4</v>
      </c>
      <c r="F11" s="3" t="s">
        <v>8</v>
      </c>
      <c r="G11" s="3" t="s">
        <v>9</v>
      </c>
      <c r="H11" s="3" t="s">
        <v>13</v>
      </c>
      <c r="I11" s="3" t="s">
        <v>12</v>
      </c>
      <c r="J11" s="3" t="s">
        <v>11</v>
      </c>
      <c r="K11" s="3" t="s">
        <v>10</v>
      </c>
      <c r="L11" s="3" t="s">
        <v>14</v>
      </c>
      <c r="M11" s="3" t="s">
        <v>29</v>
      </c>
      <c r="N11" s="3" t="s">
        <v>16</v>
      </c>
      <c r="O11" s="3" t="s">
        <v>44</v>
      </c>
      <c r="P11" s="3" t="s">
        <v>48</v>
      </c>
    </row>
    <row r="12" spans="1:16" x14ac:dyDescent="0.25">
      <c r="A12" t="s">
        <v>21</v>
      </c>
      <c r="B12">
        <f>1</f>
        <v>1</v>
      </c>
      <c r="C12">
        <f>1</f>
        <v>1</v>
      </c>
      <c r="D12">
        <f>3</f>
        <v>3</v>
      </c>
      <c r="F12">
        <f>PRODUCT(B8:B13)</f>
        <v>3.9506172839506171</v>
      </c>
      <c r="G12">
        <f>(45+M3)/3</f>
        <v>30.302853087157047</v>
      </c>
      <c r="H12">
        <f>((M7+M6)/M7)*((M4+M5)/M4)</f>
        <v>9.8718466160433263</v>
      </c>
      <c r="I12">
        <f>SUM(C8:C13)</f>
        <v>11</v>
      </c>
      <c r="J12">
        <f>PRODUCT(F12:H12)</f>
        <v>1181.8078724144566</v>
      </c>
      <c r="K12">
        <f>J12^(1/6)</f>
        <v>3.2515553140689812</v>
      </c>
      <c r="L12">
        <f>(6*K12)+I12</f>
        <v>30.509331884413889</v>
      </c>
      <c r="M12">
        <f>(45*B8)/(K12-B8)</f>
        <v>31.278965939588332</v>
      </c>
      <c r="N12" s="2" t="s">
        <v>17</v>
      </c>
      <c r="O12">
        <f>(L12*60)*0.001</f>
        <v>1.8305599130648333</v>
      </c>
      <c r="P12">
        <f>LOG(J12,3.59)</f>
        <v>5.5351785385391956</v>
      </c>
    </row>
    <row r="13" spans="1:16" x14ac:dyDescent="0.25">
      <c r="A13" t="s">
        <v>22</v>
      </c>
      <c r="B13">
        <f>1</f>
        <v>1</v>
      </c>
      <c r="C13">
        <f>1</f>
        <v>1</v>
      </c>
      <c r="D13">
        <f>3</f>
        <v>3</v>
      </c>
      <c r="M13">
        <f>(M12*B9)/K12</f>
        <v>12.826258172204152</v>
      </c>
      <c r="N13" s="2" t="s">
        <v>18</v>
      </c>
    </row>
    <row r="14" spans="1:16" x14ac:dyDescent="0.25">
      <c r="M14">
        <f>(M13*B10)/(K12-B10)</f>
        <v>13.488075006853867</v>
      </c>
      <c r="N14" s="2" t="s">
        <v>19</v>
      </c>
    </row>
    <row r="15" spans="1:16" x14ac:dyDescent="0.25">
      <c r="M15">
        <f>(M14*B11)/K12</f>
        <v>5.5309223654673945</v>
      </c>
      <c r="N15" s="2" t="s">
        <v>20</v>
      </c>
    </row>
    <row r="16" spans="1:16" x14ac:dyDescent="0.25">
      <c r="M16">
        <f>(M15*B12)/K12</f>
        <v>1.7010082349009845</v>
      </c>
      <c r="N16" s="2" t="s">
        <v>21</v>
      </c>
    </row>
    <row r="17" spans="1:20" x14ac:dyDescent="0.25">
      <c r="M17">
        <f>(M16+M15)*B13/K12</f>
        <v>2.2241450327100156</v>
      </c>
      <c r="N17" s="2" t="s">
        <v>22</v>
      </c>
    </row>
    <row r="19" spans="1:20" x14ac:dyDescent="0.25">
      <c r="A19" s="16" t="s">
        <v>68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M19" s="16" t="s">
        <v>74</v>
      </c>
      <c r="N19" s="16"/>
      <c r="O19" s="16"/>
      <c r="P19" s="16"/>
      <c r="Q19" s="16"/>
      <c r="R19" s="16"/>
      <c r="S19" s="16"/>
      <c r="T19" s="16"/>
    </row>
    <row r="20" spans="1:20" x14ac:dyDescent="0.25">
      <c r="A20" s="5" t="s">
        <v>16</v>
      </c>
      <c r="B20" s="5" t="s">
        <v>25</v>
      </c>
      <c r="C20" s="6" t="s">
        <v>27</v>
      </c>
      <c r="D20" s="6" t="s">
        <v>60</v>
      </c>
      <c r="E20" s="5" t="s">
        <v>26</v>
      </c>
      <c r="F20" s="5" t="s">
        <v>37</v>
      </c>
      <c r="G20" s="5" t="s">
        <v>38</v>
      </c>
      <c r="H20" s="5" t="s">
        <v>58</v>
      </c>
      <c r="I20" s="5" t="s">
        <v>59</v>
      </c>
      <c r="J20" s="5" t="s">
        <v>47</v>
      </c>
      <c r="K20" s="5" t="s">
        <v>46</v>
      </c>
      <c r="M20" s="5" t="s">
        <v>1</v>
      </c>
      <c r="N20" s="5" t="s">
        <v>29</v>
      </c>
      <c r="O20" s="5" t="s">
        <v>60</v>
      </c>
      <c r="P20" s="5" t="s">
        <v>26</v>
      </c>
      <c r="Q20" s="5" t="s">
        <v>37</v>
      </c>
      <c r="R20" s="5" t="s">
        <v>38</v>
      </c>
      <c r="S20" s="5" t="s">
        <v>75</v>
      </c>
      <c r="T20" s="5" t="s">
        <v>76</v>
      </c>
    </row>
    <row r="21" spans="1:20" x14ac:dyDescent="0.25">
      <c r="A21" t="s">
        <v>17</v>
      </c>
      <c r="B21" t="s">
        <v>2</v>
      </c>
      <c r="C21">
        <f>VALUE(M12)</f>
        <v>31.278965939588332</v>
      </c>
      <c r="D21">
        <f>4</f>
        <v>4</v>
      </c>
      <c r="E21">
        <f>C21/D21</f>
        <v>7.819741484897083</v>
      </c>
      <c r="F21">
        <f t="shared" ref="F21:F26" si="0">1.5*E21*2</f>
        <v>23.459224454691249</v>
      </c>
      <c r="G21">
        <f>1.5*E21*2</f>
        <v>23.459224454691249</v>
      </c>
      <c r="H21">
        <f>F21/2</f>
        <v>11.729612227345624</v>
      </c>
      <c r="I21">
        <f>G21/2</f>
        <v>11.729612227345624</v>
      </c>
      <c r="J21" t="s">
        <v>35</v>
      </c>
      <c r="K21">
        <f>(45*3)+(C21*3)</f>
        <v>228.83689781876501</v>
      </c>
      <c r="M21" t="s">
        <v>71</v>
      </c>
      <c r="N21">
        <f>(M13+M13)/K12</f>
        <v>7.8893064600235467</v>
      </c>
      <c r="O21">
        <f>3</f>
        <v>3</v>
      </c>
      <c r="P21">
        <f>N21/O21</f>
        <v>2.6297688200078491</v>
      </c>
      <c r="Q21">
        <f>1.5*P21*2</f>
        <v>7.8893064600235476</v>
      </c>
      <c r="R21">
        <f>1.5*P21*1</f>
        <v>3.9446532300117738</v>
      </c>
      <c r="S21">
        <f>7.8</f>
        <v>7.8</v>
      </c>
      <c r="T21">
        <v>3.9</v>
      </c>
    </row>
    <row r="22" spans="1:20" x14ac:dyDescent="0.25">
      <c r="A22" t="s">
        <v>18</v>
      </c>
      <c r="B22" t="s">
        <v>2</v>
      </c>
      <c r="C22">
        <f>VALUE(M13)</f>
        <v>12.826258172204152</v>
      </c>
      <c r="D22">
        <f>4</f>
        <v>4</v>
      </c>
      <c r="E22">
        <f t="shared" ref="E22:E26" si="1">C22/D22</f>
        <v>3.2065645430510381</v>
      </c>
      <c r="F22">
        <f t="shared" si="0"/>
        <v>9.6196936291531152</v>
      </c>
      <c r="G22">
        <f>1.5*E22*2</f>
        <v>9.6196936291531152</v>
      </c>
      <c r="H22">
        <f>G22</f>
        <v>9.6196936291531152</v>
      </c>
      <c r="I22">
        <f>G22</f>
        <v>9.6196936291531152</v>
      </c>
      <c r="J22" t="s">
        <v>36</v>
      </c>
      <c r="K22">
        <f>C21*3</f>
        <v>93.836897818764996</v>
      </c>
      <c r="M22" t="s">
        <v>70</v>
      </c>
      <c r="N22">
        <f>(N21+M15+M15)/K12</f>
        <v>5.8283342463711474</v>
      </c>
      <c r="O22">
        <f>3</f>
        <v>3</v>
      </c>
      <c r="P22">
        <f t="shared" ref="P22:P24" si="2">N22/O22</f>
        <v>1.9427780821237157</v>
      </c>
      <c r="Q22">
        <f t="shared" ref="Q22:Q24" si="3">1.5*P22*2</f>
        <v>5.8283342463711474</v>
      </c>
      <c r="R22">
        <f t="shared" ref="R22:R24" si="4">1.5*P22*1</f>
        <v>2.9141671231855737</v>
      </c>
      <c r="S22">
        <v>6</v>
      </c>
      <c r="T22">
        <v>3</v>
      </c>
    </row>
    <row r="23" spans="1:20" x14ac:dyDescent="0.25">
      <c r="A23" t="s">
        <v>19</v>
      </c>
      <c r="B23" t="s">
        <v>3</v>
      </c>
      <c r="C23">
        <f>VALUE(M14)</f>
        <v>13.488075006853867</v>
      </c>
      <c r="D23">
        <f>5</f>
        <v>5</v>
      </c>
      <c r="E23">
        <f t="shared" si="1"/>
        <v>2.6976150013707736</v>
      </c>
      <c r="F23">
        <f t="shared" si="0"/>
        <v>8.0928450041123199</v>
      </c>
      <c r="G23">
        <f>1.5*E23*3</f>
        <v>12.13926750616848</v>
      </c>
      <c r="H23">
        <f>F23</f>
        <v>8.0928450041123199</v>
      </c>
      <c r="I23">
        <f>G23</f>
        <v>12.13926750616848</v>
      </c>
      <c r="J23" t="s">
        <v>35</v>
      </c>
      <c r="K23">
        <f>(C22*3)+(C23*3)</f>
        <v>78.94299953717406</v>
      </c>
      <c r="M23" t="s">
        <v>72</v>
      </c>
      <c r="N23">
        <f>M14/K12</f>
        <v>4.148191774100547</v>
      </c>
      <c r="O23">
        <f>3</f>
        <v>3</v>
      </c>
      <c r="P23">
        <f t="shared" si="2"/>
        <v>1.3827305913668491</v>
      </c>
      <c r="Q23">
        <f t="shared" si="3"/>
        <v>4.148191774100547</v>
      </c>
      <c r="R23">
        <f t="shared" si="4"/>
        <v>2.0740958870502735</v>
      </c>
      <c r="S23">
        <v>4.2</v>
      </c>
      <c r="T23">
        <v>2.1</v>
      </c>
    </row>
    <row r="24" spans="1:20" x14ac:dyDescent="0.25">
      <c r="A24" t="s">
        <v>20</v>
      </c>
      <c r="B24" t="s">
        <v>2</v>
      </c>
      <c r="C24">
        <f>VALUE(M15)</f>
        <v>5.5309223654673945</v>
      </c>
      <c r="D24">
        <f>4</f>
        <v>4</v>
      </c>
      <c r="E24">
        <f t="shared" si="1"/>
        <v>1.3827305913668486</v>
      </c>
      <c r="F24">
        <f t="shared" si="0"/>
        <v>4.1481917741005461</v>
      </c>
      <c r="G24">
        <f>1.5*E24*2</f>
        <v>4.1481917741005461</v>
      </c>
      <c r="H24">
        <f>G24</f>
        <v>4.1481917741005461</v>
      </c>
      <c r="I24">
        <f>G24</f>
        <v>4.1481917741005461</v>
      </c>
      <c r="J24" t="s">
        <v>36</v>
      </c>
      <c r="K24">
        <f>C23*3</f>
        <v>40.464225020561599</v>
      </c>
      <c r="M24" t="s">
        <v>73</v>
      </c>
      <c r="N24">
        <f>M14/K12</f>
        <v>4.148191774100547</v>
      </c>
      <c r="O24">
        <f>3</f>
        <v>3</v>
      </c>
      <c r="P24">
        <f t="shared" si="2"/>
        <v>1.3827305913668491</v>
      </c>
      <c r="Q24">
        <f t="shared" si="3"/>
        <v>4.148191774100547</v>
      </c>
      <c r="R24">
        <f t="shared" si="4"/>
        <v>2.0740958870502735</v>
      </c>
      <c r="S24">
        <v>4.2</v>
      </c>
      <c r="T24">
        <v>2.1</v>
      </c>
    </row>
    <row r="25" spans="1:20" x14ac:dyDescent="0.25">
      <c r="A25" t="s">
        <v>21</v>
      </c>
      <c r="B25" t="s">
        <v>28</v>
      </c>
      <c r="C25">
        <f>3</f>
        <v>3</v>
      </c>
      <c r="D25">
        <f>3</f>
        <v>3</v>
      </c>
      <c r="E25">
        <f t="shared" si="1"/>
        <v>1</v>
      </c>
      <c r="F25">
        <f t="shared" si="0"/>
        <v>3</v>
      </c>
      <c r="G25">
        <f>1.5*E25*1</f>
        <v>1.5</v>
      </c>
      <c r="H25">
        <f>3</f>
        <v>3</v>
      </c>
      <c r="I25">
        <f>1.5</f>
        <v>1.5</v>
      </c>
      <c r="J25" t="s">
        <v>36</v>
      </c>
      <c r="K25">
        <f>C24*3</f>
        <v>16.592767096402184</v>
      </c>
    </row>
    <row r="26" spans="1:20" x14ac:dyDescent="0.25">
      <c r="A26" t="s">
        <v>22</v>
      </c>
      <c r="B26" t="s">
        <v>28</v>
      </c>
      <c r="C26">
        <f>3</f>
        <v>3</v>
      </c>
      <c r="D26">
        <f>3</f>
        <v>3</v>
      </c>
      <c r="E26">
        <f t="shared" si="1"/>
        <v>1</v>
      </c>
      <c r="F26">
        <f t="shared" si="0"/>
        <v>3</v>
      </c>
      <c r="G26">
        <f>1.5*E26*1</f>
        <v>1.5</v>
      </c>
      <c r="H26">
        <f>3</f>
        <v>3</v>
      </c>
      <c r="I26">
        <f>1.5</f>
        <v>1.5</v>
      </c>
      <c r="J26" t="s">
        <v>36</v>
      </c>
      <c r="K26">
        <f>(C25*3)+(C24*3)</f>
        <v>25.592767096402184</v>
      </c>
    </row>
    <row r="28" spans="1:20" x14ac:dyDescent="0.25">
      <c r="A28" s="13" t="s">
        <v>42</v>
      </c>
      <c r="B28" s="13"/>
      <c r="C28" s="13"/>
      <c r="D28" s="13"/>
      <c r="E28" s="13"/>
      <c r="F28" s="13"/>
      <c r="G28" s="13"/>
      <c r="I28" s="13" t="s">
        <v>45</v>
      </c>
      <c r="J28" s="13"/>
      <c r="K28" s="13"/>
      <c r="L28" s="13"/>
      <c r="M28" s="13"/>
      <c r="N28" s="13"/>
      <c r="O28" s="13"/>
    </row>
    <row r="29" spans="1:20" x14ac:dyDescent="0.25">
      <c r="A29" s="7" t="s">
        <v>16</v>
      </c>
      <c r="B29" s="7" t="s">
        <v>25</v>
      </c>
      <c r="C29" s="7" t="s">
        <v>30</v>
      </c>
      <c r="D29" s="7" t="s">
        <v>31</v>
      </c>
      <c r="E29" s="7" t="s">
        <v>32</v>
      </c>
      <c r="F29" s="7" t="s">
        <v>33</v>
      </c>
      <c r="G29" s="7" t="s">
        <v>34</v>
      </c>
      <c r="I29" s="7" t="s">
        <v>16</v>
      </c>
      <c r="J29" s="7" t="s">
        <v>25</v>
      </c>
      <c r="K29" s="7" t="s">
        <v>30</v>
      </c>
      <c r="L29" s="7" t="s">
        <v>31</v>
      </c>
      <c r="M29" s="7" t="s">
        <v>32</v>
      </c>
      <c r="N29" s="7" t="s">
        <v>33</v>
      </c>
      <c r="O29" s="7" t="s">
        <v>34</v>
      </c>
    </row>
    <row r="30" spans="1:20" x14ac:dyDescent="0.25">
      <c r="A30" t="s">
        <v>17</v>
      </c>
      <c r="B30" t="s">
        <v>2</v>
      </c>
      <c r="C30">
        <v>209.9</v>
      </c>
      <c r="D30">
        <v>270.5</v>
      </c>
      <c r="E30">
        <v>160</v>
      </c>
      <c r="F30">
        <v>209.5</v>
      </c>
      <c r="G30">
        <f t="shared" ref="G30:G35" si="5">(E30+F30)/2</f>
        <v>184.75</v>
      </c>
      <c r="I30" t="s">
        <v>17</v>
      </c>
      <c r="J30" t="s">
        <v>2</v>
      </c>
      <c r="K30">
        <v>179.4</v>
      </c>
      <c r="L30">
        <v>187</v>
      </c>
      <c r="M30">
        <v>151.30000000000001</v>
      </c>
      <c r="N30">
        <v>157</v>
      </c>
      <c r="O30">
        <f t="shared" ref="O30:O35" si="6">(M30+N30)/2</f>
        <v>154.15</v>
      </c>
    </row>
    <row r="31" spans="1:20" x14ac:dyDescent="0.25">
      <c r="A31" t="s">
        <v>18</v>
      </c>
      <c r="B31" t="s">
        <v>2</v>
      </c>
      <c r="C31">
        <v>212.5</v>
      </c>
      <c r="D31">
        <v>272.60000000000002</v>
      </c>
      <c r="E31">
        <v>162.1</v>
      </c>
      <c r="F31">
        <v>212.1</v>
      </c>
      <c r="G31">
        <f t="shared" si="5"/>
        <v>187.1</v>
      </c>
      <c r="I31" t="s">
        <v>18</v>
      </c>
      <c r="J31" t="s">
        <v>2</v>
      </c>
      <c r="K31">
        <v>186.4</v>
      </c>
      <c r="L31">
        <v>193</v>
      </c>
      <c r="M31">
        <v>153.80000000000001</v>
      </c>
      <c r="N31">
        <v>165</v>
      </c>
      <c r="O31">
        <f t="shared" si="6"/>
        <v>159.4</v>
      </c>
    </row>
    <row r="32" spans="1:20" x14ac:dyDescent="0.25">
      <c r="A32" t="s">
        <v>19</v>
      </c>
      <c r="B32" t="s">
        <v>3</v>
      </c>
      <c r="C32">
        <v>272.89999999999998</v>
      </c>
      <c r="D32">
        <v>93.05</v>
      </c>
      <c r="E32">
        <v>262.7</v>
      </c>
      <c r="F32">
        <v>95.07</v>
      </c>
      <c r="G32">
        <f t="shared" si="5"/>
        <v>178.88499999999999</v>
      </c>
      <c r="I32" t="s">
        <v>19</v>
      </c>
      <c r="J32" t="s">
        <v>3</v>
      </c>
      <c r="K32">
        <v>222.9</v>
      </c>
      <c r="L32">
        <v>78.42</v>
      </c>
      <c r="M32">
        <v>212.7</v>
      </c>
      <c r="N32">
        <v>86.91</v>
      </c>
      <c r="O32">
        <f t="shared" si="6"/>
        <v>149.80500000000001</v>
      </c>
    </row>
    <row r="33" spans="1:15" x14ac:dyDescent="0.25">
      <c r="A33" t="s">
        <v>20</v>
      </c>
      <c r="B33" t="s">
        <v>2</v>
      </c>
      <c r="C33">
        <v>230.2</v>
      </c>
      <c r="D33">
        <v>292.89999999999998</v>
      </c>
      <c r="E33">
        <v>177</v>
      </c>
      <c r="F33">
        <v>227.8</v>
      </c>
      <c r="G33">
        <f t="shared" si="5"/>
        <v>202.4</v>
      </c>
      <c r="I33" t="s">
        <v>20</v>
      </c>
      <c r="J33" t="s">
        <v>2</v>
      </c>
      <c r="K33">
        <v>206.1</v>
      </c>
      <c r="L33">
        <v>210.9</v>
      </c>
      <c r="M33">
        <v>171.1</v>
      </c>
      <c r="N33">
        <v>177.5</v>
      </c>
      <c r="O33">
        <f t="shared" si="6"/>
        <v>174.3</v>
      </c>
    </row>
    <row r="34" spans="1:15" x14ac:dyDescent="0.25">
      <c r="A34" t="s">
        <v>21</v>
      </c>
      <c r="B34" t="s">
        <v>28</v>
      </c>
      <c r="C34">
        <v>180.6</v>
      </c>
      <c r="D34">
        <v>138.80000000000001</v>
      </c>
      <c r="E34">
        <v>169.2</v>
      </c>
      <c r="F34">
        <v>118.1</v>
      </c>
      <c r="G34">
        <f t="shared" si="5"/>
        <v>143.64999999999998</v>
      </c>
      <c r="I34" t="s">
        <v>21</v>
      </c>
      <c r="J34" t="s">
        <v>28</v>
      </c>
      <c r="K34">
        <v>180.4</v>
      </c>
      <c r="L34">
        <v>138.69999999999999</v>
      </c>
      <c r="M34">
        <v>168.7</v>
      </c>
      <c r="N34">
        <v>118.1</v>
      </c>
      <c r="O34">
        <f t="shared" si="6"/>
        <v>143.39999999999998</v>
      </c>
    </row>
    <row r="35" spans="1:15" x14ac:dyDescent="0.25">
      <c r="A35" t="s">
        <v>22</v>
      </c>
      <c r="B35" t="s">
        <v>28</v>
      </c>
      <c r="C35">
        <v>249.1</v>
      </c>
      <c r="D35">
        <v>191.9</v>
      </c>
      <c r="E35">
        <v>219</v>
      </c>
      <c r="F35">
        <v>152.30000000000001</v>
      </c>
      <c r="G35">
        <f t="shared" si="5"/>
        <v>185.65</v>
      </c>
      <c r="I35" t="s">
        <v>22</v>
      </c>
      <c r="J35" t="s">
        <v>28</v>
      </c>
      <c r="K35">
        <v>249</v>
      </c>
      <c r="L35">
        <v>191.7</v>
      </c>
      <c r="M35">
        <v>218.5</v>
      </c>
      <c r="N35">
        <v>152.19999999999999</v>
      </c>
      <c r="O35">
        <f t="shared" si="6"/>
        <v>185.35</v>
      </c>
    </row>
    <row r="36" spans="1:15" x14ac:dyDescent="0.25">
      <c r="F36" t="s">
        <v>39</v>
      </c>
      <c r="G36">
        <f>SUM(G30:G35)</f>
        <v>1082.4349999999999</v>
      </c>
      <c r="N36" t="s">
        <v>39</v>
      </c>
      <c r="O36">
        <f>SUM(O30:O35)</f>
        <v>966.40499999999997</v>
      </c>
    </row>
    <row r="38" spans="1:15" x14ac:dyDescent="0.25">
      <c r="A38" s="12" t="s">
        <v>41</v>
      </c>
      <c r="B38" s="12"/>
      <c r="C38" s="12"/>
      <c r="D38" s="12"/>
      <c r="E38" s="12"/>
      <c r="F38" s="12"/>
      <c r="G38" s="12"/>
      <c r="H38" s="12"/>
      <c r="I38" s="12"/>
      <c r="J38" s="12"/>
      <c r="M38" s="11" t="s">
        <v>51</v>
      </c>
      <c r="N38" s="11"/>
    </row>
    <row r="39" spans="1:15" x14ac:dyDescent="0.25">
      <c r="A39" s="8" t="s">
        <v>40</v>
      </c>
      <c r="B39" s="8" t="s">
        <v>30</v>
      </c>
      <c r="C39" s="8" t="s">
        <v>31</v>
      </c>
      <c r="D39" s="8" t="s">
        <v>61</v>
      </c>
      <c r="E39" s="8" t="s">
        <v>62</v>
      </c>
      <c r="F39" s="8" t="s">
        <v>63</v>
      </c>
      <c r="G39" s="8" t="s">
        <v>64</v>
      </c>
      <c r="H39" s="8" t="s">
        <v>65</v>
      </c>
      <c r="I39" s="8" t="s">
        <v>66</v>
      </c>
      <c r="J39" s="8" t="s">
        <v>67</v>
      </c>
      <c r="M39" s="10" t="s">
        <v>53</v>
      </c>
      <c r="N39" s="10" t="s">
        <v>44</v>
      </c>
    </row>
    <row r="40" spans="1:15" x14ac:dyDescent="0.25">
      <c r="A40" t="s">
        <v>43</v>
      </c>
      <c r="B40">
        <v>298.8</v>
      </c>
      <c r="C40">
        <v>344.4</v>
      </c>
      <c r="D40">
        <v>0.83189999999999997</v>
      </c>
      <c r="E40">
        <v>1.726</v>
      </c>
      <c r="F40">
        <f>(D40+E40)/2</f>
        <v>1.27895</v>
      </c>
      <c r="G40">
        <v>0.8579</v>
      </c>
      <c r="H40">
        <v>0.65539999999999998</v>
      </c>
      <c r="I40">
        <f>AVERAGE(G40:H40)</f>
        <v>0.75665000000000004</v>
      </c>
      <c r="J40">
        <f>I40+F40</f>
        <v>2.0356000000000001</v>
      </c>
      <c r="M40" t="s">
        <v>52</v>
      </c>
      <c r="N40">
        <f>VALUE(O12)</f>
        <v>1.8305599130648333</v>
      </c>
    </row>
    <row r="41" spans="1:15" x14ac:dyDescent="0.25">
      <c r="A41" t="s">
        <v>69</v>
      </c>
      <c r="B41">
        <v>263.60000000000002</v>
      </c>
      <c r="C41">
        <v>285.3</v>
      </c>
      <c r="D41">
        <v>1.21</v>
      </c>
      <c r="E41">
        <v>1.915</v>
      </c>
      <c r="F41">
        <f>(D41+E41)/2</f>
        <v>1.5625</v>
      </c>
      <c r="G41">
        <v>0.95689999999999997</v>
      </c>
      <c r="H41">
        <v>0.69589999999999996</v>
      </c>
      <c r="I41">
        <f>AVERAGE(G41:H41)</f>
        <v>0.82640000000000002</v>
      </c>
      <c r="J41">
        <f>I41+F41</f>
        <v>2.3889</v>
      </c>
      <c r="M41" t="s">
        <v>54</v>
      </c>
      <c r="N41">
        <f>VALUE(G36)*0.001</f>
        <v>1.082435</v>
      </c>
    </row>
    <row r="42" spans="1:15" x14ac:dyDescent="0.25">
      <c r="M42" t="s">
        <v>55</v>
      </c>
      <c r="N42">
        <f>VALUE(J40)</f>
        <v>2.0356000000000001</v>
      </c>
    </row>
    <row r="43" spans="1:15" x14ac:dyDescent="0.25">
      <c r="M43" t="s">
        <v>56</v>
      </c>
      <c r="N43">
        <f>VALUE(O36)*0.001</f>
        <v>0.96640499999999996</v>
      </c>
    </row>
    <row r="44" spans="1:15" x14ac:dyDescent="0.25">
      <c r="M44" t="s">
        <v>57</v>
      </c>
      <c r="N44">
        <f>VALUE(J41)</f>
        <v>2.3889</v>
      </c>
    </row>
  </sheetData>
  <mergeCells count="9">
    <mergeCell ref="M38:N38"/>
    <mergeCell ref="A38:J38"/>
    <mergeCell ref="A28:G28"/>
    <mergeCell ref="I28:O28"/>
    <mergeCell ref="A1:D1"/>
    <mergeCell ref="F10:P10"/>
    <mergeCell ref="A19:K19"/>
    <mergeCell ref="F1:P1"/>
    <mergeCell ref="M19:T19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9C9D-D0EF-4C40-89F9-7F963AABD254}">
  <dimension ref="A1:P17"/>
  <sheetViews>
    <sheetView zoomScale="85" zoomScaleNormal="85" workbookViewId="0">
      <selection activeCell="I36" sqref="I36"/>
    </sheetView>
  </sheetViews>
  <sheetFormatPr defaultRowHeight="15" x14ac:dyDescent="0.25"/>
  <cols>
    <col min="1" max="1" width="10.5703125" customWidth="1"/>
    <col min="2" max="2" width="12.85546875" customWidth="1"/>
    <col min="3" max="3" width="14.5703125" customWidth="1"/>
    <col min="4" max="4" width="12.140625" customWidth="1"/>
    <col min="5" max="5" width="10.42578125" customWidth="1"/>
    <col min="6" max="6" width="15.140625" customWidth="1"/>
    <col min="7" max="7" width="15.42578125" customWidth="1"/>
    <col min="8" max="8" width="16" customWidth="1"/>
    <col min="9" max="9" width="16.28515625" customWidth="1"/>
    <col min="10" max="10" width="11.140625" customWidth="1"/>
    <col min="11" max="11" width="16.85546875" customWidth="1"/>
    <col min="12" max="12" width="12.140625" customWidth="1"/>
    <col min="14" max="14" width="12.85546875" customWidth="1"/>
    <col min="15" max="15" width="10.28515625" customWidth="1"/>
    <col min="16" max="16" width="21.85546875" customWidth="1"/>
  </cols>
  <sheetData>
    <row r="1" spans="1:16" x14ac:dyDescent="0.25">
      <c r="A1" s="14" t="s">
        <v>7</v>
      </c>
      <c r="B1" s="14"/>
      <c r="C1" s="14"/>
      <c r="D1" s="14"/>
      <c r="F1" s="9" t="s">
        <v>23</v>
      </c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25">
      <c r="A2" s="1" t="s">
        <v>0</v>
      </c>
      <c r="B2" s="1" t="s">
        <v>6</v>
      </c>
      <c r="C2" s="1" t="s">
        <v>5</v>
      </c>
      <c r="D2" s="1" t="s">
        <v>29</v>
      </c>
      <c r="F2" s="3" t="s">
        <v>8</v>
      </c>
      <c r="G2" s="3" t="s">
        <v>9</v>
      </c>
      <c r="H2" s="3" t="s">
        <v>13</v>
      </c>
      <c r="I2" s="3" t="s">
        <v>12</v>
      </c>
      <c r="J2" s="3" t="s">
        <v>11</v>
      </c>
      <c r="K2" s="3" t="s">
        <v>10</v>
      </c>
      <c r="L2" s="3" t="s">
        <v>14</v>
      </c>
      <c r="M2" s="3" t="s">
        <v>15</v>
      </c>
      <c r="N2" s="3" t="s">
        <v>16</v>
      </c>
      <c r="O2" s="3" t="s">
        <v>44</v>
      </c>
      <c r="P2" s="3" t="s">
        <v>48</v>
      </c>
    </row>
    <row r="3" spans="1:16" x14ac:dyDescent="0.25">
      <c r="A3" t="s">
        <v>1</v>
      </c>
      <c r="B3">
        <f>1</f>
        <v>1</v>
      </c>
      <c r="C3">
        <v>1</v>
      </c>
      <c r="D3">
        <v>3</v>
      </c>
      <c r="F3">
        <f>PRODUCT(B8:B13)</f>
        <v>10.802469135802472</v>
      </c>
      <c r="G3">
        <f>(45+D8)/D13</f>
        <v>16.666666666666668</v>
      </c>
      <c r="H3">
        <f>((D12+D11)/D12)*((D9+D10)/D9)</f>
        <v>6.3999999999999995</v>
      </c>
      <c r="I3">
        <f>SUM(C8:C13)</f>
        <v>11</v>
      </c>
      <c r="J3">
        <f>PRODUCT(F3:H3)</f>
        <v>1152.2633744855971</v>
      </c>
      <c r="K3">
        <f>J3^(1/6)</f>
        <v>3.2378641726767059</v>
      </c>
      <c r="L3">
        <f>6*K3+I3</f>
        <v>30.427185036060237</v>
      </c>
      <c r="M3">
        <f>(45*B8)/(K3-B8)</f>
        <v>47.734291655323432</v>
      </c>
      <c r="N3" s="2" t="s">
        <v>17</v>
      </c>
      <c r="O3">
        <f>(L3*60)*0.001</f>
        <v>1.8256311021636142</v>
      </c>
      <c r="P3">
        <f>LOG(J3,3.59)</f>
        <v>5.5153708807303055</v>
      </c>
    </row>
    <row r="4" spans="1:16" x14ac:dyDescent="0.25">
      <c r="A4" t="s">
        <v>49</v>
      </c>
      <c r="B4">
        <f>5/3</f>
        <v>1.6666666666666667</v>
      </c>
      <c r="C4">
        <v>2</v>
      </c>
      <c r="D4">
        <v>5</v>
      </c>
      <c r="M4">
        <f>(M3*B9)/K3</f>
        <v>24.570874044139842</v>
      </c>
      <c r="N4" s="2" t="s">
        <v>18</v>
      </c>
    </row>
    <row r="5" spans="1:16" x14ac:dyDescent="0.25">
      <c r="A5" t="s">
        <v>50</v>
      </c>
      <c r="B5">
        <f>7/3</f>
        <v>2.3333333333333335</v>
      </c>
      <c r="C5">
        <v>3</v>
      </c>
      <c r="D5">
        <v>7</v>
      </c>
      <c r="M5">
        <f>(M4*B10)/(K3-B10)</f>
        <v>63.383178265038978</v>
      </c>
      <c r="N5" s="2" t="s">
        <v>19</v>
      </c>
    </row>
    <row r="6" spans="1:16" x14ac:dyDescent="0.25">
      <c r="M6">
        <f>(M5*B11)/K3</f>
        <v>32.626022837270959</v>
      </c>
      <c r="N6" s="2" t="s">
        <v>20</v>
      </c>
    </row>
    <row r="7" spans="1:16" x14ac:dyDescent="0.25">
      <c r="A7" s="4" t="s">
        <v>16</v>
      </c>
      <c r="B7" s="4" t="s">
        <v>4</v>
      </c>
      <c r="C7" s="4" t="s">
        <v>5</v>
      </c>
      <c r="D7" s="4" t="s">
        <v>29</v>
      </c>
      <c r="M7">
        <f>(M6*B12)/K3</f>
        <v>10.076402559622936</v>
      </c>
      <c r="N7" s="2" t="s">
        <v>21</v>
      </c>
    </row>
    <row r="8" spans="1:16" x14ac:dyDescent="0.25">
      <c r="A8" t="s">
        <v>17</v>
      </c>
      <c r="B8">
        <f>VALUE(B4)</f>
        <v>1.6666666666666667</v>
      </c>
      <c r="C8">
        <f>2</f>
        <v>2</v>
      </c>
      <c r="D8">
        <f>VALUE(D4)</f>
        <v>5</v>
      </c>
      <c r="M8">
        <f>(M7+M6)*B12/K3</f>
        <v>13.188454833048873</v>
      </c>
      <c r="N8" s="2" t="s">
        <v>22</v>
      </c>
    </row>
    <row r="9" spans="1:16" x14ac:dyDescent="0.25">
      <c r="A9" t="s">
        <v>18</v>
      </c>
      <c r="B9">
        <f>VALUE(B4)</f>
        <v>1.6666666666666667</v>
      </c>
      <c r="C9">
        <f>2</f>
        <v>2</v>
      </c>
      <c r="D9">
        <f>VALUE(D4)</f>
        <v>5</v>
      </c>
    </row>
    <row r="10" spans="1:16" x14ac:dyDescent="0.25">
      <c r="A10" t="s">
        <v>19</v>
      </c>
      <c r="B10">
        <f>VALUE(B5)</f>
        <v>2.3333333333333335</v>
      </c>
      <c r="C10">
        <f>3</f>
        <v>3</v>
      </c>
      <c r="D10">
        <f>VALUE(D5)</f>
        <v>7</v>
      </c>
      <c r="F10" s="17" t="s">
        <v>24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</row>
    <row r="11" spans="1:16" x14ac:dyDescent="0.25">
      <c r="A11" t="s">
        <v>20</v>
      </c>
      <c r="B11">
        <f>VALUE(B4)</f>
        <v>1.6666666666666667</v>
      </c>
      <c r="C11">
        <f>2</f>
        <v>2</v>
      </c>
      <c r="D11">
        <f>VALUE(D4)</f>
        <v>5</v>
      </c>
      <c r="F11" s="3" t="s">
        <v>8</v>
      </c>
      <c r="G11" s="3" t="s">
        <v>9</v>
      </c>
      <c r="H11" s="3" t="s">
        <v>13</v>
      </c>
      <c r="I11" s="3" t="s">
        <v>12</v>
      </c>
      <c r="J11" s="3" t="s">
        <v>11</v>
      </c>
      <c r="K11" s="3" t="s">
        <v>10</v>
      </c>
      <c r="L11" s="3" t="s">
        <v>14</v>
      </c>
      <c r="M11" s="3" t="s">
        <v>15</v>
      </c>
      <c r="N11" s="3" t="s">
        <v>16</v>
      </c>
      <c r="O11" s="3" t="s">
        <v>44</v>
      </c>
      <c r="P11" s="3" t="s">
        <v>48</v>
      </c>
    </row>
    <row r="12" spans="1:16" x14ac:dyDescent="0.25">
      <c r="A12" t="s">
        <v>21</v>
      </c>
      <c r="B12">
        <f>1</f>
        <v>1</v>
      </c>
      <c r="C12">
        <f>1</f>
        <v>1</v>
      </c>
      <c r="D12">
        <f>3</f>
        <v>3</v>
      </c>
      <c r="F12">
        <f>PRODUCT(B8:B13)</f>
        <v>10.802469135802472</v>
      </c>
      <c r="G12">
        <f>(45+M3)/3</f>
        <v>30.911430551774476</v>
      </c>
      <c r="H12">
        <f>((M7+M6)/M7)*((M4+M5)/M4)</f>
        <v>15.169884736424333</v>
      </c>
      <c r="I12">
        <f>SUM(C8:C13)</f>
        <v>11</v>
      </c>
      <c r="J12">
        <f>PRODUCT(F12:H12)</f>
        <v>5065.5244900599255</v>
      </c>
      <c r="K12">
        <f>J12^(1/6)</f>
        <v>4.1441684801045771</v>
      </c>
      <c r="L12">
        <f>(6*K12)+I12</f>
        <v>35.865010880627466</v>
      </c>
      <c r="M12">
        <f>(45*B8)/(K12-B8)</f>
        <v>30.272429910324107</v>
      </c>
      <c r="N12" s="2" t="s">
        <v>17</v>
      </c>
      <c r="O12">
        <f>(L12*60)*0.001</f>
        <v>2.1519006528376483</v>
      </c>
      <c r="P12">
        <f>LOG(J12,3.59)</f>
        <v>6.6738632116533871</v>
      </c>
    </row>
    <row r="13" spans="1:16" x14ac:dyDescent="0.25">
      <c r="A13" t="s">
        <v>22</v>
      </c>
      <c r="B13">
        <f>1</f>
        <v>1</v>
      </c>
      <c r="C13">
        <f>1</f>
        <v>1</v>
      </c>
      <c r="D13">
        <f>3</f>
        <v>3</v>
      </c>
      <c r="M13">
        <f>(M12*B9)/K12</f>
        <v>12.174710099929863</v>
      </c>
      <c r="N13" s="2" t="s">
        <v>18</v>
      </c>
    </row>
    <row r="14" spans="1:16" x14ac:dyDescent="0.25">
      <c r="M14">
        <f>(M13*B10)/(K12-B10)</f>
        <v>15.687599697017028</v>
      </c>
      <c r="N14" s="2" t="s">
        <v>19</v>
      </c>
    </row>
    <row r="15" spans="1:16" x14ac:dyDescent="0.25">
      <c r="M15">
        <f>(M14*B11)/K12</f>
        <v>6.3091063069831064</v>
      </c>
      <c r="N15" s="2" t="s">
        <v>20</v>
      </c>
    </row>
    <row r="16" spans="1:16" x14ac:dyDescent="0.25">
      <c r="M16">
        <f>(M15*B12)/K12</f>
        <v>1.5224058426369522</v>
      </c>
      <c r="N16" s="2" t="s">
        <v>21</v>
      </c>
    </row>
    <row r="17" spans="13:14" x14ac:dyDescent="0.25">
      <c r="M17">
        <f>(M16+M15)*B13/K12</f>
        <v>1.8897668343402951</v>
      </c>
      <c r="N17" s="2" t="s">
        <v>22</v>
      </c>
    </row>
  </sheetData>
  <mergeCells count="2">
    <mergeCell ref="A1:D1"/>
    <mergeCell ref="F10:P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715E-B96B-4BC1-8F92-4A7F711B6134}">
  <dimension ref="A1:P17"/>
  <sheetViews>
    <sheetView tabSelected="1" zoomScale="85" zoomScaleNormal="85" workbookViewId="0">
      <selection activeCell="F35" sqref="F35"/>
    </sheetView>
  </sheetViews>
  <sheetFormatPr defaultRowHeight="15" x14ac:dyDescent="0.25"/>
  <cols>
    <col min="1" max="1" width="10.5703125" customWidth="1"/>
    <col min="2" max="2" width="12.85546875" customWidth="1"/>
    <col min="3" max="3" width="14.5703125" customWidth="1"/>
    <col min="4" max="4" width="12.140625" customWidth="1"/>
    <col min="5" max="5" width="10.42578125" customWidth="1"/>
    <col min="6" max="6" width="15.140625" customWidth="1"/>
    <col min="7" max="7" width="17.140625" customWidth="1"/>
    <col min="8" max="8" width="18.28515625" customWidth="1"/>
    <col min="9" max="9" width="16.28515625" customWidth="1"/>
    <col min="10" max="10" width="11.140625" customWidth="1"/>
    <col min="11" max="11" width="16.85546875" customWidth="1"/>
    <col min="12" max="12" width="12.140625" customWidth="1"/>
    <col min="14" max="14" width="12.85546875" customWidth="1"/>
    <col min="15" max="15" width="10.28515625" customWidth="1"/>
    <col min="16" max="16" width="21.85546875" customWidth="1"/>
  </cols>
  <sheetData>
    <row r="1" spans="1:16" x14ac:dyDescent="0.25">
      <c r="A1" s="14" t="s">
        <v>7</v>
      </c>
      <c r="B1" s="14"/>
      <c r="C1" s="14"/>
      <c r="D1" s="14"/>
      <c r="F1" s="9" t="s">
        <v>23</v>
      </c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25">
      <c r="A2" s="1" t="s">
        <v>0</v>
      </c>
      <c r="B2" s="1" t="s">
        <v>6</v>
      </c>
      <c r="C2" s="1" t="s">
        <v>5</v>
      </c>
      <c r="D2" s="1" t="s">
        <v>29</v>
      </c>
      <c r="F2" s="3" t="s">
        <v>8</v>
      </c>
      <c r="G2" s="3" t="s">
        <v>9</v>
      </c>
      <c r="H2" s="3" t="s">
        <v>13</v>
      </c>
      <c r="I2" s="3" t="s">
        <v>12</v>
      </c>
      <c r="J2" s="3" t="s">
        <v>11</v>
      </c>
      <c r="K2" s="3" t="s">
        <v>10</v>
      </c>
      <c r="L2" s="3" t="s">
        <v>14</v>
      </c>
      <c r="M2" s="3" t="s">
        <v>15</v>
      </c>
      <c r="N2" s="3" t="s">
        <v>16</v>
      </c>
      <c r="O2" s="3" t="s">
        <v>44</v>
      </c>
      <c r="P2" s="3" t="s">
        <v>48</v>
      </c>
    </row>
    <row r="3" spans="1:16" x14ac:dyDescent="0.25">
      <c r="A3" t="s">
        <v>1</v>
      </c>
      <c r="B3">
        <f>1</f>
        <v>1</v>
      </c>
      <c r="C3">
        <v>1</v>
      </c>
      <c r="D3">
        <v>3</v>
      </c>
      <c r="F3">
        <f>PRODUCT(B8:B13)</f>
        <v>6.9135802469135799</v>
      </c>
      <c r="G3">
        <f>(45+D8)/D13</f>
        <v>16.333333333333332</v>
      </c>
      <c r="H3">
        <f>((D12+D11)/D12)*((D9+D10)/D9)</f>
        <v>7.333333333333333</v>
      </c>
      <c r="I3">
        <f>SUM(C8:C13)</f>
        <v>11</v>
      </c>
      <c r="J3">
        <f>PRODUCT(F3:H3)</f>
        <v>828.09327846364874</v>
      </c>
      <c r="K3">
        <f>J3^(1/6)</f>
        <v>3.0644076881940929</v>
      </c>
      <c r="L3">
        <f>6*K3+I3</f>
        <v>29.386446129164558</v>
      </c>
      <c r="M3">
        <f>(45*B8)/(K3-B8)</f>
        <v>34.660556221356622</v>
      </c>
      <c r="N3" s="2" t="s">
        <v>17</v>
      </c>
      <c r="O3">
        <f>(L3*60)*0.001</f>
        <v>1.7631867677498736</v>
      </c>
      <c r="P3">
        <f>LOG(J3,3.59)</f>
        <v>5.2569058599173317</v>
      </c>
    </row>
    <row r="4" spans="1:16" x14ac:dyDescent="0.25">
      <c r="A4" t="s">
        <v>49</v>
      </c>
      <c r="B4">
        <f>5/3</f>
        <v>1.6666666666666667</v>
      </c>
      <c r="C4">
        <v>2</v>
      </c>
      <c r="D4">
        <v>5</v>
      </c>
      <c r="M4">
        <f>(M3*B9)/K3</f>
        <v>15.080916008614885</v>
      </c>
      <c r="N4" s="2" t="s">
        <v>18</v>
      </c>
    </row>
    <row r="5" spans="1:16" x14ac:dyDescent="0.25">
      <c r="A5" t="s">
        <v>50</v>
      </c>
      <c r="B5">
        <f>7/3</f>
        <v>2.3333333333333335</v>
      </c>
      <c r="C5">
        <v>3</v>
      </c>
      <c r="D5">
        <v>7</v>
      </c>
      <c r="M5">
        <f>(M4*B10)/(K3-B10)</f>
        <v>48.133002869186221</v>
      </c>
      <c r="N5" s="2" t="s">
        <v>19</v>
      </c>
    </row>
    <row r="6" spans="1:16" x14ac:dyDescent="0.25">
      <c r="A6" t="s">
        <v>2</v>
      </c>
      <c r="B6">
        <f>4/3</f>
        <v>1.3333333333333333</v>
      </c>
      <c r="C6">
        <v>2</v>
      </c>
      <c r="D6">
        <v>4</v>
      </c>
      <c r="M6">
        <f>(M5*B11)/K3</f>
        <v>26.17852440382033</v>
      </c>
      <c r="N6" s="2" t="s">
        <v>20</v>
      </c>
    </row>
    <row r="7" spans="1:16" x14ac:dyDescent="0.25">
      <c r="A7" s="4" t="s">
        <v>16</v>
      </c>
      <c r="B7" s="4" t="s">
        <v>4</v>
      </c>
      <c r="C7" s="4" t="s">
        <v>5</v>
      </c>
      <c r="D7" s="4" t="s">
        <v>29</v>
      </c>
      <c r="M7">
        <f>(M6*B12)/K3</f>
        <v>8.5427681521213561</v>
      </c>
      <c r="N7" s="2" t="s">
        <v>21</v>
      </c>
    </row>
    <row r="8" spans="1:16" x14ac:dyDescent="0.25">
      <c r="A8" t="s">
        <v>17</v>
      </c>
      <c r="B8">
        <f>VALUE(B6)</f>
        <v>1.3333333333333333</v>
      </c>
      <c r="C8">
        <f>2</f>
        <v>2</v>
      </c>
      <c r="D8">
        <f>VALUE(D6)</f>
        <v>4</v>
      </c>
      <c r="M8">
        <f>(M7+M6)*B12/K3</f>
        <v>11.330506932778102</v>
      </c>
      <c r="N8" s="2" t="s">
        <v>22</v>
      </c>
    </row>
    <row r="9" spans="1:16" x14ac:dyDescent="0.25">
      <c r="A9" t="s">
        <v>18</v>
      </c>
      <c r="B9">
        <f>VALUE(B6)</f>
        <v>1.3333333333333333</v>
      </c>
      <c r="C9">
        <f>2</f>
        <v>2</v>
      </c>
      <c r="D9">
        <f>VALUE(D6)</f>
        <v>4</v>
      </c>
    </row>
    <row r="10" spans="1:16" x14ac:dyDescent="0.25">
      <c r="A10" t="s">
        <v>19</v>
      </c>
      <c r="B10">
        <f>VALUE(B5)</f>
        <v>2.3333333333333335</v>
      </c>
      <c r="C10">
        <f>3</f>
        <v>3</v>
      </c>
      <c r="D10">
        <f>VALUE(D5)</f>
        <v>7</v>
      </c>
      <c r="F10" s="17" t="s">
        <v>24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</row>
    <row r="11" spans="1:16" x14ac:dyDescent="0.25">
      <c r="A11" t="s">
        <v>20</v>
      </c>
      <c r="B11">
        <f>VALUE(B4)</f>
        <v>1.6666666666666667</v>
      </c>
      <c r="C11">
        <f>2</f>
        <v>2</v>
      </c>
      <c r="D11">
        <f>VALUE(D4)</f>
        <v>5</v>
      </c>
      <c r="F11" s="3" t="s">
        <v>8</v>
      </c>
      <c r="G11" s="3" t="s">
        <v>9</v>
      </c>
      <c r="H11" s="3" t="s">
        <v>13</v>
      </c>
      <c r="I11" s="3" t="s">
        <v>12</v>
      </c>
      <c r="J11" s="3" t="s">
        <v>11</v>
      </c>
      <c r="K11" s="3" t="s">
        <v>10</v>
      </c>
      <c r="L11" s="3" t="s">
        <v>14</v>
      </c>
      <c r="M11" s="3" t="s">
        <v>15</v>
      </c>
      <c r="N11" s="3" t="s">
        <v>16</v>
      </c>
      <c r="O11" s="3" t="s">
        <v>44</v>
      </c>
      <c r="P11" s="3" t="s">
        <v>48</v>
      </c>
    </row>
    <row r="12" spans="1:16" x14ac:dyDescent="0.25">
      <c r="A12" t="s">
        <v>21</v>
      </c>
      <c r="B12">
        <f>1</f>
        <v>1</v>
      </c>
      <c r="C12">
        <f>1</f>
        <v>1</v>
      </c>
      <c r="D12">
        <f>3</f>
        <v>3</v>
      </c>
      <c r="F12">
        <f>PRODUCT(B8:B13)</f>
        <v>6.9135802469135799</v>
      </c>
      <c r="G12">
        <f>(45+M3)/3</f>
        <v>26.553518740452205</v>
      </c>
      <c r="H12">
        <f>((M7+M6)/M7)*((M4+M5)/M4)</f>
        <v>17.036573755933951</v>
      </c>
      <c r="I12">
        <f>SUM(C8:C13)</f>
        <v>11</v>
      </c>
      <c r="J12">
        <f>PRODUCT(F12:H12)</f>
        <v>3127.5722108731047</v>
      </c>
      <c r="K12">
        <f>J12^(1/6)</f>
        <v>3.8241468188917973</v>
      </c>
      <c r="L12">
        <f>(6*K12)+I12</f>
        <v>33.944880913350786</v>
      </c>
      <c r="M12">
        <f>(45*B8)/(K12-B8)</f>
        <v>24.088515799306201</v>
      </c>
      <c r="N12" s="2" t="s">
        <v>17</v>
      </c>
      <c r="O12">
        <f>(L12*60)*0.001</f>
        <v>2.0366928548010472</v>
      </c>
      <c r="P12">
        <f>LOG(J12,3.59)</f>
        <v>6.2965993528313975</v>
      </c>
    </row>
    <row r="13" spans="1:16" x14ac:dyDescent="0.25">
      <c r="A13" t="s">
        <v>22</v>
      </c>
      <c r="B13">
        <f>1</f>
        <v>1</v>
      </c>
      <c r="C13">
        <f>1</f>
        <v>1</v>
      </c>
      <c r="D13">
        <f>3</f>
        <v>3</v>
      </c>
      <c r="M13">
        <f>(M12*B9)/K12</f>
        <v>8.3987416244256821</v>
      </c>
      <c r="N13" s="2" t="s">
        <v>18</v>
      </c>
    </row>
    <row r="14" spans="1:16" x14ac:dyDescent="0.25">
      <c r="M14">
        <f>(M13*B10)/(K12-B10)</f>
        <v>13.145214998498265</v>
      </c>
      <c r="N14" s="2" t="s">
        <v>19</v>
      </c>
    </row>
    <row r="15" spans="1:16" x14ac:dyDescent="0.25">
      <c r="M15">
        <f>(M14*B11)/K12</f>
        <v>5.7290404112969471</v>
      </c>
      <c r="N15" s="2" t="s">
        <v>20</v>
      </c>
    </row>
    <row r="16" spans="1:16" x14ac:dyDescent="0.25">
      <c r="M16">
        <f>(M15*B12)/K12</f>
        <v>1.4981225048668949</v>
      </c>
      <c r="N16" s="2" t="s">
        <v>21</v>
      </c>
    </row>
    <row r="17" spans="13:14" x14ac:dyDescent="0.25">
      <c r="M17">
        <f>(M16+M15)*B13/K12</f>
        <v>1.8898759013280266</v>
      </c>
      <c r="N17" s="2" t="s">
        <v>22</v>
      </c>
    </row>
  </sheetData>
  <mergeCells count="2">
    <mergeCell ref="A1:D1"/>
    <mergeCell ref="F10:P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Design 1</vt:lpstr>
      <vt:lpstr>Design 2</vt:lpstr>
      <vt:lpstr>Design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Krutik Shah</dc:creator>
  <cp:lastModifiedBy>Krutik Shah</cp:lastModifiedBy>
  <dcterms:created xsi:type="dcterms:W3CDTF">2015-06-05T18:17:20Z</dcterms:created>
  <dcterms:modified xsi:type="dcterms:W3CDTF">2022-12-14T06:56:44Z</dcterms:modified>
</cp:coreProperties>
</file>