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F31" i="1" l="1"/>
  <c r="G31" i="1"/>
  <c r="H31" i="1"/>
  <c r="E31" i="1"/>
  <c r="L45" i="1"/>
  <c r="G28" i="1"/>
  <c r="E17" i="1" l="1"/>
  <c r="G17" i="1"/>
  <c r="E20" i="1" l="1"/>
  <c r="E28" i="1" s="1"/>
  <c r="E29" i="1" s="1"/>
  <c r="E30" i="1" l="1"/>
  <c r="H45" i="1"/>
  <c r="G46" i="1"/>
  <c r="L46" i="1" l="1"/>
  <c r="H46" i="1"/>
  <c r="G47" i="1"/>
  <c r="G48" i="1" l="1"/>
  <c r="G49" i="1" s="1"/>
  <c r="L47" i="1"/>
  <c r="H47" i="1"/>
  <c r="H49" i="1" l="1"/>
  <c r="L49" i="1"/>
  <c r="H48" i="1"/>
  <c r="L48" i="1"/>
  <c r="G50" i="1"/>
  <c r="H50" i="1" l="1"/>
  <c r="L50" i="1"/>
  <c r="G51" i="1"/>
  <c r="C44" i="1"/>
  <c r="E44" i="1" s="1"/>
  <c r="H23" i="1"/>
  <c r="H21" i="1"/>
  <c r="H20" i="1"/>
  <c r="H28" i="1" s="1"/>
  <c r="H19" i="1"/>
  <c r="H18" i="1"/>
  <c r="H17" i="1"/>
  <c r="H16" i="1"/>
  <c r="H15" i="1"/>
  <c r="H26" i="1" s="1"/>
  <c r="G23" i="1"/>
  <c r="G29" i="1"/>
  <c r="J50" i="1" s="1"/>
  <c r="G19" i="1"/>
  <c r="G16" i="1"/>
  <c r="G15" i="1"/>
  <c r="F23" i="1"/>
  <c r="F21" i="1"/>
  <c r="F20" i="1"/>
  <c r="F28" i="1" s="1"/>
  <c r="F19" i="1"/>
  <c r="F18" i="1"/>
  <c r="F16" i="1"/>
  <c r="F15" i="1"/>
  <c r="F26" i="1" s="1"/>
  <c r="E19" i="1"/>
  <c r="E18" i="1"/>
  <c r="E16" i="1"/>
  <c r="E15" i="1"/>
  <c r="G33" i="1"/>
  <c r="E33" i="1"/>
  <c r="H33" i="1"/>
  <c r="F33" i="1"/>
  <c r="G26" i="1" l="1"/>
  <c r="G30" i="1"/>
  <c r="H51" i="1"/>
  <c r="L51" i="1"/>
  <c r="J51" i="1"/>
  <c r="E27" i="1"/>
  <c r="H27" i="1"/>
  <c r="F27" i="1"/>
  <c r="G27" i="1"/>
  <c r="E26" i="1"/>
  <c r="J45" i="1"/>
  <c r="J46" i="1"/>
  <c r="J47" i="1"/>
  <c r="J49" i="1"/>
  <c r="J48" i="1"/>
  <c r="C45" i="1"/>
  <c r="E45" i="1" s="1"/>
  <c r="F29" i="1"/>
  <c r="F30" i="1" s="1"/>
  <c r="H29" i="1"/>
  <c r="G52" i="1"/>
  <c r="E32" i="1"/>
  <c r="G32" i="1"/>
  <c r="H30" i="1" l="1"/>
  <c r="I51" i="1"/>
  <c r="J52" i="1"/>
  <c r="I52" i="1"/>
  <c r="H52" i="1"/>
  <c r="K52" i="1"/>
  <c r="L52" i="1"/>
  <c r="K45" i="1"/>
  <c r="K46" i="1"/>
  <c r="K47" i="1"/>
  <c r="K49" i="1"/>
  <c r="K48" i="1"/>
  <c r="K50" i="1"/>
  <c r="I45" i="1"/>
  <c r="I46" i="1"/>
  <c r="I47" i="1"/>
  <c r="I48" i="1"/>
  <c r="I49" i="1"/>
  <c r="I50" i="1"/>
  <c r="K51" i="1"/>
  <c r="C46" i="1"/>
  <c r="G53" i="1"/>
  <c r="F32" i="1"/>
  <c r="H32" i="1"/>
  <c r="C47" i="1" l="1"/>
  <c r="E47" i="1" s="1"/>
  <c r="E46" i="1"/>
  <c r="J53" i="1"/>
  <c r="H53" i="1"/>
  <c r="I53" i="1"/>
  <c r="K53" i="1"/>
  <c r="L53" i="1"/>
  <c r="G54" i="1"/>
  <c r="C48" i="1"/>
  <c r="E48" i="1" s="1"/>
  <c r="K54" i="1" l="1"/>
  <c r="L54" i="1"/>
  <c r="J54" i="1"/>
  <c r="I54" i="1"/>
  <c r="H54" i="1"/>
  <c r="G55" i="1"/>
  <c r="C49" i="1"/>
  <c r="E49" i="1" s="1"/>
  <c r="K55" i="1" l="1"/>
  <c r="L55" i="1"/>
  <c r="H55" i="1"/>
  <c r="I55" i="1"/>
  <c r="J55" i="1"/>
  <c r="G56" i="1"/>
  <c r="C50" i="1"/>
  <c r="E50" i="1" s="1"/>
  <c r="H56" i="1" l="1"/>
  <c r="K56" i="1"/>
  <c r="L56" i="1"/>
  <c r="J56" i="1"/>
  <c r="I56" i="1"/>
  <c r="G57" i="1"/>
  <c r="C51" i="1"/>
  <c r="E51" i="1" s="1"/>
  <c r="H57" i="1" l="1"/>
  <c r="J57" i="1"/>
  <c r="K57" i="1"/>
  <c r="L57" i="1"/>
  <c r="I57" i="1"/>
  <c r="G58" i="1"/>
  <c r="C52" i="1"/>
  <c r="E52" i="1" s="1"/>
  <c r="I58" i="1" l="1"/>
  <c r="H58" i="1"/>
  <c r="K58" i="1"/>
  <c r="L58" i="1"/>
  <c r="J58" i="1"/>
  <c r="G59" i="1"/>
  <c r="C53" i="1"/>
  <c r="E53" i="1" s="1"/>
  <c r="I59" i="1" l="1"/>
  <c r="L59" i="1"/>
  <c r="H59" i="1"/>
  <c r="K59" i="1"/>
  <c r="J59" i="1"/>
  <c r="G60" i="1"/>
  <c r="C54" i="1"/>
  <c r="E54" i="1" s="1"/>
  <c r="J60" i="1" l="1"/>
  <c r="I60" i="1"/>
  <c r="H60" i="1"/>
  <c r="K60" i="1"/>
  <c r="L60" i="1"/>
  <c r="G61" i="1"/>
  <c r="C55" i="1"/>
  <c r="E55" i="1" s="1"/>
  <c r="J61" i="1" l="1"/>
  <c r="K61" i="1"/>
  <c r="L61" i="1"/>
  <c r="I61" i="1"/>
  <c r="H61" i="1"/>
  <c r="G62" i="1"/>
  <c r="C56" i="1"/>
  <c r="E56" i="1" s="1"/>
  <c r="K62" i="1" l="1"/>
  <c r="L62" i="1"/>
  <c r="J62" i="1"/>
  <c r="I62" i="1"/>
  <c r="H62" i="1"/>
  <c r="G63" i="1"/>
  <c r="C57" i="1"/>
  <c r="E57" i="1" s="1"/>
  <c r="K63" i="1" l="1"/>
  <c r="L63" i="1"/>
  <c r="H63" i="1"/>
  <c r="J63" i="1"/>
  <c r="I63" i="1"/>
  <c r="G64" i="1"/>
  <c r="C58" i="1"/>
  <c r="E58" i="1" s="1"/>
  <c r="G35" i="1"/>
  <c r="H35" i="1"/>
  <c r="G36" i="1"/>
  <c r="F36" i="1"/>
  <c r="F35" i="1"/>
  <c r="E36" i="1"/>
  <c r="H34" i="1"/>
  <c r="H36" i="1"/>
  <c r="E34" i="1"/>
  <c r="F34" i="1"/>
  <c r="E35" i="1"/>
  <c r="G34" i="1"/>
  <c r="H64" i="1" l="1"/>
  <c r="K64" i="1"/>
  <c r="L64" i="1"/>
  <c r="J64" i="1"/>
  <c r="I64" i="1"/>
  <c r="G65" i="1"/>
  <c r="C59" i="1"/>
  <c r="E59" i="1" s="1"/>
  <c r="I65" i="1" l="1"/>
  <c r="H65" i="1"/>
  <c r="K65" i="1"/>
  <c r="L65" i="1"/>
  <c r="J65" i="1"/>
  <c r="G66" i="1"/>
  <c r="C60" i="1"/>
  <c r="E60" i="1" s="1"/>
  <c r="I66" i="1" l="1"/>
  <c r="H66" i="1"/>
  <c r="K66" i="1"/>
  <c r="L66" i="1"/>
  <c r="J66" i="1"/>
  <c r="G67" i="1"/>
  <c r="C61" i="1"/>
  <c r="E61" i="1" s="1"/>
  <c r="I67" i="1" l="1"/>
  <c r="K67" i="1"/>
  <c r="J67" i="1"/>
  <c r="L67" i="1"/>
  <c r="H67" i="1"/>
  <c r="G68" i="1"/>
  <c r="C62" i="1"/>
  <c r="E62" i="1" s="1"/>
  <c r="J68" i="1" l="1"/>
  <c r="I68" i="1"/>
  <c r="H68" i="1"/>
  <c r="K68" i="1"/>
  <c r="L68" i="1"/>
  <c r="G69" i="1"/>
  <c r="C63" i="1"/>
  <c r="E63" i="1" s="1"/>
  <c r="J69" i="1" l="1"/>
  <c r="H69" i="1"/>
  <c r="K69" i="1"/>
  <c r="I69" i="1"/>
  <c r="L69" i="1"/>
  <c r="G70" i="1"/>
  <c r="C64" i="1"/>
  <c r="E64" i="1" s="1"/>
  <c r="K70" i="1" l="1"/>
  <c r="L70" i="1"/>
  <c r="J70" i="1"/>
  <c r="I70" i="1"/>
  <c r="H70" i="1"/>
  <c r="C65" i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F37" i="1" l="1"/>
  <c r="F38" i="1" s="1"/>
  <c r="F40" i="1" s="1"/>
  <c r="G37" i="1"/>
  <c r="G38" i="1" s="1"/>
  <c r="G40" i="1" s="1"/>
  <c r="H37" i="1"/>
  <c r="H38" i="1" s="1"/>
  <c r="H40" i="1" s="1"/>
  <c r="E37" i="1"/>
  <c r="E38" i="1" s="1"/>
  <c r="E40" i="1" s="1"/>
  <c r="H39" i="1" l="1"/>
  <c r="G39" i="1"/>
  <c r="F39" i="1"/>
  <c r="E39" i="1"/>
</calcChain>
</file>

<file path=xl/sharedStrings.xml><?xml version="1.0" encoding="utf-8"?>
<sst xmlns="http://schemas.openxmlformats.org/spreadsheetml/2006/main" count="85" uniqueCount="61">
  <si>
    <t>Li-Ionen</t>
  </si>
  <si>
    <t>Redox-Flow</t>
  </si>
  <si>
    <t>Max. DOD</t>
  </si>
  <si>
    <t>n_max</t>
  </si>
  <si>
    <t>1/(1+p)^(t_(er,i))</t>
  </si>
  <si>
    <t>n</t>
  </si>
  <si>
    <t>(1+p)^-n</t>
  </si>
  <si>
    <t>Li-Ion</t>
  </si>
  <si>
    <t>Storage Type</t>
  </si>
  <si>
    <t>Efficiency</t>
  </si>
  <si>
    <t xml:space="preserve">selfdischarge per d </t>
  </si>
  <si>
    <t>n_cyc/d</t>
  </si>
  <si>
    <t>energy Li-Ion</t>
  </si>
  <si>
    <t>energy Re-Flow</t>
  </si>
  <si>
    <t>energy HT</t>
  </si>
  <si>
    <t>power</t>
  </si>
  <si>
    <t>replacement(i)</t>
  </si>
  <si>
    <t>Eff. storage size</t>
  </si>
  <si>
    <t>cycle life time</t>
  </si>
  <si>
    <t>cal. lifetime</t>
  </si>
  <si>
    <t>annuity</t>
  </si>
  <si>
    <t>annuity per  kW</t>
  </si>
  <si>
    <t>costs in €/kWh</t>
  </si>
  <si>
    <t>Lead-acid</t>
  </si>
  <si>
    <t>energy Lead-acid</t>
  </si>
  <si>
    <t xml:space="preserve">K_E - cash value storage </t>
  </si>
  <si>
    <t>K_C - cash vaule converter</t>
  </si>
  <si>
    <t>K_M - cash value maintenance</t>
  </si>
  <si>
    <t>K_L - cash value losses</t>
  </si>
  <si>
    <t>K_R - cash resell value</t>
  </si>
  <si>
    <t>K_tot - total cash value</t>
  </si>
  <si>
    <t>Application Parameters</t>
  </si>
  <si>
    <t>Lifetime system L_sys</t>
  </si>
  <si>
    <t>Lifetime converter L_conv</t>
  </si>
  <si>
    <t>Financial boundary conditions</t>
  </si>
  <si>
    <t>Electricity rate</t>
  </si>
  <si>
    <t>Units</t>
  </si>
  <si>
    <t xml:space="preserve">Energy </t>
  </si>
  <si>
    <t>[kWh]</t>
  </si>
  <si>
    <t xml:space="preserve">Power </t>
  </si>
  <si>
    <t>[kW]</t>
  </si>
  <si>
    <t xml:space="preserve"> [a]</t>
  </si>
  <si>
    <t>[€/kWh]</t>
  </si>
  <si>
    <t>Battery parameters</t>
  </si>
  <si>
    <t>[€/kW]</t>
  </si>
  <si>
    <t>High Temperature</t>
  </si>
  <si>
    <t>Results</t>
  </si>
  <si>
    <t>[€]</t>
  </si>
  <si>
    <t>Interest rate/ capital cost</t>
  </si>
  <si>
    <t xml:space="preserve">n_rep_C - Replacements converter </t>
  </si>
  <si>
    <t xml:space="preserve">n_rep_E - Replacements storage </t>
  </si>
  <si>
    <t>L_cal</t>
  </si>
  <si>
    <t>k_E - Specific energy costs</t>
  </si>
  <si>
    <t>k_p - Specific perifery costs</t>
  </si>
  <si>
    <t>k_c - Specific converter costs</t>
  </si>
  <si>
    <t>[1/a]</t>
  </si>
  <si>
    <t>c_m - Maintenance cost per year</t>
  </si>
  <si>
    <t>[1/d]</t>
  </si>
  <si>
    <t>[€/a]</t>
  </si>
  <si>
    <t>[€/akWh]</t>
  </si>
  <si>
    <t>total 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</si>
</sst>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0" fillId="2" borderId="7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0" borderId="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15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0" fontId="1" fillId="6" borderId="11" xfId="0" applyFont="1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1" fillId="7" borderId="11" xfId="0" applyFont="1" applyFill="1" applyBorder="1" applyAlignment="1">
      <alignment horizontal="center" vertical="center"/>
    </xf>
    <xf numFmtId="0" fontId="0" fillId="7" borderId="15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9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2" fontId="0" fillId="5" borderId="0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2" fontId="1" fillId="5" borderId="14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10"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  <fill>
        <patternFill patternType="solid">
          <fgColor indexed="64"/>
          <bgColor theme="7" tint="0.79998168889431442"/>
        </patternFill>
      </fill>
      <alignment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C25:H40" totalsRowShown="0" headerRowDxfId="9" dataDxfId="7" headerRowBorderDxfId="8" tableBorderDxfId="6">
  <tableColumns count="6">
    <tableColumn id="1" name="Results" dataDxfId="5"/>
    <tableColumn id="2" name="Units" dataDxfId="4"/>
    <tableColumn id="3" name="Li-Ionen" dataDxfId="3"/>
    <tableColumn id="4" name="Redox-Flow" dataDxfId="2"/>
    <tableColumn id="5" name="Lead-acid" dataDxfId="1"/>
    <tableColumn id="6" name="High Temperatur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abSelected="1" topLeftCell="A19" workbookViewId="0">
      <selection activeCell="E36" sqref="E36"/>
    </sheetView>
  </sheetViews>
  <sheetFormatPr baseColWidth="10" defaultColWidth="9.140625" defaultRowHeight="15" x14ac:dyDescent="0.25"/>
  <cols>
    <col min="1" max="2" width="10.28515625" customWidth="1"/>
    <col min="3" max="3" width="32.140625" customWidth="1"/>
    <col min="4" max="4" width="10.42578125" customWidth="1"/>
    <col min="5" max="5" width="13.42578125" customWidth="1"/>
    <col min="6" max="6" width="15.7109375" customWidth="1"/>
    <col min="7" max="7" width="16.5703125" customWidth="1"/>
    <col min="8" max="8" width="18.5703125" customWidth="1"/>
    <col min="9" max="9" width="16.140625" bestFit="1" customWidth="1"/>
    <col min="10" max="10" width="28.28515625" customWidth="1"/>
    <col min="11" max="12" width="16.140625" bestFit="1" customWidth="1"/>
    <col min="13" max="13" width="16.7109375" customWidth="1"/>
    <col min="14" max="15" width="15.5703125" bestFit="1" customWidth="1"/>
  </cols>
  <sheetData>
    <row r="1" spans="3:16" ht="15.75" thickBot="1" x14ac:dyDescent="0.3"/>
    <row r="2" spans="3:16" ht="15.75" thickBot="1" x14ac:dyDescent="0.3">
      <c r="C2" s="33" t="s">
        <v>31</v>
      </c>
      <c r="D2" s="34" t="s">
        <v>36</v>
      </c>
      <c r="E2" s="35"/>
      <c r="F2" s="16"/>
      <c r="G2" s="16"/>
      <c r="H2" s="16"/>
      <c r="O2" s="1"/>
      <c r="P2" s="1"/>
    </row>
    <row r="3" spans="3:16" x14ac:dyDescent="0.25">
      <c r="C3" s="36" t="s">
        <v>37</v>
      </c>
      <c r="D3" s="37" t="s">
        <v>38</v>
      </c>
      <c r="E3" s="38">
        <v>941.17</v>
      </c>
      <c r="F3" s="16"/>
      <c r="G3" s="16"/>
      <c r="H3" s="16"/>
      <c r="O3" s="1"/>
      <c r="P3" s="1"/>
    </row>
    <row r="4" spans="3:16" x14ac:dyDescent="0.25">
      <c r="C4" s="39" t="s">
        <v>39</v>
      </c>
      <c r="D4" s="40" t="s">
        <v>40</v>
      </c>
      <c r="E4" s="41">
        <v>188.23</v>
      </c>
      <c r="F4" s="16"/>
      <c r="G4" s="16"/>
      <c r="H4" s="16"/>
      <c r="O4" s="1"/>
      <c r="P4" s="1"/>
    </row>
    <row r="5" spans="3:16" x14ac:dyDescent="0.25">
      <c r="C5" s="39" t="s">
        <v>11</v>
      </c>
      <c r="D5" s="40"/>
      <c r="E5" s="41">
        <v>1</v>
      </c>
      <c r="F5" s="16"/>
      <c r="G5" s="16"/>
      <c r="H5" s="16"/>
      <c r="O5" s="1"/>
      <c r="P5" s="1"/>
    </row>
    <row r="6" spans="3:16" x14ac:dyDescent="0.25">
      <c r="C6" s="39" t="s">
        <v>32</v>
      </c>
      <c r="D6" s="40" t="s">
        <v>41</v>
      </c>
      <c r="E6" s="41">
        <v>15</v>
      </c>
      <c r="F6" s="16"/>
      <c r="G6" s="16"/>
      <c r="H6" s="16"/>
      <c r="O6" s="1"/>
      <c r="P6" s="1"/>
    </row>
    <row r="7" spans="3:16" ht="15.75" thickBot="1" x14ac:dyDescent="0.3">
      <c r="C7" s="42" t="s">
        <v>33</v>
      </c>
      <c r="D7" s="43" t="s">
        <v>41</v>
      </c>
      <c r="E7" s="44">
        <v>10</v>
      </c>
      <c r="F7" s="16"/>
      <c r="G7" s="16"/>
      <c r="H7" s="16"/>
      <c r="O7" s="1"/>
      <c r="P7" s="1"/>
    </row>
    <row r="8" spans="3:16" ht="15.75" thickBot="1" x14ac:dyDescent="0.3">
      <c r="C8" s="16"/>
      <c r="D8" s="17"/>
      <c r="E8" s="16"/>
      <c r="F8" s="16"/>
      <c r="G8" s="16"/>
      <c r="H8" s="16"/>
      <c r="O8" s="1"/>
      <c r="P8" s="1"/>
    </row>
    <row r="9" spans="3:16" ht="15.75" thickBot="1" x14ac:dyDescent="0.3">
      <c r="C9" s="45" t="s">
        <v>34</v>
      </c>
      <c r="D9" s="46" t="s">
        <v>36</v>
      </c>
      <c r="E9" s="47"/>
      <c r="F9" s="16"/>
      <c r="G9" s="16"/>
      <c r="H9" s="16"/>
      <c r="O9" s="1"/>
      <c r="P9" s="1"/>
    </row>
    <row r="10" spans="3:16" x14ac:dyDescent="0.25">
      <c r="C10" s="48" t="s">
        <v>48</v>
      </c>
      <c r="D10" s="49"/>
      <c r="E10" s="50">
        <v>0.04</v>
      </c>
      <c r="F10" s="16"/>
      <c r="G10" s="16"/>
      <c r="H10" s="16"/>
      <c r="O10" s="1"/>
      <c r="P10" s="1"/>
    </row>
    <row r="11" spans="3:16" ht="15.75" thickBot="1" x14ac:dyDescent="0.3">
      <c r="C11" s="51" t="s">
        <v>35</v>
      </c>
      <c r="D11" s="52" t="s">
        <v>42</v>
      </c>
      <c r="E11" s="53">
        <v>0.04</v>
      </c>
      <c r="F11" s="16"/>
      <c r="G11" s="16"/>
      <c r="H11" s="16"/>
      <c r="O11" s="1"/>
      <c r="P11" s="1"/>
    </row>
    <row r="12" spans="3:16" ht="15.75" thickBot="1" x14ac:dyDescent="0.3">
      <c r="C12" s="16"/>
      <c r="D12" s="17"/>
      <c r="E12" s="16"/>
      <c r="F12" s="16"/>
      <c r="G12" s="16"/>
      <c r="H12" s="16"/>
      <c r="O12" s="1"/>
      <c r="P12" s="1"/>
    </row>
    <row r="13" spans="3:16" ht="15.75" thickBot="1" x14ac:dyDescent="0.3">
      <c r="C13" s="19" t="s">
        <v>43</v>
      </c>
      <c r="D13" s="54"/>
      <c r="E13" s="55"/>
      <c r="F13" s="55"/>
      <c r="G13" s="55"/>
      <c r="H13" s="21"/>
      <c r="O13" s="1"/>
      <c r="P13" s="1"/>
    </row>
    <row r="14" spans="3:16" ht="15.75" thickBot="1" x14ac:dyDescent="0.3">
      <c r="C14" s="19" t="s">
        <v>8</v>
      </c>
      <c r="D14" s="20" t="s">
        <v>36</v>
      </c>
      <c r="E14" s="61" t="s">
        <v>7</v>
      </c>
      <c r="F14" s="61" t="s">
        <v>1</v>
      </c>
      <c r="G14" s="61" t="s">
        <v>23</v>
      </c>
      <c r="H14" s="62" t="s">
        <v>45</v>
      </c>
      <c r="O14" s="1"/>
    </row>
    <row r="15" spans="3:16" x14ac:dyDescent="0.25">
      <c r="C15" s="24" t="s">
        <v>9</v>
      </c>
      <c r="D15" s="25"/>
      <c r="E15" s="22">
        <f>0.92</f>
        <v>0.92</v>
      </c>
      <c r="F15" s="68">
        <f>0.72</f>
        <v>0.72</v>
      </c>
      <c r="G15" s="68">
        <f>0.85</f>
        <v>0.85</v>
      </c>
      <c r="H15" s="23">
        <f>0.8</f>
        <v>0.8</v>
      </c>
    </row>
    <row r="16" spans="3:16" x14ac:dyDescent="0.25">
      <c r="C16" s="24" t="s">
        <v>2</v>
      </c>
      <c r="D16" s="25"/>
      <c r="E16" s="24">
        <f>1</f>
        <v>1</v>
      </c>
      <c r="F16" s="56">
        <f>0.95</f>
        <v>0.95</v>
      </c>
      <c r="G16" s="56">
        <f>0.8</f>
        <v>0.8</v>
      </c>
      <c r="H16" s="26">
        <f>1</f>
        <v>1</v>
      </c>
    </row>
    <row r="17" spans="3:14" x14ac:dyDescent="0.25">
      <c r="C17" s="24" t="s">
        <v>52</v>
      </c>
      <c r="D17" s="25" t="s">
        <v>42</v>
      </c>
      <c r="E17" s="24">
        <f xml:space="preserve"> 350</f>
        <v>350</v>
      </c>
      <c r="F17" s="56">
        <v>400</v>
      </c>
      <c r="G17" s="56">
        <f>100</f>
        <v>100</v>
      </c>
      <c r="H17" s="26">
        <f>400</f>
        <v>400</v>
      </c>
    </row>
    <row r="18" spans="3:14" x14ac:dyDescent="0.25">
      <c r="C18" s="24" t="s">
        <v>53</v>
      </c>
      <c r="D18" s="25" t="s">
        <v>42</v>
      </c>
      <c r="E18" s="24">
        <f xml:space="preserve"> 30</f>
        <v>30</v>
      </c>
      <c r="F18" s="56">
        <f>50</f>
        <v>50</v>
      </c>
      <c r="G18" s="56">
        <v>10</v>
      </c>
      <c r="H18" s="26">
        <f>20</f>
        <v>20</v>
      </c>
      <c r="J18" s="1"/>
      <c r="K18" s="1"/>
      <c r="L18" s="1"/>
      <c r="M18" s="1"/>
      <c r="N18" s="1"/>
    </row>
    <row r="19" spans="3:14" x14ac:dyDescent="0.25">
      <c r="C19" s="24" t="s">
        <v>54</v>
      </c>
      <c r="D19" s="25" t="s">
        <v>44</v>
      </c>
      <c r="E19" s="24">
        <f>100</f>
        <v>100</v>
      </c>
      <c r="F19" s="56">
        <f>100</f>
        <v>100</v>
      </c>
      <c r="G19" s="56">
        <f>100</f>
        <v>100</v>
      </c>
      <c r="H19" s="26">
        <f>100</f>
        <v>100</v>
      </c>
      <c r="J19" s="1"/>
      <c r="K19" s="1"/>
      <c r="L19" s="1"/>
      <c r="M19" s="1"/>
      <c r="N19" s="1"/>
    </row>
    <row r="20" spans="3:14" x14ac:dyDescent="0.25">
      <c r="C20" s="24" t="s">
        <v>3</v>
      </c>
      <c r="D20" s="25"/>
      <c r="E20" s="24">
        <f>5000</f>
        <v>5000</v>
      </c>
      <c r="F20" s="56">
        <f>10000</f>
        <v>10000</v>
      </c>
      <c r="G20" s="56">
        <v>1000</v>
      </c>
      <c r="H20" s="26">
        <f>3000</f>
        <v>3000</v>
      </c>
      <c r="J20" s="1"/>
      <c r="K20" s="1"/>
      <c r="L20" s="1"/>
      <c r="M20" s="1"/>
      <c r="N20" s="1"/>
    </row>
    <row r="21" spans="3:14" x14ac:dyDescent="0.25">
      <c r="C21" s="24" t="s">
        <v>51</v>
      </c>
      <c r="D21" s="25" t="s">
        <v>41</v>
      </c>
      <c r="E21" s="24">
        <v>10</v>
      </c>
      <c r="F21" s="56">
        <f>15</f>
        <v>15</v>
      </c>
      <c r="G21" s="56">
        <v>12</v>
      </c>
      <c r="H21" s="26">
        <f>15</f>
        <v>15</v>
      </c>
      <c r="J21" s="1"/>
      <c r="K21" s="1"/>
      <c r="L21" s="1"/>
      <c r="M21" s="1"/>
      <c r="N21" s="1"/>
    </row>
    <row r="22" spans="3:14" x14ac:dyDescent="0.25">
      <c r="C22" s="24" t="s">
        <v>56</v>
      </c>
      <c r="D22" s="25" t="s">
        <v>55</v>
      </c>
      <c r="E22" s="24">
        <v>0.01</v>
      </c>
      <c r="F22" s="56">
        <v>0.01</v>
      </c>
      <c r="G22" s="56">
        <v>0.01</v>
      </c>
      <c r="H22" s="26">
        <v>0.01</v>
      </c>
      <c r="J22" s="1"/>
      <c r="K22" s="1"/>
      <c r="L22" s="1"/>
      <c r="M22" s="1"/>
      <c r="N22" s="1"/>
    </row>
    <row r="23" spans="3:14" ht="15.75" thickBot="1" x14ac:dyDescent="0.3">
      <c r="C23" s="27" t="s">
        <v>10</v>
      </c>
      <c r="D23" s="28" t="s">
        <v>57</v>
      </c>
      <c r="E23" s="27">
        <v>1E-3</v>
      </c>
      <c r="F23" s="57">
        <f>0.0001</f>
        <v>1E-4</v>
      </c>
      <c r="G23" s="57">
        <f>0.003</f>
        <v>3.0000000000000001E-3</v>
      </c>
      <c r="H23" s="29">
        <f>0.0005</f>
        <v>5.0000000000000001E-4</v>
      </c>
    </row>
    <row r="24" spans="3:14" ht="15.75" thickBot="1" x14ac:dyDescent="0.3">
      <c r="C24" s="16"/>
      <c r="D24" s="17"/>
      <c r="E24" s="16"/>
      <c r="F24" s="16"/>
      <c r="G24" s="16"/>
      <c r="H24" s="16"/>
    </row>
    <row r="25" spans="3:14" x14ac:dyDescent="0.25">
      <c r="C25" s="63" t="s">
        <v>46</v>
      </c>
      <c r="D25" s="64" t="s">
        <v>36</v>
      </c>
      <c r="E25" s="65" t="s">
        <v>0</v>
      </c>
      <c r="F25" s="65" t="s">
        <v>1</v>
      </c>
      <c r="G25" s="65" t="s">
        <v>23</v>
      </c>
      <c r="H25" s="65" t="s">
        <v>45</v>
      </c>
    </row>
    <row r="26" spans="3:14" x14ac:dyDescent="0.25">
      <c r="C26" s="58" t="s">
        <v>17</v>
      </c>
      <c r="D26" s="32" t="s">
        <v>38</v>
      </c>
      <c r="E26" s="59">
        <f>$E$3/(E15*E16)</f>
        <v>1023.0108695652173</v>
      </c>
      <c r="F26" s="59">
        <f t="shared" ref="F26:H26" si="0">$E$3/(F15*F16)</f>
        <v>1375.9795321637428</v>
      </c>
      <c r="G26" s="59">
        <f t="shared" si="0"/>
        <v>1384.0735294117646</v>
      </c>
      <c r="H26" s="59">
        <f t="shared" si="0"/>
        <v>1176.4624999999999</v>
      </c>
    </row>
    <row r="27" spans="3:14" x14ac:dyDescent="0.25">
      <c r="C27" s="58" t="s">
        <v>60</v>
      </c>
      <c r="D27" s="32" t="s">
        <v>47</v>
      </c>
      <c r="E27" s="60">
        <f>(E17+E18)*E26+E19*$E$4</f>
        <v>407567.13043478254</v>
      </c>
      <c r="F27" s="60">
        <f t="shared" ref="F27:H27" si="1">(F17+F18)*F26+F19*$E$4</f>
        <v>638013.78947368427</v>
      </c>
      <c r="G27" s="60">
        <f t="shared" si="1"/>
        <v>171071.0882352941</v>
      </c>
      <c r="H27" s="60">
        <f t="shared" si="1"/>
        <v>512937.24999999994</v>
      </c>
    </row>
    <row r="28" spans="3:14" x14ac:dyDescent="0.25">
      <c r="C28" s="58" t="s">
        <v>18</v>
      </c>
      <c r="D28" s="32" t="s">
        <v>41</v>
      </c>
      <c r="E28" s="59">
        <f>E20/(365*$E$5)</f>
        <v>13.698630136986301</v>
      </c>
      <c r="F28" s="59">
        <f t="shared" ref="F28:H28" si="2">F20/(365*$E$5)</f>
        <v>27.397260273972602</v>
      </c>
      <c r="G28" s="59">
        <f t="shared" si="2"/>
        <v>2.7397260273972601</v>
      </c>
      <c r="H28" s="59">
        <f t="shared" si="2"/>
        <v>8.2191780821917817</v>
      </c>
    </row>
    <row r="29" spans="3:14" x14ac:dyDescent="0.25">
      <c r="C29" s="58" t="s">
        <v>19</v>
      </c>
      <c r="D29" s="32" t="s">
        <v>41</v>
      </c>
      <c r="E29" s="59">
        <f>ROUNDDOWN(IF(E21&gt;E28,E28,E21),0)</f>
        <v>10</v>
      </c>
      <c r="F29" s="59">
        <f>ROUNDDOWN(IF(F21&gt;F28,F28,F21),0)</f>
        <v>15</v>
      </c>
      <c r="G29" s="59">
        <f>IF(G21&gt;G28,G28,G21)</f>
        <v>2.7397260273972601</v>
      </c>
      <c r="H29" s="59">
        <f>IF(H21&gt;H28,H28,H21)</f>
        <v>8.2191780821917817</v>
      </c>
      <c r="J29" s="1"/>
      <c r="K29" s="1"/>
    </row>
    <row r="30" spans="3:14" x14ac:dyDescent="0.25">
      <c r="C30" s="58" t="s">
        <v>50</v>
      </c>
      <c r="D30" s="32"/>
      <c r="E30" s="66">
        <f xml:space="preserve"> ROUNDUP($E$6/E$29,0)-1</f>
        <v>1</v>
      </c>
      <c r="F30" s="66">
        <f t="shared" ref="F30:H30" si="3" xml:space="preserve"> ROUNDUP($E$6/F$29,0)-1</f>
        <v>0</v>
      </c>
      <c r="G30" s="66">
        <f t="shared" si="3"/>
        <v>5</v>
      </c>
      <c r="H30" s="66">
        <f t="shared" si="3"/>
        <v>1</v>
      </c>
      <c r="J30" s="1"/>
      <c r="K30" s="1"/>
    </row>
    <row r="31" spans="3:14" x14ac:dyDescent="0.25">
      <c r="C31" s="58" t="s">
        <v>49</v>
      </c>
      <c r="D31" s="32"/>
      <c r="E31" s="67">
        <f>ROUNDUP($E$6/$E$7,0)-1</f>
        <v>1</v>
      </c>
      <c r="F31" s="67">
        <f t="shared" ref="F31:H31" si="4">ROUNDUP($E$6/$E$7,0)-1</f>
        <v>1</v>
      </c>
      <c r="G31" s="67">
        <f t="shared" si="4"/>
        <v>1</v>
      </c>
      <c r="H31" s="67">
        <f t="shared" si="4"/>
        <v>1</v>
      </c>
      <c r="J31" s="1"/>
      <c r="K31" s="1"/>
    </row>
    <row r="32" spans="3:14" x14ac:dyDescent="0.25">
      <c r="C32" s="58" t="s">
        <v>25</v>
      </c>
      <c r="D32" s="32" t="s">
        <v>47</v>
      </c>
      <c r="E32" s="60">
        <f ca="1">(E17+E18)*E26*SUM($H$45:INDIRECT("H" &amp; 45+$E30))</f>
        <v>651365.73579786415</v>
      </c>
      <c r="F32" s="60">
        <f ca="1">(F17+F18)*F26*SUM($I$45:INDIRECT("I" &amp; 45+$F30))</f>
        <v>619190.78947368427</v>
      </c>
      <c r="G32" s="60">
        <f ca="1">(G17+G18)*G26*SUM($J$45:INDIRECT("J" &amp; 45+$G30))</f>
        <v>710106.30954121624</v>
      </c>
      <c r="H32" s="60">
        <f ca="1">(H17+H18)*H26*SUM($K$45:INDIRECT("K" &amp; 45+$H30))</f>
        <v>852068.34067310358</v>
      </c>
      <c r="J32" s="18"/>
      <c r="K32" s="1"/>
    </row>
    <row r="33" spans="2:12" x14ac:dyDescent="0.25">
      <c r="C33" s="58" t="s">
        <v>26</v>
      </c>
      <c r="D33" s="32" t="s">
        <v>47</v>
      </c>
      <c r="E33" s="60">
        <f ca="1">E19*E4*(SUM($L$45:INDIRECT("L"&amp; 45+E31)))</f>
        <v>31539.144349808004</v>
      </c>
      <c r="F33" s="60">
        <f ca="1">F19*E4*(SUM($L$45:INDIRECT("L"&amp; 45+F31)))</f>
        <v>31539.144349808004</v>
      </c>
      <c r="G33" s="60">
        <f ca="1">G19*E4*(SUM($L$45:INDIRECT("L"&amp; 45+G31)))</f>
        <v>31539.144349808004</v>
      </c>
      <c r="H33" s="60">
        <f ca="1">H19*E4*(SUM($L$45:INDIRECT("L"&amp; 45+H31)))</f>
        <v>31539.144349808004</v>
      </c>
      <c r="J33" s="1"/>
      <c r="K33" s="1"/>
    </row>
    <row r="34" spans="2:12" x14ac:dyDescent="0.25">
      <c r="C34" s="58" t="s">
        <v>27</v>
      </c>
      <c r="D34" s="32" t="s">
        <v>47</v>
      </c>
      <c r="E34" s="60">
        <f ca="1">$E$22*(E17+E18)*E26*(SUM($E$44:INDIRECT("E" &amp; 44+ E6-1)))</f>
        <v>43222.07854155211</v>
      </c>
      <c r="F34" s="60">
        <f ca="1">$F$22*(F17+F18)*F26*(SUM($E$44:INDIRECT("E" &amp; 44+ E6-1)))</f>
        <v>68844.030917984681</v>
      </c>
      <c r="G34" s="60">
        <f ca="1">$G$22*(G17+G18)*G26*(SUM($E$44:INDIRECT("E" &amp; 44+ E6-1)))</f>
        <v>16927.532308069174</v>
      </c>
      <c r="H34" s="60">
        <f ca="1">$H$22*(H17+H18)*H26*(SUM($E$44:INDIRECT("E" &amp; 44+ E6-1)))</f>
        <v>54937.536672551767</v>
      </c>
      <c r="J34" s="1"/>
      <c r="K34" s="1"/>
    </row>
    <row r="35" spans="2:12" x14ac:dyDescent="0.25">
      <c r="C35" s="58" t="s">
        <v>28</v>
      </c>
      <c r="D35" s="32" t="s">
        <v>47</v>
      </c>
      <c r="E35" s="60">
        <f ca="1">$E$11*E26*365*((1/E15-1)*E16*$E$5+E23)*SUM($E$44:INDIRECT("E" &amp; 44 + E6 -1))</f>
        <v>14606.392075372702</v>
      </c>
      <c r="F35" s="60">
        <f ca="1">$E$11*F26*365*((1/F15-1)*F16*$E$5+F23)*SUM($E$44:INDIRECT("E" &amp; 44 + E6 -1))</f>
        <v>82541.681271106849</v>
      </c>
      <c r="G35" s="60">
        <f ca="1">$E$11*G26*365*((1/G15-1)*G16*$E$5+G23)*SUM($E$44:INDIRECT("E" &amp; 44 + E6 -1))</f>
        <v>32392.779285097979</v>
      </c>
      <c r="H35" s="60">
        <f ca="1">$E$11*H26*365*((1/H15-1)*H16*$E$5+H23)*SUM($E$44:INDIRECT("E" &amp; 44 + E6 -1))</f>
        <v>47838.822112505608</v>
      </c>
      <c r="J35" s="1"/>
      <c r="K35" s="1"/>
    </row>
    <row r="36" spans="2:12" x14ac:dyDescent="0.25">
      <c r="C36" s="58" t="s">
        <v>29</v>
      </c>
      <c r="D36" s="32" t="s">
        <v>47</v>
      </c>
      <c r="E36" s="60">
        <f ca="1">-($E$6/E29-ROUNDDOWN($E$6/E29,0))*E27*INDIRECT("E" &amp; 44 + $E$6 -1)</f>
        <v>-113153.78000157296</v>
      </c>
      <c r="F36" s="60">
        <f t="shared" ref="F36:H36" ca="1" si="5">-($E$6/F29-ROUNDDOWN($E$6/F29,0))*F27*INDIRECT("E" &amp; 44 + $E$6 -1)</f>
        <v>0</v>
      </c>
      <c r="G36" s="60">
        <f t="shared" ca="1" si="5"/>
        <v>-45120.108800354981</v>
      </c>
      <c r="H36" s="60">
        <f t="shared" ca="1" si="5"/>
        <v>-234973.07381160077</v>
      </c>
    </row>
    <row r="37" spans="2:12" x14ac:dyDescent="0.25">
      <c r="C37" s="58" t="s">
        <v>30</v>
      </c>
      <c r="D37" s="32" t="s">
        <v>47</v>
      </c>
      <c r="E37" s="60">
        <f ca="1">SUM(E32:E36)</f>
        <v>627579.57076302404</v>
      </c>
      <c r="F37" s="60">
        <f ca="1">SUM(F32:F36)</f>
        <v>802115.64601258375</v>
      </c>
      <c r="G37" s="60">
        <f ca="1">SUM(G32:G36)</f>
        <v>745845.65668383637</v>
      </c>
      <c r="H37" s="60">
        <f ca="1">SUM(H32:H36)</f>
        <v>751410.76999636809</v>
      </c>
    </row>
    <row r="38" spans="2:12" x14ac:dyDescent="0.25">
      <c r="C38" s="58" t="s">
        <v>20</v>
      </c>
      <c r="D38" s="32" t="s">
        <v>58</v>
      </c>
      <c r="E38" s="60">
        <f ca="1">E37*(((1+$E$10)^$E$6*$E$10)/((1+$E$10)^$E$6-1))</f>
        <v>56445.197164769386</v>
      </c>
      <c r="F38" s="60">
        <f t="shared" ref="F38:H38" ca="1" si="6">F37*(((1+$E$10)^$E$6*$E$10)/((1+$E$10)^$E$6-1))</f>
        <v>72143.163827145749</v>
      </c>
      <c r="G38" s="60">
        <f t="shared" ca="1" si="6"/>
        <v>67082.179069055303</v>
      </c>
      <c r="H38" s="60">
        <f t="shared" ca="1" si="6"/>
        <v>67582.711484073559</v>
      </c>
    </row>
    <row r="39" spans="2:12" ht="15.75" thickBot="1" x14ac:dyDescent="0.3">
      <c r="C39" s="58" t="s">
        <v>21</v>
      </c>
      <c r="D39" s="32" t="s">
        <v>59</v>
      </c>
      <c r="E39" s="60">
        <f ca="1">E38/E26</f>
        <v>55.175559560534062</v>
      </c>
      <c r="F39" s="60">
        <f t="shared" ref="F39:H39" ca="1" si="7">F38/F26</f>
        <v>52.430404770410966</v>
      </c>
      <c r="G39" s="60">
        <f t="shared" ca="1" si="7"/>
        <v>48.467207589444634</v>
      </c>
      <c r="H39" s="60">
        <f t="shared" ca="1" si="7"/>
        <v>57.445699700647971</v>
      </c>
    </row>
    <row r="40" spans="2:12" ht="15.75" thickBot="1" x14ac:dyDescent="0.3">
      <c r="C40" s="30" t="s">
        <v>22</v>
      </c>
      <c r="D40" s="31" t="s">
        <v>42</v>
      </c>
      <c r="E40" s="72">
        <f ca="1">E38/(E3*E16*$E$5*365)</f>
        <v>0.16431077891761184</v>
      </c>
      <c r="F40" s="72">
        <f ca="1">F38/(E3*F16*$E$5*365)</f>
        <v>0.22106024096101637</v>
      </c>
      <c r="G40" s="72">
        <f ca="1">G38/(E3*G16*$E$5*365)</f>
        <v>0.24409351122806522</v>
      </c>
      <c r="H40" s="73">
        <f ca="1">H38/(E3*H16*$E$5*365)</f>
        <v>0.19673184828989029</v>
      </c>
    </row>
    <row r="42" spans="2:12" ht="15.75" thickBot="1" x14ac:dyDescent="0.3">
      <c r="B42" s="12"/>
      <c r="C42" s="12"/>
      <c r="D42" s="12"/>
      <c r="E42" s="12"/>
      <c r="F42" s="12"/>
      <c r="G42" s="12"/>
    </row>
    <row r="43" spans="2:12" ht="15.75" thickBot="1" x14ac:dyDescent="0.3">
      <c r="B43" s="12"/>
      <c r="C43" s="69" t="s">
        <v>5</v>
      </c>
      <c r="D43" s="70"/>
      <c r="E43" s="71" t="s">
        <v>6</v>
      </c>
      <c r="F43" s="12"/>
      <c r="G43" s="2"/>
      <c r="H43" s="4" t="s">
        <v>12</v>
      </c>
      <c r="I43" s="5" t="s">
        <v>13</v>
      </c>
      <c r="J43" s="5" t="s">
        <v>24</v>
      </c>
      <c r="K43" s="5" t="s">
        <v>14</v>
      </c>
      <c r="L43" s="6" t="s">
        <v>15</v>
      </c>
    </row>
    <row r="44" spans="2:12" x14ac:dyDescent="0.25">
      <c r="B44" s="12"/>
      <c r="C44" s="4">
        <f>1</f>
        <v>1</v>
      </c>
      <c r="D44" s="5"/>
      <c r="E44" s="6">
        <f>(1+$E$10)^(-C44)</f>
        <v>0.96153846153846145</v>
      </c>
      <c r="F44" s="12"/>
      <c r="G44" s="13" t="s">
        <v>16</v>
      </c>
      <c r="H44" s="4" t="s">
        <v>4</v>
      </c>
      <c r="I44" s="5" t="s">
        <v>4</v>
      </c>
      <c r="J44" s="5" t="s">
        <v>4</v>
      </c>
      <c r="K44" s="5" t="s">
        <v>4</v>
      </c>
      <c r="L44" s="6" t="s">
        <v>4</v>
      </c>
    </row>
    <row r="45" spans="2:12" x14ac:dyDescent="0.25">
      <c r="B45" s="12"/>
      <c r="C45" s="7">
        <f>C44+1</f>
        <v>2</v>
      </c>
      <c r="D45" s="8"/>
      <c r="E45" s="9">
        <f t="shared" ref="E45:E93" si="8">(1+$E$10)^(-C45)</f>
        <v>0.92455621301775137</v>
      </c>
      <c r="F45" s="12"/>
      <c r="G45" s="14">
        <v>0</v>
      </c>
      <c r="H45" s="7">
        <f t="shared" ref="H45:H70" si="9">1/((1+$E$10)^(G45*E$29))</f>
        <v>1</v>
      </c>
      <c r="I45" s="8">
        <f t="shared" ref="I45:I70" si="10">1/((1+$E$10)^(G45*F$29))</f>
        <v>1</v>
      </c>
      <c r="J45" s="8">
        <f t="shared" ref="J45:J70" si="11">1/((1+$E$10)^(G45*G$29))</f>
        <v>1</v>
      </c>
      <c r="K45" s="8">
        <f t="shared" ref="K45:K70" si="12">1/((1+$E$10)^(G45*H$29))</f>
        <v>1</v>
      </c>
      <c r="L45" s="9">
        <f>1/((1+$E$10)^(G45*$E$7))</f>
        <v>1</v>
      </c>
    </row>
    <row r="46" spans="2:12" x14ac:dyDescent="0.25">
      <c r="B46" s="12"/>
      <c r="C46" s="7">
        <f t="shared" ref="C46:C93" si="13">C45+1</f>
        <v>3</v>
      </c>
      <c r="D46" s="8"/>
      <c r="E46" s="9">
        <f t="shared" si="8"/>
        <v>0.88899635867091487</v>
      </c>
      <c r="F46" s="12"/>
      <c r="G46" s="14">
        <f>1</f>
        <v>1</v>
      </c>
      <c r="H46" s="7">
        <f t="shared" si="9"/>
        <v>0.67556416882579851</v>
      </c>
      <c r="I46" s="8">
        <f t="shared" si="10"/>
        <v>0.55526450271327477</v>
      </c>
      <c r="J46" s="8">
        <f t="shared" si="11"/>
        <v>0.89811782716206079</v>
      </c>
      <c r="K46" s="8">
        <f t="shared" si="12"/>
        <v>0.72443587828746825</v>
      </c>
      <c r="L46" s="9">
        <f t="shared" ref="L46:L70" si="14">1/((1+$E$10)^(G46*$E$7))</f>
        <v>0.67556416882579851</v>
      </c>
    </row>
    <row r="47" spans="2:12" x14ac:dyDescent="0.25">
      <c r="B47" s="12"/>
      <c r="C47" s="7">
        <f t="shared" si="13"/>
        <v>4</v>
      </c>
      <c r="D47" s="8"/>
      <c r="E47" s="9">
        <f t="shared" si="8"/>
        <v>0.85480419102972571</v>
      </c>
      <c r="F47" s="12"/>
      <c r="G47" s="14">
        <f t="shared" ref="G47:G70" si="15">G46+1</f>
        <v>2</v>
      </c>
      <c r="H47" s="7">
        <f t="shared" si="9"/>
        <v>0.45638694620129205</v>
      </c>
      <c r="I47" s="8">
        <f t="shared" si="10"/>
        <v>0.30831866797342034</v>
      </c>
      <c r="J47" s="8">
        <f t="shared" si="11"/>
        <v>0.80661563146630155</v>
      </c>
      <c r="K47" s="8">
        <f t="shared" si="12"/>
        <v>0.52480734175013566</v>
      </c>
      <c r="L47" s="9">
        <f t="shared" si="14"/>
        <v>0.45638694620129205</v>
      </c>
    </row>
    <row r="48" spans="2:12" x14ac:dyDescent="0.25">
      <c r="C48" s="7">
        <f t="shared" si="13"/>
        <v>5</v>
      </c>
      <c r="D48" s="8"/>
      <c r="E48" s="9">
        <f t="shared" si="8"/>
        <v>0.82192710675935154</v>
      </c>
      <c r="G48" s="14">
        <f t="shared" si="15"/>
        <v>3</v>
      </c>
      <c r="H48" s="7">
        <f t="shared" si="9"/>
        <v>0.30831866797342034</v>
      </c>
      <c r="I48" s="8">
        <f t="shared" si="10"/>
        <v>0.17119841184948048</v>
      </c>
      <c r="J48" s="8">
        <f t="shared" si="11"/>
        <v>0.72443587828746836</v>
      </c>
      <c r="K48" s="8">
        <f t="shared" si="12"/>
        <v>0.38018926755247107</v>
      </c>
      <c r="L48" s="9">
        <f t="shared" si="14"/>
        <v>0.30831866797342034</v>
      </c>
    </row>
    <row r="49" spans="3:12" x14ac:dyDescent="0.25">
      <c r="C49" s="7">
        <f t="shared" si="13"/>
        <v>6</v>
      </c>
      <c r="D49" s="8"/>
      <c r="E49" s="9">
        <f t="shared" si="8"/>
        <v>0.79031452573014571</v>
      </c>
      <c r="G49" s="14">
        <f t="shared" si="15"/>
        <v>4</v>
      </c>
      <c r="H49" s="7">
        <f t="shared" si="9"/>
        <v>0.20828904466294101</v>
      </c>
      <c r="I49" s="8">
        <f t="shared" si="10"/>
        <v>9.506040102090417E-2</v>
      </c>
      <c r="J49" s="8">
        <f t="shared" si="11"/>
        <v>0.65062877692578036</v>
      </c>
      <c r="K49" s="8">
        <f t="shared" si="12"/>
        <v>0.27542274595484362</v>
      </c>
      <c r="L49" s="9">
        <f t="shared" si="14"/>
        <v>0.20828904466294101</v>
      </c>
    </row>
    <row r="50" spans="3:12" x14ac:dyDescent="0.25">
      <c r="C50" s="7">
        <f t="shared" si="13"/>
        <v>7</v>
      </c>
      <c r="D50" s="8"/>
      <c r="E50" s="9">
        <f t="shared" si="8"/>
        <v>0.75991781320206331</v>
      </c>
      <c r="G50" s="14">
        <f t="shared" si="15"/>
        <v>5</v>
      </c>
      <c r="H50" s="7">
        <f t="shared" si="9"/>
        <v>0.14071261533323939</v>
      </c>
      <c r="I50" s="8">
        <f t="shared" si="10"/>
        <v>5.2783666300596846E-2</v>
      </c>
      <c r="J50" s="8">
        <f t="shared" si="11"/>
        <v>0.58434130342169099</v>
      </c>
      <c r="K50" s="8">
        <f t="shared" si="12"/>
        <v>0.19952611886614341</v>
      </c>
      <c r="L50" s="9">
        <f t="shared" si="14"/>
        <v>0.14071261533323939</v>
      </c>
    </row>
    <row r="51" spans="3:12" x14ac:dyDescent="0.25">
      <c r="C51" s="7">
        <f t="shared" si="13"/>
        <v>8</v>
      </c>
      <c r="D51" s="8"/>
      <c r="E51" s="9">
        <f t="shared" si="8"/>
        <v>0.73069020500198378</v>
      </c>
      <c r="G51" s="14">
        <f t="shared" si="15"/>
        <v>6</v>
      </c>
      <c r="H51" s="7">
        <f t="shared" si="9"/>
        <v>9.506040102090417E-2</v>
      </c>
      <c r="I51" s="8">
        <f t="shared" si="10"/>
        <v>2.9308896219784344E-2</v>
      </c>
      <c r="J51" s="8">
        <f t="shared" si="11"/>
        <v>0.52480734175013566</v>
      </c>
      <c r="K51" s="8">
        <f t="shared" si="12"/>
        <v>0.14454387916208439</v>
      </c>
      <c r="L51" s="9">
        <f t="shared" si="14"/>
        <v>9.506040102090417E-2</v>
      </c>
    </row>
    <row r="52" spans="3:12" x14ac:dyDescent="0.25">
      <c r="C52" s="7">
        <f t="shared" si="13"/>
        <v>9</v>
      </c>
      <c r="D52" s="8"/>
      <c r="E52" s="9">
        <f t="shared" si="8"/>
        <v>0.70258673557883045</v>
      </c>
      <c r="G52" s="14">
        <f t="shared" si="15"/>
        <v>7</v>
      </c>
      <c r="H52" s="7">
        <f t="shared" si="9"/>
        <v>6.4219400803934235E-2</v>
      </c>
      <c r="I52" s="8">
        <f t="shared" si="10"/>
        <v>1.6274189684553533E-2</v>
      </c>
      <c r="J52" s="8">
        <f t="shared" si="11"/>
        <v>0.47133882945132899</v>
      </c>
      <c r="K52" s="8">
        <f t="shared" si="12"/>
        <v>0.10471277205186227</v>
      </c>
      <c r="L52" s="9">
        <f t="shared" si="14"/>
        <v>6.4219400803934235E-2</v>
      </c>
    </row>
    <row r="53" spans="3:12" x14ac:dyDescent="0.25">
      <c r="C53" s="7">
        <f t="shared" si="13"/>
        <v>10</v>
      </c>
      <c r="D53" s="8"/>
      <c r="E53" s="9">
        <f t="shared" si="8"/>
        <v>0.67556416882579851</v>
      </c>
      <c r="G53" s="14">
        <f t="shared" si="15"/>
        <v>8</v>
      </c>
      <c r="H53" s="7">
        <f t="shared" si="9"/>
        <v>4.3384326126600647E-2</v>
      </c>
      <c r="I53" s="8">
        <f t="shared" si="10"/>
        <v>9.0364798422551233E-3</v>
      </c>
      <c r="J53" s="8">
        <f t="shared" si="11"/>
        <v>0.42331780536393676</v>
      </c>
      <c r="K53" s="8">
        <f t="shared" si="12"/>
        <v>7.5857688989306324E-2</v>
      </c>
      <c r="L53" s="9">
        <f t="shared" si="14"/>
        <v>4.3384326126600647E-2</v>
      </c>
    </row>
    <row r="54" spans="3:12" x14ac:dyDescent="0.25">
      <c r="C54" s="7">
        <f t="shared" si="13"/>
        <v>11</v>
      </c>
      <c r="D54" s="8"/>
      <c r="E54" s="9">
        <f t="shared" si="8"/>
        <v>0.6495809315632679</v>
      </c>
      <c r="G54" s="14">
        <f t="shared" si="15"/>
        <v>9</v>
      </c>
      <c r="H54" s="7">
        <f t="shared" si="9"/>
        <v>2.9308896219784344E-2</v>
      </c>
      <c r="I54" s="8">
        <f t="shared" si="10"/>
        <v>5.0176364858883224E-3</v>
      </c>
      <c r="J54" s="8">
        <f t="shared" si="11"/>
        <v>0.38018926755247112</v>
      </c>
      <c r="K54" s="8">
        <f t="shared" si="12"/>
        <v>5.4954031547825771E-2</v>
      </c>
      <c r="L54" s="9">
        <f t="shared" si="14"/>
        <v>2.9308896219784344E-2</v>
      </c>
    </row>
    <row r="55" spans="3:12" x14ac:dyDescent="0.25">
      <c r="C55" s="7">
        <f t="shared" si="13"/>
        <v>12</v>
      </c>
      <c r="D55" s="8"/>
      <c r="E55" s="9">
        <f t="shared" si="8"/>
        <v>0.62459704958006512</v>
      </c>
      <c r="G55" s="14">
        <f t="shared" si="15"/>
        <v>10</v>
      </c>
      <c r="H55" s="7">
        <f t="shared" si="9"/>
        <v>1.9800040113920201E-2</v>
      </c>
      <c r="I55" s="8">
        <f t="shared" si="10"/>
        <v>2.7861154281327623E-3</v>
      </c>
      <c r="J55" s="8">
        <f t="shared" si="11"/>
        <v>0.34145475888456078</v>
      </c>
      <c r="K55" s="8">
        <f t="shared" si="12"/>
        <v>3.9810672109786394E-2</v>
      </c>
      <c r="L55" s="9">
        <f t="shared" si="14"/>
        <v>1.9800040113920201E-2</v>
      </c>
    </row>
    <row r="56" spans="3:12" x14ac:dyDescent="0.25">
      <c r="C56" s="7">
        <f t="shared" si="13"/>
        <v>13</v>
      </c>
      <c r="D56" s="8"/>
      <c r="E56" s="9">
        <f t="shared" si="8"/>
        <v>0.600574086134678</v>
      </c>
      <c r="G56" s="14">
        <f t="shared" si="15"/>
        <v>11</v>
      </c>
      <c r="H56" s="7">
        <f t="shared" si="9"/>
        <v>1.3376197642277968E-2</v>
      </c>
      <c r="I56" s="8">
        <f t="shared" si="10"/>
        <v>1.5470309977039206E-3</v>
      </c>
      <c r="J56" s="8">
        <f t="shared" si="11"/>
        <v>0.30666660612354713</v>
      </c>
      <c r="K56" s="8">
        <f t="shared" si="12"/>
        <v>2.8840279215067516E-2</v>
      </c>
      <c r="L56" s="9">
        <f t="shared" si="14"/>
        <v>1.3376197642277968E-2</v>
      </c>
    </row>
    <row r="57" spans="3:12" x14ac:dyDescent="0.25">
      <c r="C57" s="7">
        <f t="shared" si="13"/>
        <v>14</v>
      </c>
      <c r="D57" s="8"/>
      <c r="E57" s="9">
        <f t="shared" si="8"/>
        <v>0.57747508282180582</v>
      </c>
      <c r="G57" s="14">
        <f t="shared" si="15"/>
        <v>12</v>
      </c>
      <c r="H57" s="7">
        <f t="shared" si="9"/>
        <v>9.0364798422551233E-3</v>
      </c>
      <c r="I57" s="8">
        <f t="shared" si="10"/>
        <v>8.5901139762208892E-4</v>
      </c>
      <c r="J57" s="8">
        <f t="shared" si="11"/>
        <v>0.27542274595484367</v>
      </c>
      <c r="K57" s="8">
        <f t="shared" si="12"/>
        <v>2.0892933003223257E-2</v>
      </c>
      <c r="L57" s="9">
        <f t="shared" si="14"/>
        <v>9.0364798422551233E-3</v>
      </c>
    </row>
    <row r="58" spans="3:12" x14ac:dyDescent="0.25">
      <c r="C58" s="7">
        <f t="shared" si="13"/>
        <v>15</v>
      </c>
      <c r="D58" s="8"/>
      <c r="E58" s="9">
        <f t="shared" si="8"/>
        <v>0.55526450271327477</v>
      </c>
      <c r="G58" s="14">
        <f t="shared" si="15"/>
        <v>13</v>
      </c>
      <c r="H58" s="7">
        <f t="shared" si="9"/>
        <v>6.1047219937441647E-3</v>
      </c>
      <c r="I58" s="8">
        <f t="shared" si="10"/>
        <v>4.7697853652566436E-4</v>
      </c>
      <c r="J58" s="8">
        <f t="shared" si="11"/>
        <v>0.24736207814797254</v>
      </c>
      <c r="K58" s="8">
        <f t="shared" si="12"/>
        <v>1.5135590270191275E-2</v>
      </c>
      <c r="L58" s="9">
        <f t="shared" si="14"/>
        <v>6.1047219937441647E-3</v>
      </c>
    </row>
    <row r="59" spans="3:12" x14ac:dyDescent="0.25">
      <c r="C59" s="7">
        <f t="shared" si="13"/>
        <v>16</v>
      </c>
      <c r="D59" s="8"/>
      <c r="E59" s="9">
        <f t="shared" si="8"/>
        <v>0.53390817568584104</v>
      </c>
      <c r="G59" s="14">
        <f t="shared" si="15"/>
        <v>14</v>
      </c>
      <c r="H59" s="7">
        <f t="shared" si="9"/>
        <v>4.1241314396163482E-3</v>
      </c>
      <c r="I59" s="8">
        <f t="shared" si="10"/>
        <v>2.6484924988882859E-4</v>
      </c>
      <c r="J59" s="8">
        <f t="shared" si="11"/>
        <v>0.22216029214854896</v>
      </c>
      <c r="K59" s="8">
        <f t="shared" si="12"/>
        <v>1.0964764630785273E-2</v>
      </c>
      <c r="L59" s="9">
        <f t="shared" si="14"/>
        <v>4.1241314396163482E-3</v>
      </c>
    </row>
    <row r="60" spans="3:12" x14ac:dyDescent="0.25">
      <c r="C60" s="7">
        <f t="shared" si="13"/>
        <v>17</v>
      </c>
      <c r="D60" s="8"/>
      <c r="E60" s="9">
        <f t="shared" si="8"/>
        <v>0.51337324585177024</v>
      </c>
      <c r="G60" s="14">
        <f t="shared" si="15"/>
        <v>15</v>
      </c>
      <c r="H60" s="7">
        <f t="shared" si="9"/>
        <v>2.7861154281327623E-3</v>
      </c>
      <c r="I60" s="8">
        <f t="shared" si="10"/>
        <v>1.4706138703350424E-4</v>
      </c>
      <c r="J60" s="8">
        <f t="shared" si="11"/>
        <v>0.19952611886614349</v>
      </c>
      <c r="K60" s="8">
        <f t="shared" si="12"/>
        <v>7.9432688955182931E-3</v>
      </c>
      <c r="L60" s="9">
        <f t="shared" si="14"/>
        <v>2.7861154281327623E-3</v>
      </c>
    </row>
    <row r="61" spans="3:12" x14ac:dyDescent="0.25">
      <c r="C61" s="7">
        <f t="shared" si="13"/>
        <v>18</v>
      </c>
      <c r="D61" s="8"/>
      <c r="E61" s="9">
        <f t="shared" si="8"/>
        <v>0.49362812101131748</v>
      </c>
      <c r="G61" s="14">
        <f t="shared" si="15"/>
        <v>16</v>
      </c>
      <c r="H61" s="7">
        <f t="shared" si="9"/>
        <v>1.8821997534592433E-3</v>
      </c>
      <c r="I61" s="8">
        <f t="shared" si="10"/>
        <v>8.1657967939483157E-5</v>
      </c>
      <c r="J61" s="8">
        <f t="shared" si="11"/>
        <v>0.17919796433813986</v>
      </c>
      <c r="K61" s="8">
        <f t="shared" si="12"/>
        <v>5.7543889787983263E-3</v>
      </c>
      <c r="L61" s="9">
        <f t="shared" si="14"/>
        <v>1.8821997534592433E-3</v>
      </c>
    </row>
    <row r="62" spans="3:12" x14ac:dyDescent="0.25">
      <c r="C62" s="7">
        <f t="shared" si="13"/>
        <v>19</v>
      </c>
      <c r="D62" s="8"/>
      <c r="E62" s="9">
        <f t="shared" si="8"/>
        <v>0.47464242404934376</v>
      </c>
      <c r="G62" s="14">
        <f t="shared" si="15"/>
        <v>17</v>
      </c>
      <c r="H62" s="7">
        <f t="shared" si="9"/>
        <v>1.2715467120098169E-3</v>
      </c>
      <c r="I62" s="8">
        <f t="shared" si="10"/>
        <v>4.5341770960493652E-5</v>
      </c>
      <c r="J62" s="8">
        <f t="shared" si="11"/>
        <v>0.16094088636323464</v>
      </c>
      <c r="K62" s="8">
        <f t="shared" si="12"/>
        <v>4.1686858338634966E-3</v>
      </c>
      <c r="L62" s="9">
        <f t="shared" si="14"/>
        <v>1.2715467120098169E-3</v>
      </c>
    </row>
    <row r="63" spans="3:12" x14ac:dyDescent="0.25">
      <c r="C63" s="7">
        <f t="shared" si="13"/>
        <v>20</v>
      </c>
      <c r="D63" s="8"/>
      <c r="E63" s="9">
        <f t="shared" si="8"/>
        <v>0.45638694620129205</v>
      </c>
      <c r="G63" s="14">
        <f t="shared" si="15"/>
        <v>18</v>
      </c>
      <c r="H63" s="7">
        <f t="shared" si="9"/>
        <v>8.5901139762208892E-4</v>
      </c>
      <c r="I63" s="8">
        <f t="shared" si="10"/>
        <v>2.5176675904517706E-5</v>
      </c>
      <c r="J63" s="8">
        <f t="shared" si="11"/>
        <v>0.14454387916208444</v>
      </c>
      <c r="K63" s="8">
        <f t="shared" si="12"/>
        <v>3.0199455833594306E-3</v>
      </c>
      <c r="L63" s="9">
        <f t="shared" si="14"/>
        <v>8.5901139762208892E-4</v>
      </c>
    </row>
    <row r="64" spans="3:12" x14ac:dyDescent="0.25">
      <c r="C64" s="7">
        <f t="shared" si="13"/>
        <v>21</v>
      </c>
      <c r="D64" s="8"/>
      <c r="E64" s="9">
        <f t="shared" si="8"/>
        <v>0.43883360211662686</v>
      </c>
      <c r="G64" s="14">
        <f t="shared" si="15"/>
        <v>19</v>
      </c>
      <c r="H64" s="7">
        <f t="shared" si="9"/>
        <v>5.8031732084645412E-4</v>
      </c>
      <c r="I64" s="8">
        <f t="shared" si="10"/>
        <v>1.397971442609531E-5</v>
      </c>
      <c r="J64" s="8">
        <f t="shared" si="11"/>
        <v>0.12981743468262677</v>
      </c>
      <c r="K64" s="8">
        <f t="shared" si="12"/>
        <v>2.1877569310613473E-3</v>
      </c>
      <c r="L64" s="9">
        <f t="shared" si="14"/>
        <v>5.8031732084645412E-4</v>
      </c>
    </row>
    <row r="65" spans="3:12" x14ac:dyDescent="0.25">
      <c r="C65" s="7">
        <f t="shared" si="13"/>
        <v>22</v>
      </c>
      <c r="D65" s="8"/>
      <c r="E65" s="9">
        <f t="shared" si="8"/>
        <v>0.42195538665060278</v>
      </c>
      <c r="G65" s="14">
        <f t="shared" si="15"/>
        <v>20</v>
      </c>
      <c r="H65" s="7">
        <f t="shared" si="9"/>
        <v>3.92041588512849E-4</v>
      </c>
      <c r="I65" s="8">
        <f t="shared" si="10"/>
        <v>7.7624391788794049E-6</v>
      </c>
      <c r="J65" s="8">
        <f t="shared" si="11"/>
        <v>0.11659135236491351</v>
      </c>
      <c r="K65" s="8">
        <f t="shared" si="12"/>
        <v>1.5848896138329243E-3</v>
      </c>
      <c r="L65" s="9">
        <f t="shared" si="14"/>
        <v>3.92041588512849E-4</v>
      </c>
    </row>
    <row r="66" spans="3:12" x14ac:dyDescent="0.25">
      <c r="C66" s="7">
        <f t="shared" si="13"/>
        <v>23</v>
      </c>
      <c r="D66" s="8"/>
      <c r="E66" s="9">
        <f t="shared" si="8"/>
        <v>0.40572633331788732</v>
      </c>
      <c r="G66" s="14">
        <f t="shared" si="15"/>
        <v>21</v>
      </c>
      <c r="H66" s="7">
        <f t="shared" si="9"/>
        <v>2.6484924988882859E-4</v>
      </c>
      <c r="I66" s="8">
        <f t="shared" si="10"/>
        <v>4.3102069305025143E-6</v>
      </c>
      <c r="J66" s="8">
        <f t="shared" si="11"/>
        <v>0.10471277205186234</v>
      </c>
      <c r="K66" s="8">
        <f t="shared" si="12"/>
        <v>1.1481508993857405E-3</v>
      </c>
      <c r="L66" s="9">
        <f t="shared" si="14"/>
        <v>2.6484924988882859E-4</v>
      </c>
    </row>
    <row r="67" spans="3:12" x14ac:dyDescent="0.25">
      <c r="C67" s="7">
        <f t="shared" si="13"/>
        <v>24</v>
      </c>
      <c r="D67" s="8"/>
      <c r="E67" s="9">
        <f t="shared" si="8"/>
        <v>0.39012147434412242</v>
      </c>
      <c r="G67" s="14">
        <f t="shared" si="15"/>
        <v>22</v>
      </c>
      <c r="H67" s="7">
        <f t="shared" si="9"/>
        <v>1.7892266336528269E-4</v>
      </c>
      <c r="I67" s="8">
        <f t="shared" si="10"/>
        <v>2.3933049078567888E-6</v>
      </c>
      <c r="J67" s="8">
        <f t="shared" si="11"/>
        <v>9.4044407311334774E-2</v>
      </c>
      <c r="K67" s="8">
        <f t="shared" si="12"/>
        <v>8.3176170520305533E-4</v>
      </c>
      <c r="L67" s="9">
        <f t="shared" si="14"/>
        <v>1.7892266336528269E-4</v>
      </c>
    </row>
    <row r="68" spans="3:12" x14ac:dyDescent="0.25">
      <c r="C68" s="7">
        <f t="shared" si="13"/>
        <v>25</v>
      </c>
      <c r="D68" s="8"/>
      <c r="E68" s="9">
        <f t="shared" si="8"/>
        <v>0.37511680225396377</v>
      </c>
      <c r="G68" s="14">
        <f t="shared" si="15"/>
        <v>23</v>
      </c>
      <c r="H68" s="7">
        <f t="shared" si="9"/>
        <v>1.2087374036046538E-4</v>
      </c>
      <c r="I68" s="8">
        <f t="shared" si="10"/>
        <v>1.3289172595023396E-6</v>
      </c>
      <c r="J68" s="8">
        <f t="shared" si="11"/>
        <v>8.4462958751199829E-2</v>
      </c>
      <c r="K68" s="8">
        <f t="shared" si="12"/>
        <v>6.0255802143465808E-4</v>
      </c>
      <c r="L68" s="9">
        <f t="shared" si="14"/>
        <v>1.2087374036046538E-4</v>
      </c>
    </row>
    <row r="69" spans="3:12" x14ac:dyDescent="0.25">
      <c r="C69" s="7">
        <f t="shared" si="13"/>
        <v>26</v>
      </c>
      <c r="D69" s="8"/>
      <c r="E69" s="9">
        <f t="shared" si="8"/>
        <v>0.36068923293650368</v>
      </c>
      <c r="G69" s="14">
        <f t="shared" si="15"/>
        <v>24</v>
      </c>
      <c r="H69" s="7">
        <f t="shared" si="9"/>
        <v>8.1657967939483157E-5</v>
      </c>
      <c r="I69" s="8">
        <f t="shared" si="10"/>
        <v>7.379005812446544E-7</v>
      </c>
      <c r="J69" s="8">
        <f t="shared" si="11"/>
        <v>7.5857688989306366E-2</v>
      </c>
      <c r="K69" s="8">
        <f t="shared" si="12"/>
        <v>4.3651464947717553E-4</v>
      </c>
      <c r="L69" s="9">
        <f t="shared" si="14"/>
        <v>8.1657967939483157E-5</v>
      </c>
    </row>
    <row r="70" spans="3:12" ht="15.75" thickBot="1" x14ac:dyDescent="0.3">
      <c r="C70" s="7">
        <f t="shared" si="13"/>
        <v>27</v>
      </c>
      <c r="D70" s="8"/>
      <c r="E70" s="9">
        <f t="shared" si="8"/>
        <v>0.3468165701312535</v>
      </c>
      <c r="G70" s="15">
        <f t="shared" si="15"/>
        <v>25</v>
      </c>
      <c r="H70" s="10">
        <f t="shared" si="9"/>
        <v>5.5165197239040657E-5</v>
      </c>
      <c r="I70" s="3">
        <f t="shared" si="10"/>
        <v>4.0972999929664957E-7</v>
      </c>
      <c r="J70" s="3">
        <f t="shared" si="11"/>
        <v>6.8129142808611223E-2</v>
      </c>
      <c r="K70" s="3">
        <f t="shared" si="12"/>
        <v>3.1622687347934394E-4</v>
      </c>
      <c r="L70" s="11">
        <f t="shared" si="14"/>
        <v>5.5165197239040657E-5</v>
      </c>
    </row>
    <row r="71" spans="3:12" x14ac:dyDescent="0.25">
      <c r="C71" s="7">
        <f t="shared" si="13"/>
        <v>28</v>
      </c>
      <c r="D71" s="8"/>
      <c r="E71" s="9">
        <f t="shared" si="8"/>
        <v>0.3334774712800514</v>
      </c>
    </row>
    <row r="72" spans="3:12" x14ac:dyDescent="0.25">
      <c r="C72" s="7">
        <f t="shared" si="13"/>
        <v>29</v>
      </c>
      <c r="D72" s="8"/>
      <c r="E72" s="9">
        <f t="shared" si="8"/>
        <v>0.32065141469235708</v>
      </c>
    </row>
    <row r="73" spans="3:12" x14ac:dyDescent="0.25">
      <c r="C73" s="7">
        <f t="shared" si="13"/>
        <v>30</v>
      </c>
      <c r="D73" s="8"/>
      <c r="E73" s="9">
        <f t="shared" si="8"/>
        <v>0.30831866797342034</v>
      </c>
    </row>
    <row r="74" spans="3:12" x14ac:dyDescent="0.25">
      <c r="C74" s="7">
        <f t="shared" si="13"/>
        <v>31</v>
      </c>
      <c r="D74" s="8"/>
      <c r="E74" s="9">
        <f t="shared" si="8"/>
        <v>0.29646025766675027</v>
      </c>
    </row>
    <row r="75" spans="3:12" x14ac:dyDescent="0.25">
      <c r="C75" s="7">
        <f t="shared" si="13"/>
        <v>32</v>
      </c>
      <c r="D75" s="8"/>
      <c r="E75" s="9">
        <f t="shared" si="8"/>
        <v>0.28505794006418295</v>
      </c>
    </row>
    <row r="76" spans="3:12" x14ac:dyDescent="0.25">
      <c r="C76" s="7">
        <f t="shared" si="13"/>
        <v>33</v>
      </c>
      <c r="D76" s="8"/>
      <c r="E76" s="9">
        <f t="shared" si="8"/>
        <v>0.27409417313863743</v>
      </c>
    </row>
    <row r="77" spans="3:12" x14ac:dyDescent="0.25">
      <c r="C77" s="7">
        <f t="shared" si="13"/>
        <v>34</v>
      </c>
      <c r="D77" s="8"/>
      <c r="E77" s="9">
        <f t="shared" si="8"/>
        <v>0.26355208955638215</v>
      </c>
    </row>
    <row r="78" spans="3:12" x14ac:dyDescent="0.25">
      <c r="C78" s="7">
        <f t="shared" si="13"/>
        <v>35</v>
      </c>
      <c r="D78" s="8"/>
      <c r="E78" s="9">
        <f t="shared" si="8"/>
        <v>0.25341547072729048</v>
      </c>
    </row>
    <row r="79" spans="3:12" x14ac:dyDescent="0.25">
      <c r="C79" s="7">
        <f t="shared" si="13"/>
        <v>36</v>
      </c>
      <c r="D79" s="8"/>
      <c r="E79" s="9">
        <f t="shared" si="8"/>
        <v>0.24366872185316396</v>
      </c>
    </row>
    <row r="80" spans="3:12" x14ac:dyDescent="0.25">
      <c r="C80" s="7">
        <f t="shared" si="13"/>
        <v>37</v>
      </c>
      <c r="D80" s="8"/>
      <c r="E80" s="9">
        <f t="shared" si="8"/>
        <v>0.23429684793573452</v>
      </c>
    </row>
    <row r="81" spans="3:5" x14ac:dyDescent="0.25">
      <c r="C81" s="7">
        <f t="shared" si="13"/>
        <v>38</v>
      </c>
      <c r="D81" s="8"/>
      <c r="E81" s="9">
        <f t="shared" si="8"/>
        <v>0.22528543070743706</v>
      </c>
    </row>
    <row r="82" spans="3:5" x14ac:dyDescent="0.25">
      <c r="C82" s="7">
        <f t="shared" si="13"/>
        <v>39</v>
      </c>
      <c r="D82" s="8"/>
      <c r="E82" s="9">
        <f t="shared" si="8"/>
        <v>0.21662060644945874</v>
      </c>
    </row>
    <row r="83" spans="3:5" x14ac:dyDescent="0.25">
      <c r="C83" s="7">
        <f t="shared" si="13"/>
        <v>40</v>
      </c>
      <c r="D83" s="8"/>
      <c r="E83" s="9">
        <f t="shared" si="8"/>
        <v>0.20828904466294101</v>
      </c>
    </row>
    <row r="84" spans="3:5" x14ac:dyDescent="0.25">
      <c r="C84" s="7">
        <f t="shared" si="13"/>
        <v>41</v>
      </c>
      <c r="D84" s="8"/>
      <c r="E84" s="9">
        <f t="shared" si="8"/>
        <v>0.20027792756052021</v>
      </c>
    </row>
    <row r="85" spans="3:5" x14ac:dyDescent="0.25">
      <c r="C85" s="7">
        <f t="shared" si="13"/>
        <v>42</v>
      </c>
      <c r="D85" s="8"/>
      <c r="E85" s="9">
        <f t="shared" si="8"/>
        <v>0.19257493034665407</v>
      </c>
    </row>
    <row r="86" spans="3:5" x14ac:dyDescent="0.25">
      <c r="C86" s="7">
        <f t="shared" si="13"/>
        <v>43</v>
      </c>
      <c r="D86" s="8"/>
      <c r="E86" s="9">
        <f t="shared" si="8"/>
        <v>0.18516820225639813</v>
      </c>
    </row>
    <row r="87" spans="3:5" x14ac:dyDescent="0.25">
      <c r="C87" s="7">
        <f t="shared" si="13"/>
        <v>44</v>
      </c>
      <c r="D87" s="8"/>
      <c r="E87" s="9">
        <f t="shared" si="8"/>
        <v>0.17804634832345972</v>
      </c>
    </row>
    <row r="88" spans="3:5" x14ac:dyDescent="0.25">
      <c r="C88" s="7">
        <f t="shared" si="13"/>
        <v>45</v>
      </c>
      <c r="D88" s="8"/>
      <c r="E88" s="9">
        <f t="shared" si="8"/>
        <v>0.17119841184948048</v>
      </c>
    </row>
    <row r="89" spans="3:5" x14ac:dyDescent="0.25">
      <c r="C89" s="7">
        <f t="shared" si="13"/>
        <v>46</v>
      </c>
      <c r="D89" s="8"/>
      <c r="E89" s="9">
        <f t="shared" si="8"/>
        <v>0.1646138575475774</v>
      </c>
    </row>
    <row r="90" spans="3:5" x14ac:dyDescent="0.25">
      <c r="C90" s="7">
        <f t="shared" si="13"/>
        <v>47</v>
      </c>
      <c r="D90" s="8"/>
      <c r="E90" s="9">
        <f t="shared" si="8"/>
        <v>0.15828255533420904</v>
      </c>
    </row>
    <row r="91" spans="3:5" x14ac:dyDescent="0.25">
      <c r="C91" s="7">
        <f t="shared" si="13"/>
        <v>48</v>
      </c>
      <c r="D91" s="8"/>
      <c r="E91" s="9">
        <f t="shared" si="8"/>
        <v>0.15219476474443175</v>
      </c>
    </row>
    <row r="92" spans="3:5" x14ac:dyDescent="0.25">
      <c r="C92" s="7">
        <f t="shared" si="13"/>
        <v>49</v>
      </c>
      <c r="D92" s="8"/>
      <c r="E92" s="9">
        <f t="shared" si="8"/>
        <v>0.14634111994656898</v>
      </c>
    </row>
    <row r="93" spans="3:5" ht="15.75" thickBot="1" x14ac:dyDescent="0.3">
      <c r="C93" s="10">
        <f t="shared" si="13"/>
        <v>50</v>
      </c>
      <c r="D93" s="3"/>
      <c r="E93" s="11">
        <f t="shared" si="8"/>
        <v>0.14071261533323939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2018-05-02T10:17:40Z</dcterms:modified>
</cp:coreProperties>
</file>