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opilniaktimofey/Desktop/desktop/"/>
    </mc:Choice>
  </mc:AlternateContent>
  <xr:revisionPtr revIDLastSave="0" documentId="8_{9CA6AAE9-54F7-9242-8A3D-39C24023CA46}" xr6:coauthVersionLast="47" xr6:coauthVersionMax="47" xr10:uidLastSave="{00000000-0000-0000-0000-000000000000}"/>
  <bookViews>
    <workbookView xWindow="0" yWindow="780" windowWidth="34200" windowHeight="19940" activeTab="1" xr2:uid="{00000000-000D-0000-FFFF-FFFF00000000}"/>
  </bookViews>
  <sheets>
    <sheet name="Источники" sheetId="1" r:id="rId1"/>
    <sheet name="Ввод (Inputs)" sheetId="2" r:id="rId2"/>
    <sheet name="Unit Economics" sheetId="3" r:id="rId3"/>
    <sheet name="Рынок_TAM_SAM_SOM" sheetId="4" r:id="rId4"/>
    <sheet name="P&amp;L_24м" sheetId="5" r:id="rId5"/>
    <sheet name="CashFlow" sheetId="6" r:id="rId6"/>
    <sheet name="Метрики" sheetId="7" r:id="rId7"/>
    <sheet name="Анализ чувствительности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8" l="1"/>
  <c r="C29" i="8"/>
  <c r="B29" i="8"/>
  <c r="E18" i="8"/>
  <c r="B5" i="6"/>
  <c r="Z11" i="5"/>
  <c r="Z5" i="6" s="1"/>
  <c r="Y11" i="5"/>
  <c r="Y5" i="6" s="1"/>
  <c r="X11" i="5"/>
  <c r="X5" i="6" s="1"/>
  <c r="W11" i="5"/>
  <c r="W5" i="6" s="1"/>
  <c r="V11" i="5"/>
  <c r="V5" i="6" s="1"/>
  <c r="U11" i="5"/>
  <c r="U5" i="6" s="1"/>
  <c r="T11" i="5"/>
  <c r="T5" i="6" s="1"/>
  <c r="S11" i="5"/>
  <c r="S5" i="6" s="1"/>
  <c r="R11" i="5"/>
  <c r="R5" i="6" s="1"/>
  <c r="Q11" i="5"/>
  <c r="Q5" i="6" s="1"/>
  <c r="P11" i="5"/>
  <c r="P5" i="6" s="1"/>
  <c r="O11" i="5"/>
  <c r="O5" i="6" s="1"/>
  <c r="N11" i="5"/>
  <c r="N5" i="6" s="1"/>
  <c r="M11" i="5"/>
  <c r="M5" i="6" s="1"/>
  <c r="L11" i="5"/>
  <c r="L5" i="6" s="1"/>
  <c r="K11" i="5"/>
  <c r="K5" i="6" s="1"/>
  <c r="J11" i="5"/>
  <c r="J5" i="6" s="1"/>
  <c r="I11" i="5"/>
  <c r="I5" i="6" s="1"/>
  <c r="H11" i="5"/>
  <c r="H5" i="6" s="1"/>
  <c r="G11" i="5"/>
  <c r="G5" i="6" s="1"/>
  <c r="F11" i="5"/>
  <c r="F5" i="6" s="1"/>
  <c r="E11" i="5"/>
  <c r="E5" i="6" s="1"/>
  <c r="D11" i="5"/>
  <c r="D5" i="6" s="1"/>
  <c r="C11" i="5"/>
  <c r="C5" i="6" s="1"/>
  <c r="C4" i="5"/>
  <c r="B9" i="4"/>
  <c r="C7" i="4"/>
  <c r="C17" i="4" s="1"/>
  <c r="B7" i="4"/>
  <c r="B17" i="4" s="1"/>
  <c r="B18" i="4" s="1"/>
  <c r="C6" i="4"/>
  <c r="C16" i="4" s="1"/>
  <c r="B6" i="4"/>
  <c r="B16" i="4" s="1"/>
  <c r="B31" i="3"/>
  <c r="B30" i="3"/>
  <c r="B37" i="2"/>
  <c r="B12" i="3" s="1"/>
  <c r="B29" i="2"/>
  <c r="D26" i="2"/>
  <c r="B26" i="2"/>
  <c r="B11" i="3" s="1"/>
  <c r="B21" i="2"/>
  <c r="B17" i="2"/>
  <c r="B6" i="3" s="1"/>
  <c r="B15" i="2"/>
  <c r="B21" i="3" s="1"/>
  <c r="B11" i="2"/>
  <c r="D6" i="2"/>
  <c r="B14" i="2" l="1"/>
  <c r="B13" i="3"/>
  <c r="B14" i="3" s="1"/>
  <c r="B39" i="3"/>
  <c r="B40" i="3" s="1"/>
  <c r="D4" i="5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B12" i="2"/>
  <c r="B46" i="2"/>
  <c r="B7" i="6" s="1"/>
  <c r="B10" i="2"/>
  <c r="C5" i="5" s="1"/>
  <c r="C6" i="5" s="1"/>
  <c r="B5" i="3"/>
  <c r="B7" i="3" s="1"/>
  <c r="B8" i="3" s="1"/>
  <c r="B34" i="3"/>
  <c r="B35" i="3" s="1"/>
  <c r="D5" i="5" l="1"/>
  <c r="D6" i="5" s="1"/>
  <c r="B32" i="3"/>
  <c r="C7" i="5"/>
  <c r="C8" i="5" s="1"/>
  <c r="T9" i="5"/>
  <c r="L9" i="5"/>
  <c r="D9" i="5"/>
  <c r="S9" i="5"/>
  <c r="K9" i="5"/>
  <c r="C9" i="5"/>
  <c r="Z9" i="5"/>
  <c r="R9" i="5"/>
  <c r="J9" i="5"/>
  <c r="B9" i="5"/>
  <c r="B10" i="5" s="1"/>
  <c r="B13" i="5" s="1"/>
  <c r="B4" i="6" s="1"/>
  <c r="B6" i="6" s="1"/>
  <c r="B8" i="6" s="1"/>
  <c r="Y9" i="5"/>
  <c r="Q9" i="5"/>
  <c r="I9" i="5"/>
  <c r="B17" i="3"/>
  <c r="X9" i="5"/>
  <c r="P9" i="5"/>
  <c r="H9" i="5"/>
  <c r="W9" i="5"/>
  <c r="O9" i="5"/>
  <c r="G9" i="5"/>
  <c r="V9" i="5"/>
  <c r="N9" i="5"/>
  <c r="F9" i="5"/>
  <c r="B27" i="3"/>
  <c r="U9" i="5"/>
  <c r="M9" i="5"/>
  <c r="E9" i="5"/>
  <c r="E5" i="5"/>
  <c r="E6" i="5" s="1"/>
  <c r="C12" i="5" l="1"/>
  <c r="C10" i="5"/>
  <c r="B9" i="6"/>
  <c r="D7" i="5"/>
  <c r="D8" i="5" s="1"/>
  <c r="E7" i="5"/>
  <c r="F5" i="5"/>
  <c r="B18" i="3"/>
  <c r="B22" i="3"/>
  <c r="B23" i="3" s="1"/>
  <c r="B37" i="3"/>
  <c r="B8" i="7" s="1"/>
  <c r="F5" i="8" s="1"/>
  <c r="B42" i="3"/>
  <c r="B9" i="7" s="1"/>
  <c r="G5" i="8" s="1"/>
  <c r="C13" i="5" l="1"/>
  <c r="C4" i="6" s="1"/>
  <c r="C6" i="6" s="1"/>
  <c r="C8" i="6" s="1"/>
  <c r="C9" i="6" s="1"/>
  <c r="D12" i="5"/>
  <c r="D10" i="5"/>
  <c r="G5" i="5"/>
  <c r="F6" i="5"/>
  <c r="E8" i="5"/>
  <c r="D13" i="5" l="1"/>
  <c r="D4" i="6" s="1"/>
  <c r="D6" i="6" s="1"/>
  <c r="D8" i="6" s="1"/>
  <c r="D9" i="6" s="1"/>
  <c r="E12" i="5"/>
  <c r="E10" i="5"/>
  <c r="H5" i="5"/>
  <c r="G6" i="5"/>
  <c r="F7" i="5"/>
  <c r="F8" i="5" s="1"/>
  <c r="E13" i="5" l="1"/>
  <c r="E4" i="6" s="1"/>
  <c r="E6" i="6" s="1"/>
  <c r="E8" i="6" s="1"/>
  <c r="E9" i="6" s="1"/>
  <c r="F12" i="5"/>
  <c r="F10" i="5"/>
  <c r="G7" i="5"/>
  <c r="G8" i="5" s="1"/>
  <c r="I5" i="5"/>
  <c r="H6" i="5"/>
  <c r="F13" i="5" l="1"/>
  <c r="F4" i="6" s="1"/>
  <c r="F6" i="6" s="1"/>
  <c r="F8" i="6" s="1"/>
  <c r="F9" i="6" s="1"/>
  <c r="G12" i="5"/>
  <c r="G10" i="5"/>
  <c r="J5" i="5"/>
  <c r="I6" i="5"/>
  <c r="H7" i="5"/>
  <c r="H8" i="5" s="1"/>
  <c r="G13" i="5" l="1"/>
  <c r="G4" i="6" s="1"/>
  <c r="G6" i="6" s="1"/>
  <c r="G8" i="6" s="1"/>
  <c r="G9" i="6" s="1"/>
  <c r="H12" i="5"/>
  <c r="H10" i="5"/>
  <c r="K5" i="5"/>
  <c r="J6" i="5"/>
  <c r="I7" i="5"/>
  <c r="I8" i="5" s="1"/>
  <c r="H13" i="5" l="1"/>
  <c r="H4" i="6" s="1"/>
  <c r="H6" i="6" s="1"/>
  <c r="H8" i="6" s="1"/>
  <c r="H9" i="6" s="1"/>
  <c r="I12" i="5"/>
  <c r="I10" i="5"/>
  <c r="J7" i="5"/>
  <c r="J8" i="5" s="1"/>
  <c r="L5" i="5"/>
  <c r="K6" i="5"/>
  <c r="I13" i="5" l="1"/>
  <c r="I4" i="6" s="1"/>
  <c r="I6" i="6" s="1"/>
  <c r="I8" i="6" s="1"/>
  <c r="I9" i="6" s="1"/>
  <c r="J12" i="5"/>
  <c r="J10" i="5"/>
  <c r="M5" i="5"/>
  <c r="L6" i="5"/>
  <c r="K7" i="5"/>
  <c r="K8" i="5" s="1"/>
  <c r="J13" i="5" l="1"/>
  <c r="J4" i="6" s="1"/>
  <c r="J6" i="6" s="1"/>
  <c r="J8" i="6" s="1"/>
  <c r="J9" i="6" s="1"/>
  <c r="K12" i="5"/>
  <c r="K10" i="5"/>
  <c r="L7" i="5"/>
  <c r="L8" i="5" s="1"/>
  <c r="M6" i="5"/>
  <c r="N5" i="5"/>
  <c r="K13" i="5" l="1"/>
  <c r="K4" i="6" s="1"/>
  <c r="K6" i="6" s="1"/>
  <c r="K8" i="6" s="1"/>
  <c r="K9" i="6" s="1"/>
  <c r="L12" i="5"/>
  <c r="L10" i="5"/>
  <c r="O5" i="5"/>
  <c r="N6" i="5"/>
  <c r="M7" i="5"/>
  <c r="M8" i="5" s="1"/>
  <c r="L13" i="5" l="1"/>
  <c r="L4" i="6" s="1"/>
  <c r="L6" i="6" s="1"/>
  <c r="L8" i="6" s="1"/>
  <c r="L9" i="6" s="1"/>
  <c r="M12" i="5"/>
  <c r="M10" i="5"/>
  <c r="N7" i="5"/>
  <c r="N8" i="5" s="1"/>
  <c r="P5" i="5"/>
  <c r="O6" i="5"/>
  <c r="M13" i="5" l="1"/>
  <c r="M4" i="6" s="1"/>
  <c r="M6" i="6" s="1"/>
  <c r="M8" i="6" s="1"/>
  <c r="M9" i="6" s="1"/>
  <c r="N12" i="5"/>
  <c r="N10" i="5"/>
  <c r="Q5" i="5"/>
  <c r="P6" i="5"/>
  <c r="O7" i="5"/>
  <c r="O8" i="5" s="1"/>
  <c r="N13" i="5" l="1"/>
  <c r="N4" i="6" s="1"/>
  <c r="N6" i="6" s="1"/>
  <c r="N8" i="6" s="1"/>
  <c r="N9" i="6" s="1"/>
  <c r="O12" i="5"/>
  <c r="O10" i="5"/>
  <c r="P7" i="5"/>
  <c r="P8" i="5" s="1"/>
  <c r="R5" i="5"/>
  <c r="Q6" i="5"/>
  <c r="O13" i="5" l="1"/>
  <c r="O4" i="6" s="1"/>
  <c r="O6" i="6" s="1"/>
  <c r="O8" i="6" s="1"/>
  <c r="O9" i="6" s="1"/>
  <c r="P12" i="5"/>
  <c r="P10" i="5"/>
  <c r="Q7" i="5"/>
  <c r="Q8" i="5" s="1"/>
  <c r="S5" i="5"/>
  <c r="R6" i="5"/>
  <c r="P13" i="5" l="1"/>
  <c r="P4" i="6" s="1"/>
  <c r="P6" i="6" s="1"/>
  <c r="P8" i="6" s="1"/>
  <c r="P9" i="6" s="1"/>
  <c r="Q12" i="5"/>
  <c r="Q10" i="5"/>
  <c r="R7" i="5"/>
  <c r="R8" i="5" s="1"/>
  <c r="T5" i="5"/>
  <c r="S6" i="5"/>
  <c r="Q13" i="5" l="1"/>
  <c r="Q4" i="6" s="1"/>
  <c r="Q6" i="6" s="1"/>
  <c r="Q8" i="6" s="1"/>
  <c r="Q9" i="6" s="1"/>
  <c r="R12" i="5"/>
  <c r="R10" i="5"/>
  <c r="S7" i="5"/>
  <c r="S8" i="5" s="1"/>
  <c r="U5" i="5"/>
  <c r="T6" i="5"/>
  <c r="R13" i="5" l="1"/>
  <c r="R4" i="6" s="1"/>
  <c r="R6" i="6" s="1"/>
  <c r="R8" i="6" s="1"/>
  <c r="R9" i="6" s="1"/>
  <c r="S12" i="5"/>
  <c r="S10" i="5"/>
  <c r="U6" i="5"/>
  <c r="V5" i="5"/>
  <c r="T7" i="5"/>
  <c r="T8" i="5" s="1"/>
  <c r="S13" i="5" l="1"/>
  <c r="S4" i="6" s="1"/>
  <c r="S6" i="6" s="1"/>
  <c r="S8" i="6" s="1"/>
  <c r="S9" i="6" s="1"/>
  <c r="T12" i="5"/>
  <c r="T10" i="5"/>
  <c r="W5" i="5"/>
  <c r="V6" i="5"/>
  <c r="U7" i="5"/>
  <c r="U8" i="5" s="1"/>
  <c r="T13" i="5" l="1"/>
  <c r="T4" i="6" s="1"/>
  <c r="T6" i="6" s="1"/>
  <c r="T8" i="6" s="1"/>
  <c r="T9" i="6" s="1"/>
  <c r="U12" i="5"/>
  <c r="U10" i="5"/>
  <c r="X5" i="5"/>
  <c r="W6" i="5"/>
  <c r="V7" i="5"/>
  <c r="V8" i="5" s="1"/>
  <c r="U13" i="5" l="1"/>
  <c r="U4" i="6" s="1"/>
  <c r="U6" i="6" s="1"/>
  <c r="U8" i="6" s="1"/>
  <c r="U9" i="6" s="1"/>
  <c r="V12" i="5"/>
  <c r="V10" i="5"/>
  <c r="W7" i="5"/>
  <c r="W8" i="5" s="1"/>
  <c r="Y5" i="5"/>
  <c r="X6" i="5"/>
  <c r="V13" i="5" l="1"/>
  <c r="V4" i="6" s="1"/>
  <c r="V6" i="6" s="1"/>
  <c r="V8" i="6" s="1"/>
  <c r="V9" i="6" s="1"/>
  <c r="W12" i="5"/>
  <c r="W10" i="5"/>
  <c r="Z5" i="5"/>
  <c r="Z6" i="5" s="1"/>
  <c r="Y6" i="5"/>
  <c r="X7" i="5"/>
  <c r="X8" i="5" s="1"/>
  <c r="W13" i="5" l="1"/>
  <c r="W4" i="6" s="1"/>
  <c r="W6" i="6" s="1"/>
  <c r="W8" i="6" s="1"/>
  <c r="W9" i="6" s="1"/>
  <c r="X12" i="5"/>
  <c r="X10" i="5"/>
  <c r="Z7" i="5"/>
  <c r="Z8" i="5" s="1"/>
  <c r="Y7" i="5"/>
  <c r="Y8" i="5" s="1"/>
  <c r="X13" i="5" l="1"/>
  <c r="X4" i="6" s="1"/>
  <c r="X6" i="6" s="1"/>
  <c r="X8" i="6" s="1"/>
  <c r="X9" i="6" s="1"/>
  <c r="Y12" i="5"/>
  <c r="Y10" i="5"/>
  <c r="Z12" i="5"/>
  <c r="Z10" i="5"/>
  <c r="Y13" i="5" l="1"/>
  <c r="Y4" i="6" s="1"/>
  <c r="Y6" i="6" s="1"/>
  <c r="Y8" i="6" s="1"/>
  <c r="Y9" i="6" s="1"/>
  <c r="Z13" i="5"/>
  <c r="Z4" i="6" s="1"/>
  <c r="Z6" i="6" s="1"/>
  <c r="Z8" i="6" s="1"/>
  <c r="B4" i="7" l="1" a="1"/>
  <c r="B4" i="7" s="1"/>
  <c r="B5" i="8" s="1"/>
  <c r="B5" i="7"/>
  <c r="C5" i="8" s="1"/>
  <c r="Z9" i="6"/>
  <c r="B7" i="7" s="1" a="1"/>
  <c r="B7" i="7" s="1"/>
  <c r="E5" i="8" s="1"/>
  <c r="B6" i="7" l="1"/>
  <c r="D5" i="8" s="1"/>
  <c r="H5" i="8" s="1"/>
</calcChain>
</file>

<file path=xl/sharedStrings.xml><?xml version="1.0" encoding="utf-8"?>
<sst xmlns="http://schemas.openxmlformats.org/spreadsheetml/2006/main" count="354" uniqueCount="228">
  <si>
    <t>Показатель/цифра</t>
  </si>
  <si>
    <t>Значение</t>
  </si>
  <si>
    <t>Ед.</t>
  </si>
  <si>
    <t>Источник (URL/документ)</t>
  </si>
  <si>
    <t>Дата доступа</t>
  </si>
  <si>
    <t>Примечание</t>
  </si>
  <si>
    <t>Аренда dark kitchen в Москве (с оборудованием)</t>
  </si>
  <si>
    <t>300 000</t>
  </si>
  <si>
    <t>₽/мес</t>
  </si>
  <si>
    <t>https://www.avito.ru/moskva/kommercheskaya_nedvizhimost/gotovyy_tseh_dark_kitchen_110_m_bez_komissii_7851962280?context=H4sIAAAAAAAA_wE_AMD_YToyOntzOjEzOiJsb2NhbFByaW9yaXR5IjtiOjA7czoxOiJ4IjtzOjE2OiJEakJUb3JHNVZ3R3FOdUV3Ijt9lcmntz8AAAA</t>
  </si>
  <si>
    <t>Зарплата повара / производственного персонала</t>
  </si>
  <si>
    <t>https://hh.ru/vacancy/130737974?query=%D0%BF%D0%BE%D0%B2%D0%B0%D1%80-%D1%83%D0%BD%D0%B8%D0%B2%D0%B5%D1%80%D1%81%D0%B0%D0%BB&amp;hhtmFrom=vacancy_search_list</t>
  </si>
  <si>
    <t>2026-03-07</t>
  </si>
  <si>
    <t>Ориентир по HH</t>
  </si>
  <si>
    <t>Зарплата курьера / логиста</t>
  </si>
  <si>
    <t>https://hh.ru/vacancy/129289894?query=%D0%B4%D0%BE%D1%81%D1%82%D0%B0%D0%B2%D1%89%D0%B8%D0%BA&amp;hhtmFrom=vacancy_search_list</t>
  </si>
  <si>
    <t>та же ссылка, что и у повара</t>
  </si>
  <si>
    <t>Средняя цена подписки meal prep</t>
  </si>
  <si>
    <t>1. https://levelkitchen.com/?srsltid=AfmBOorcKwF_4PzMKAc5iJjsk-COY8CdQSPlp-KiNijnh_-9V28WThvU. 2. https://growfood.pro/. 3. https://letbefit.ru/?srsltid=AfmBOopRRBb6kPheMIHy3qZ_9Jow9VSy4rmqlYMvVTxDXiGY0OF0x8XZ 4. https://www.justfood.pro/</t>
  </si>
  <si>
    <t>Объем рынка готовой еды</t>
  </si>
  <si>
    <t>трлн руб.</t>
  </si>
  <si>
    <r>
      <rPr>
        <u/>
        <sz val="11"/>
        <color rgb="FF000000"/>
        <rFont val="Calibri"/>
        <family val="2"/>
      </rPr>
      <t>https://www.kommersant.ru/doc/8251984</t>
    </r>
    <r>
      <rPr>
        <u/>
        <sz val="11"/>
        <color rgb="FF000000"/>
        <rFont val="Calibri"/>
        <family val="2"/>
      </rPr>
      <t xml:space="preserve"> </t>
    </r>
    <r>
      <rPr>
        <u/>
        <sz val="11"/>
        <color rgb="FF1155CC"/>
        <rFont val="Calibri"/>
        <family val="2"/>
      </rPr>
      <t>https://www.sostav.ru/publication/rossijskij-rynok-gotovoj-edy-vyros-na-tret-80164.html</t>
    </r>
  </si>
  <si>
    <t>Данные InfoLine</t>
  </si>
  <si>
    <t>Объем рынка готовых рационов в РФ</t>
  </si>
  <si>
    <t>млрд руб.</t>
  </si>
  <si>
    <t>https://incrussia.ru/news/gotovye-ratsiony-nabirayut-populyarnost-rynok-vyros-na-13/</t>
  </si>
  <si>
    <t xml:space="preserve">Среднегодовой рост рынка готовых рационов в РФ </t>
  </si>
  <si>
    <t>%</t>
  </si>
  <si>
    <t xml:space="preserve">Ввод (Inputs) </t>
  </si>
  <si>
    <t>Ключевые вводные и драйверы</t>
  </si>
  <si>
    <t>Источник (ID/URL)</t>
  </si>
  <si>
    <t>Комментарий</t>
  </si>
  <si>
    <t>География (город / зона доставки)</t>
  </si>
  <si>
    <t>Москва</t>
  </si>
  <si>
    <t>Площадь кухни / dark kitchen</t>
  </si>
  <si>
    <t>м²</t>
  </si>
  <si>
    <t>Горизонт модели</t>
  </si>
  <si>
    <t>мес</t>
  </si>
  <si>
    <t>Допущение</t>
  </si>
  <si>
    <t>Дней доставки в месяце</t>
  </si>
  <si>
    <t>дней</t>
  </si>
  <si>
    <t>Начальная загрузка %</t>
  </si>
  <si>
    <t>Начальная загрузка (клиентов)</t>
  </si>
  <si>
    <t>шт</t>
  </si>
  <si>
    <t>Прирост загрузки в первые 5 месяцев %</t>
  </si>
  <si>
    <t>От максимальной загрузки</t>
  </si>
  <si>
    <t>Прирост загрузки (клиентов) в первые 5 месяцев</t>
  </si>
  <si>
    <t>Прирост загрузки после 5 месяцев %</t>
  </si>
  <si>
    <t>Прирост загрузки (клиентов) после 5 месяцев</t>
  </si>
  <si>
    <t>Максимальная загрузка (макс. кол-во подписчиков)</t>
  </si>
  <si>
    <t>подписчиков</t>
  </si>
  <si>
    <r>
      <rPr>
        <u/>
        <sz val="10"/>
        <color rgb="FF1155CC"/>
        <rFont val="Arial"/>
        <family val="2"/>
      </rPr>
      <t>https://optima-invest.ru/ekb/obekty/pishchevoe_proizvodstvo_dark_kitchen_zakrytaya_kukhnya_postavka_gotovoy_edy_v_upakovke/</t>
    </r>
  </si>
  <si>
    <t>17,8 лотков на 1 м², 4 приема пищи в день на клиента</t>
  </si>
  <si>
    <t>Драйверы выручки и LTV</t>
  </si>
  <si>
    <t>Средняя цена подписки в месяц (ARPU)</t>
  </si>
  <si>
    <t>https://levelkitchen.com/?srsltid=AfmBOorcKwF_4PzMKAc5iJjsk-COY8CdQSPlp-KiNijnh_-9V28WThvU https://growfood.pro/ https://letbefit.ru/?srsltid=AfmBOopRRBb6kPheMIHy3qZ_9Jow9VSy4rmqlYMvVTxDXiGY0OF0x8XZ https://www.justfood.pro/</t>
  </si>
  <si>
    <t>Средняя ежемесячная выручка на одного подписчика</t>
  </si>
  <si>
    <t>Food cost как % от выручки</t>
  </si>
  <si>
    <t>https://companies.rbc.ru/news/RELaZl5K49/zatratyi-na-produktyi-dostigli-v-srednem-33-ot-stoimosti-blyud-v-restoranah/</t>
  </si>
  <si>
    <t>Продукты + упаковка</t>
  </si>
  <si>
    <t>Доставка и упаковка как % от выручки</t>
  </si>
  <si>
    <t>https://www.retail.ru/rbc/pressreleases/dolya-dostavki-v-strukture-rynka-edy-mozhet-vyrasti-do-30-k-2030-godu/ https://smartomato.ru/blog/unit-economics-food-delivery/#:~:text=%D0%90%20%D0%B2%D1%81%D0%B5%2C%20%D1%87%D1%82%D0%BE%20%D1%81%D1%8D%D0%BA%D0%BE%D0%BD%D0%BE%D0%BC%D0%B8%D0%BB%D0%B8%2C%20%D0%BE%D1%82%D0%B4%D0%B0%D0%B9%D1%82%D0%B5%20%D0%B2%20%D0%BC%D0%B0%D1%80%D0%BA%D0%B5%D1%82%D0%B8%D0%BD%D0%B3.</t>
  </si>
  <si>
    <t>Платёжные и прочие переменные комиссии</t>
  </si>
  <si>
    <t>https://tochka.com/acquiring/?utm_campaign=g_acquiring_</t>
  </si>
  <si>
    <t>Эквайринг, экосистема и тд.</t>
  </si>
  <si>
    <t>Маркетинг / привлечение в месяц</t>
  </si>
  <si>
    <t>https://voropaevmedia.com/reklama-dostavki-edi</t>
  </si>
  <si>
    <t>Рекламный бюджет</t>
  </si>
  <si>
    <t>Новых подписчиков в месяц</t>
  </si>
  <si>
    <t>клиентов/мес</t>
  </si>
  <si>
    <t>Количество оплат в месяц на одного клиента</t>
  </si>
  <si>
    <t>оплата/мес</t>
  </si>
  <si>
    <t>Для подписки обычно 1</t>
  </si>
  <si>
    <t>Lifetime клиента</t>
  </si>
  <si>
    <t>https://www.bottle.com/blog/key-financial-operational-benchmarks-for-meal-prep-businesses</t>
  </si>
  <si>
    <t>Средний срок жизни подписчика</t>
  </si>
  <si>
    <t>OPEX</t>
  </si>
  <si>
    <t>Ставка аренды</t>
  </si>
  <si>
    <t>Коммунальные</t>
  </si>
  <si>
    <t>https://www.biztotal.ru/publikacii/kakiye_osnovnyye_raskhody_v_restorane_32030.html</t>
  </si>
  <si>
    <t>Интернет / IT / CRM</t>
  </si>
  <si>
    <t>https://restik.com/automation/restoran/ https://moskva.beeline.ru/business/office-internet/wi-fi/</t>
  </si>
  <si>
    <t>Вывоз мусора</t>
  </si>
  <si>
    <t>https://eko-polis.ru/stoimost-vyvoza-musora/</t>
  </si>
  <si>
    <t>Раз в 2 дня</t>
  </si>
  <si>
    <t>Прочие OPEX</t>
  </si>
  <si>
    <t>ФОТ</t>
  </si>
  <si>
    <t>Количество поваров (ставок)</t>
  </si>
  <si>
    <t>чел</t>
  </si>
  <si>
    <t>ЗП повара (на 1 ставку)</t>
  </si>
  <si>
    <t>Количество курьеров</t>
  </si>
  <si>
    <t>ЗП администратора по доставке</t>
  </si>
  <si>
    <t>https://hh.ru/vacancy/130896280?query=%D0%BC%D0%B5%D0%BD%D0%B5%D0%B4%D0%B6%D0%B5%D1%80+%D0%BA%D1%83%D1%80%D1%8C%D0%B5%D1%80%D1%81%D0%BA%D0%BE%D0%B9+%D1%81%D0%BB%D1%83%D0%B6%D0%B1%D1%8B&amp;hhtmFrom=vacancy_search_list</t>
  </si>
  <si>
    <t>ЗП курьера (на 1 ставку)</t>
  </si>
  <si>
    <t>Взносы на ФОТ</t>
  </si>
  <si>
    <t>₽</t>
  </si>
  <si>
    <t>В общем 30% от ФОТ</t>
  </si>
  <si>
    <t>Налоги и финпараметры</t>
  </si>
  <si>
    <t>Налог как % от прибыли до налога</t>
  </si>
  <si>
    <t>Ставка дисконтирования (годовая)</t>
  </si>
  <si>
    <t>Срок амортизации CAPEX</t>
  </si>
  <si>
    <t>CAPEX (разовые затраты)</t>
  </si>
  <si>
    <t>Сайт</t>
  </si>
  <si>
    <t>Разово</t>
  </si>
  <si>
    <t>2 автомобиля доставки</t>
  </si>
  <si>
    <t>https://auto.ru/moskva/lcv/vaz/largus/used/?sort=price-asc</t>
  </si>
  <si>
    <t>2 электровелосипеда доставки</t>
  </si>
  <si>
    <t>https://www.ozon.ru/product/elektrovelosiped-dlya-vzroslyh-minako-monster-1-0-monstr-60v-21ah-s-derzhatelem-dlya-telefona-1641397039/?abt_att=1&amp;at=x6tP0mNm4iNKELLPuxjlgQ4TrKXkz2TgGky78URRVjY3&amp;origin_referer=www.ozon.ru</t>
  </si>
  <si>
    <t>Оборотный капитал</t>
  </si>
  <si>
    <t>1 месяц OPEX</t>
  </si>
  <si>
    <t>Стартовые расходы</t>
  </si>
  <si>
    <t>Фото / бренд / упаковка / дизайн</t>
  </si>
  <si>
    <t>https://profi.ru/it_freelance/dizain-upakovki/price/?utm_source=yandex_cpc&amp;utm_medium=cpc&amp;utm_campaign=701308717.profi_search_russia_longtail_dmp&amp;utm_term=205610698630.1879417065268579460&amp;utm_content=dynamic_places_2_---autotargeting_yandex.ru&amp;etext=&amp;yclid=8421379167566430207</t>
  </si>
  <si>
    <t>Запуск / юридические / прочее</t>
  </si>
  <si>
    <t>Юнит-экономика (Unit Economics)</t>
  </si>
  <si>
    <t>МАРЖИНАЛЬНОСТЬ ОДНОГО ПОДПИСЧИКА / МЕС</t>
  </si>
  <si>
    <t>Средний доход с подписчика в месяц (Revenue)</t>
  </si>
  <si>
    <t>Переменные расходы на подписчика в месяц (Variable Cost)</t>
  </si>
  <si>
    <t>Маржа на подписчика в месяц (Contribution Margin)</t>
  </si>
  <si>
    <t>Маржинальность (%)</t>
  </si>
  <si>
    <t>ПОСТОЯННЫЕ РАСХОДЫ (Fixed Costs)</t>
  </si>
  <si>
    <t>Аренда кухни</t>
  </si>
  <si>
    <t>Маркетинг + коммунальные + прочие</t>
  </si>
  <si>
    <t>ИТОГО постоянных расходов/мес</t>
  </si>
  <si>
    <t>ТОЧКА БЕЗУБЫТОЧНОСТИ (Break-Even)</t>
  </si>
  <si>
    <t>Break-even (подписчиков/мес)</t>
  </si>
  <si>
    <t>Break-even как % от целевой мощности</t>
  </si>
  <si>
    <t>ЗАПАС ПРОЧНОСТИ (Margin of Safety)</t>
  </si>
  <si>
    <t>Активные подписчики в мес. 1</t>
  </si>
  <si>
    <t>Запас прочности (подписчиков)</t>
  </si>
  <si>
    <t>Запас прочности (%)</t>
  </si>
  <si>
    <t>РАСЧЁТ ЦЕЛЕВОЙ ПРИБЫЛИ</t>
  </si>
  <si>
    <t>Целевая чистая прибыль/мес</t>
  </si>
  <si>
    <t>Нужно активных подписчиков/мес для целевой прибыли</t>
  </si>
  <si>
    <t>РАСЧЁТ LTV</t>
  </si>
  <si>
    <t>Оплат на 1 клиента в месяц</t>
  </si>
  <si>
    <t>Срок жизни клиента (LifeTime, мес)</t>
  </si>
  <si>
    <t>LTV</t>
  </si>
  <si>
    <t>РАСЧЁТ CAC (первые 5 месяцев)</t>
  </si>
  <si>
    <t>Количество привлечённых клиентов / мес</t>
  </si>
  <si>
    <t>CAC</t>
  </si>
  <si>
    <t>РАСЧЁТ LTV/CAC (первые 5 месяцев)</t>
  </si>
  <si>
    <t>LTV/CAC</t>
  </si>
  <si>
    <t>РАСЧЁТ CAC (после 5 месяцев)</t>
  </si>
  <si>
    <t xml:space="preserve">TAM / SAM / SOM </t>
  </si>
  <si>
    <t xml:space="preserve">Вводные </t>
  </si>
  <si>
    <t>Показатель</t>
  </si>
  <si>
    <t>Источник (ID)</t>
  </si>
  <si>
    <t>S11</t>
  </si>
  <si>
    <t>S12</t>
  </si>
  <si>
    <t>Доля Москвы на рынке готовых рационов</t>
  </si>
  <si>
    <t>См. отчет в Word</t>
  </si>
  <si>
    <t>Средняя цена подписки в месяц</t>
  </si>
  <si>
    <t>руб./мес</t>
  </si>
  <si>
    <t>S4,S5</t>
  </si>
  <si>
    <t>Достижимая доля рынка</t>
  </si>
  <si>
    <t>Расчёты</t>
  </si>
  <si>
    <t>TAM (год)</t>
  </si>
  <si>
    <t>SAM (год) — доступная часть</t>
  </si>
  <si>
    <t>SOM (год) — достижимая часть</t>
  </si>
  <si>
    <t>млн руб.</t>
  </si>
  <si>
    <t>P&amp;L (ОПиУ) — 24 месяца (динамически от Inputs + сценариев)</t>
  </si>
  <si>
    <t>Статья</t>
  </si>
  <si>
    <t>М0</t>
  </si>
  <si>
    <t>М1</t>
  </si>
  <si>
    <t>М2</t>
  </si>
  <si>
    <t>М3</t>
  </si>
  <si>
    <t>М4</t>
  </si>
  <si>
    <t>М5</t>
  </si>
  <si>
    <t>М6</t>
  </si>
  <si>
    <t>М7</t>
  </si>
  <si>
    <t>М8</t>
  </si>
  <si>
    <t>М9</t>
  </si>
  <si>
    <t>М10</t>
  </si>
  <si>
    <t>М11</t>
  </si>
  <si>
    <t>М12</t>
  </si>
  <si>
    <t>М13</t>
  </si>
  <si>
    <t>М14</t>
  </si>
  <si>
    <t>М15</t>
  </si>
  <si>
    <t>М16</t>
  </si>
  <si>
    <t>М17</t>
  </si>
  <si>
    <t>М18</t>
  </si>
  <si>
    <t>М19</t>
  </si>
  <si>
    <t>М20</t>
  </si>
  <si>
    <t>М21</t>
  </si>
  <si>
    <t>М22</t>
  </si>
  <si>
    <t>М23</t>
  </si>
  <si>
    <t>М24</t>
  </si>
  <si>
    <t>Загрузка</t>
  </si>
  <si>
    <t>Количество заказов</t>
  </si>
  <si>
    <t>Выручка</t>
  </si>
  <si>
    <t>Переменные расходы</t>
  </si>
  <si>
    <t>Contribution Margin</t>
  </si>
  <si>
    <t>OPEX (фикс.)</t>
  </si>
  <si>
    <t>EBITDA</t>
  </si>
  <si>
    <t>Амортизация</t>
  </si>
  <si>
    <t>Налог на прибыль</t>
  </si>
  <si>
    <t>Чистая прибыль</t>
  </si>
  <si>
    <t>Cash Flow — свободный денежный поток (FCF) и накопленный поток</t>
  </si>
  <si>
    <t>+ Амортизация</t>
  </si>
  <si>
    <t>Операционный денежный поток</t>
  </si>
  <si>
    <t>Инвестиции (CAPEX + оборотный капитал)</t>
  </si>
  <si>
    <t>Свободный денежный поток (FCF)</t>
  </si>
  <si>
    <t>Накопленный FCF</t>
  </si>
  <si>
    <t>Инвестиционные метрики</t>
  </si>
  <si>
    <t>Метрика</t>
  </si>
  <si>
    <t>NPV</t>
  </si>
  <si>
    <t>IRR (месячная)</t>
  </si>
  <si>
    <t>IRR (годовая)</t>
  </si>
  <si>
    <t>Payback Period (мес)</t>
  </si>
  <si>
    <t>LTV/CAC (первые 5 месяцев)</t>
  </si>
  <si>
    <t>LTV/CAC (после 5 месяцев)</t>
  </si>
  <si>
    <t>Анализ чувствительности (Sensitivity Analysis)</t>
  </si>
  <si>
    <t>ОДНОФАКТОРНЫЙ АНАЛИЗ</t>
  </si>
  <si>
    <t>Цена</t>
  </si>
  <si>
    <t xml:space="preserve">PP </t>
  </si>
  <si>
    <t>Вердикт</t>
  </si>
  <si>
    <t>GO</t>
  </si>
  <si>
    <t>СЦЕНАРНЫЙ АНАЛИЗ</t>
  </si>
  <si>
    <t>Параметр</t>
  </si>
  <si>
    <t xml:space="preserve"> ПЕССИМИСТИЧНЫЙ</t>
  </si>
  <si>
    <t xml:space="preserve"> БАЗОВЫЙ</t>
  </si>
  <si>
    <t>ОПТИМИСТИЧНЫЙ</t>
  </si>
  <si>
    <t>ТУМБЛЕРЫ</t>
  </si>
  <si>
    <t>Маркетинг</t>
  </si>
  <si>
    <t>NPV (чистая приведённая стоимость)</t>
  </si>
  <si>
    <t>PP Срок окупаемости (месяцев)</t>
  </si>
  <si>
    <t>M14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</si>
</sst>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"/>
    <numFmt numFmtId="165" formatCode="yyyy\-mm\-dd"/>
    <numFmt numFmtId="166" formatCode="0.0%"/>
    <numFmt numFmtId="167" formatCode="#,##0;[Red]\(#,##0\);\-"/>
    <numFmt numFmtId="168" formatCode="[$р.-419]#,##0.00"/>
  </numFmts>
  <fonts count="42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rgb="FF111111"/>
      <name val="Calibri"/>
      <family val="2"/>
    </font>
    <font>
      <u/>
      <sz val="11"/>
      <color rgb="FF000000"/>
      <name val="Calibri"/>
      <family val="2"/>
    </font>
    <font>
      <sz val="11"/>
      <color rgb="FF3C3C3C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u/>
      <sz val="11"/>
      <color theme="1"/>
      <name val="Calibri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sz val="10"/>
      <color rgb="FFF3F3F3"/>
      <name val="Arial"/>
      <family val="2"/>
    </font>
    <font>
      <sz val="10"/>
      <color rgb="FF0A0A0A"/>
      <name val="&quot;Google Sans&quot;"/>
    </font>
    <font>
      <sz val="12"/>
      <color rgb="FF0A0A0A"/>
      <name val="&quot;Google Sans&quot;"/>
    </font>
    <font>
      <b/>
      <sz val="14"/>
      <color rgb="FF1F3864"/>
      <name val="Arial"/>
      <family val="2"/>
    </font>
    <font>
      <sz val="11"/>
      <color rgb="FF000000"/>
      <name val="&quot;Aptos Narrow&quot;"/>
    </font>
    <font>
      <i/>
      <sz val="10"/>
      <color rgb="FF666666"/>
      <name val="Arial"/>
      <family val="2"/>
    </font>
    <font>
      <b/>
      <sz val="12"/>
      <color rgb="FF1F3864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i/>
      <sz val="10"/>
      <color rgb="FF999999"/>
      <name val="Arial"/>
      <family val="2"/>
    </font>
    <font>
      <b/>
      <sz val="12"/>
      <color rgb="FF2E7D32"/>
      <name val="Arial"/>
      <family val="2"/>
    </font>
    <font>
      <sz val="11"/>
      <color rgb="FF0000FF"/>
      <name val="Arial"/>
      <family val="2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u/>
      <sz val="11"/>
      <color rgb="FF1155CC"/>
      <name val="Calibri"/>
      <family val="2"/>
    </font>
    <font>
      <u/>
      <sz val="10"/>
      <color rgb="FF1155CC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C8E6C9"/>
        <bgColor rgb="FFC8E6C9"/>
      </patternFill>
    </fill>
    <fill>
      <patternFill patternType="solid">
        <fgColor rgb="FFF2F2F2"/>
        <bgColor rgb="FFF2F2F2"/>
      </patternFill>
    </fill>
    <fill>
      <patternFill patternType="solid">
        <fgColor rgb="FF073763"/>
        <bgColor rgb="FF07376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6" fillId="0" borderId="0" xfId="0" applyFont="1"/>
    <xf numFmtId="4" fontId="2" fillId="0" borderId="1" xfId="0" applyNumberFormat="1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2" fillId="3" borderId="0" xfId="0" applyFont="1" applyFill="1"/>
    <xf numFmtId="0" fontId="8" fillId="3" borderId="0" xfId="0" applyFont="1" applyFill="1" applyAlignment="1">
      <alignment horizontal="left"/>
    </xf>
    <xf numFmtId="0" fontId="9" fillId="3" borderId="1" xfId="0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10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" fillId="4" borderId="1" xfId="0" applyFont="1" applyFill="1" applyBorder="1" applyAlignment="1">
      <alignment horizontal="left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7" fillId="3" borderId="2" xfId="0" applyFont="1" applyFill="1" applyBorder="1"/>
    <xf numFmtId="0" fontId="18" fillId="3" borderId="0" xfId="0" applyFont="1" applyFill="1"/>
    <xf numFmtId="0" fontId="19" fillId="3" borderId="0" xfId="0" applyFont="1" applyFill="1"/>
    <xf numFmtId="0" fontId="2" fillId="0" borderId="0" xfId="0" applyFont="1" applyAlignment="1">
      <alignment horizontal="left" vertical="center" wrapText="1"/>
    </xf>
    <xf numFmtId="4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left"/>
    </xf>
    <xf numFmtId="0" fontId="23" fillId="5" borderId="2" xfId="0" applyFont="1" applyFill="1" applyBorder="1" applyAlignment="1">
      <alignment horizontal="left"/>
    </xf>
    <xf numFmtId="0" fontId="26" fillId="0" borderId="0" xfId="0" applyFont="1" applyAlignment="1">
      <alignment horizontal="left"/>
    </xf>
    <xf numFmtId="0" fontId="28" fillId="6" borderId="2" xfId="0" applyFont="1" applyFill="1" applyBorder="1" applyAlignment="1">
      <alignment horizontal="left"/>
    </xf>
    <xf numFmtId="0" fontId="24" fillId="7" borderId="2" xfId="0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4" fillId="6" borderId="2" xfId="0" applyFont="1" applyFill="1" applyBorder="1" applyAlignment="1">
      <alignment horizontal="left"/>
    </xf>
    <xf numFmtId="0" fontId="11" fillId="0" borderId="0" xfId="0" applyFont="1"/>
    <xf numFmtId="0" fontId="13" fillId="3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166" fontId="30" fillId="3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left" vertical="center" wrapText="1"/>
    </xf>
    <xf numFmtId="167" fontId="31" fillId="3" borderId="1" xfId="0" applyNumberFormat="1" applyFont="1" applyFill="1" applyBorder="1" applyAlignment="1">
      <alignment horizontal="center" vertical="center" wrapText="1"/>
    </xf>
    <xf numFmtId="167" fontId="32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4" fontId="6" fillId="0" borderId="0" xfId="0" applyNumberFormat="1" applyFont="1" applyAlignment="1">
      <alignment horizontal="center"/>
    </xf>
    <xf numFmtId="0" fontId="20" fillId="0" borderId="0" xfId="0" applyFont="1"/>
    <xf numFmtId="0" fontId="33" fillId="0" borderId="0" xfId="0" applyFont="1"/>
    <xf numFmtId="0" fontId="23" fillId="5" borderId="0" xfId="0" applyFont="1" applyFill="1"/>
    <xf numFmtId="0" fontId="34" fillId="0" borderId="0" xfId="0" applyFont="1"/>
    <xf numFmtId="0" fontId="35" fillId="8" borderId="0" xfId="0" applyFont="1" applyFill="1" applyAlignment="1">
      <alignment horizontal="center"/>
    </xf>
    <xf numFmtId="0" fontId="35" fillId="8" borderId="0" xfId="0" applyFont="1" applyFill="1"/>
    <xf numFmtId="0" fontId="36" fillId="0" borderId="0" xfId="0" applyFont="1" applyAlignment="1">
      <alignment horizontal="center"/>
    </xf>
    <xf numFmtId="3" fontId="36" fillId="0" borderId="0" xfId="0" applyNumberFormat="1" applyFont="1" applyAlignment="1">
      <alignment horizontal="center"/>
    </xf>
    <xf numFmtId="10" fontId="36" fillId="0" borderId="0" xfId="0" applyNumberFormat="1" applyFont="1" applyAlignment="1">
      <alignment horizontal="center"/>
    </xf>
    <xf numFmtId="4" fontId="36" fillId="0" borderId="0" xfId="0" applyNumberFormat="1" applyFont="1" applyAlignment="1">
      <alignment horizontal="center"/>
    </xf>
    <xf numFmtId="0" fontId="36" fillId="3" borderId="0" xfId="0" applyFont="1" applyFill="1" applyAlignment="1">
      <alignment horizontal="center"/>
    </xf>
    <xf numFmtId="0" fontId="35" fillId="4" borderId="0" xfId="0" applyFont="1" applyFill="1" applyAlignment="1">
      <alignment horizontal="center"/>
    </xf>
    <xf numFmtId="3" fontId="36" fillId="9" borderId="0" xfId="0" applyNumberFormat="1" applyFont="1" applyFill="1" applyAlignment="1">
      <alignment horizontal="center"/>
    </xf>
    <xf numFmtId="10" fontId="36" fillId="9" borderId="0" xfId="0" applyNumberFormat="1" applyFont="1" applyFill="1" applyAlignment="1">
      <alignment horizontal="center"/>
    </xf>
    <xf numFmtId="0" fontId="36" fillId="9" borderId="0" xfId="0" applyFont="1" applyFill="1" applyAlignment="1">
      <alignment horizontal="center"/>
    </xf>
    <xf numFmtId="168" fontId="36" fillId="9" borderId="0" xfId="0" applyNumberFormat="1" applyFont="1" applyFill="1" applyAlignment="1">
      <alignment horizontal="center"/>
    </xf>
    <xf numFmtId="3" fontId="36" fillId="10" borderId="0" xfId="0" applyNumberFormat="1" applyFont="1" applyFill="1" applyAlignment="1">
      <alignment horizontal="center"/>
    </xf>
    <xf numFmtId="10" fontId="36" fillId="10" borderId="0" xfId="0" applyNumberFormat="1" applyFont="1" applyFill="1" applyAlignment="1">
      <alignment horizontal="center"/>
    </xf>
    <xf numFmtId="0" fontId="36" fillId="10" borderId="0" xfId="0" applyFont="1" applyFill="1" applyAlignment="1">
      <alignment horizontal="center"/>
    </xf>
    <xf numFmtId="3" fontId="36" fillId="11" borderId="0" xfId="0" applyNumberFormat="1" applyFont="1" applyFill="1" applyAlignment="1">
      <alignment horizontal="center"/>
    </xf>
    <xf numFmtId="10" fontId="36" fillId="11" borderId="0" xfId="0" applyNumberFormat="1" applyFont="1" applyFill="1" applyAlignment="1">
      <alignment horizontal="center"/>
    </xf>
    <xf numFmtId="0" fontId="36" fillId="11" borderId="0" xfId="0" applyFont="1" applyFill="1" applyAlignment="1">
      <alignment horizontal="center"/>
    </xf>
    <xf numFmtId="3" fontId="36" fillId="3" borderId="0" xfId="0" applyNumberFormat="1" applyFont="1" applyFill="1" applyAlignment="1">
      <alignment horizontal="center"/>
    </xf>
    <xf numFmtId="9" fontId="36" fillId="3" borderId="0" xfId="0" applyNumberFormat="1" applyFont="1" applyFill="1" applyAlignment="1">
      <alignment horizontal="center"/>
    </xf>
    <xf numFmtId="10" fontId="36" fillId="3" borderId="0" xfId="0" applyNumberFormat="1" applyFont="1" applyFill="1" applyAlignment="1">
      <alignment horizontal="center"/>
    </xf>
    <xf numFmtId="9" fontId="36" fillId="0" borderId="0" xfId="0" applyNumberFormat="1" applyFont="1" applyAlignment="1">
      <alignment horizontal="center"/>
    </xf>
    <xf numFmtId="0" fontId="35" fillId="3" borderId="0" xfId="0" applyFont="1" applyFill="1" applyAlignment="1">
      <alignment horizontal="center"/>
    </xf>
    <xf numFmtId="0" fontId="36" fillId="0" borderId="0" xfId="0" applyFont="1"/>
    <xf numFmtId="0" fontId="26" fillId="0" borderId="0" xfId="0" applyFont="1" applyAlignment="1">
      <alignment horizontal="center"/>
    </xf>
    <xf numFmtId="0" fontId="37" fillId="0" borderId="0" xfId="0" applyFont="1" applyAlignment="1">
      <alignment wrapText="1"/>
    </xf>
    <xf numFmtId="0" fontId="37" fillId="0" borderId="1" xfId="0" applyFont="1" applyBorder="1" applyAlignment="1">
      <alignment horizontal="left" vertical="center" wrapText="1"/>
    </xf>
    <xf numFmtId="9" fontId="36" fillId="9" borderId="0" xfId="0" applyNumberFormat="1" applyFont="1" applyFill="1" applyAlignment="1">
      <alignment horizontal="center"/>
    </xf>
    <xf numFmtId="9" fontId="36" fillId="10" borderId="0" xfId="0" applyNumberFormat="1" applyFont="1" applyFill="1" applyAlignment="1">
      <alignment horizontal="center"/>
    </xf>
    <xf numFmtId="9" fontId="36" fillId="11" borderId="0" xfId="0" applyNumberFormat="1" applyFont="1" applyFill="1" applyAlignment="1">
      <alignment horizontal="center"/>
    </xf>
    <xf numFmtId="9" fontId="33" fillId="9" borderId="0" xfId="0" applyNumberFormat="1" applyFont="1" applyFill="1" applyAlignment="1">
      <alignment horizontal="center"/>
    </xf>
    <xf numFmtId="9" fontId="33" fillId="10" borderId="0" xfId="0" applyNumberFormat="1" applyFont="1" applyFill="1" applyAlignment="1">
      <alignment horizontal="center"/>
    </xf>
    <xf numFmtId="9" fontId="33" fillId="11" borderId="0" xfId="0" applyNumberFormat="1" applyFont="1" applyFill="1" applyAlignment="1">
      <alignment horizontal="center"/>
    </xf>
    <xf numFmtId="9" fontId="33" fillId="0" borderId="0" xfId="0" applyNumberFormat="1" applyFont="1" applyAlignment="1">
      <alignment horizontal="center"/>
    </xf>
    <xf numFmtId="0" fontId="38" fillId="0" borderId="0" xfId="0" applyFont="1"/>
    <xf numFmtId="3" fontId="26" fillId="9" borderId="0" xfId="0" applyNumberFormat="1" applyFont="1" applyFill="1" applyAlignment="1">
      <alignment horizontal="center"/>
    </xf>
    <xf numFmtId="10" fontId="26" fillId="9" borderId="0" xfId="0" applyNumberFormat="1" applyFont="1" applyFill="1" applyAlignment="1">
      <alignment horizontal="center"/>
    </xf>
    <xf numFmtId="0" fontId="39" fillId="0" borderId="0" xfId="0" applyFont="1"/>
    <xf numFmtId="0" fontId="21" fillId="0" borderId="0" xfId="0" applyFont="1"/>
    <xf numFmtId="0" fontId="0" fillId="0" borderId="0" xfId="0"/>
    <xf numFmtId="0" fontId="24" fillId="5" borderId="3" xfId="0" applyFont="1" applyFill="1" applyBorder="1" applyAlignment="1">
      <alignment horizontal="center"/>
    </xf>
    <xf numFmtId="0" fontId="25" fillId="0" borderId="4" xfId="0" applyFont="1" applyBorder="1"/>
    <xf numFmtId="0" fontId="25" fillId="0" borderId="5" xfId="0" applyFont="1" applyBorder="1"/>
    <xf numFmtId="3" fontId="27" fillId="0" borderId="0" xfId="0" applyNumberFormat="1" applyFont="1" applyAlignment="1">
      <alignment horizontal="center"/>
    </xf>
    <xf numFmtId="3" fontId="27" fillId="6" borderId="3" xfId="0" applyNumberFormat="1" applyFont="1" applyFill="1" applyBorder="1" applyAlignment="1">
      <alignment horizontal="center"/>
    </xf>
    <xf numFmtId="166" fontId="27" fillId="0" borderId="0" xfId="0" applyNumberFormat="1" applyFont="1" applyAlignment="1">
      <alignment horizontal="center"/>
    </xf>
    <xf numFmtId="3" fontId="27" fillId="7" borderId="3" xfId="0" applyNumberFormat="1" applyFont="1" applyFill="1" applyBorder="1" applyAlignment="1">
      <alignment horizontal="center"/>
    </xf>
    <xf numFmtId="10" fontId="27" fillId="0" borderId="0" xfId="0" applyNumberFormat="1" applyFont="1" applyAlignment="1">
      <alignment horizontal="center"/>
    </xf>
    <xf numFmtId="3" fontId="29" fillId="3" borderId="3" xfId="0" applyNumberFormat="1" applyFont="1" applyFill="1" applyBorder="1" applyAlignment="1">
      <alignment horizontal="center"/>
    </xf>
    <xf numFmtId="9" fontId="27" fillId="0" borderId="0" xfId="0" applyNumberFormat="1" applyFont="1" applyAlignment="1">
      <alignment horizontal="center"/>
    </xf>
    <xf numFmtId="4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</xdr:colOff>
      <xdr:row>0</xdr:row>
      <xdr:rowOff>104775</xdr:rowOff>
    </xdr:from>
    <xdr:ext cx="3190875" cy="199072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h.ru/vacancy/129289894?query=%D0%B4%D0%BE%D1%81%D1%82%D0%B0%D0%B2%D1%89%D0%B8%D0%BA&amp;hhtmFrom=vacancy_search_list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hh.ru/vacancy/130737974?query=%D0%BF%D0%BE%D0%B2%D0%B0%D1%80-%D1%83%D0%BD%D0%B8%D0%B2%D0%B5%D1%80%D1%81%D0%B0%D0%BB&amp;hhtmFrom=vacancy_search_list" TargetMode="External"/><Relationship Id="rId1" Type="http://schemas.openxmlformats.org/officeDocument/2006/relationships/hyperlink" Target="https://www.avito.ru/moskva/kommercheskaya_nedvizhimost/psn_v_superlokatsii_7999386894?https://www.avito.ru/moskva/kommercheskaya_nedvizhimost/psn_v_superlokatsii_7999386894?context=H4sIAAAAAAAA_wE_AMD_YToyOntzOjEzOiJsb2NhbFByaW9yaXR5IjtiOjA7czoxOiJ4IjtzOjE2OiJ2cjdrMkllUnduODRPQUI2Ijt96XWEQz8AAAA" TargetMode="External"/><Relationship Id="rId6" Type="http://schemas.openxmlformats.org/officeDocument/2006/relationships/hyperlink" Target="https://incrussia.ru/news/gotovye-ratsiony-nabirayut-populyarnost-rynok-vyros-na-13/" TargetMode="External"/><Relationship Id="rId5" Type="http://schemas.openxmlformats.org/officeDocument/2006/relationships/hyperlink" Target="https://incrussia.ru/news/gotovye-ratsiony-nabirayut-populyarnost-rynok-vyros-na-13/" TargetMode="External"/><Relationship Id="rId4" Type="http://schemas.openxmlformats.org/officeDocument/2006/relationships/hyperlink" Target="https://www.kommersant.ru/doc/825198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h.ru/vacancy/130737974?query=%D0%BF%D0%BE%D0%B2%D0%B0%D1%80-%D1%83%D0%BD%D0%B8%D0%B2%D0%B5%D1%80%D1%81%D0%B0%D0%BB&amp;hhtmFrom=vacancy_search_list" TargetMode="External"/><Relationship Id="rId13" Type="http://schemas.openxmlformats.org/officeDocument/2006/relationships/hyperlink" Target="https://profi.ru/it_freelance/dizain-upakovki/price/?utm_source=yandex_cpc&amp;utm_medium=cpc&amp;utm_campaign=701308717.profi_search_russia_longtail_dmp&amp;utm_term=205610698630.1879417065268579460&amp;utm_content=dynamic_places_2_---autotargeting_yandex.ru&amp;etext=&amp;yclid=8421379167566430207" TargetMode="External"/><Relationship Id="rId3" Type="http://schemas.openxmlformats.org/officeDocument/2006/relationships/hyperlink" Target="https://tochka.com/acquiring/?utm_campaign=g_acquiring_" TargetMode="External"/><Relationship Id="rId7" Type="http://schemas.openxmlformats.org/officeDocument/2006/relationships/hyperlink" Target="https://eko-polis.ru/stoimost-vyvoza-musora/" TargetMode="External"/><Relationship Id="rId12" Type="http://schemas.openxmlformats.org/officeDocument/2006/relationships/hyperlink" Target="https://www.ozon.ru/product/elektrovelosiped-dlya-vzroslyh-minako-monster-1-0-monstr-60v-21ah-s-derzhatelem-dlya-telefona-1641397039/?abt_att=1&amp;at=x6tP0mNm4iNKELLPuxjlgQ4TrKXkz2TgGky78URRVjY3&amp;origin_referer=www.ozon.ru" TargetMode="External"/><Relationship Id="rId2" Type="http://schemas.openxmlformats.org/officeDocument/2006/relationships/hyperlink" Target="https://companies.rbc.ru/news/RELaZl5K49/zatratyi-na-produktyi-dostigli-v-srednem-33-ot-stoimosti-blyud-v-restoranah/" TargetMode="External"/><Relationship Id="rId1" Type="http://schemas.openxmlformats.org/officeDocument/2006/relationships/hyperlink" Target="https://optima-invest.ru/ekb/obekty/pishchevoe_proizvodstvo_dark_kitchen_zakrytaya_kukhnya_postavka_gotovoy_edy_v_upakovke/" TargetMode="External"/><Relationship Id="rId6" Type="http://schemas.openxmlformats.org/officeDocument/2006/relationships/hyperlink" Target="https://www.biztotal.ru/publikacii/kakiye_osnovnyye_raskhody_v_restorane_32030.html" TargetMode="External"/><Relationship Id="rId11" Type="http://schemas.openxmlformats.org/officeDocument/2006/relationships/hyperlink" Target="https://auto.ru/moskva/lcv/vaz/largus/used/?sort=price-asc" TargetMode="External"/><Relationship Id="rId5" Type="http://schemas.openxmlformats.org/officeDocument/2006/relationships/hyperlink" Target="https://www.bottle.com/blog/key-financial-operational-benchmarks-for-meal-prep-businesses" TargetMode="External"/><Relationship Id="rId10" Type="http://schemas.openxmlformats.org/officeDocument/2006/relationships/hyperlink" Target="https://hh.ru/vacancy/129289894?query=%D0%B4%D0%BE%D1%81%D1%82%D0%B0%D0%B2%D1%89%D0%B8%D0%BA&amp;hhtmFrom=vacancy_search_list" TargetMode="External"/><Relationship Id="rId4" Type="http://schemas.openxmlformats.org/officeDocument/2006/relationships/hyperlink" Target="https://voropaevmedia.com/reklama-dostavki-edi" TargetMode="External"/><Relationship Id="rId9" Type="http://schemas.openxmlformats.org/officeDocument/2006/relationships/hyperlink" Target="https://hh.ru/vacancy/130896280?query=%D0%BC%D0%B5%D0%BD%D0%B5%D0%B4%D0%B6%D0%B5%D1%80+%D0%BA%D1%83%D1%80%D1%8C%D0%B5%D1%80%D1%81%D0%BA%D0%BE%D0%B9+%D1%81%D0%BB%D1%83%D0%B6%D0%B1%D1%8B&amp;hhtmFrom=vacancy_search_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43.33203125" customWidth="1"/>
    <col min="2" max="2" width="11.83203125" customWidth="1"/>
    <col min="3" max="3" width="14.6640625" customWidth="1"/>
    <col min="4" max="4" width="78" customWidth="1"/>
    <col min="5" max="5" width="10.6640625" customWidth="1"/>
    <col min="6" max="6" width="18.33203125" customWidth="1"/>
    <col min="7" max="25" width="11.1640625" customWidth="1"/>
  </cols>
  <sheetData>
    <row r="1" spans="1:2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 ht="109.5" customHeight="1">
      <c r="A2" s="2" t="s">
        <v>6</v>
      </c>
      <c r="B2" s="2" t="s">
        <v>7</v>
      </c>
      <c r="C2" s="2" t="s">
        <v>8</v>
      </c>
      <c r="D2" s="3" t="s">
        <v>9</v>
      </c>
      <c r="E2" s="4">
        <v>46091</v>
      </c>
      <c r="F2" s="2"/>
    </row>
    <row r="3" spans="1:25" ht="39" customHeight="1">
      <c r="A3" s="2" t="s">
        <v>10</v>
      </c>
      <c r="B3" s="5">
        <v>80000</v>
      </c>
      <c r="C3" s="2" t="s">
        <v>8</v>
      </c>
      <c r="D3" s="6" t="s">
        <v>11</v>
      </c>
      <c r="E3" s="4" t="s">
        <v>12</v>
      </c>
      <c r="F3" s="2" t="s">
        <v>13</v>
      </c>
    </row>
    <row r="4" spans="1:25" ht="15.75" customHeight="1">
      <c r="A4" s="2" t="s">
        <v>14</v>
      </c>
      <c r="B4" s="2">
        <v>130000</v>
      </c>
      <c r="C4" s="2" t="s">
        <v>8</v>
      </c>
      <c r="D4" s="7" t="s">
        <v>15</v>
      </c>
      <c r="E4" s="4" t="s">
        <v>12</v>
      </c>
      <c r="F4" s="2" t="s">
        <v>13</v>
      </c>
      <c r="G4" s="8" t="s">
        <v>16</v>
      </c>
    </row>
    <row r="5" spans="1:25" ht="15.75" customHeight="1">
      <c r="A5" s="2" t="s">
        <v>17</v>
      </c>
      <c r="B5" s="9">
        <v>42260</v>
      </c>
      <c r="C5" s="2" t="s">
        <v>8</v>
      </c>
      <c r="D5" s="10" t="s">
        <v>18</v>
      </c>
      <c r="E5" s="4" t="s">
        <v>12</v>
      </c>
      <c r="F5" s="2"/>
    </row>
    <row r="6" spans="1:25" ht="15.75" customHeight="1">
      <c r="A6" s="2"/>
      <c r="B6" s="2"/>
      <c r="C6" s="2"/>
      <c r="D6" s="11"/>
      <c r="E6" s="4"/>
      <c r="F6" s="2"/>
    </row>
    <row r="7" spans="1:25" ht="15.75" customHeight="1">
      <c r="A7" s="5"/>
      <c r="B7" s="5"/>
      <c r="C7" s="5"/>
      <c r="D7" s="11"/>
      <c r="E7" s="4"/>
      <c r="F7" s="5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75" customHeight="1">
      <c r="A8" s="5"/>
      <c r="B8" s="5"/>
      <c r="C8" s="5"/>
      <c r="D8" s="11"/>
      <c r="E8" s="4"/>
      <c r="F8" s="5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ht="15.75" customHeight="1">
      <c r="A9" s="5"/>
      <c r="B9" s="5"/>
      <c r="C9" s="5"/>
      <c r="D9" s="5"/>
      <c r="E9" s="4"/>
      <c r="F9" s="5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ht="15.75" customHeight="1">
      <c r="A10" s="5"/>
      <c r="B10" s="13"/>
      <c r="C10" s="5"/>
      <c r="D10" s="5"/>
      <c r="E10" s="4"/>
      <c r="F10" s="5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15.75" customHeight="1">
      <c r="A11" s="5"/>
      <c r="B11" s="5"/>
      <c r="C11" s="5"/>
      <c r="D11" s="5"/>
      <c r="E11" s="5"/>
      <c r="F11" s="5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15.75" customHeight="1">
      <c r="A12" s="2" t="s">
        <v>19</v>
      </c>
      <c r="B12" s="14">
        <v>1.1399999999999999</v>
      </c>
      <c r="C12" s="2" t="s">
        <v>20</v>
      </c>
      <c r="D12" s="15" t="s">
        <v>21</v>
      </c>
      <c r="E12" s="16">
        <v>46088</v>
      </c>
      <c r="F12" s="2" t="s">
        <v>22</v>
      </c>
    </row>
    <row r="13" spans="1:25" ht="15.75" customHeight="1">
      <c r="A13" s="17" t="s">
        <v>23</v>
      </c>
      <c r="B13" s="2">
        <v>17</v>
      </c>
      <c r="C13" s="18" t="s">
        <v>24</v>
      </c>
      <c r="D13" s="15" t="s">
        <v>25</v>
      </c>
      <c r="E13" s="4" t="s">
        <v>12</v>
      </c>
      <c r="F13" s="2"/>
    </row>
    <row r="14" spans="1:25" ht="15.75" customHeight="1">
      <c r="A14" s="2" t="s">
        <v>26</v>
      </c>
      <c r="B14" s="2">
        <v>12.8</v>
      </c>
      <c r="C14" s="2" t="s">
        <v>27</v>
      </c>
      <c r="D14" s="15" t="s">
        <v>25</v>
      </c>
      <c r="E14" s="4" t="s">
        <v>12</v>
      </c>
      <c r="F14" s="2"/>
    </row>
    <row r="15" spans="1:25" ht="15.75" customHeight="1">
      <c r="A15" s="2"/>
      <c r="B15" s="19"/>
      <c r="C15" s="2"/>
      <c r="D15" s="5"/>
      <c r="E15" s="5"/>
      <c r="F15" s="2"/>
    </row>
    <row r="16" spans="1:25" ht="15.75" customHeight="1">
      <c r="A16" s="2"/>
      <c r="B16" s="2"/>
      <c r="C16" s="2"/>
      <c r="D16" s="5"/>
      <c r="E16" s="5"/>
      <c r="F16" s="2"/>
    </row>
    <row r="17" spans="1:6" ht="15.75" customHeight="1">
      <c r="A17" s="2"/>
      <c r="B17" s="2"/>
      <c r="C17" s="2"/>
      <c r="D17" s="5"/>
      <c r="E17" s="5"/>
      <c r="F17" s="2"/>
    </row>
    <row r="18" spans="1:6" ht="15.75" customHeight="1">
      <c r="A18" s="2"/>
      <c r="B18" s="2"/>
      <c r="C18" s="2"/>
      <c r="D18" s="5"/>
      <c r="E18" s="5"/>
      <c r="F18" s="2"/>
    </row>
    <row r="19" spans="1:6" ht="15.75" customHeight="1">
      <c r="A19" s="2"/>
      <c r="B19" s="2"/>
      <c r="C19" s="2"/>
      <c r="D19" s="5"/>
      <c r="E19" s="5"/>
      <c r="F19" s="2"/>
    </row>
    <row r="20" spans="1:6" ht="15.75" customHeight="1">
      <c r="A20" s="2"/>
      <c r="B20" s="2"/>
      <c r="C20" s="2"/>
      <c r="D20" s="5"/>
      <c r="E20" s="5"/>
      <c r="F20" s="2"/>
    </row>
    <row r="21" spans="1:6" ht="15.75" customHeight="1">
      <c r="A21" s="2"/>
      <c r="B21" s="2"/>
      <c r="C21" s="2"/>
      <c r="D21" s="5"/>
      <c r="E21" s="5"/>
      <c r="F21" s="2"/>
    </row>
    <row r="22" spans="1:6" ht="15.75" customHeight="1">
      <c r="A22" s="2"/>
      <c r="B22" s="2"/>
      <c r="C22" s="2"/>
      <c r="D22" s="5"/>
      <c r="E22" s="5"/>
      <c r="F22" s="2"/>
    </row>
    <row r="23" spans="1:6" ht="15.75" customHeight="1">
      <c r="A23" s="2"/>
      <c r="B23" s="2"/>
      <c r="C23" s="2"/>
      <c r="D23" s="5"/>
      <c r="E23" s="5"/>
      <c r="F23" s="2"/>
    </row>
    <row r="24" spans="1:6" ht="15.75" customHeight="1">
      <c r="A24" s="2"/>
      <c r="B24" s="2"/>
      <c r="C24" s="2"/>
      <c r="D24" s="5"/>
      <c r="E24" s="5"/>
      <c r="F24" s="2"/>
    </row>
    <row r="25" spans="1:6" ht="15.75" customHeight="1">
      <c r="A25" s="2"/>
      <c r="B25" s="2"/>
      <c r="C25" s="2"/>
      <c r="D25" s="5"/>
      <c r="E25" s="5"/>
      <c r="F25" s="2"/>
    </row>
    <row r="26" spans="1:6" ht="15.75" customHeight="1">
      <c r="A26" s="2"/>
      <c r="B26" s="2"/>
      <c r="C26" s="2"/>
      <c r="D26" s="5"/>
      <c r="E26" s="5"/>
      <c r="F26" s="2"/>
    </row>
    <row r="27" spans="1:6" ht="15.75" customHeight="1">
      <c r="A27" s="2"/>
      <c r="B27" s="2"/>
      <c r="C27" s="2"/>
      <c r="D27" s="5"/>
      <c r="E27" s="5"/>
      <c r="F27" s="2"/>
    </row>
    <row r="28" spans="1:6" ht="15.75" customHeight="1">
      <c r="A28" s="2"/>
      <c r="B28" s="2"/>
      <c r="C28" s="2"/>
      <c r="D28" s="5"/>
      <c r="E28" s="5"/>
      <c r="F28" s="2"/>
    </row>
    <row r="29" spans="1:6" ht="15.75" customHeight="1">
      <c r="A29" s="2"/>
      <c r="B29" s="2"/>
      <c r="C29" s="2"/>
      <c r="D29" s="5"/>
      <c r="E29" s="5"/>
      <c r="F29" s="2"/>
    </row>
    <row r="30" spans="1:6" ht="15.75" customHeight="1">
      <c r="A30" s="2"/>
      <c r="B30" s="2"/>
      <c r="C30" s="2"/>
      <c r="D30" s="5"/>
      <c r="E30" s="5"/>
      <c r="F30" s="2"/>
    </row>
    <row r="31" spans="1:6" ht="15.75" customHeight="1">
      <c r="A31" s="2"/>
      <c r="B31" s="2"/>
      <c r="C31" s="2"/>
      <c r="D31" s="5"/>
      <c r="E31" s="5"/>
      <c r="F31" s="2"/>
    </row>
    <row r="32" spans="1:6" ht="15.75" customHeight="1">
      <c r="A32" s="2"/>
      <c r="B32" s="2"/>
      <c r="C32" s="2"/>
      <c r="D32" s="5"/>
      <c r="E32" s="5"/>
      <c r="F32" s="2"/>
    </row>
    <row r="33" spans="1:6" ht="15.75" customHeight="1">
      <c r="A33" s="2"/>
      <c r="B33" s="2"/>
      <c r="C33" s="2"/>
      <c r="D33" s="5"/>
      <c r="E33" s="5"/>
      <c r="F33" s="2"/>
    </row>
    <row r="34" spans="1:6" ht="15.75" customHeight="1">
      <c r="A34" s="2"/>
      <c r="B34" s="2"/>
      <c r="C34" s="2"/>
      <c r="D34" s="5"/>
      <c r="E34" s="5"/>
      <c r="F34" s="2"/>
    </row>
    <row r="35" spans="1:6" ht="15.75" customHeight="1">
      <c r="A35" s="2"/>
      <c r="B35" s="2"/>
      <c r="C35" s="2"/>
      <c r="D35" s="5"/>
      <c r="E35" s="5"/>
      <c r="F35" s="2"/>
    </row>
    <row r="36" spans="1:6" ht="15.75" customHeight="1">
      <c r="A36" s="2"/>
      <c r="B36" s="2"/>
      <c r="C36" s="2"/>
      <c r="D36" s="5"/>
      <c r="E36" s="5"/>
      <c r="F36" s="2"/>
    </row>
    <row r="37" spans="1:6" ht="15.75" customHeight="1">
      <c r="A37" s="2"/>
      <c r="B37" s="2"/>
      <c r="C37" s="2"/>
      <c r="D37" s="5"/>
      <c r="E37" s="5"/>
      <c r="F37" s="2"/>
    </row>
    <row r="38" spans="1:6" ht="15.75" customHeight="1">
      <c r="A38" s="2"/>
      <c r="B38" s="2"/>
      <c r="C38" s="2"/>
      <c r="D38" s="5"/>
      <c r="E38" s="5"/>
      <c r="F38" s="2"/>
    </row>
    <row r="39" spans="1:6" ht="15.75" customHeight="1">
      <c r="A39" s="2"/>
      <c r="B39" s="2"/>
      <c r="C39" s="2"/>
      <c r="D39" s="5"/>
      <c r="E39" s="5"/>
      <c r="F39" s="2"/>
    </row>
    <row r="40" spans="1:6" ht="15.75" customHeight="1">
      <c r="A40" s="2"/>
      <c r="B40" s="2"/>
      <c r="C40" s="2"/>
      <c r="D40" s="5"/>
      <c r="E40" s="5"/>
      <c r="F40" s="2"/>
    </row>
    <row r="41" spans="1:6" ht="15.75" customHeight="1">
      <c r="A41" s="2"/>
      <c r="B41" s="2"/>
      <c r="C41" s="2"/>
      <c r="D41" s="5"/>
      <c r="E41" s="5"/>
      <c r="F41" s="2"/>
    </row>
    <row r="42" spans="1:6" ht="15.75" customHeight="1">
      <c r="A42" s="2"/>
      <c r="B42" s="2"/>
      <c r="C42" s="2"/>
      <c r="D42" s="5"/>
      <c r="E42" s="5"/>
      <c r="F42" s="2"/>
    </row>
    <row r="43" spans="1:6" ht="15.75" customHeight="1">
      <c r="A43" s="2"/>
      <c r="B43" s="2"/>
      <c r="C43" s="2"/>
      <c r="D43" s="5"/>
      <c r="E43" s="5"/>
      <c r="F43" s="2"/>
    </row>
    <row r="44" spans="1:6" ht="15.75" customHeight="1">
      <c r="A44" s="2"/>
      <c r="B44" s="2"/>
      <c r="C44" s="2"/>
      <c r="D44" s="5"/>
      <c r="E44" s="5"/>
      <c r="F44" s="2"/>
    </row>
    <row r="45" spans="1:6" ht="15.75" customHeight="1">
      <c r="A45" s="2"/>
      <c r="B45" s="2"/>
      <c r="C45" s="2"/>
      <c r="D45" s="5"/>
      <c r="E45" s="5"/>
      <c r="F45" s="2"/>
    </row>
    <row r="46" spans="1:6" ht="15.75" customHeight="1">
      <c r="A46" s="2"/>
      <c r="B46" s="2"/>
      <c r="C46" s="2"/>
      <c r="D46" s="5"/>
      <c r="E46" s="5"/>
      <c r="F46" s="2"/>
    </row>
    <row r="47" spans="1:6" ht="15.75" customHeight="1">
      <c r="A47" s="2"/>
      <c r="B47" s="2"/>
      <c r="C47" s="2"/>
      <c r="D47" s="5"/>
      <c r="E47" s="5"/>
      <c r="F47" s="2"/>
    </row>
    <row r="48" spans="1:6" ht="15.75" customHeight="1">
      <c r="A48" s="2"/>
      <c r="B48" s="2"/>
      <c r="C48" s="2"/>
      <c r="D48" s="5"/>
      <c r="E48" s="5"/>
      <c r="F48" s="2"/>
    </row>
    <row r="49" spans="1:6" ht="15.75" customHeight="1">
      <c r="A49" s="2"/>
      <c r="B49" s="2"/>
      <c r="C49" s="2"/>
      <c r="D49" s="5"/>
      <c r="E49" s="5"/>
      <c r="F49" s="2"/>
    </row>
    <row r="50" spans="1:6" ht="15.75" customHeight="1">
      <c r="A50" s="2"/>
      <c r="B50" s="2"/>
      <c r="C50" s="2"/>
      <c r="D50" s="5"/>
      <c r="E50" s="5"/>
      <c r="F50" s="2"/>
    </row>
    <row r="51" spans="1:6" ht="15.75" customHeight="1">
      <c r="A51" s="2"/>
      <c r="B51" s="2"/>
      <c r="C51" s="2"/>
      <c r="D51" s="5"/>
      <c r="E51" s="5"/>
      <c r="F51" s="2"/>
    </row>
    <row r="52" spans="1:6" ht="15.75" customHeight="1">
      <c r="A52" s="2"/>
      <c r="B52" s="2"/>
      <c r="C52" s="2"/>
      <c r="D52" s="5"/>
      <c r="E52" s="5"/>
      <c r="F52" s="2"/>
    </row>
    <row r="53" spans="1:6" ht="15.75" customHeight="1">
      <c r="D53" s="12"/>
      <c r="E53" s="12"/>
    </row>
    <row r="54" spans="1:6" ht="15.75" customHeight="1"/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12" r:id="rId4" xr:uid="{00000000-0004-0000-0000-000003000000}"/>
    <hyperlink ref="D13" r:id="rId5" xr:uid="{00000000-0004-0000-0000-000004000000}"/>
    <hyperlink ref="D14" r:id="rId6" xr:uid="{00000000-0004-0000-0000-000005000000}"/>
  </hyperlinks>
  <pageMargins left="0.75" right="0.75" top="1" bottom="1" header="0" footer="0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1"/>
  <sheetViews>
    <sheetView tabSelected="1" workbookViewId="0">
      <pane ySplit="2" topLeftCell="A14" activePane="bottomLeft" state="frozen"/>
      <selection pane="bottomLeft" activeCell="B4" sqref="B4"/>
    </sheetView>
  </sheetViews>
  <sheetFormatPr baseColWidth="10" defaultColWidth="12.6640625" defaultRowHeight="15" customHeight="1"/>
  <cols>
    <col min="1" max="1" width="43.5" customWidth="1"/>
    <col min="2" max="2" width="12.1640625" customWidth="1"/>
    <col min="3" max="3" width="18.6640625" customWidth="1"/>
    <col min="4" max="4" width="24.5" customWidth="1"/>
    <col min="5" max="5" width="87.33203125" customWidth="1"/>
    <col min="6" max="6" width="18" customWidth="1"/>
    <col min="7" max="25" width="11.1640625" customWidth="1"/>
  </cols>
  <sheetData>
    <row r="1" spans="1:25" ht="69.75" customHeight="1">
      <c r="A1" s="20" t="s">
        <v>28</v>
      </c>
    </row>
    <row r="2" spans="1:25" ht="15.75" customHeight="1"/>
    <row r="3" spans="1:25" ht="15.75" customHeight="1">
      <c r="A3" s="21" t="s">
        <v>29</v>
      </c>
      <c r="B3" s="22" t="s">
        <v>1</v>
      </c>
      <c r="C3" s="22" t="s">
        <v>2</v>
      </c>
      <c r="D3" s="22" t="s">
        <v>30</v>
      </c>
      <c r="E3" s="22" t="s">
        <v>31</v>
      </c>
    </row>
    <row r="4" spans="1:25" ht="15.75" customHeight="1">
      <c r="A4" s="1"/>
      <c r="B4" s="1"/>
      <c r="C4" s="1"/>
      <c r="D4" s="1"/>
      <c r="E4" s="1"/>
    </row>
    <row r="5" spans="1:25" ht="15.75" customHeight="1">
      <c r="A5" s="2" t="s">
        <v>32</v>
      </c>
      <c r="B5" s="11" t="s">
        <v>33</v>
      </c>
      <c r="C5" s="23"/>
      <c r="D5" s="5"/>
      <c r="E5" s="5"/>
    </row>
    <row r="6" spans="1:25" ht="15.75" customHeight="1">
      <c r="A6" s="2" t="s">
        <v>34</v>
      </c>
      <c r="B6" s="11">
        <v>110</v>
      </c>
      <c r="C6" s="23" t="s">
        <v>35</v>
      </c>
      <c r="D6" s="24" t="str">
        <f>Источники!D2</f>
        <v>https://www.avito.ru/moskva/kommercheskaya_nedvizhimost/gotovyy_tseh_dark_kitchen_110_m_bez_komissii_7851962280?context=H4sIAAAAAAAA_wE_AMD_YToyOntzOjEzOiJsb2NhbFByaW9yaXR5IjtiOjA7czoxOiJ4IjtzOjE2OiJEakJUb3JHNVZ3R3FOdUV3Ijt9lcmntz8AAAA</v>
      </c>
      <c r="E6" s="5"/>
    </row>
    <row r="7" spans="1:25" ht="15.75" customHeight="1">
      <c r="A7" s="2" t="s">
        <v>36</v>
      </c>
      <c r="B7" s="11">
        <v>24</v>
      </c>
      <c r="C7" s="23" t="s">
        <v>37</v>
      </c>
      <c r="D7" s="5" t="s">
        <v>38</v>
      </c>
      <c r="E7" s="5"/>
    </row>
    <row r="8" spans="1:25" ht="15.75" customHeight="1">
      <c r="A8" s="2" t="s">
        <v>39</v>
      </c>
      <c r="B8" s="11">
        <v>30</v>
      </c>
      <c r="C8" s="23" t="s">
        <v>40</v>
      </c>
      <c r="D8" s="5" t="s">
        <v>38</v>
      </c>
      <c r="E8" s="5"/>
    </row>
    <row r="9" spans="1:25" ht="15.75" customHeight="1">
      <c r="A9" s="5" t="s">
        <v>41</v>
      </c>
      <c r="B9" s="25">
        <v>0.05</v>
      </c>
      <c r="C9" s="11" t="s">
        <v>27</v>
      </c>
      <c r="D9" s="5" t="s">
        <v>38</v>
      </c>
      <c r="E9" s="5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ht="15.75" customHeight="1">
      <c r="A10" s="5" t="s">
        <v>42</v>
      </c>
      <c r="B10" s="26">
        <f>B15*B9</f>
        <v>24.553571428571431</v>
      </c>
      <c r="C10" s="11" t="s">
        <v>43</v>
      </c>
      <c r="D10" s="5"/>
      <c r="E10" s="5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15.75" customHeight="1">
      <c r="A11" s="5" t="s">
        <v>44</v>
      </c>
      <c r="B11" s="25">
        <f>'Анализ чувствительности'!E21</f>
        <v>0.02</v>
      </c>
      <c r="C11" s="11" t="s">
        <v>27</v>
      </c>
      <c r="D11" s="5" t="s">
        <v>45</v>
      </c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15.75" customHeight="1">
      <c r="A12" s="5" t="s">
        <v>46</v>
      </c>
      <c r="B12" s="26">
        <f>B15*B11</f>
        <v>9.821428571428573</v>
      </c>
      <c r="C12" s="11" t="s">
        <v>43</v>
      </c>
      <c r="D12" s="27"/>
      <c r="E12" s="5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ht="15.75" customHeight="1">
      <c r="A13" s="5" t="s">
        <v>47</v>
      </c>
      <c r="B13" s="25">
        <v>0.05</v>
      </c>
      <c r="C13" s="11" t="s">
        <v>27</v>
      </c>
      <c r="D13" s="5" t="s">
        <v>45</v>
      </c>
      <c r="E13" s="5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5.75" customHeight="1">
      <c r="A14" s="5" t="s">
        <v>48</v>
      </c>
      <c r="B14" s="26">
        <f>B15*B13</f>
        <v>24.553571428571431</v>
      </c>
      <c r="C14" s="11" t="s">
        <v>43</v>
      </c>
      <c r="D14" s="27"/>
      <c r="E14" s="5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ht="15.75" customHeight="1">
      <c r="A15" s="5" t="s">
        <v>49</v>
      </c>
      <c r="B15" s="28">
        <f>(110*(5000/280))/4</f>
        <v>491.07142857142861</v>
      </c>
      <c r="C15" s="11" t="s">
        <v>50</v>
      </c>
      <c r="D15" s="29" t="s">
        <v>51</v>
      </c>
      <c r="E15" s="5" t="s">
        <v>52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15.75" customHeight="1">
      <c r="A16" s="30" t="s">
        <v>53</v>
      </c>
      <c r="B16" s="31"/>
      <c r="C16" s="32"/>
      <c r="D16" s="33"/>
      <c r="E16" s="33"/>
    </row>
    <row r="17" spans="1:25" ht="15.75" customHeight="1">
      <c r="A17" s="2" t="s">
        <v>54</v>
      </c>
      <c r="B17" s="34">
        <f>'Анализ чувствительности'!A5</f>
        <v>42260</v>
      </c>
      <c r="C17" s="23" t="s">
        <v>8</v>
      </c>
      <c r="D17" s="5" t="s">
        <v>55</v>
      </c>
      <c r="E17" s="5" t="s">
        <v>56</v>
      </c>
    </row>
    <row r="18" spans="1:25" ht="15.75" customHeight="1">
      <c r="A18" s="2" t="s">
        <v>57</v>
      </c>
      <c r="B18" s="25">
        <v>0.33</v>
      </c>
      <c r="C18" s="23" t="s">
        <v>27</v>
      </c>
      <c r="D18" s="35" t="s">
        <v>58</v>
      </c>
      <c r="E18" s="5" t="s">
        <v>59</v>
      </c>
    </row>
    <row r="19" spans="1:25" ht="15.75" customHeight="1">
      <c r="A19" s="2" t="s">
        <v>60</v>
      </c>
      <c r="B19" s="25">
        <v>0.2</v>
      </c>
      <c r="C19" s="23" t="s">
        <v>27</v>
      </c>
      <c r="D19" s="36" t="s">
        <v>61</v>
      </c>
      <c r="E19" s="5"/>
      <c r="F19" s="37"/>
    </row>
    <row r="20" spans="1:25" ht="15.75" customHeight="1">
      <c r="A20" s="2" t="s">
        <v>62</v>
      </c>
      <c r="B20" s="25">
        <v>0.01</v>
      </c>
      <c r="C20" s="23" t="s">
        <v>27</v>
      </c>
      <c r="D20" s="35" t="s">
        <v>63</v>
      </c>
      <c r="E20" s="5" t="s">
        <v>64</v>
      </c>
      <c r="F20" s="37"/>
    </row>
    <row r="21" spans="1:25" ht="15.75" customHeight="1">
      <c r="A21" s="5" t="s">
        <v>65</v>
      </c>
      <c r="B21" s="26">
        <f>'Анализ чувствительности'!E19</f>
        <v>200000</v>
      </c>
      <c r="C21" s="11" t="s">
        <v>8</v>
      </c>
      <c r="D21" s="7" t="s">
        <v>66</v>
      </c>
      <c r="E21" s="5" t="s">
        <v>67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5.75" customHeight="1">
      <c r="A22" s="5" t="s">
        <v>68</v>
      </c>
      <c r="B22" s="11">
        <v>10</v>
      </c>
      <c r="C22" s="11" t="s">
        <v>69</v>
      </c>
      <c r="D22" s="5"/>
      <c r="E22" s="5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15.75" customHeight="1">
      <c r="A23" s="2" t="s">
        <v>70</v>
      </c>
      <c r="B23" s="11">
        <v>1</v>
      </c>
      <c r="C23" s="23" t="s">
        <v>71</v>
      </c>
      <c r="D23" s="5" t="s">
        <v>38</v>
      </c>
      <c r="E23" s="5" t="s">
        <v>72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5.75" customHeight="1">
      <c r="A24" s="5" t="s">
        <v>73</v>
      </c>
      <c r="B24" s="11">
        <v>5</v>
      </c>
      <c r="C24" s="11" t="s">
        <v>37</v>
      </c>
      <c r="D24" s="7" t="s">
        <v>74</v>
      </c>
      <c r="E24" s="5" t="s">
        <v>75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5.75" customHeight="1">
      <c r="A25" s="21" t="s">
        <v>76</v>
      </c>
      <c r="D25" s="12"/>
      <c r="E25" s="12"/>
    </row>
    <row r="26" spans="1:25" ht="15.75" customHeight="1">
      <c r="A26" s="2" t="s">
        <v>77</v>
      </c>
      <c r="B26" s="26" t="str">
        <f>Источники!B2</f>
        <v>300 000</v>
      </c>
      <c r="C26" s="23" t="s">
        <v>8</v>
      </c>
      <c r="D26" s="24" t="str">
        <f>Источники!D2</f>
        <v>https://www.avito.ru/moskva/kommercheskaya_nedvizhimost/gotovyy_tseh_dark_kitchen_110_m_bez_komissii_7851962280?context=H4sIAAAAAAAA_wE_AMD_YToyOntzOjEzOiJsb2NhbFByaW9yaXR5IjtiOjA7czoxOiJ4IjtzOjE2OiJEakJUb3JHNVZ3R3FOdUV3Ijt9lcmntz8AAAA</v>
      </c>
      <c r="E26" s="5"/>
    </row>
    <row r="27" spans="1:25" ht="15.75" customHeight="1">
      <c r="A27" s="2" t="s">
        <v>78</v>
      </c>
      <c r="B27" s="26">
        <v>30000</v>
      </c>
      <c r="C27" s="23" t="s">
        <v>8</v>
      </c>
      <c r="D27" s="7" t="s">
        <v>79</v>
      </c>
      <c r="E27" s="5"/>
      <c r="F27" s="38"/>
    </row>
    <row r="28" spans="1:25" ht="15.75" customHeight="1">
      <c r="A28" s="2" t="s">
        <v>80</v>
      </c>
      <c r="B28" s="26">
        <v>4000</v>
      </c>
      <c r="C28" s="23" t="s">
        <v>8</v>
      </c>
      <c r="D28" s="5" t="s">
        <v>81</v>
      </c>
      <c r="E28" s="5"/>
      <c r="F28" s="39"/>
    </row>
    <row r="29" spans="1:25" ht="15.75" customHeight="1">
      <c r="A29" s="2" t="s">
        <v>82</v>
      </c>
      <c r="B29" s="26">
        <f>549*15</f>
        <v>8235</v>
      </c>
      <c r="C29" s="23" t="s">
        <v>8</v>
      </c>
      <c r="D29" s="35" t="s">
        <v>83</v>
      </c>
      <c r="E29" s="5" t="s">
        <v>84</v>
      </c>
    </row>
    <row r="30" spans="1:25" ht="15.75" customHeight="1">
      <c r="A30" s="2" t="s">
        <v>85</v>
      </c>
      <c r="B30" s="26">
        <v>20000</v>
      </c>
      <c r="C30" s="23" t="s">
        <v>8</v>
      </c>
      <c r="D30" s="5"/>
      <c r="E30" s="5"/>
    </row>
    <row r="31" spans="1:25" ht="15.75" customHeight="1">
      <c r="A31" s="21" t="s">
        <v>86</v>
      </c>
      <c r="B31" s="12"/>
      <c r="D31" s="12"/>
      <c r="E31" s="12"/>
    </row>
    <row r="32" spans="1:25" ht="15.75" customHeight="1">
      <c r="A32" s="2" t="s">
        <v>87</v>
      </c>
      <c r="B32" s="11">
        <v>3</v>
      </c>
      <c r="C32" s="23" t="s">
        <v>88</v>
      </c>
      <c r="D32" s="5"/>
      <c r="E32" s="5"/>
    </row>
    <row r="33" spans="1:5" ht="15.75" customHeight="1">
      <c r="A33" s="2" t="s">
        <v>89</v>
      </c>
      <c r="B33" s="26">
        <v>80000</v>
      </c>
      <c r="C33" s="23" t="s">
        <v>8</v>
      </c>
      <c r="D33" s="6" t="s">
        <v>11</v>
      </c>
      <c r="E33" s="5"/>
    </row>
    <row r="34" spans="1:5" ht="15.75" customHeight="1">
      <c r="A34" s="2" t="s">
        <v>90</v>
      </c>
      <c r="B34" s="11">
        <v>4</v>
      </c>
      <c r="C34" s="23" t="s">
        <v>88</v>
      </c>
      <c r="D34" s="5"/>
      <c r="E34" s="5"/>
    </row>
    <row r="35" spans="1:5" ht="15.75" customHeight="1">
      <c r="A35" s="2" t="s">
        <v>91</v>
      </c>
      <c r="B35" s="26">
        <v>80000</v>
      </c>
      <c r="C35" s="23" t="s">
        <v>8</v>
      </c>
      <c r="D35" s="7" t="s">
        <v>92</v>
      </c>
      <c r="E35" s="5"/>
    </row>
    <row r="36" spans="1:5" ht="15.75" customHeight="1">
      <c r="A36" s="2" t="s">
        <v>93</v>
      </c>
      <c r="B36" s="26">
        <v>130000</v>
      </c>
      <c r="C36" s="23" t="s">
        <v>8</v>
      </c>
      <c r="D36" s="7" t="s">
        <v>15</v>
      </c>
      <c r="E36" s="5"/>
    </row>
    <row r="37" spans="1:5" ht="15.75" customHeight="1">
      <c r="A37" s="40" t="s">
        <v>94</v>
      </c>
      <c r="B37" s="41">
        <f>((B33*B32)+(B36*B34))*30%</f>
        <v>228000</v>
      </c>
      <c r="C37" s="42" t="s">
        <v>95</v>
      </c>
      <c r="D37" s="27"/>
      <c r="E37" s="27" t="s">
        <v>96</v>
      </c>
    </row>
    <row r="38" spans="1:5" ht="15.75" customHeight="1">
      <c r="A38" s="21" t="s">
        <v>97</v>
      </c>
      <c r="D38" s="12"/>
      <c r="E38" s="12"/>
    </row>
    <row r="39" spans="1:5" ht="15.75" customHeight="1">
      <c r="A39" s="2" t="s">
        <v>98</v>
      </c>
      <c r="B39" s="25">
        <v>0.25</v>
      </c>
      <c r="C39" s="23" t="s">
        <v>27</v>
      </c>
      <c r="D39" s="5"/>
      <c r="E39" s="5"/>
    </row>
    <row r="40" spans="1:5" ht="15.75" customHeight="1">
      <c r="A40" s="2" t="s">
        <v>99</v>
      </c>
      <c r="B40" s="25">
        <v>0.2</v>
      </c>
      <c r="C40" s="23" t="s">
        <v>27</v>
      </c>
      <c r="D40" s="5"/>
      <c r="E40" s="5"/>
    </row>
    <row r="41" spans="1:5" ht="15.75" customHeight="1">
      <c r="A41" s="2" t="s">
        <v>100</v>
      </c>
      <c r="B41" s="11">
        <v>120</v>
      </c>
      <c r="C41" s="23" t="s">
        <v>37</v>
      </c>
      <c r="D41" s="5"/>
      <c r="E41" s="5"/>
    </row>
    <row r="42" spans="1:5" ht="15.75" customHeight="1">
      <c r="A42" s="21" t="s">
        <v>101</v>
      </c>
      <c r="D42" s="12"/>
      <c r="E42" s="12"/>
    </row>
    <row r="43" spans="1:5" ht="15.75" customHeight="1">
      <c r="A43" s="2" t="s">
        <v>102</v>
      </c>
      <c r="B43" s="26">
        <v>50000</v>
      </c>
      <c r="C43" s="23" t="s">
        <v>95</v>
      </c>
      <c r="D43" s="5" t="s">
        <v>38</v>
      </c>
      <c r="E43" s="5" t="s">
        <v>103</v>
      </c>
    </row>
    <row r="44" spans="1:5" ht="15.75" customHeight="1">
      <c r="A44" s="2" t="s">
        <v>104</v>
      </c>
      <c r="B44" s="26">
        <v>1000000</v>
      </c>
      <c r="C44" s="23" t="s">
        <v>95</v>
      </c>
      <c r="D44" s="35" t="s">
        <v>105</v>
      </c>
      <c r="E44" s="5"/>
    </row>
    <row r="45" spans="1:5" ht="15.75" customHeight="1">
      <c r="A45" s="2" t="s">
        <v>106</v>
      </c>
      <c r="B45" s="26">
        <v>80000</v>
      </c>
      <c r="C45" s="23" t="s">
        <v>95</v>
      </c>
      <c r="D45" s="35" t="s">
        <v>107</v>
      </c>
      <c r="E45" s="5"/>
    </row>
    <row r="46" spans="1:5" ht="15.75" customHeight="1">
      <c r="A46" s="2" t="s">
        <v>108</v>
      </c>
      <c r="B46" s="26">
        <f>SUM(B26:B30)</f>
        <v>62235</v>
      </c>
      <c r="C46" s="23" t="s">
        <v>95</v>
      </c>
      <c r="D46" s="5"/>
      <c r="E46" s="5" t="s">
        <v>109</v>
      </c>
    </row>
    <row r="47" spans="1:5" ht="15.75" customHeight="1">
      <c r="A47" s="21" t="s">
        <v>110</v>
      </c>
      <c r="B47" s="12"/>
      <c r="D47" s="12"/>
      <c r="E47" s="12"/>
    </row>
    <row r="48" spans="1:5" ht="15.75" customHeight="1">
      <c r="A48" s="2" t="s">
        <v>111</v>
      </c>
      <c r="B48" s="26">
        <v>80000</v>
      </c>
      <c r="C48" s="23" t="s">
        <v>95</v>
      </c>
      <c r="D48" s="7" t="s">
        <v>112</v>
      </c>
      <c r="E48" s="5"/>
    </row>
    <row r="49" spans="1:5" ht="15.75" customHeight="1">
      <c r="A49" s="17" t="s">
        <v>113</v>
      </c>
      <c r="B49" s="26">
        <v>70000</v>
      </c>
      <c r="C49" s="23" t="s">
        <v>95</v>
      </c>
      <c r="D49" s="5" t="s">
        <v>38</v>
      </c>
      <c r="E49" s="5"/>
    </row>
    <row r="50" spans="1:5" ht="15.75" customHeight="1"/>
    <row r="51" spans="1:5" ht="15.75" customHeight="1"/>
    <row r="52" spans="1:5" ht="15.75" customHeight="1"/>
    <row r="53" spans="1:5" ht="15.75" customHeight="1"/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D15" r:id="rId1" xr:uid="{00000000-0004-0000-0100-000000000000}"/>
    <hyperlink ref="D18" r:id="rId2" xr:uid="{00000000-0004-0000-0100-000001000000}"/>
    <hyperlink ref="D20" r:id="rId3" xr:uid="{00000000-0004-0000-0100-000002000000}"/>
    <hyperlink ref="D21" r:id="rId4" xr:uid="{00000000-0004-0000-0100-000003000000}"/>
    <hyperlink ref="D24" r:id="rId5" xr:uid="{00000000-0004-0000-0100-000004000000}"/>
    <hyperlink ref="D27" r:id="rId6" xr:uid="{00000000-0004-0000-0100-000005000000}"/>
    <hyperlink ref="D29" r:id="rId7" xr:uid="{00000000-0004-0000-0100-000006000000}"/>
    <hyperlink ref="D33" r:id="rId8" xr:uid="{00000000-0004-0000-0100-000007000000}"/>
    <hyperlink ref="D35" r:id="rId9" xr:uid="{00000000-0004-0000-0100-000008000000}"/>
    <hyperlink ref="D36" r:id="rId10" xr:uid="{00000000-0004-0000-0100-000009000000}"/>
    <hyperlink ref="D44" r:id="rId11" xr:uid="{00000000-0004-0000-0100-00000A000000}"/>
    <hyperlink ref="D45" r:id="rId12" xr:uid="{00000000-0004-0000-0100-00000B000000}"/>
    <hyperlink ref="D48" r:id="rId13" xr:uid="{00000000-0004-0000-0100-00000C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96"/>
  <sheetViews>
    <sheetView workbookViewId="0"/>
  </sheetViews>
  <sheetFormatPr baseColWidth="10" defaultColWidth="12.6640625" defaultRowHeight="15" customHeight="1"/>
  <cols>
    <col min="1" max="1" width="57.83203125" customWidth="1"/>
    <col min="2" max="2" width="17.1640625" customWidth="1"/>
    <col min="3" max="3" width="17" customWidth="1"/>
    <col min="4" max="4" width="16.1640625" customWidth="1"/>
    <col min="5" max="25" width="11.1640625" customWidth="1"/>
  </cols>
  <sheetData>
    <row r="1" spans="1:4" ht="15.75" customHeight="1">
      <c r="A1" s="43" t="s">
        <v>114</v>
      </c>
      <c r="B1" s="111"/>
      <c r="C1" s="112"/>
      <c r="D1" s="112"/>
    </row>
    <row r="2" spans="1:4" ht="15.75" customHeight="1">
      <c r="A2" s="45"/>
      <c r="B2" s="111"/>
      <c r="C2" s="112"/>
      <c r="D2" s="112"/>
    </row>
    <row r="3" spans="1:4" ht="15.75" customHeight="1">
      <c r="A3" s="44"/>
      <c r="B3" s="111"/>
      <c r="C3" s="112"/>
      <c r="D3" s="112"/>
    </row>
    <row r="4" spans="1:4" ht="15.75" customHeight="1">
      <c r="A4" s="46" t="s">
        <v>115</v>
      </c>
      <c r="B4" s="113" t="s">
        <v>1</v>
      </c>
      <c r="C4" s="114"/>
      <c r="D4" s="115"/>
    </row>
    <row r="5" spans="1:4" ht="15.75" customHeight="1">
      <c r="A5" s="47" t="s">
        <v>116</v>
      </c>
      <c r="B5" s="116">
        <f>'Ввод (Inputs)'!B17*'Ввод (Inputs)'!B23</f>
        <v>42260</v>
      </c>
      <c r="C5" s="112"/>
      <c r="D5" s="112"/>
    </row>
    <row r="6" spans="1:4" ht="15.75" customHeight="1">
      <c r="A6" s="47" t="s">
        <v>117</v>
      </c>
      <c r="B6" s="116">
        <f>'Ввод (Inputs)'!B17*('Ввод (Inputs)'!B18+'Ввод (Inputs)'!B19+'Ввод (Inputs)'!B20)</f>
        <v>22820.400000000001</v>
      </c>
      <c r="C6" s="112"/>
      <c r="D6" s="112"/>
    </row>
    <row r="7" spans="1:4" ht="15.75" customHeight="1">
      <c r="A7" s="48" t="s">
        <v>118</v>
      </c>
      <c r="B7" s="117">
        <f>B5-B6</f>
        <v>19439.599999999999</v>
      </c>
      <c r="C7" s="114"/>
      <c r="D7" s="115"/>
    </row>
    <row r="8" spans="1:4" ht="15.75" customHeight="1">
      <c r="A8" s="47" t="s">
        <v>119</v>
      </c>
      <c r="B8" s="118">
        <f>B7/B5</f>
        <v>0.45999999999999996</v>
      </c>
      <c r="C8" s="112"/>
      <c r="D8" s="112"/>
    </row>
    <row r="9" spans="1:4" ht="15.75" customHeight="1">
      <c r="A9" s="44"/>
      <c r="B9" s="111"/>
      <c r="C9" s="112"/>
      <c r="D9" s="112"/>
    </row>
    <row r="10" spans="1:4" ht="15.75" customHeight="1">
      <c r="A10" s="46" t="s">
        <v>120</v>
      </c>
      <c r="B10" s="113" t="s">
        <v>1</v>
      </c>
      <c r="C10" s="114"/>
      <c r="D10" s="115"/>
    </row>
    <row r="11" spans="1:4" ht="15.75" customHeight="1">
      <c r="A11" s="47" t="s">
        <v>121</v>
      </c>
      <c r="B11" s="116" t="str">
        <f>'Ввод (Inputs)'!B26</f>
        <v>300 000</v>
      </c>
      <c r="C11" s="112"/>
      <c r="D11" s="112"/>
    </row>
    <row r="12" spans="1:4" ht="15.75" customHeight="1">
      <c r="A12" s="47" t="s">
        <v>86</v>
      </c>
      <c r="B12" s="116">
        <f>'Ввод (Inputs)'!B32*'Ввод (Inputs)'!B33+'Ввод (Inputs)'!B34*'Ввод (Inputs)'!B36+'Ввод (Inputs)'!B35+'Ввод (Inputs)'!B37</f>
        <v>1068000</v>
      </c>
      <c r="C12" s="112"/>
      <c r="D12" s="112"/>
    </row>
    <row r="13" spans="1:4" ht="15.75" customHeight="1">
      <c r="A13" s="47" t="s">
        <v>122</v>
      </c>
      <c r="B13" s="116">
        <f>'Ввод (Inputs)'!B21+'Ввод (Inputs)'!B27+'Ввод (Inputs)'!B28+'Ввод (Inputs)'!B29+'Ввод (Inputs)'!B30</f>
        <v>262235</v>
      </c>
      <c r="C13" s="112"/>
      <c r="D13" s="112"/>
    </row>
    <row r="14" spans="1:4" ht="15.75" customHeight="1">
      <c r="A14" s="49" t="s">
        <v>123</v>
      </c>
      <c r="B14" s="119">
        <f>SUM(B11:B13)</f>
        <v>1330235</v>
      </c>
      <c r="C14" s="114"/>
      <c r="D14" s="115"/>
    </row>
    <row r="15" spans="1:4" ht="15.75" customHeight="1">
      <c r="A15" s="44"/>
      <c r="B15" s="111"/>
      <c r="C15" s="112"/>
      <c r="D15" s="112"/>
    </row>
    <row r="16" spans="1:4" ht="15.75" customHeight="1">
      <c r="A16" s="46" t="s">
        <v>124</v>
      </c>
      <c r="B16" s="113" t="s">
        <v>1</v>
      </c>
      <c r="C16" s="114"/>
      <c r="D16" s="115"/>
    </row>
    <row r="17" spans="1:4" ht="15.75" customHeight="1">
      <c r="A17" s="50" t="s">
        <v>125</v>
      </c>
      <c r="B17" s="116">
        <f>B14/B7</f>
        <v>68.429134344328077</v>
      </c>
      <c r="C17" s="112"/>
      <c r="D17" s="112"/>
    </row>
    <row r="18" spans="1:4" ht="15.75" customHeight="1">
      <c r="A18" s="47" t="s">
        <v>126</v>
      </c>
      <c r="B18" s="118">
        <f>B17/'Ввод (Inputs)'!B15</f>
        <v>0.1393466008466317</v>
      </c>
      <c r="C18" s="112"/>
      <c r="D18" s="112"/>
    </row>
    <row r="19" spans="1:4" ht="15.75" customHeight="1">
      <c r="A19" s="44"/>
      <c r="B19" s="111"/>
      <c r="C19" s="112"/>
      <c r="D19" s="112"/>
    </row>
    <row r="20" spans="1:4" ht="15.75" customHeight="1">
      <c r="A20" s="46" t="s">
        <v>127</v>
      </c>
      <c r="B20" s="113" t="s">
        <v>1</v>
      </c>
      <c r="C20" s="114"/>
      <c r="D20" s="115"/>
    </row>
    <row r="21" spans="1:4" ht="15.75" customHeight="1">
      <c r="A21" s="47" t="s">
        <v>128</v>
      </c>
      <c r="B21" s="116">
        <f>'Ввод (Inputs)'!B15*'Ввод (Inputs)'!B9</f>
        <v>24.553571428571431</v>
      </c>
      <c r="C21" s="112"/>
      <c r="D21" s="112"/>
    </row>
    <row r="22" spans="1:4" ht="15.75" customHeight="1">
      <c r="A22" s="47" t="s">
        <v>129</v>
      </c>
      <c r="B22" s="116">
        <f>B21-B17</f>
        <v>-43.875562915756646</v>
      </c>
      <c r="C22" s="112"/>
      <c r="D22" s="112"/>
    </row>
    <row r="23" spans="1:4" ht="15.75" customHeight="1">
      <c r="A23" s="51" t="s">
        <v>130</v>
      </c>
      <c r="B23" s="120">
        <f>B22/B21</f>
        <v>-1.7869320169326341</v>
      </c>
      <c r="C23" s="112"/>
      <c r="D23" s="112"/>
    </row>
    <row r="24" spans="1:4" ht="15.75" customHeight="1">
      <c r="A24" s="44"/>
    </row>
    <row r="25" spans="1:4" ht="15.75" customHeight="1">
      <c r="A25" s="46" t="s">
        <v>131</v>
      </c>
      <c r="B25" s="113" t="s">
        <v>1</v>
      </c>
      <c r="C25" s="114"/>
      <c r="D25" s="115"/>
    </row>
    <row r="26" spans="1:4" ht="15.75" customHeight="1">
      <c r="A26" s="47" t="s">
        <v>132</v>
      </c>
      <c r="B26" s="121">
        <v>500000</v>
      </c>
      <c r="C26" s="114"/>
      <c r="D26" s="115"/>
    </row>
    <row r="27" spans="1:4" ht="15.75" customHeight="1">
      <c r="A27" s="47" t="s">
        <v>133</v>
      </c>
      <c r="B27" s="116">
        <f>(B26+B14)/B7</f>
        <v>94.149828185765145</v>
      </c>
      <c r="C27" s="112"/>
      <c r="D27" s="112"/>
    </row>
    <row r="28" spans="1:4" ht="15.75" customHeight="1">
      <c r="A28" s="47"/>
      <c r="B28" s="122"/>
      <c r="C28" s="112"/>
      <c r="D28" s="112"/>
    </row>
    <row r="29" spans="1:4" ht="15.75" customHeight="1">
      <c r="A29" s="46" t="s">
        <v>134</v>
      </c>
      <c r="B29" s="113" t="s">
        <v>1</v>
      </c>
      <c r="C29" s="114"/>
      <c r="D29" s="115"/>
    </row>
    <row r="30" spans="1:4" ht="15.75" customHeight="1">
      <c r="A30" s="47" t="s">
        <v>135</v>
      </c>
      <c r="B30" s="125">
        <f>'Ввод (Inputs)'!B23</f>
        <v>1</v>
      </c>
      <c r="C30" s="112"/>
      <c r="D30" s="112"/>
    </row>
    <row r="31" spans="1:4" ht="15.75" customHeight="1">
      <c r="A31" s="47" t="s">
        <v>136</v>
      </c>
      <c r="B31" s="125">
        <f>'Ввод (Inputs)'!B24</f>
        <v>5</v>
      </c>
      <c r="C31" s="112"/>
      <c r="D31" s="112"/>
    </row>
    <row r="32" spans="1:4" ht="15.75" customHeight="1">
      <c r="A32" s="47" t="s">
        <v>137</v>
      </c>
      <c r="B32" s="116">
        <f>B30*B31*B7</f>
        <v>97198</v>
      </c>
      <c r="C32" s="112"/>
      <c r="D32" s="112"/>
    </row>
    <row r="33" spans="1:4" ht="15.75" customHeight="1">
      <c r="A33" s="46" t="s">
        <v>138</v>
      </c>
      <c r="B33" s="113" t="s">
        <v>1</v>
      </c>
      <c r="C33" s="114"/>
      <c r="D33" s="115"/>
    </row>
    <row r="34" spans="1:4" ht="15.75" customHeight="1">
      <c r="A34" s="47" t="s">
        <v>139</v>
      </c>
      <c r="B34" s="124">
        <f>'Ввод (Inputs)'!B15*'Ввод (Inputs)'!B11</f>
        <v>9.821428571428573</v>
      </c>
      <c r="C34" s="112"/>
      <c r="D34" s="112"/>
    </row>
    <row r="35" spans="1:4" ht="15.75" customHeight="1">
      <c r="A35" s="47" t="s">
        <v>140</v>
      </c>
      <c r="B35" s="116">
        <f>'Ввод (Inputs)'!B21/B34</f>
        <v>20363.63636363636</v>
      </c>
      <c r="C35" s="112"/>
      <c r="D35" s="112"/>
    </row>
    <row r="36" spans="1:4" ht="15.75" customHeight="1">
      <c r="A36" s="46" t="s">
        <v>141</v>
      </c>
      <c r="B36" s="113" t="s">
        <v>1</v>
      </c>
      <c r="C36" s="114"/>
      <c r="D36" s="115"/>
    </row>
    <row r="37" spans="1:4" ht="15.75" customHeight="1">
      <c r="A37" s="47" t="s">
        <v>142</v>
      </c>
      <c r="B37" s="123">
        <f>B32/B35</f>
        <v>4.7731160714285723</v>
      </c>
      <c r="C37" s="112"/>
      <c r="D37" s="112"/>
    </row>
    <row r="38" spans="1:4" ht="15.75" customHeight="1">
      <c r="A38" s="46" t="s">
        <v>143</v>
      </c>
      <c r="B38" s="113" t="s">
        <v>1</v>
      </c>
      <c r="C38" s="114"/>
      <c r="D38" s="115"/>
    </row>
    <row r="39" spans="1:4" ht="15.75" customHeight="1">
      <c r="A39" s="47" t="s">
        <v>139</v>
      </c>
      <c r="B39" s="124">
        <f>'Ввод (Inputs)'!B15*'Ввод (Inputs)'!B13</f>
        <v>24.553571428571431</v>
      </c>
      <c r="C39" s="112"/>
      <c r="D39" s="112"/>
    </row>
    <row r="40" spans="1:4" ht="15.75" customHeight="1">
      <c r="A40" s="47" t="s">
        <v>140</v>
      </c>
      <c r="B40" s="116">
        <f>'Ввод (Inputs)'!B21/B39</f>
        <v>8145.454545454545</v>
      </c>
      <c r="C40" s="112"/>
      <c r="D40" s="112"/>
    </row>
    <row r="41" spans="1:4" ht="15.75" customHeight="1">
      <c r="A41" s="46" t="s">
        <v>141</v>
      </c>
      <c r="B41" s="113" t="s">
        <v>1</v>
      </c>
      <c r="C41" s="114"/>
      <c r="D41" s="115"/>
    </row>
    <row r="42" spans="1:4" ht="15.75" customHeight="1">
      <c r="A42" s="47" t="s">
        <v>142</v>
      </c>
      <c r="B42" s="123">
        <f>B32/B40</f>
        <v>11.932790178571429</v>
      </c>
      <c r="C42" s="112"/>
      <c r="D42" s="112"/>
    </row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1">
    <mergeCell ref="B39:D39"/>
    <mergeCell ref="B40:D40"/>
    <mergeCell ref="B41:D41"/>
    <mergeCell ref="B42:D42"/>
    <mergeCell ref="B30:D30"/>
    <mergeCell ref="B31:D31"/>
    <mergeCell ref="B32:D32"/>
    <mergeCell ref="B33:D33"/>
    <mergeCell ref="B34:D34"/>
    <mergeCell ref="B35:D35"/>
    <mergeCell ref="B36:D36"/>
    <mergeCell ref="B27:D27"/>
    <mergeCell ref="B28:D28"/>
    <mergeCell ref="B29:D29"/>
    <mergeCell ref="B37:D37"/>
    <mergeCell ref="B38:D38"/>
    <mergeCell ref="B21:D21"/>
    <mergeCell ref="B22:D22"/>
    <mergeCell ref="B23:D23"/>
    <mergeCell ref="B25:D25"/>
    <mergeCell ref="B26:D26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B6:D6"/>
    <mergeCell ref="B7:D7"/>
    <mergeCell ref="B8:D8"/>
    <mergeCell ref="B9:D9"/>
    <mergeCell ref="B10:D10"/>
    <mergeCell ref="B1:D1"/>
    <mergeCell ref="B2:D2"/>
    <mergeCell ref="B3:D3"/>
    <mergeCell ref="B4:D4"/>
    <mergeCell ref="B5:D5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/>
  <cols>
    <col min="1" max="1" width="38.6640625" customWidth="1"/>
    <col min="2" max="2" width="16" customWidth="1"/>
    <col min="3" max="3" width="10.6640625" customWidth="1"/>
    <col min="4" max="4" width="27.5" customWidth="1"/>
    <col min="5" max="5" width="31.1640625" customWidth="1"/>
    <col min="6" max="6" width="6.6640625" customWidth="1"/>
    <col min="7" max="26" width="11.1640625" customWidth="1"/>
  </cols>
  <sheetData>
    <row r="1" spans="1:5" ht="44.25" customHeight="1">
      <c r="A1" s="52" t="s">
        <v>144</v>
      </c>
    </row>
    <row r="2" spans="1:5" ht="15.75" customHeight="1"/>
    <row r="3" spans="1:5" ht="15.75" customHeight="1">
      <c r="A3" s="21" t="s">
        <v>145</v>
      </c>
    </row>
    <row r="4" spans="1:5" ht="15.75" customHeight="1">
      <c r="A4" s="22" t="s">
        <v>146</v>
      </c>
      <c r="B4" s="22" t="s">
        <v>1</v>
      </c>
      <c r="C4" s="22" t="s">
        <v>2</v>
      </c>
      <c r="D4" s="22" t="s">
        <v>147</v>
      </c>
      <c r="E4" s="53"/>
    </row>
    <row r="5" spans="1:5" ht="15.75" customHeight="1">
      <c r="A5" s="1"/>
      <c r="B5" s="1"/>
      <c r="C5" s="1"/>
      <c r="D5" s="1"/>
      <c r="E5" s="54"/>
    </row>
    <row r="6" spans="1:5" ht="15.75" customHeight="1">
      <c r="A6" s="2" t="s">
        <v>19</v>
      </c>
      <c r="B6" s="11">
        <f>Источники!B12</f>
        <v>1.1399999999999999</v>
      </c>
      <c r="C6" s="23" t="str">
        <f>Источники!C12</f>
        <v>трлн руб.</v>
      </c>
      <c r="D6" s="5" t="s">
        <v>148</v>
      </c>
      <c r="E6" s="5"/>
    </row>
    <row r="7" spans="1:5" ht="15.75" customHeight="1">
      <c r="A7" s="2" t="s">
        <v>23</v>
      </c>
      <c r="B7" s="26">
        <f>Источники!B13</f>
        <v>17</v>
      </c>
      <c r="C7" s="23" t="str">
        <f>Источники!C13</f>
        <v>млрд руб.</v>
      </c>
      <c r="D7" s="5" t="s">
        <v>149</v>
      </c>
      <c r="E7" s="5"/>
    </row>
    <row r="8" spans="1:5" ht="15.75" customHeight="1">
      <c r="A8" s="2" t="s">
        <v>150</v>
      </c>
      <c r="B8" s="11">
        <v>0.45</v>
      </c>
      <c r="C8" s="23"/>
      <c r="D8" s="5" t="s">
        <v>151</v>
      </c>
      <c r="E8" s="5"/>
    </row>
    <row r="9" spans="1:5" ht="15.75" customHeight="1">
      <c r="A9" s="2" t="s">
        <v>152</v>
      </c>
      <c r="B9" s="26">
        <f>Источники!B5</f>
        <v>42260</v>
      </c>
      <c r="C9" s="23" t="s">
        <v>153</v>
      </c>
      <c r="D9" s="5" t="s">
        <v>154</v>
      </c>
      <c r="E9" s="5"/>
    </row>
    <row r="10" spans="1:5" ht="15.75" customHeight="1">
      <c r="A10" s="2" t="s">
        <v>155</v>
      </c>
      <c r="B10" s="11">
        <v>2.5999999999999999E-2</v>
      </c>
      <c r="C10" s="23"/>
      <c r="D10" s="5" t="s">
        <v>151</v>
      </c>
      <c r="E10" s="5"/>
    </row>
    <row r="11" spans="1:5" ht="15.75" customHeight="1">
      <c r="A11" s="2"/>
      <c r="B11" s="55"/>
      <c r="C11" s="56"/>
      <c r="D11" s="57"/>
      <c r="E11" s="57"/>
    </row>
    <row r="12" spans="1:5" ht="15.75" customHeight="1">
      <c r="A12" s="2"/>
      <c r="B12" s="55"/>
      <c r="C12" s="56"/>
      <c r="D12" s="57"/>
      <c r="E12" s="57"/>
    </row>
    <row r="13" spans="1:5" ht="15.75" customHeight="1"/>
    <row r="14" spans="1:5" ht="15.75" customHeight="1">
      <c r="A14" s="21"/>
    </row>
    <row r="15" spans="1:5" ht="15.75" customHeight="1">
      <c r="A15" s="58" t="s">
        <v>156</v>
      </c>
      <c r="B15" s="26"/>
      <c r="C15" s="23"/>
    </row>
    <row r="16" spans="1:5" ht="15.75" customHeight="1">
      <c r="A16" s="58" t="s">
        <v>157</v>
      </c>
      <c r="B16" s="34">
        <f t="shared" ref="B16:C16" si="0">B6</f>
        <v>1.1399999999999999</v>
      </c>
      <c r="C16" s="23" t="str">
        <f t="shared" si="0"/>
        <v>трлн руб.</v>
      </c>
    </row>
    <row r="17" spans="1:3" ht="15.75" customHeight="1">
      <c r="A17" s="58" t="s">
        <v>158</v>
      </c>
      <c r="B17" s="34">
        <f>B7*B8</f>
        <v>7.65</v>
      </c>
      <c r="C17" s="23" t="str">
        <f>C7</f>
        <v>млрд руб.</v>
      </c>
    </row>
    <row r="18" spans="1:3" ht="15.75" customHeight="1">
      <c r="A18" s="58" t="s">
        <v>159</v>
      </c>
      <c r="B18" s="26">
        <f>B17*B10*1000</f>
        <v>198.9</v>
      </c>
      <c r="C18" s="23" t="s">
        <v>160</v>
      </c>
    </row>
    <row r="19" spans="1:3" ht="15.75" customHeight="1"/>
    <row r="20" spans="1:3" ht="15.75" customHeight="1"/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77"/>
  <sheetViews>
    <sheetView zoomScale="125" workbookViewId="0">
      <pane xSplit="1" ySplit="3" topLeftCell="J4" activePane="bottomRight" state="frozen"/>
      <selection pane="topRight" activeCell="B1" sqref="B1"/>
      <selection pane="bottomLeft" activeCell="A4" sqref="A4"/>
      <selection pane="bottomRight" activeCell="Z1" sqref="Z1:Z1048576"/>
    </sheetView>
  </sheetViews>
  <sheetFormatPr baseColWidth="10" defaultColWidth="12.6640625" defaultRowHeight="15" customHeight="1"/>
  <cols>
    <col min="1" max="1" width="44.6640625" customWidth="1"/>
    <col min="2" max="2" width="10.5" customWidth="1"/>
    <col min="3" max="3" width="9.1640625" customWidth="1"/>
    <col min="4" max="4" width="9.6640625" customWidth="1"/>
    <col min="5" max="5" width="10.83203125" customWidth="1"/>
    <col min="6" max="6" width="10.6640625" customWidth="1"/>
    <col min="7" max="7" width="10.83203125" customWidth="1"/>
    <col min="8" max="8" width="12.6640625" customWidth="1"/>
    <col min="9" max="9" width="10" customWidth="1"/>
    <col min="10" max="10" width="12" customWidth="1"/>
    <col min="11" max="11" width="9.6640625" customWidth="1"/>
    <col min="12" max="12" width="10.83203125" customWidth="1"/>
    <col min="13" max="13" width="10" customWidth="1"/>
    <col min="14" max="14" width="13" customWidth="1"/>
    <col min="15" max="15" width="10.1640625" customWidth="1"/>
    <col min="16" max="16" width="9.33203125" customWidth="1"/>
    <col min="17" max="17" width="11" customWidth="1"/>
    <col min="18" max="18" width="10.1640625" customWidth="1"/>
    <col min="19" max="19" width="9.33203125" customWidth="1"/>
    <col min="20" max="20" width="10.5" customWidth="1"/>
    <col min="21" max="21" width="11.33203125" customWidth="1"/>
    <col min="22" max="22" width="9.83203125" customWidth="1"/>
    <col min="23" max="23" width="10" customWidth="1"/>
    <col min="24" max="25" width="9.83203125" customWidth="1"/>
    <col min="26" max="26" width="9.6640625" customWidth="1"/>
  </cols>
  <sheetData>
    <row r="1" spans="1:26" ht="36" customHeight="1">
      <c r="A1" s="52" t="s">
        <v>161</v>
      </c>
    </row>
    <row r="2" spans="1:26" ht="15.75" customHeight="1"/>
    <row r="3" spans="1:26" ht="15.75" customHeight="1">
      <c r="A3" s="1" t="s">
        <v>162</v>
      </c>
      <c r="B3" s="1" t="s">
        <v>163</v>
      </c>
      <c r="C3" s="1" t="s">
        <v>164</v>
      </c>
      <c r="D3" s="1" t="s">
        <v>165</v>
      </c>
      <c r="E3" s="1" t="s">
        <v>166</v>
      </c>
      <c r="F3" s="1" t="s">
        <v>167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1" t="s">
        <v>177</v>
      </c>
      <c r="Q3" s="1" t="s">
        <v>178</v>
      </c>
      <c r="R3" s="1" t="s">
        <v>179</v>
      </c>
      <c r="S3" s="1" t="s">
        <v>180</v>
      </c>
      <c r="T3" s="1" t="s">
        <v>181</v>
      </c>
      <c r="U3" s="1" t="s">
        <v>182</v>
      </c>
      <c r="V3" s="1" t="s">
        <v>183</v>
      </c>
      <c r="W3" s="1" t="s">
        <v>184</v>
      </c>
      <c r="X3" s="1" t="s">
        <v>185</v>
      </c>
      <c r="Y3" s="1" t="s">
        <v>186</v>
      </c>
      <c r="Z3" s="1" t="s">
        <v>187</v>
      </c>
    </row>
    <row r="4" spans="1:26" ht="15.75" customHeight="1">
      <c r="A4" s="59" t="s">
        <v>188</v>
      </c>
      <c r="B4" s="60">
        <v>0</v>
      </c>
      <c r="C4" s="60">
        <f>'Ввод (Inputs)'!B9</f>
        <v>0.05</v>
      </c>
      <c r="D4" s="60">
        <f>C4+'Ввод (Inputs)'!$B$11</f>
        <v>7.0000000000000007E-2</v>
      </c>
      <c r="E4" s="60">
        <f>D4+'Ввод (Inputs)'!$B$11</f>
        <v>9.0000000000000011E-2</v>
      </c>
      <c r="F4" s="60">
        <f>E4+'Ввод (Inputs)'!$B$11</f>
        <v>0.11000000000000001</v>
      </c>
      <c r="G4" s="60">
        <f>F4+'Ввод (Inputs)'!$B$11</f>
        <v>0.13</v>
      </c>
      <c r="H4" s="60">
        <f>G4+'Ввод (Inputs)'!B13-'Ввод (Inputs)'!B9</f>
        <v>0.13</v>
      </c>
      <c r="I4" s="60">
        <f>H4+'Ввод (Inputs)'!$B$13-'Ввод (Inputs)'!$B$11</f>
        <v>0.16</v>
      </c>
      <c r="J4" s="60">
        <f>I4+'Ввод (Inputs)'!$B$13-'Ввод (Inputs)'!$B$11</f>
        <v>0.19000000000000003</v>
      </c>
      <c r="K4" s="60">
        <f>J4+'Ввод (Inputs)'!$B$13-'Ввод (Inputs)'!$B$11</f>
        <v>0.22000000000000006</v>
      </c>
      <c r="L4" s="60">
        <f>K4+'Ввод (Inputs)'!$B$13-'Ввод (Inputs)'!$B$11</f>
        <v>0.25000000000000006</v>
      </c>
      <c r="M4" s="60">
        <f>L4+'Ввод (Inputs)'!$B$13-'Ввод (Inputs)'!$B$11</f>
        <v>0.28000000000000003</v>
      </c>
      <c r="N4" s="60">
        <f>M4+'Ввод (Inputs)'!$B$13-'Ввод (Inputs)'!$B$11</f>
        <v>0.31</v>
      </c>
      <c r="O4" s="60">
        <f>N4+'Ввод (Inputs)'!$B$13-'Ввод (Inputs)'!$B$11</f>
        <v>0.33999999999999997</v>
      </c>
      <c r="P4" s="60">
        <f>O4+'Ввод (Inputs)'!$B$13-'Ввод (Inputs)'!$B$11</f>
        <v>0.36999999999999994</v>
      </c>
      <c r="Q4" s="60">
        <f>P4+'Ввод (Inputs)'!$B$13-'Ввод (Inputs)'!$B$11</f>
        <v>0.39999999999999991</v>
      </c>
      <c r="R4" s="60">
        <f>Q4+'Ввод (Inputs)'!$B$13-'Ввод (Inputs)'!$B$11</f>
        <v>0.42999999999999988</v>
      </c>
      <c r="S4" s="60">
        <f>R4+'Ввод (Inputs)'!$B$13-'Ввод (Inputs)'!$B$11</f>
        <v>0.45999999999999985</v>
      </c>
      <c r="T4" s="60">
        <f>S4+'Ввод (Inputs)'!$B$13-'Ввод (Inputs)'!$B$11</f>
        <v>0.48999999999999988</v>
      </c>
      <c r="U4" s="60">
        <f>T4+'Ввод (Inputs)'!$B$13-'Ввод (Inputs)'!$B$11</f>
        <v>0.51999999999999991</v>
      </c>
      <c r="V4" s="60">
        <f>U4+'Ввод (Inputs)'!$B$13-'Ввод (Inputs)'!$B$11</f>
        <v>0.54999999999999993</v>
      </c>
      <c r="W4" s="60">
        <f>V4+'Ввод (Inputs)'!$B$13-'Ввод (Inputs)'!$B$11</f>
        <v>0.57999999999999996</v>
      </c>
      <c r="X4" s="60">
        <f>W4+'Ввод (Inputs)'!$B$13-'Ввод (Inputs)'!$B$11</f>
        <v>0.61</v>
      </c>
      <c r="Y4" s="60">
        <f>X4+'Ввод (Inputs)'!$B$13-'Ввод (Inputs)'!$B$11</f>
        <v>0.64</v>
      </c>
      <c r="Z4" s="60">
        <f>Y4+'Ввод (Inputs)'!$B$13-'Ввод (Inputs)'!$B$11</f>
        <v>0.67</v>
      </c>
    </row>
    <row r="5" spans="1:26" ht="15.75" customHeight="1">
      <c r="A5" s="2" t="s">
        <v>189</v>
      </c>
      <c r="B5" s="23">
        <v>0</v>
      </c>
      <c r="C5" s="61">
        <f>'Ввод (Inputs)'!B10</f>
        <v>24.553571428571431</v>
      </c>
      <c r="D5" s="61">
        <f>C5+'Ввод (Inputs)'!$B$12</f>
        <v>34.375</v>
      </c>
      <c r="E5" s="61">
        <f>D5+'Ввод (Inputs)'!$B$12</f>
        <v>44.196428571428569</v>
      </c>
      <c r="F5" s="61">
        <f>E5+'Ввод (Inputs)'!$B$12</f>
        <v>54.017857142857139</v>
      </c>
      <c r="G5" s="61">
        <f>F5+'Ввод (Inputs)'!$B$12</f>
        <v>63.839285714285708</v>
      </c>
      <c r="H5" s="61">
        <f>G5+'Ввод (Inputs)'!B14-'Ввод (Inputs)'!B10</f>
        <v>63.839285714285708</v>
      </c>
      <c r="I5" s="61">
        <f>H5+'Ввод (Inputs)'!$B$14-'Ввод (Inputs)'!$B$12</f>
        <v>78.571428571428569</v>
      </c>
      <c r="J5" s="61">
        <f>I5+'Ввод (Inputs)'!$B$14-'Ввод (Inputs)'!$B$12</f>
        <v>93.303571428571431</v>
      </c>
      <c r="K5" s="61">
        <f>J5+'Ввод (Inputs)'!$B$14-'Ввод (Inputs)'!$B$12</f>
        <v>108.03571428571429</v>
      </c>
      <c r="L5" s="61">
        <f>K5+'Ввод (Inputs)'!$B$14-'Ввод (Inputs)'!$B$12</f>
        <v>122.76785714285715</v>
      </c>
      <c r="M5" s="61">
        <f>L5+'Ввод (Inputs)'!$B$14-'Ввод (Inputs)'!$B$12</f>
        <v>137.5</v>
      </c>
      <c r="N5" s="61">
        <f>M5+'Ввод (Inputs)'!$B$14-'Ввод (Inputs)'!$B$12</f>
        <v>152.23214285714286</v>
      </c>
      <c r="O5" s="61">
        <f>N5+'Ввод (Inputs)'!$B$14-'Ввод (Inputs)'!$B$12</f>
        <v>166.96428571428569</v>
      </c>
      <c r="P5" s="61">
        <f>O5+'Ввод (Inputs)'!$B$14-'Ввод (Inputs)'!$B$12</f>
        <v>181.69642857142853</v>
      </c>
      <c r="Q5" s="61">
        <f>P5+'Ввод (Inputs)'!$B$14-'Ввод (Inputs)'!$B$12</f>
        <v>196.42857142857136</v>
      </c>
      <c r="R5" s="61">
        <f>Q5+'Ввод (Inputs)'!$B$14-'Ввод (Inputs)'!$B$12</f>
        <v>211.16071428571419</v>
      </c>
      <c r="S5" s="61">
        <f>R5+'Ввод (Inputs)'!$B$14-'Ввод (Inputs)'!$B$12</f>
        <v>225.89285714285703</v>
      </c>
      <c r="T5" s="61">
        <f>S5+'Ввод (Inputs)'!$B$14-'Ввод (Inputs)'!$B$12</f>
        <v>240.62499999999986</v>
      </c>
      <c r="U5" s="61">
        <f>T5+'Ввод (Inputs)'!$B$14-'Ввод (Inputs)'!$B$12</f>
        <v>255.35714285714269</v>
      </c>
      <c r="V5" s="61">
        <f>U5+'Ввод (Inputs)'!$B$14-'Ввод (Inputs)'!$B$12</f>
        <v>270.08928571428555</v>
      </c>
      <c r="W5" s="61">
        <f>V5+'Ввод (Inputs)'!$B$14-'Ввод (Inputs)'!$B$12</f>
        <v>284.82142857142844</v>
      </c>
      <c r="X5" s="61">
        <f>W5+'Ввод (Inputs)'!$B$14-'Ввод (Inputs)'!$B$12</f>
        <v>299.55357142857133</v>
      </c>
      <c r="Y5" s="61">
        <f>X5+'Ввод (Inputs)'!$B$14-'Ввод (Inputs)'!$B$12</f>
        <v>314.28571428571422</v>
      </c>
      <c r="Z5" s="61">
        <f>Y5+'Ввод (Inputs)'!$B$14-'Ввод (Inputs)'!$B$12</f>
        <v>329.01785714285711</v>
      </c>
    </row>
    <row r="6" spans="1:26" ht="15.75" customHeight="1">
      <c r="A6" s="2" t="s">
        <v>190</v>
      </c>
      <c r="B6" s="62">
        <v>0</v>
      </c>
      <c r="C6" s="62">
        <f>C5*'Ввод (Inputs)'!$B$17</f>
        <v>1037633.9285714286</v>
      </c>
      <c r="D6" s="126">
        <f>D5*'Ввод (Inputs)'!B17</f>
        <v>1452687.5</v>
      </c>
      <c r="E6" s="62">
        <f>E5*'Ввод (Inputs)'!$B$17</f>
        <v>1867741.0714285714</v>
      </c>
      <c r="F6" s="62">
        <f>F5*'Ввод (Inputs)'!$B$17</f>
        <v>2282794.6428571427</v>
      </c>
      <c r="G6" s="62">
        <f>G5*'Ввод (Inputs)'!$B$17</f>
        <v>2697848.2142857141</v>
      </c>
      <c r="H6" s="62">
        <f>H5*'Ввод (Inputs)'!$B$17</f>
        <v>2697848.2142857141</v>
      </c>
      <c r="I6" s="62">
        <f>I5*'Ввод (Inputs)'!$B$17</f>
        <v>3320428.5714285714</v>
      </c>
      <c r="J6" s="62">
        <f>J5*'Ввод (Inputs)'!$B$17</f>
        <v>3943008.9285714286</v>
      </c>
      <c r="K6" s="62">
        <f>K5*'Ввод (Inputs)'!$B$17</f>
        <v>4565589.2857142864</v>
      </c>
      <c r="L6" s="62">
        <f>L5*'Ввод (Inputs)'!$B$17</f>
        <v>5188169.6428571437</v>
      </c>
      <c r="M6" s="62">
        <f>M5*'Ввод (Inputs)'!$B$17</f>
        <v>5810750</v>
      </c>
      <c r="N6" s="62">
        <f>N5*'Ввод (Inputs)'!$B$17</f>
        <v>6433330.3571428573</v>
      </c>
      <c r="O6" s="62">
        <f>O5*'Ввод (Inputs)'!$B$17</f>
        <v>7055910.7142857136</v>
      </c>
      <c r="P6" s="62">
        <f>P5*'Ввод (Inputs)'!$B$17</f>
        <v>7678491.07142857</v>
      </c>
      <c r="Q6" s="62">
        <f>Q5*'Ввод (Inputs)'!$B$17</f>
        <v>8301071.4285714254</v>
      </c>
      <c r="R6" s="62">
        <f>R5*'Ввод (Inputs)'!$B$17</f>
        <v>8923651.7857142817</v>
      </c>
      <c r="S6" s="62">
        <f>S5*'Ввод (Inputs)'!$B$17</f>
        <v>9546232.1428571381</v>
      </c>
      <c r="T6" s="62">
        <f>T5*'Ввод (Inputs)'!$B$17</f>
        <v>10168812.499999994</v>
      </c>
      <c r="U6" s="62">
        <f>U5*'Ввод (Inputs)'!$B$17</f>
        <v>10791392.857142851</v>
      </c>
      <c r="V6" s="62">
        <f>V5*'Ввод (Inputs)'!$B$17</f>
        <v>11413973.214285707</v>
      </c>
      <c r="W6" s="62">
        <f>W5*'Ввод (Inputs)'!$B$17</f>
        <v>12036553.571428565</v>
      </c>
      <c r="X6" s="62">
        <f>X5*'Ввод (Inputs)'!$B$17</f>
        <v>12659133.928571425</v>
      </c>
      <c r="Y6" s="62">
        <f>Y5*'Ввод (Inputs)'!$B$17</f>
        <v>13281714.285714284</v>
      </c>
      <c r="Z6" s="62">
        <f>Z5*'Ввод (Inputs)'!$B$17</f>
        <v>13904294.642857142</v>
      </c>
    </row>
    <row r="7" spans="1:26" ht="15.75" customHeight="1">
      <c r="A7" s="2" t="s">
        <v>191</v>
      </c>
      <c r="B7" s="62">
        <v>0</v>
      </c>
      <c r="C7" s="62">
        <f>C6*('Ввод (Inputs)'!B18+'Ввод (Inputs)'!B19+'Ввод (Inputs)'!B20)</f>
        <v>560322.32142857148</v>
      </c>
      <c r="D7" s="62">
        <f>D6*('Ввод (Inputs)'!B18+'Ввод (Inputs)'!B19+'Ввод (Inputs)'!B20)</f>
        <v>784451.25</v>
      </c>
      <c r="E7" s="62">
        <f>E6*('Ввод (Inputs)'!B18+'Ввод (Inputs)'!B19+'Ввод (Inputs)'!B20)</f>
        <v>1008580.1785714286</v>
      </c>
      <c r="F7" s="62">
        <f>F6*('Ввод (Inputs)'!B18+'Ввод (Inputs)'!B19+'Ввод (Inputs)'!B20)</f>
        <v>1232709.107142857</v>
      </c>
      <c r="G7" s="62">
        <f>G6*('Ввод (Inputs)'!B18+'Ввод (Inputs)'!B19+'Ввод (Inputs)'!B20)</f>
        <v>1456838.0357142857</v>
      </c>
      <c r="H7" s="62">
        <f>H6*('Ввод (Inputs)'!B18+'Ввод (Inputs)'!B19+'Ввод (Inputs)'!B20)</f>
        <v>1456838.0357142857</v>
      </c>
      <c r="I7" s="62">
        <f>I6*('Ввод (Inputs)'!B18+'Ввод (Inputs)'!B19+'Ввод (Inputs)'!B20)</f>
        <v>1793031.4285714286</v>
      </c>
      <c r="J7" s="62">
        <f>J6*('Ввод (Inputs)'!B18+'Ввод (Inputs)'!B19+'Ввод (Inputs)'!B20)</f>
        <v>2129224.8214285718</v>
      </c>
      <c r="K7" s="62">
        <f>K6*('Ввод (Inputs)'!B18+'Ввод (Inputs)'!B19+'Ввод (Inputs)'!B20)</f>
        <v>2465418.214285715</v>
      </c>
      <c r="L7" s="62">
        <f>L6*('Ввод (Inputs)'!B18+'Ввод (Inputs)'!B19+'Ввод (Inputs)'!B20)</f>
        <v>2801611.6071428577</v>
      </c>
      <c r="M7" s="62">
        <f>M6*('Ввод (Inputs)'!B18+'Ввод (Inputs)'!B19+'Ввод (Inputs)'!B20)</f>
        <v>3137805</v>
      </c>
      <c r="N7" s="62">
        <f>N6*('Ввод (Inputs)'!B18+'Ввод (Inputs)'!B19+'Ввод (Inputs)'!B20)</f>
        <v>3473998.3928571432</v>
      </c>
      <c r="O7" s="62">
        <f>O6*('Ввод (Inputs)'!B18+'Ввод (Inputs)'!B19+'Ввод (Inputs)'!B20)</f>
        <v>3810191.7857142854</v>
      </c>
      <c r="P7" s="62">
        <f>P6*('Ввод (Inputs)'!B18+'Ввод (Inputs)'!B19+'Ввод (Inputs)'!B20)</f>
        <v>4146385.1785714282</v>
      </c>
      <c r="Q7" s="62">
        <f>Q6*('Ввод (Inputs)'!B18+'Ввод (Inputs)'!B19+'Ввод (Inputs)'!B20)</f>
        <v>4482578.57142857</v>
      </c>
      <c r="R7" s="62">
        <f>R6*('Ввод (Inputs)'!B18+'Ввод (Inputs)'!B19+'Ввод (Inputs)'!B20)</f>
        <v>4818771.9642857127</v>
      </c>
      <c r="S7" s="62">
        <f>S6*('Ввод (Inputs)'!B18+'Ввод (Inputs)'!B19+'Ввод (Inputs)'!B20)</f>
        <v>5154965.3571428545</v>
      </c>
      <c r="T7" s="62">
        <f>T6*('Ввод (Inputs)'!B18+'Ввод (Inputs)'!B19+'Ввод (Inputs)'!B20)</f>
        <v>5491158.7499999972</v>
      </c>
      <c r="U7" s="62">
        <f>U6*('Ввод (Inputs)'!B18+'Ввод (Inputs)'!B19+'Ввод (Inputs)'!B20)</f>
        <v>5827352.1428571399</v>
      </c>
      <c r="V7" s="62">
        <f>V6*('Ввод (Inputs)'!B18+'Ввод (Inputs)'!B19+'Ввод (Inputs)'!B20)</f>
        <v>6163545.5357142827</v>
      </c>
      <c r="W7" s="62">
        <f>W6*('Ввод (Inputs)'!B18+'Ввод (Inputs)'!B19+'Ввод (Inputs)'!B20)</f>
        <v>6499738.9285714254</v>
      </c>
      <c r="X7" s="62">
        <f>X6*('Ввод (Inputs)'!B18+'Ввод (Inputs)'!B19+'Ввод (Inputs)'!B20)</f>
        <v>6835932.32142857</v>
      </c>
      <c r="Y7" s="62">
        <f>Y6*('Ввод (Inputs)'!B18+'Ввод (Inputs)'!B19+'Ввод (Inputs)'!B20)</f>
        <v>7172125.7142857136</v>
      </c>
      <c r="Z7" s="62">
        <f>Z6*('Ввод (Inputs)'!B18+'Ввод (Inputs)'!B19+'Ввод (Inputs)'!B20)</f>
        <v>7508319.1071428573</v>
      </c>
    </row>
    <row r="8" spans="1:26" ht="15.75" customHeight="1">
      <c r="A8" s="63" t="s">
        <v>192</v>
      </c>
      <c r="B8" s="64">
        <v>0</v>
      </c>
      <c r="C8" s="64">
        <f t="shared" ref="C8:Z8" si="0">C6-C7</f>
        <v>477311.60714285716</v>
      </c>
      <c r="D8" s="64">
        <f t="shared" si="0"/>
        <v>668236.25</v>
      </c>
      <c r="E8" s="64">
        <f t="shared" si="0"/>
        <v>859160.89285714272</v>
      </c>
      <c r="F8" s="64">
        <f t="shared" si="0"/>
        <v>1050085.5357142857</v>
      </c>
      <c r="G8" s="64">
        <f t="shared" si="0"/>
        <v>1241010.1785714284</v>
      </c>
      <c r="H8" s="64">
        <f t="shared" si="0"/>
        <v>1241010.1785714284</v>
      </c>
      <c r="I8" s="64">
        <f t="shared" si="0"/>
        <v>1527397.1428571427</v>
      </c>
      <c r="J8" s="64">
        <f t="shared" si="0"/>
        <v>1813784.1071428568</v>
      </c>
      <c r="K8" s="64">
        <f t="shared" si="0"/>
        <v>2100171.0714285714</v>
      </c>
      <c r="L8" s="64">
        <f t="shared" si="0"/>
        <v>2386558.0357142859</v>
      </c>
      <c r="M8" s="64">
        <f t="shared" si="0"/>
        <v>2672945</v>
      </c>
      <c r="N8" s="64">
        <f t="shared" si="0"/>
        <v>2959331.9642857141</v>
      </c>
      <c r="O8" s="64">
        <f t="shared" si="0"/>
        <v>3245718.9285714282</v>
      </c>
      <c r="P8" s="64">
        <f t="shared" si="0"/>
        <v>3532105.8928571418</v>
      </c>
      <c r="Q8" s="64">
        <f t="shared" si="0"/>
        <v>3818492.8571428554</v>
      </c>
      <c r="R8" s="64">
        <f t="shared" si="0"/>
        <v>4104879.821428569</v>
      </c>
      <c r="S8" s="64">
        <f t="shared" si="0"/>
        <v>4391266.7857142836</v>
      </c>
      <c r="T8" s="64">
        <f t="shared" si="0"/>
        <v>4677653.7499999972</v>
      </c>
      <c r="U8" s="64">
        <f t="shared" si="0"/>
        <v>4964040.7142857108</v>
      </c>
      <c r="V8" s="64">
        <f t="shared" si="0"/>
        <v>5250427.6785714244</v>
      </c>
      <c r="W8" s="64">
        <f t="shared" si="0"/>
        <v>5536814.6428571399</v>
      </c>
      <c r="X8" s="64">
        <f t="shared" si="0"/>
        <v>5823201.6071428554</v>
      </c>
      <c r="Y8" s="64">
        <f t="shared" si="0"/>
        <v>6109588.57142857</v>
      </c>
      <c r="Z8" s="64">
        <f t="shared" si="0"/>
        <v>6395975.5357142845</v>
      </c>
    </row>
    <row r="9" spans="1:26" ht="15.75" customHeight="1">
      <c r="A9" s="2" t="s">
        <v>193</v>
      </c>
      <c r="B9" s="62">
        <f>'Unit Economics'!B14+'Ввод (Inputs)'!B48+'Ввод (Inputs)'!B49</f>
        <v>1480235</v>
      </c>
      <c r="C9" s="62">
        <f>'Unit Economics'!$B$14</f>
        <v>1330235</v>
      </c>
      <c r="D9" s="62">
        <f>'Unit Economics'!$B$14</f>
        <v>1330235</v>
      </c>
      <c r="E9" s="62">
        <f>'Unit Economics'!$B$14</f>
        <v>1330235</v>
      </c>
      <c r="F9" s="62">
        <f>'Unit Economics'!$B$14</f>
        <v>1330235</v>
      </c>
      <c r="G9" s="62">
        <f>'Unit Economics'!$B$14</f>
        <v>1330235</v>
      </c>
      <c r="H9" s="62">
        <f>'Unit Economics'!$B$14</f>
        <v>1330235</v>
      </c>
      <c r="I9" s="62">
        <f>'Unit Economics'!$B$14</f>
        <v>1330235</v>
      </c>
      <c r="J9" s="62">
        <f>'Unit Economics'!$B$14</f>
        <v>1330235</v>
      </c>
      <c r="K9" s="62">
        <f>'Unit Economics'!$B$14</f>
        <v>1330235</v>
      </c>
      <c r="L9" s="62">
        <f>'Unit Economics'!$B$14</f>
        <v>1330235</v>
      </c>
      <c r="M9" s="62">
        <f>'Unit Economics'!$B$14</f>
        <v>1330235</v>
      </c>
      <c r="N9" s="62">
        <f>'Unit Economics'!$B$14</f>
        <v>1330235</v>
      </c>
      <c r="O9" s="62">
        <f>'Unit Economics'!$B$14</f>
        <v>1330235</v>
      </c>
      <c r="P9" s="62">
        <f>'Unit Economics'!$B$14</f>
        <v>1330235</v>
      </c>
      <c r="Q9" s="62">
        <f>'Unit Economics'!$B$14</f>
        <v>1330235</v>
      </c>
      <c r="R9" s="62">
        <f>'Unit Economics'!$B$14</f>
        <v>1330235</v>
      </c>
      <c r="S9" s="62">
        <f>'Unit Economics'!$B$14</f>
        <v>1330235</v>
      </c>
      <c r="T9" s="62">
        <f>'Unit Economics'!$B$14</f>
        <v>1330235</v>
      </c>
      <c r="U9" s="62">
        <f>'Unit Economics'!$B$14</f>
        <v>1330235</v>
      </c>
      <c r="V9" s="62">
        <f>'Unit Economics'!$B$14</f>
        <v>1330235</v>
      </c>
      <c r="W9" s="62">
        <f>'Unit Economics'!$B$14</f>
        <v>1330235</v>
      </c>
      <c r="X9" s="62">
        <f>'Unit Economics'!$B$14</f>
        <v>1330235</v>
      </c>
      <c r="Y9" s="62">
        <f>'Unit Economics'!$B$14</f>
        <v>1330235</v>
      </c>
      <c r="Z9" s="62">
        <f>'Unit Economics'!$B$14</f>
        <v>1330235</v>
      </c>
    </row>
    <row r="10" spans="1:26" ht="15.75" customHeight="1">
      <c r="A10" s="63" t="s">
        <v>194</v>
      </c>
      <c r="B10" s="64">
        <f>-B9</f>
        <v>-1480235</v>
      </c>
      <c r="C10" s="65">
        <f t="shared" ref="C10:Z10" si="1">C8-C9</f>
        <v>-852923.39285714284</v>
      </c>
      <c r="D10" s="65">
        <f t="shared" si="1"/>
        <v>-661998.75</v>
      </c>
      <c r="E10" s="65">
        <f t="shared" si="1"/>
        <v>-471074.10714285728</v>
      </c>
      <c r="F10" s="65">
        <f t="shared" si="1"/>
        <v>-280149.46428571432</v>
      </c>
      <c r="G10" s="65">
        <f t="shared" si="1"/>
        <v>-89224.821428571595</v>
      </c>
      <c r="H10" s="65">
        <f t="shared" si="1"/>
        <v>-89224.821428571595</v>
      </c>
      <c r="I10" s="64">
        <f t="shared" si="1"/>
        <v>197162.14285714272</v>
      </c>
      <c r="J10" s="64">
        <f t="shared" si="1"/>
        <v>483549.10714285681</v>
      </c>
      <c r="K10" s="64">
        <f t="shared" si="1"/>
        <v>769936.07142857136</v>
      </c>
      <c r="L10" s="64">
        <f t="shared" si="1"/>
        <v>1056323.0357142859</v>
      </c>
      <c r="M10" s="64">
        <f t="shared" si="1"/>
        <v>1342710</v>
      </c>
      <c r="N10" s="64">
        <f t="shared" si="1"/>
        <v>1629096.9642857141</v>
      </c>
      <c r="O10" s="64">
        <f t="shared" si="1"/>
        <v>1915483.9285714282</v>
      </c>
      <c r="P10" s="64">
        <f t="shared" si="1"/>
        <v>2201870.8928571418</v>
      </c>
      <c r="Q10" s="64">
        <f t="shared" si="1"/>
        <v>2488257.8571428554</v>
      </c>
      <c r="R10" s="64">
        <f t="shared" si="1"/>
        <v>2774644.821428569</v>
      </c>
      <c r="S10" s="64">
        <f t="shared" si="1"/>
        <v>3061031.7857142836</v>
      </c>
      <c r="T10" s="64">
        <f t="shared" si="1"/>
        <v>3347418.7499999972</v>
      </c>
      <c r="U10" s="64">
        <f t="shared" si="1"/>
        <v>3633805.7142857108</v>
      </c>
      <c r="V10" s="64">
        <f t="shared" si="1"/>
        <v>3920192.6785714244</v>
      </c>
      <c r="W10" s="64">
        <f t="shared" si="1"/>
        <v>4206579.6428571399</v>
      </c>
      <c r="X10" s="64">
        <f t="shared" si="1"/>
        <v>4492966.6071428554</v>
      </c>
      <c r="Y10" s="64">
        <f t="shared" si="1"/>
        <v>4779353.57142857</v>
      </c>
      <c r="Z10" s="64">
        <f t="shared" si="1"/>
        <v>5065740.5357142845</v>
      </c>
    </row>
    <row r="11" spans="1:26" ht="15.75" customHeight="1">
      <c r="A11" s="2" t="s">
        <v>195</v>
      </c>
      <c r="B11" s="62">
        <v>0</v>
      </c>
      <c r="C11" s="62">
        <f>SUM('Ввод (Inputs)'!$B$43:$B$45)/60</f>
        <v>18833.333333333332</v>
      </c>
      <c r="D11" s="62">
        <f>SUM('Ввод (Inputs)'!$B$43:$B$45)/60</f>
        <v>18833.333333333332</v>
      </c>
      <c r="E11" s="62">
        <f>SUM('Ввод (Inputs)'!$B$43:$B$45)/60</f>
        <v>18833.333333333332</v>
      </c>
      <c r="F11" s="62">
        <f>SUM('Ввод (Inputs)'!$B$43:$B$45)/60</f>
        <v>18833.333333333332</v>
      </c>
      <c r="G11" s="62">
        <f>SUM('Ввод (Inputs)'!$B$43:$B$45)/60</f>
        <v>18833.333333333332</v>
      </c>
      <c r="H11" s="62">
        <f>SUM('Ввод (Inputs)'!$B$43:$B$45)/60</f>
        <v>18833.333333333332</v>
      </c>
      <c r="I11" s="62">
        <f>SUM('Ввод (Inputs)'!$B$43:$B$45)/60</f>
        <v>18833.333333333332</v>
      </c>
      <c r="J11" s="62">
        <f>SUM('Ввод (Inputs)'!$B$43:$B$45)/60</f>
        <v>18833.333333333332</v>
      </c>
      <c r="K11" s="62">
        <f>SUM('Ввод (Inputs)'!$B$43:$B$45)/60</f>
        <v>18833.333333333332</v>
      </c>
      <c r="L11" s="62">
        <f>SUM('Ввод (Inputs)'!$B$43:$B$45)/60</f>
        <v>18833.333333333332</v>
      </c>
      <c r="M11" s="62">
        <f>SUM('Ввод (Inputs)'!$B$43:$B$45)/60</f>
        <v>18833.333333333332</v>
      </c>
      <c r="N11" s="62">
        <f>SUM('Ввод (Inputs)'!$B$43:$B$45)/60</f>
        <v>18833.333333333332</v>
      </c>
      <c r="O11" s="62">
        <f>SUM('Ввод (Inputs)'!$B$43:$B$45)/60</f>
        <v>18833.333333333332</v>
      </c>
      <c r="P11" s="62">
        <f>SUM('Ввод (Inputs)'!$B$43:$B$45)/60</f>
        <v>18833.333333333332</v>
      </c>
      <c r="Q11" s="62">
        <f>SUM('Ввод (Inputs)'!$B$43:$B$45)/60</f>
        <v>18833.333333333332</v>
      </c>
      <c r="R11" s="62">
        <f>SUM('Ввод (Inputs)'!$B$43:$B$45)/60</f>
        <v>18833.333333333332</v>
      </c>
      <c r="S11" s="62">
        <f>SUM('Ввод (Inputs)'!$B$43:$B$45)/60</f>
        <v>18833.333333333332</v>
      </c>
      <c r="T11" s="62">
        <f>SUM('Ввод (Inputs)'!$B$43:$B$45)/60</f>
        <v>18833.333333333332</v>
      </c>
      <c r="U11" s="62">
        <f>SUM('Ввод (Inputs)'!$B$43:$B$45)/60</f>
        <v>18833.333333333332</v>
      </c>
      <c r="V11" s="62">
        <f>SUM('Ввод (Inputs)'!$B$43:$B$45)/60</f>
        <v>18833.333333333332</v>
      </c>
      <c r="W11" s="62">
        <f>SUM('Ввод (Inputs)'!$B$43:$B$45)/60</f>
        <v>18833.333333333332</v>
      </c>
      <c r="X11" s="62">
        <f>SUM('Ввод (Inputs)'!$B$43:$B$45)/60</f>
        <v>18833.333333333332</v>
      </c>
      <c r="Y11" s="62">
        <f>SUM('Ввод (Inputs)'!$B$43:$B$45)/60</f>
        <v>18833.333333333332</v>
      </c>
      <c r="Z11" s="62">
        <f>SUM('Ввод (Inputs)'!$B$43:$B$45)/60</f>
        <v>18833.333333333332</v>
      </c>
    </row>
    <row r="12" spans="1:26" ht="15.75" customHeight="1">
      <c r="A12" s="2" t="s">
        <v>196</v>
      </c>
      <c r="B12" s="62">
        <v>0</v>
      </c>
      <c r="C12" s="62">
        <f t="shared" ref="C12:Z12" si="2">C8*0.25</f>
        <v>119327.90178571429</v>
      </c>
      <c r="D12" s="62">
        <f t="shared" si="2"/>
        <v>167059.0625</v>
      </c>
      <c r="E12" s="62">
        <f t="shared" si="2"/>
        <v>214790.22321428568</v>
      </c>
      <c r="F12" s="62">
        <f t="shared" si="2"/>
        <v>262521.38392857142</v>
      </c>
      <c r="G12" s="62">
        <f t="shared" si="2"/>
        <v>310252.5446428571</v>
      </c>
      <c r="H12" s="62">
        <f t="shared" si="2"/>
        <v>310252.5446428571</v>
      </c>
      <c r="I12" s="62">
        <f t="shared" si="2"/>
        <v>381849.28571428568</v>
      </c>
      <c r="J12" s="62">
        <f t="shared" si="2"/>
        <v>453446.0267857142</v>
      </c>
      <c r="K12" s="62">
        <f t="shared" si="2"/>
        <v>525042.76785714284</v>
      </c>
      <c r="L12" s="62">
        <f t="shared" si="2"/>
        <v>596639.50892857148</v>
      </c>
      <c r="M12" s="62">
        <f t="shared" si="2"/>
        <v>668236.25</v>
      </c>
      <c r="N12" s="62">
        <f t="shared" si="2"/>
        <v>739832.99107142852</v>
      </c>
      <c r="O12" s="62">
        <f t="shared" si="2"/>
        <v>811429.73214285704</v>
      </c>
      <c r="P12" s="62">
        <f t="shared" si="2"/>
        <v>883026.47321428545</v>
      </c>
      <c r="Q12" s="62">
        <f t="shared" si="2"/>
        <v>954623.21428571385</v>
      </c>
      <c r="R12" s="62">
        <f t="shared" si="2"/>
        <v>1026219.9553571423</v>
      </c>
      <c r="S12" s="62">
        <f t="shared" si="2"/>
        <v>1097816.6964285709</v>
      </c>
      <c r="T12" s="62">
        <f t="shared" si="2"/>
        <v>1169413.4374999993</v>
      </c>
      <c r="U12" s="62">
        <f t="shared" si="2"/>
        <v>1241010.1785714277</v>
      </c>
      <c r="V12" s="62">
        <f t="shared" si="2"/>
        <v>1312606.9196428561</v>
      </c>
      <c r="W12" s="62">
        <f t="shared" si="2"/>
        <v>1384203.660714285</v>
      </c>
      <c r="X12" s="62">
        <f t="shared" si="2"/>
        <v>1455800.4017857139</v>
      </c>
      <c r="Y12" s="62">
        <f t="shared" si="2"/>
        <v>1527397.1428571425</v>
      </c>
      <c r="Z12" s="62">
        <f t="shared" si="2"/>
        <v>1598993.8839285711</v>
      </c>
    </row>
    <row r="13" spans="1:26" ht="15.75" customHeight="1">
      <c r="A13" s="63" t="s">
        <v>197</v>
      </c>
      <c r="B13" s="64">
        <f t="shared" ref="B13:Z13" si="3">B10-B11-B12</f>
        <v>-1480235</v>
      </c>
      <c r="C13" s="64">
        <f t="shared" si="3"/>
        <v>-991084.62797619053</v>
      </c>
      <c r="D13" s="64">
        <f t="shared" si="3"/>
        <v>-847891.14583333337</v>
      </c>
      <c r="E13" s="64">
        <f t="shared" si="3"/>
        <v>-704697.66369047621</v>
      </c>
      <c r="F13" s="64">
        <f t="shared" si="3"/>
        <v>-561504.18154761905</v>
      </c>
      <c r="G13" s="64">
        <f t="shared" si="3"/>
        <v>-418310.69940476201</v>
      </c>
      <c r="H13" s="64">
        <f t="shared" si="3"/>
        <v>-418310.69940476201</v>
      </c>
      <c r="I13" s="64">
        <f t="shared" si="3"/>
        <v>-203520.4761904763</v>
      </c>
      <c r="J13" s="64">
        <f t="shared" si="3"/>
        <v>11269.747023809294</v>
      </c>
      <c r="K13" s="64">
        <f t="shared" si="3"/>
        <v>226059.97023809515</v>
      </c>
      <c r="L13" s="64">
        <f t="shared" si="3"/>
        <v>440850.19345238106</v>
      </c>
      <c r="M13" s="64">
        <f t="shared" si="3"/>
        <v>655640.41666666674</v>
      </c>
      <c r="N13" s="64">
        <f t="shared" si="3"/>
        <v>870430.63988095231</v>
      </c>
      <c r="O13" s="64">
        <f t="shared" si="3"/>
        <v>1085220.8630952379</v>
      </c>
      <c r="P13" s="64">
        <f t="shared" si="3"/>
        <v>1300011.0863095229</v>
      </c>
      <c r="Q13" s="64">
        <f t="shared" si="3"/>
        <v>1514801.3095238081</v>
      </c>
      <c r="R13" s="64">
        <f t="shared" si="3"/>
        <v>1729591.5327380933</v>
      </c>
      <c r="S13" s="64">
        <f t="shared" si="3"/>
        <v>1944381.7559523792</v>
      </c>
      <c r="T13" s="64">
        <f t="shared" si="3"/>
        <v>2159171.9791666642</v>
      </c>
      <c r="U13" s="64">
        <f t="shared" si="3"/>
        <v>2373962.2023809496</v>
      </c>
      <c r="V13" s="64">
        <f t="shared" si="3"/>
        <v>2588752.4255952351</v>
      </c>
      <c r="W13" s="64">
        <f t="shared" si="3"/>
        <v>2803542.6488095215</v>
      </c>
      <c r="X13" s="64">
        <f t="shared" si="3"/>
        <v>3018332.8720238088</v>
      </c>
      <c r="Y13" s="64">
        <f t="shared" si="3"/>
        <v>3233123.0952380942</v>
      </c>
      <c r="Z13" s="64">
        <f t="shared" si="3"/>
        <v>3447913.3184523806</v>
      </c>
    </row>
    <row r="14" spans="1:26" ht="15.75" customHeight="1"/>
    <row r="15" spans="1:26" ht="15.75" customHeight="1"/>
    <row r="16" spans="1:26" ht="15.75" customHeight="1"/>
    <row r="17" spans="1:26" ht="15.75" customHeight="1"/>
    <row r="18" spans="1:26" ht="15.75" customHeight="1"/>
    <row r="19" spans="1:26" ht="15.75" customHeight="1"/>
    <row r="20" spans="1:26" ht="15.75" customHeight="1"/>
    <row r="21" spans="1:26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/>
    <row r="24" spans="1:26" ht="15.75" customHeight="1"/>
    <row r="25" spans="1:26" ht="15.75" customHeight="1"/>
    <row r="26" spans="1:26" ht="15.75" customHeight="1"/>
    <row r="27" spans="1:26" ht="15.75" customHeight="1"/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xSplit="1" ySplit="3" topLeftCell="G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2.6640625" defaultRowHeight="15" customHeight="1"/>
  <cols>
    <col min="1" max="1" width="37.6640625" customWidth="1"/>
    <col min="2" max="2" width="10.6640625" customWidth="1"/>
    <col min="3" max="3" width="11.6640625" customWidth="1"/>
    <col min="4" max="4" width="10.5" customWidth="1"/>
    <col min="5" max="5" width="10.83203125" customWidth="1"/>
    <col min="6" max="6" width="12" customWidth="1"/>
    <col min="7" max="7" width="10.33203125" customWidth="1"/>
    <col min="8" max="8" width="11.5" customWidth="1"/>
    <col min="9" max="9" width="11" customWidth="1"/>
    <col min="10" max="10" width="10.33203125" customWidth="1"/>
    <col min="11" max="11" width="11.33203125" customWidth="1"/>
    <col min="12" max="12" width="11.1640625" customWidth="1"/>
    <col min="13" max="13" width="10" customWidth="1"/>
    <col min="14" max="14" width="10.83203125" customWidth="1"/>
    <col min="15" max="15" width="9.83203125" customWidth="1"/>
    <col min="16" max="16" width="10.1640625" customWidth="1"/>
    <col min="17" max="17" width="10.33203125" customWidth="1"/>
    <col min="18" max="18" width="9.83203125" customWidth="1"/>
    <col min="19" max="19" width="10" customWidth="1"/>
    <col min="20" max="20" width="10.33203125" customWidth="1"/>
    <col min="21" max="21" width="10.83203125" customWidth="1"/>
    <col min="22" max="22" width="11.6640625" customWidth="1"/>
    <col min="23" max="23" width="10" customWidth="1"/>
    <col min="24" max="24" width="10.5" customWidth="1"/>
    <col min="25" max="25" width="10.6640625" customWidth="1"/>
    <col min="26" max="26" width="9.5" customWidth="1"/>
  </cols>
  <sheetData>
    <row r="1" spans="1:26" ht="25.5" customHeight="1">
      <c r="A1" s="52" t="s">
        <v>198</v>
      </c>
    </row>
    <row r="2" spans="1:26" ht="15.75" customHeight="1"/>
    <row r="3" spans="1:26" ht="15.75" customHeight="1">
      <c r="A3" s="1" t="s">
        <v>162</v>
      </c>
      <c r="B3" s="1" t="s">
        <v>163</v>
      </c>
      <c r="C3" s="1" t="s">
        <v>164</v>
      </c>
      <c r="D3" s="1" t="s">
        <v>165</v>
      </c>
      <c r="E3" s="1" t="s">
        <v>166</v>
      </c>
      <c r="F3" s="1" t="s">
        <v>167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1" t="s">
        <v>177</v>
      </c>
      <c r="Q3" s="1" t="s">
        <v>178</v>
      </c>
      <c r="R3" s="1" t="s">
        <v>179</v>
      </c>
      <c r="S3" s="1" t="s">
        <v>180</v>
      </c>
      <c r="T3" s="1" t="s">
        <v>181</v>
      </c>
      <c r="U3" s="1" t="s">
        <v>182</v>
      </c>
      <c r="V3" s="1" t="s">
        <v>183</v>
      </c>
      <c r="W3" s="1" t="s">
        <v>184</v>
      </c>
      <c r="X3" s="1" t="s">
        <v>185</v>
      </c>
      <c r="Y3" s="1" t="s">
        <v>186</v>
      </c>
      <c r="Z3" s="1" t="s">
        <v>187</v>
      </c>
    </row>
    <row r="4" spans="1:26" ht="15.75" customHeight="1">
      <c r="A4" s="2" t="s">
        <v>197</v>
      </c>
      <c r="B4" s="62">
        <f>'P&amp;L_24м'!B13</f>
        <v>-1480235</v>
      </c>
      <c r="C4" s="62">
        <f>'P&amp;L_24м'!C13</f>
        <v>-991084.62797619053</v>
      </c>
      <c r="D4" s="62">
        <f>'P&amp;L_24м'!D13</f>
        <v>-847891.14583333337</v>
      </c>
      <c r="E4" s="62">
        <f>'P&amp;L_24м'!E13</f>
        <v>-704697.66369047621</v>
      </c>
      <c r="F4" s="62">
        <f>'P&amp;L_24м'!F13</f>
        <v>-561504.18154761905</v>
      </c>
      <c r="G4" s="62">
        <f>'P&amp;L_24м'!G13</f>
        <v>-418310.69940476201</v>
      </c>
      <c r="H4" s="62">
        <f>'P&amp;L_24м'!H13</f>
        <v>-418310.69940476201</v>
      </c>
      <c r="I4" s="62">
        <f>'P&amp;L_24м'!I13</f>
        <v>-203520.4761904763</v>
      </c>
      <c r="J4" s="62">
        <f>'P&amp;L_24м'!J13</f>
        <v>11269.747023809294</v>
      </c>
      <c r="K4" s="62">
        <f>'P&amp;L_24м'!K13</f>
        <v>226059.97023809515</v>
      </c>
      <c r="L4" s="62">
        <f>'P&amp;L_24м'!L13</f>
        <v>440850.19345238106</v>
      </c>
      <c r="M4" s="62">
        <f>'P&amp;L_24м'!M13</f>
        <v>655640.41666666674</v>
      </c>
      <c r="N4" s="62">
        <f>'P&amp;L_24м'!N13</f>
        <v>870430.63988095231</v>
      </c>
      <c r="O4" s="62">
        <f>'P&amp;L_24м'!O13</f>
        <v>1085220.8630952379</v>
      </c>
      <c r="P4" s="62">
        <f>'P&amp;L_24м'!P13</f>
        <v>1300011.0863095229</v>
      </c>
      <c r="Q4" s="62">
        <f>'P&amp;L_24м'!Q13</f>
        <v>1514801.3095238081</v>
      </c>
      <c r="R4" s="62">
        <f>'P&amp;L_24м'!R13</f>
        <v>1729591.5327380933</v>
      </c>
      <c r="S4" s="62">
        <f>'P&amp;L_24м'!S13</f>
        <v>1944381.7559523792</v>
      </c>
      <c r="T4" s="62">
        <f>'P&amp;L_24м'!T13</f>
        <v>2159171.9791666642</v>
      </c>
      <c r="U4" s="62">
        <f>'P&amp;L_24м'!U13</f>
        <v>2373962.2023809496</v>
      </c>
      <c r="V4" s="62">
        <f>'P&amp;L_24м'!V13</f>
        <v>2588752.4255952351</v>
      </c>
      <c r="W4" s="62">
        <f>'P&amp;L_24м'!W13</f>
        <v>2803542.6488095215</v>
      </c>
      <c r="X4" s="62">
        <f>'P&amp;L_24м'!X13</f>
        <v>3018332.8720238088</v>
      </c>
      <c r="Y4" s="62">
        <f>'P&amp;L_24м'!Y13</f>
        <v>3233123.0952380942</v>
      </c>
      <c r="Z4" s="62">
        <f>'P&amp;L_24м'!Z13</f>
        <v>3447913.3184523806</v>
      </c>
    </row>
    <row r="5" spans="1:26" ht="15.75" customHeight="1">
      <c r="A5" s="2" t="s">
        <v>199</v>
      </c>
      <c r="B5" s="62">
        <f>'P&amp;L_24м'!B11</f>
        <v>0</v>
      </c>
      <c r="C5" s="62">
        <f>'P&amp;L_24м'!C11</f>
        <v>18833.333333333332</v>
      </c>
      <c r="D5" s="62">
        <f>'P&amp;L_24м'!D11</f>
        <v>18833.333333333332</v>
      </c>
      <c r="E5" s="62">
        <f>'P&amp;L_24м'!E11</f>
        <v>18833.333333333332</v>
      </c>
      <c r="F5" s="62">
        <f>'P&amp;L_24м'!F11</f>
        <v>18833.333333333332</v>
      </c>
      <c r="G5" s="62">
        <f>'P&amp;L_24м'!G11</f>
        <v>18833.333333333332</v>
      </c>
      <c r="H5" s="62">
        <f>'P&amp;L_24м'!H11</f>
        <v>18833.333333333332</v>
      </c>
      <c r="I5" s="62">
        <f>'P&amp;L_24м'!I11</f>
        <v>18833.333333333332</v>
      </c>
      <c r="J5" s="62">
        <f>'P&amp;L_24м'!J11</f>
        <v>18833.333333333332</v>
      </c>
      <c r="K5" s="62">
        <f>'P&amp;L_24м'!K11</f>
        <v>18833.333333333332</v>
      </c>
      <c r="L5" s="62">
        <f>'P&amp;L_24м'!L11</f>
        <v>18833.333333333332</v>
      </c>
      <c r="M5" s="62">
        <f>'P&amp;L_24м'!M11</f>
        <v>18833.333333333332</v>
      </c>
      <c r="N5" s="62">
        <f>'P&amp;L_24м'!N11</f>
        <v>18833.333333333332</v>
      </c>
      <c r="O5" s="62">
        <f>'P&amp;L_24м'!O11</f>
        <v>18833.333333333332</v>
      </c>
      <c r="P5" s="62">
        <f>'P&amp;L_24м'!P11</f>
        <v>18833.333333333332</v>
      </c>
      <c r="Q5" s="62">
        <f>'P&amp;L_24м'!Q11</f>
        <v>18833.333333333332</v>
      </c>
      <c r="R5" s="62">
        <f>'P&amp;L_24м'!R11</f>
        <v>18833.333333333332</v>
      </c>
      <c r="S5" s="62">
        <f>'P&amp;L_24м'!S11</f>
        <v>18833.333333333332</v>
      </c>
      <c r="T5" s="62">
        <f>'P&amp;L_24м'!T11</f>
        <v>18833.333333333332</v>
      </c>
      <c r="U5" s="62">
        <f>'P&amp;L_24м'!U11</f>
        <v>18833.333333333332</v>
      </c>
      <c r="V5" s="62">
        <f>'P&amp;L_24м'!V11</f>
        <v>18833.333333333332</v>
      </c>
      <c r="W5" s="62">
        <f>'P&amp;L_24м'!W11</f>
        <v>18833.333333333332</v>
      </c>
      <c r="X5" s="62">
        <f>'P&amp;L_24м'!X11</f>
        <v>18833.333333333332</v>
      </c>
      <c r="Y5" s="62">
        <f>'P&amp;L_24м'!Y11</f>
        <v>18833.333333333332</v>
      </c>
      <c r="Z5" s="62">
        <f>'P&amp;L_24м'!Z11</f>
        <v>18833.333333333332</v>
      </c>
    </row>
    <row r="6" spans="1:26" ht="15.75" customHeight="1">
      <c r="A6" s="63" t="s">
        <v>200</v>
      </c>
      <c r="B6" s="64">
        <f t="shared" ref="B6:Z6" si="0">B4+B5</f>
        <v>-1480235</v>
      </c>
      <c r="C6" s="64">
        <f t="shared" si="0"/>
        <v>-972251.29464285716</v>
      </c>
      <c r="D6" s="64">
        <f t="shared" si="0"/>
        <v>-829057.8125</v>
      </c>
      <c r="E6" s="64">
        <f t="shared" si="0"/>
        <v>-685864.33035714284</v>
      </c>
      <c r="F6" s="64">
        <f t="shared" si="0"/>
        <v>-542670.84821428568</v>
      </c>
      <c r="G6" s="64">
        <f t="shared" si="0"/>
        <v>-399477.3660714287</v>
      </c>
      <c r="H6" s="64">
        <f t="shared" si="0"/>
        <v>-399477.3660714287</v>
      </c>
      <c r="I6" s="64">
        <f t="shared" si="0"/>
        <v>-184687.14285714296</v>
      </c>
      <c r="J6" s="64">
        <f t="shared" si="0"/>
        <v>30103.080357142626</v>
      </c>
      <c r="K6" s="64">
        <f t="shared" si="0"/>
        <v>244893.30357142849</v>
      </c>
      <c r="L6" s="64">
        <f t="shared" si="0"/>
        <v>459683.52678571438</v>
      </c>
      <c r="M6" s="64">
        <f t="shared" si="0"/>
        <v>674473.75000000012</v>
      </c>
      <c r="N6" s="64">
        <f t="shared" si="0"/>
        <v>889263.97321428568</v>
      </c>
      <c r="O6" s="64">
        <f t="shared" si="0"/>
        <v>1104054.1964285711</v>
      </c>
      <c r="P6" s="64">
        <f t="shared" si="0"/>
        <v>1318844.4196428561</v>
      </c>
      <c r="Q6" s="64">
        <f t="shared" si="0"/>
        <v>1533634.6428571413</v>
      </c>
      <c r="R6" s="64">
        <f t="shared" si="0"/>
        <v>1748424.8660714265</v>
      </c>
      <c r="S6" s="64">
        <f t="shared" si="0"/>
        <v>1963215.0892857125</v>
      </c>
      <c r="T6" s="64">
        <f t="shared" si="0"/>
        <v>2178005.3124999977</v>
      </c>
      <c r="U6" s="64">
        <f t="shared" si="0"/>
        <v>2392795.5357142831</v>
      </c>
      <c r="V6" s="64">
        <f t="shared" si="0"/>
        <v>2607585.7589285686</v>
      </c>
      <c r="W6" s="64">
        <f t="shared" si="0"/>
        <v>2822375.9821428549</v>
      </c>
      <c r="X6" s="64">
        <f t="shared" si="0"/>
        <v>3037166.2053571423</v>
      </c>
      <c r="Y6" s="64">
        <f t="shared" si="0"/>
        <v>3251956.4285714277</v>
      </c>
      <c r="Z6" s="64">
        <f t="shared" si="0"/>
        <v>3466746.6517857141</v>
      </c>
    </row>
    <row r="7" spans="1:26" ht="15.75" customHeight="1">
      <c r="A7" s="2" t="s">
        <v>201</v>
      </c>
      <c r="B7" s="62">
        <f>SUM('Ввод (Inputs)'!B43:B46)</f>
        <v>1192235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15.75" customHeight="1">
      <c r="A8" s="63" t="s">
        <v>202</v>
      </c>
      <c r="B8" s="64">
        <f t="shared" ref="B8:Z8" si="1">B6+B7</f>
        <v>-288000</v>
      </c>
      <c r="C8" s="64">
        <f t="shared" si="1"/>
        <v>-972251.29464285716</v>
      </c>
      <c r="D8" s="64">
        <f t="shared" si="1"/>
        <v>-829057.8125</v>
      </c>
      <c r="E8" s="64">
        <f t="shared" si="1"/>
        <v>-685864.33035714284</v>
      </c>
      <c r="F8" s="64">
        <f t="shared" si="1"/>
        <v>-542670.84821428568</v>
      </c>
      <c r="G8" s="64">
        <f t="shared" si="1"/>
        <v>-399477.3660714287</v>
      </c>
      <c r="H8" s="64">
        <f t="shared" si="1"/>
        <v>-399477.3660714287</v>
      </c>
      <c r="I8" s="64">
        <f t="shared" si="1"/>
        <v>-184687.14285714296</v>
      </c>
      <c r="J8" s="64">
        <f t="shared" si="1"/>
        <v>30103.080357142626</v>
      </c>
      <c r="K8" s="64">
        <f t="shared" si="1"/>
        <v>244893.30357142849</v>
      </c>
      <c r="L8" s="64">
        <f t="shared" si="1"/>
        <v>459683.52678571438</v>
      </c>
      <c r="M8" s="64">
        <f t="shared" si="1"/>
        <v>674473.75000000012</v>
      </c>
      <c r="N8" s="64">
        <f t="shared" si="1"/>
        <v>889263.97321428568</v>
      </c>
      <c r="O8" s="64">
        <f t="shared" si="1"/>
        <v>1104054.1964285711</v>
      </c>
      <c r="P8" s="64">
        <f t="shared" si="1"/>
        <v>1318844.4196428561</v>
      </c>
      <c r="Q8" s="64">
        <f t="shared" si="1"/>
        <v>1533634.6428571413</v>
      </c>
      <c r="R8" s="64">
        <f t="shared" si="1"/>
        <v>1748424.8660714265</v>
      </c>
      <c r="S8" s="64">
        <f t="shared" si="1"/>
        <v>1963215.0892857125</v>
      </c>
      <c r="T8" s="64">
        <f t="shared" si="1"/>
        <v>2178005.3124999977</v>
      </c>
      <c r="U8" s="64">
        <f t="shared" si="1"/>
        <v>2392795.5357142831</v>
      </c>
      <c r="V8" s="64">
        <f t="shared" si="1"/>
        <v>2607585.7589285686</v>
      </c>
      <c r="W8" s="64">
        <f t="shared" si="1"/>
        <v>2822375.9821428549</v>
      </c>
      <c r="X8" s="64">
        <f t="shared" si="1"/>
        <v>3037166.2053571423</v>
      </c>
      <c r="Y8" s="64">
        <f t="shared" si="1"/>
        <v>3251956.4285714277</v>
      </c>
      <c r="Z8" s="64">
        <f t="shared" si="1"/>
        <v>3466746.6517857141</v>
      </c>
    </row>
    <row r="9" spans="1:26" ht="15.75" customHeight="1">
      <c r="A9" s="63" t="s">
        <v>203</v>
      </c>
      <c r="B9" s="64">
        <f>B8</f>
        <v>-288000</v>
      </c>
      <c r="C9" s="64">
        <f t="shared" ref="C9:Z9" si="2">B9+C8</f>
        <v>-1260251.2946428573</v>
      </c>
      <c r="D9" s="64">
        <f t="shared" si="2"/>
        <v>-2089309.1071428573</v>
      </c>
      <c r="E9" s="64">
        <f t="shared" si="2"/>
        <v>-2775173.4375</v>
      </c>
      <c r="F9" s="64">
        <f t="shared" si="2"/>
        <v>-3317844.2857142854</v>
      </c>
      <c r="G9" s="64">
        <f t="shared" si="2"/>
        <v>-3717321.6517857141</v>
      </c>
      <c r="H9" s="64">
        <f t="shared" si="2"/>
        <v>-4116799.0178571427</v>
      </c>
      <c r="I9" s="64">
        <f t="shared" si="2"/>
        <v>-4301486.1607142854</v>
      </c>
      <c r="J9" s="64">
        <f t="shared" si="2"/>
        <v>-4271383.0803571427</v>
      </c>
      <c r="K9" s="64">
        <f t="shared" si="2"/>
        <v>-4026489.7767857141</v>
      </c>
      <c r="L9" s="64">
        <f t="shared" si="2"/>
        <v>-3566806.2499999995</v>
      </c>
      <c r="M9" s="64">
        <f t="shared" si="2"/>
        <v>-2892332.4999999995</v>
      </c>
      <c r="N9" s="64">
        <f t="shared" si="2"/>
        <v>-2003068.5267857139</v>
      </c>
      <c r="O9" s="64">
        <f t="shared" si="2"/>
        <v>-899014.33035714272</v>
      </c>
      <c r="P9" s="64">
        <f t="shared" si="2"/>
        <v>419830.08928571339</v>
      </c>
      <c r="Q9" s="64">
        <f t="shared" si="2"/>
        <v>1953464.7321428547</v>
      </c>
      <c r="R9" s="64">
        <f t="shared" si="2"/>
        <v>3701889.5982142813</v>
      </c>
      <c r="S9" s="64">
        <f t="shared" si="2"/>
        <v>5665104.6874999935</v>
      </c>
      <c r="T9" s="64">
        <f t="shared" si="2"/>
        <v>7843109.9999999907</v>
      </c>
      <c r="U9" s="64">
        <f t="shared" si="2"/>
        <v>10235905.535714274</v>
      </c>
      <c r="V9" s="64">
        <f t="shared" si="2"/>
        <v>12843491.294642843</v>
      </c>
      <c r="W9" s="64">
        <f t="shared" si="2"/>
        <v>15665867.276785698</v>
      </c>
      <c r="X9" s="64">
        <f t="shared" si="2"/>
        <v>18703033.48214284</v>
      </c>
      <c r="Y9" s="64">
        <f t="shared" si="2"/>
        <v>21954989.910714269</v>
      </c>
      <c r="Z9" s="64">
        <f t="shared" si="2"/>
        <v>25421736.562499981</v>
      </c>
    </row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/>
  <cols>
    <col min="1" max="1" width="23.33203125" customWidth="1"/>
    <col min="2" max="2" width="16.6640625" customWidth="1"/>
    <col min="3" max="5" width="6.6640625" customWidth="1"/>
    <col min="6" max="25" width="11.1640625" customWidth="1"/>
  </cols>
  <sheetData>
    <row r="1" spans="1:2" ht="26.25" customHeight="1">
      <c r="A1" s="52" t="s">
        <v>204</v>
      </c>
    </row>
    <row r="2" spans="1:2" ht="15.75" customHeight="1">
      <c r="A2" s="22" t="s">
        <v>205</v>
      </c>
      <c r="B2" s="22" t="s">
        <v>1</v>
      </c>
    </row>
    <row r="3" spans="1:2" ht="15.75" customHeight="1">
      <c r="A3" s="1"/>
      <c r="B3" s="1"/>
    </row>
    <row r="4" spans="1:2" ht="15.75" customHeight="1">
      <c r="A4" s="2" t="s">
        <v>206</v>
      </c>
      <c r="B4" s="66">
        <f t="array" ref="B4">NPV((1+'Ввод (Inputs)'!B40)^(1/12)-1,CashFlow!C8:Z8)+CashFlow!B8</f>
        <v>18210820.126589373</v>
      </c>
    </row>
    <row r="5" spans="1:2" ht="15.75" customHeight="1">
      <c r="A5" s="2" t="s">
        <v>207</v>
      </c>
      <c r="B5" s="67">
        <f>IRR(CashFlow!B8:Z8)</f>
        <v>0.1355135258117095</v>
      </c>
    </row>
    <row r="6" spans="1:2" ht="15.75" customHeight="1">
      <c r="A6" s="2" t="s">
        <v>208</v>
      </c>
      <c r="B6" s="67">
        <f>(1+B5)^12-1</f>
        <v>3.5952351565651171</v>
      </c>
    </row>
    <row r="7" spans="1:2" ht="15.75" customHeight="1">
      <c r="A7" s="2" t="s">
        <v>209</v>
      </c>
      <c r="B7" s="11" t="str">
        <f t="array" ref="B7">INDEX(CashFlow!B3:Z3,MATCH(TRUE,CashFlow!B9:Z9&gt;=0,0))</f>
        <v>М14</v>
      </c>
    </row>
    <row r="8" spans="1:2" ht="15.75" customHeight="1">
      <c r="A8" s="2" t="s">
        <v>210</v>
      </c>
      <c r="B8" s="34">
        <f>'Unit Economics'!B37</f>
        <v>4.7731160714285723</v>
      </c>
    </row>
    <row r="9" spans="1:2" ht="15.75" customHeight="1">
      <c r="A9" s="2" t="s">
        <v>211</v>
      </c>
      <c r="B9" s="68">
        <f>'Unit Economics'!B42</f>
        <v>11.932790178571429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31"/>
  <sheetViews>
    <sheetView workbookViewId="0">
      <selection activeCell="A5" sqref="A5"/>
    </sheetView>
  </sheetViews>
  <sheetFormatPr baseColWidth="10" defaultColWidth="12.6640625" defaultRowHeight="15" customHeight="1"/>
  <cols>
    <col min="1" max="1" width="37.5" customWidth="1"/>
    <col min="2" max="2" width="19.6640625" customWidth="1"/>
    <col min="3" max="3" width="22.6640625" customWidth="1"/>
    <col min="4" max="4" width="21.1640625" customWidth="1"/>
    <col min="5" max="7" width="46.6640625" customWidth="1"/>
  </cols>
  <sheetData>
    <row r="1" spans="1:26">
      <c r="A1" s="69" t="s">
        <v>212</v>
      </c>
      <c r="B1" s="70"/>
      <c r="C1" s="70"/>
      <c r="D1" s="70"/>
      <c r="E1" s="70"/>
      <c r="F1" s="70"/>
      <c r="G1" s="70"/>
      <c r="H1" s="70"/>
    </row>
    <row r="2" spans="1:26" ht="15" customHeight="1">
      <c r="A2" s="70"/>
      <c r="B2" s="70"/>
      <c r="C2" s="70"/>
      <c r="D2" s="70"/>
      <c r="E2" s="70"/>
      <c r="F2" s="70"/>
      <c r="G2" s="70"/>
      <c r="H2" s="70"/>
    </row>
    <row r="3" spans="1:26">
      <c r="A3" s="71" t="s">
        <v>213</v>
      </c>
      <c r="B3" s="72"/>
      <c r="C3" s="70"/>
      <c r="D3" s="70"/>
      <c r="E3" s="70"/>
      <c r="F3" s="70"/>
      <c r="G3" s="70"/>
      <c r="H3" s="70"/>
    </row>
    <row r="4" spans="1:26" ht="15" customHeight="1">
      <c r="A4" s="73" t="s">
        <v>214</v>
      </c>
      <c r="B4" s="73" t="s">
        <v>206</v>
      </c>
      <c r="C4" s="74" t="s">
        <v>207</v>
      </c>
      <c r="D4" s="73" t="s">
        <v>208</v>
      </c>
      <c r="E4" s="73" t="s">
        <v>215</v>
      </c>
      <c r="F4" s="73" t="s">
        <v>210</v>
      </c>
      <c r="G4" s="73" t="s">
        <v>211</v>
      </c>
      <c r="H4" s="73" t="s">
        <v>216</v>
      </c>
    </row>
    <row r="5" spans="1:26" ht="15" customHeight="1">
      <c r="A5" s="75">
        <v>42260</v>
      </c>
      <c r="B5" s="76">
        <f>Метрики!B4</f>
        <v>18210820.126589373</v>
      </c>
      <c r="C5" s="77">
        <f>Метрики!B5</f>
        <v>0.1355135258117095</v>
      </c>
      <c r="D5" s="77">
        <f>Метрики!B6</f>
        <v>3.5952351565651171</v>
      </c>
      <c r="E5" s="75" t="str">
        <f>Метрики!B7</f>
        <v>М14</v>
      </c>
      <c r="F5" s="78">
        <f>Метрики!B8</f>
        <v>4.7731160714285723</v>
      </c>
      <c r="G5" s="78">
        <f>Метрики!B9</f>
        <v>11.932790178571429</v>
      </c>
      <c r="H5" s="79" t="str">
        <f>IF(AND(B5&gt;0, D5&gt;0.2, VALUE(RIGHT(E5, LEN(E5)-1))&lt;24), "GO", "NO-GO")</f>
        <v>GO</v>
      </c>
    </row>
    <row r="6" spans="1:26" ht="15" customHeight="1">
      <c r="A6" s="70"/>
      <c r="B6" s="70"/>
      <c r="C6" s="70"/>
      <c r="D6" s="70"/>
      <c r="E6" s="70"/>
      <c r="F6" s="70"/>
      <c r="G6" s="70"/>
      <c r="H6" s="70"/>
    </row>
    <row r="7" spans="1:26" ht="15" customHeight="1">
      <c r="A7" s="80" t="s">
        <v>214</v>
      </c>
      <c r="B7" s="80" t="s">
        <v>206</v>
      </c>
      <c r="C7" s="74" t="s">
        <v>207</v>
      </c>
      <c r="D7" s="73" t="s">
        <v>208</v>
      </c>
      <c r="E7" s="73" t="s">
        <v>215</v>
      </c>
      <c r="F7" s="73" t="s">
        <v>210</v>
      </c>
      <c r="G7" s="73" t="s">
        <v>211</v>
      </c>
      <c r="H7" s="80" t="s">
        <v>216</v>
      </c>
    </row>
    <row r="8" spans="1:26" ht="15" customHeight="1">
      <c r="A8" s="81">
        <v>35000</v>
      </c>
      <c r="B8" s="81">
        <v>10471783</v>
      </c>
      <c r="C8" s="82">
        <v>9.0499999999999997E-2</v>
      </c>
      <c r="D8" s="82">
        <v>1.8293999999999999</v>
      </c>
      <c r="E8" s="83" t="s">
        <v>180</v>
      </c>
      <c r="F8" s="83">
        <v>3.95</v>
      </c>
      <c r="G8" s="83">
        <v>9.8800000000000008</v>
      </c>
      <c r="H8" s="84" t="s">
        <v>217</v>
      </c>
    </row>
    <row r="9" spans="1:26" ht="15" customHeight="1">
      <c r="A9" s="85">
        <v>42260</v>
      </c>
      <c r="B9" s="85">
        <v>18210820</v>
      </c>
      <c r="C9" s="86">
        <v>0.13550000000000001</v>
      </c>
      <c r="D9" s="86">
        <v>3.5952000000000002</v>
      </c>
      <c r="E9" s="87" t="s">
        <v>177</v>
      </c>
      <c r="F9" s="87">
        <v>4.7699999999999996</v>
      </c>
      <c r="G9" s="87">
        <v>11.93</v>
      </c>
      <c r="H9" s="87" t="s">
        <v>217</v>
      </c>
    </row>
    <row r="10" spans="1:26" ht="15" customHeight="1">
      <c r="A10" s="88">
        <v>50000</v>
      </c>
      <c r="B10" s="88">
        <v>26461529</v>
      </c>
      <c r="C10" s="89">
        <v>0.1802</v>
      </c>
      <c r="D10" s="89">
        <v>6.3056999999999999</v>
      </c>
      <c r="E10" s="90" t="s">
        <v>175</v>
      </c>
      <c r="F10" s="90">
        <v>5.65</v>
      </c>
      <c r="G10" s="90">
        <v>14.12</v>
      </c>
      <c r="H10" s="90" t="s">
        <v>217</v>
      </c>
    </row>
    <row r="11" spans="1:26" ht="15" customHeight="1">
      <c r="A11" s="91"/>
      <c r="B11" s="91"/>
      <c r="C11" s="92"/>
      <c r="D11" s="93"/>
      <c r="E11" s="79"/>
      <c r="F11" s="79"/>
      <c r="G11" s="79"/>
      <c r="H11" s="79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" customHeight="1">
      <c r="A12" s="76"/>
      <c r="B12" s="76"/>
      <c r="C12" s="94"/>
      <c r="D12" s="77"/>
      <c r="E12" s="75"/>
      <c r="F12" s="75"/>
      <c r="G12" s="75"/>
      <c r="H12" s="79"/>
    </row>
    <row r="13" spans="1:26" ht="15" customHeight="1">
      <c r="A13" s="76"/>
      <c r="B13" s="76"/>
      <c r="C13" s="94"/>
      <c r="D13" s="77"/>
      <c r="E13" s="75"/>
      <c r="F13" s="75"/>
      <c r="G13" s="75"/>
      <c r="H13" s="79"/>
    </row>
    <row r="14" spans="1:26" ht="15" customHeight="1">
      <c r="A14" s="91"/>
      <c r="B14" s="91"/>
      <c r="C14" s="92"/>
      <c r="D14" s="93"/>
      <c r="E14" s="79"/>
      <c r="F14" s="79"/>
      <c r="G14" s="79"/>
      <c r="H14" s="79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" customHeight="1">
      <c r="A15" s="70"/>
      <c r="B15" s="70"/>
      <c r="C15" s="70"/>
      <c r="D15" s="70"/>
      <c r="E15" s="70"/>
      <c r="F15" s="70"/>
      <c r="G15" s="70"/>
      <c r="H15" s="70"/>
    </row>
    <row r="16" spans="1:26">
      <c r="A16" s="71" t="s">
        <v>218</v>
      </c>
      <c r="B16" s="70"/>
      <c r="C16" s="70"/>
      <c r="D16" s="70"/>
      <c r="E16" s="70"/>
      <c r="F16" s="70"/>
      <c r="G16" s="70"/>
      <c r="H16" s="70"/>
    </row>
    <row r="17" spans="1:8" ht="15" customHeight="1">
      <c r="A17" s="80" t="s">
        <v>219</v>
      </c>
      <c r="B17" s="80" t="s">
        <v>220</v>
      </c>
      <c r="C17" s="80" t="s">
        <v>221</v>
      </c>
      <c r="D17" s="80" t="s">
        <v>222</v>
      </c>
      <c r="E17" s="80" t="s">
        <v>223</v>
      </c>
      <c r="F17" s="95"/>
      <c r="G17" s="95"/>
      <c r="H17" s="70"/>
    </row>
    <row r="18" spans="1:8" ht="15" customHeight="1">
      <c r="A18" s="96" t="s">
        <v>214</v>
      </c>
      <c r="B18" s="81">
        <v>35000</v>
      </c>
      <c r="C18" s="85">
        <v>42260</v>
      </c>
      <c r="D18" s="88">
        <v>50000</v>
      </c>
      <c r="E18" s="97">
        <f>A5</f>
        <v>42260</v>
      </c>
      <c r="F18" s="97"/>
      <c r="G18" s="97"/>
      <c r="H18" s="70"/>
    </row>
    <row r="19" spans="1:8">
      <c r="A19" s="98" t="s">
        <v>224</v>
      </c>
      <c r="B19" s="81">
        <v>150000</v>
      </c>
      <c r="C19" s="85">
        <v>200000</v>
      </c>
      <c r="D19" s="88">
        <v>250000</v>
      </c>
      <c r="E19" s="75">
        <v>200000</v>
      </c>
      <c r="F19" s="75"/>
      <c r="G19" s="75"/>
      <c r="H19" s="70"/>
    </row>
    <row r="20" spans="1:8" ht="15" customHeight="1">
      <c r="A20" s="99" t="s">
        <v>57</v>
      </c>
      <c r="B20" s="100">
        <v>0.36</v>
      </c>
      <c r="C20" s="101">
        <v>0.33</v>
      </c>
      <c r="D20" s="102">
        <v>0.3</v>
      </c>
      <c r="E20" s="92">
        <v>0.33</v>
      </c>
      <c r="F20" s="92"/>
      <c r="G20" s="92"/>
      <c r="H20" s="70"/>
    </row>
    <row r="21" spans="1:8" ht="15" customHeight="1">
      <c r="A21" s="96" t="s">
        <v>44</v>
      </c>
      <c r="B21" s="103">
        <v>0.01</v>
      </c>
      <c r="C21" s="104">
        <v>0.02</v>
      </c>
      <c r="D21" s="105">
        <v>0.03</v>
      </c>
      <c r="E21" s="106">
        <v>0.02</v>
      </c>
      <c r="F21" s="106"/>
      <c r="G21" s="106"/>
      <c r="H21" s="70"/>
    </row>
    <row r="22" spans="1:8" ht="15" customHeight="1">
      <c r="A22" s="96" t="s">
        <v>47</v>
      </c>
      <c r="B22" s="103">
        <v>0.03</v>
      </c>
      <c r="C22" s="104">
        <v>0.05</v>
      </c>
      <c r="D22" s="105">
        <v>7.0000000000000007E-2</v>
      </c>
      <c r="E22" s="106">
        <v>0.05</v>
      </c>
      <c r="F22" s="106"/>
      <c r="G22" s="106"/>
      <c r="H22" s="70"/>
    </row>
    <row r="23" spans="1:8" ht="15" customHeight="1">
      <c r="A23" s="107" t="s">
        <v>225</v>
      </c>
      <c r="B23" s="108">
        <v>15052641</v>
      </c>
      <c r="C23" s="85">
        <v>18210820</v>
      </c>
      <c r="D23" s="88">
        <v>20366559</v>
      </c>
      <c r="E23" s="70"/>
      <c r="F23" s="70"/>
      <c r="G23" s="70"/>
      <c r="H23" s="70"/>
    </row>
    <row r="24" spans="1:8" ht="15" customHeight="1">
      <c r="A24" s="107" t="s">
        <v>207</v>
      </c>
      <c r="B24" s="109">
        <v>0.1051</v>
      </c>
      <c r="C24" s="86">
        <v>0.13550000000000001</v>
      </c>
      <c r="D24" s="89">
        <v>0.17949999999999999</v>
      </c>
      <c r="E24" s="70"/>
      <c r="F24" s="70"/>
      <c r="G24" s="70"/>
      <c r="H24" s="70"/>
    </row>
    <row r="25" spans="1:8" ht="15" customHeight="1">
      <c r="A25" s="107" t="s">
        <v>208</v>
      </c>
      <c r="B25" s="109">
        <v>2.3159000000000001</v>
      </c>
      <c r="C25" s="86">
        <v>3.5952000000000002</v>
      </c>
      <c r="D25" s="89">
        <v>6.2515000000000001</v>
      </c>
      <c r="E25" s="70"/>
      <c r="F25" s="70"/>
      <c r="G25" s="70"/>
      <c r="H25" s="70"/>
    </row>
    <row r="26" spans="1:8" ht="15" customHeight="1">
      <c r="A26" s="107" t="s">
        <v>226</v>
      </c>
      <c r="B26" s="83" t="s">
        <v>179</v>
      </c>
      <c r="C26" s="87" t="s">
        <v>227</v>
      </c>
      <c r="D26" s="90" t="s">
        <v>174</v>
      </c>
      <c r="E26" s="70"/>
      <c r="F26" s="70"/>
      <c r="G26" s="70"/>
      <c r="H26" s="70"/>
    </row>
    <row r="27" spans="1:8" ht="15" customHeight="1">
      <c r="A27" s="107" t="s">
        <v>210</v>
      </c>
      <c r="B27" s="83">
        <v>2.64</v>
      </c>
      <c r="C27" s="87">
        <v>4.7699999999999996</v>
      </c>
      <c r="D27" s="90">
        <v>6.78</v>
      </c>
      <c r="E27" s="70"/>
      <c r="F27" s="70"/>
      <c r="G27" s="70"/>
      <c r="H27" s="70"/>
    </row>
    <row r="28" spans="1:8" ht="15" customHeight="1">
      <c r="A28" s="107" t="s">
        <v>211</v>
      </c>
      <c r="B28" s="83">
        <v>13.18</v>
      </c>
      <c r="C28" s="87">
        <v>11.93</v>
      </c>
      <c r="D28" s="90">
        <v>11.29</v>
      </c>
      <c r="E28" s="70"/>
      <c r="F28" s="70"/>
      <c r="G28" s="70"/>
      <c r="H28" s="70"/>
    </row>
    <row r="29" spans="1:8">
      <c r="A29" s="110" t="s">
        <v>216</v>
      </c>
      <c r="B29" s="83" t="str">
        <f>IF(AND(B23&gt;0, B25&gt;0.2, 16&lt;24, B27&gt;3, B28&gt;3), "GO", "NO-GO")</f>
        <v>NO-GO</v>
      </c>
      <c r="C29" s="87" t="str">
        <f>IF(AND(C23&gt;0, C25&gt;0.2, 14&lt;24, C27&gt;3, C28&gt;3), "GO", "NO-GO")</f>
        <v>GO</v>
      </c>
      <c r="D29" s="90" t="str">
        <f>IF(AND(D23&gt;0, D25&gt;0.2, 11&lt;24, D27&gt;3, D28&gt;3), "GO", "NO-GO")</f>
        <v>GO</v>
      </c>
      <c r="E29" s="70"/>
      <c r="F29" s="70"/>
      <c r="G29" s="70"/>
      <c r="H29" s="70"/>
    </row>
    <row r="30" spans="1:8" ht="15" customHeight="1">
      <c r="A30" s="70"/>
      <c r="B30" s="70"/>
      <c r="C30" s="70"/>
      <c r="D30" s="70"/>
      <c r="E30" s="70"/>
      <c r="F30" s="70"/>
      <c r="G30" s="70"/>
      <c r="H30" s="70"/>
    </row>
    <row r="31" spans="1:8">
      <c r="A31" s="69" t="s">
        <v>212</v>
      </c>
      <c r="B31" s="70"/>
      <c r="C31" s="70"/>
      <c r="D31" s="70"/>
      <c r="E31" s="70"/>
      <c r="F31" s="70"/>
      <c r="G31" s="70"/>
      <c r="H31" s="70"/>
    </row>
  </sheetData>
  <conditionalFormatting sqref="E18:G18">
    <cfRule type="cellIs" dxfId="4" priority="2" operator="equal">
      <formula>42260</formula>
    </cfRule>
    <cfRule type="cellIs" dxfId="3" priority="3" operator="equal">
      <formula>35000</formula>
    </cfRule>
    <cfRule type="cellIs" dxfId="2" priority="4" operator="equal">
      <formula>50000</formula>
    </cfRule>
  </conditionalFormatting>
  <conditionalFormatting sqref="E20:G20">
    <cfRule type="notContainsBlanks" dxfId="1" priority="5">
      <formula>LEN(TRIM(E20))&gt;0</formula>
    </cfRule>
  </conditionalFormatting>
  <conditionalFormatting sqref="A5">
    <cfRule type="cellIs" dxfId="0" priority="1" operator="equal">
      <formula>35000</formula>
    </cfRule>
  </conditionalFormatting>
  <dataValidations count="5">
    <dataValidation type="list" allowBlank="1" showErrorMessage="1" sqref="E21" xr:uid="{00000000-0002-0000-0700-000000000000}">
      <formula1>"1%,2%,3%"</formula1>
    </dataValidation>
    <dataValidation type="list" allowBlank="1" showErrorMessage="1" sqref="E20" xr:uid="{00000000-0002-0000-0700-000001000000}">
      <formula1>"36%,33%,30%"</formula1>
    </dataValidation>
    <dataValidation type="list" allowBlank="1" showErrorMessage="1" sqref="A5" xr:uid="{00000000-0002-0000-0700-000002000000}">
      <formula1>"35000,42260,50000"</formula1>
    </dataValidation>
    <dataValidation type="list" allowBlank="1" showErrorMessage="1" sqref="E19" xr:uid="{00000000-0002-0000-0700-000003000000}">
      <formula1>"150000,200000,250000"</formula1>
    </dataValidation>
    <dataValidation type="list" allowBlank="1" showErrorMessage="1" sqref="E22" xr:uid="{00000000-0002-0000-0700-000004000000}">
      <formula1>"3%,5%,7%"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Источники</vt:lpstr>
      <vt:lpstr>Ввод (Inputs)</vt:lpstr>
      <vt:lpstr>Unit Economics</vt:lpstr>
      <vt:lpstr>Рынок_TAM_SAM_SOM</vt:lpstr>
      <vt:lpstr>P&amp;L_24м</vt:lpstr>
      <vt:lpstr>CashFlow</vt:lpstr>
      <vt:lpstr>Метрики</vt:lpstr>
      <vt:lpstr>Анализ чувствительности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тимофей сопильняк</cp:lastModifiedBy>
  <dcterms:created xsi:type="dcterms:W3CDTF">2026-03-13T20:16:33Z</dcterms:created>
  <dcterms:modified xsi:type="dcterms:W3CDTF">2026-03-13T20:16:34Z</dcterms:modified>
</cp:coreProperties>
</file>